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y Drive\PAY\FY2025\"/>
    </mc:Choice>
  </mc:AlternateContent>
  <xr:revisionPtr revIDLastSave="0" documentId="13_ncr:1_{D3D76499-81AA-4FDE-9D34-D6A0FFA04630}" xr6:coauthVersionLast="47" xr6:coauthVersionMax="47" xr10:uidLastSave="{00000000-0000-0000-0000-000000000000}"/>
  <bookViews>
    <workbookView xWindow="28680" yWindow="-120" windowWidth="29040" windowHeight="15840" tabRatio="882" activeTab="3" xr2:uid="{00000000-000D-0000-FFFF-FFFF00000000}"/>
  </bookViews>
  <sheets>
    <sheet name="Budget Total" sheetId="1" r:id="rId1"/>
    <sheet name="Budget by Source" sheetId="2" r:id="rId2"/>
    <sheet name="Payment Total" sheetId="5" r:id="rId3"/>
    <sheet name="Payment by Source" sheetId="3" r:id="rId4"/>
    <sheet name="Data" sheetId="11" state="hidden" r:id="rId5"/>
    <sheet name="Notes" sheetId="10" state="hidden" r:id="rId6"/>
    <sheet name="PaymentSummary" sheetId="12" state="hidden" r:id="rId7"/>
    <sheet name="SurtaxPayment" sheetId="17" state="hidden" r:id="rId8"/>
    <sheet name="SpecialEdDeficit" sheetId="15" state="hidden" r:id="rId9"/>
  </sheets>
  <externalReferences>
    <externalReference r:id="rId10"/>
  </externalReferences>
  <definedNames>
    <definedName name="District">'[1]Budget Total'!$B$7:$B$340</definedName>
    <definedName name="Districts">'Budget Total'!$B$6:$B$331</definedName>
    <definedName name="_xlnm.Print_Area" localSheetId="6">PaymentSummary!$A$1:$E$44,PaymentSummary!$H$11:$Q$40</definedName>
    <definedName name="_xlnm.Print_Titles" localSheetId="1">'Budget by Source'!$1:$5</definedName>
    <definedName name="_xlnm.Print_Titles" localSheetId="0">'Budget Total'!$1:$5</definedName>
    <definedName name="_xlnm.Print_Titles" localSheetId="3">'Payment by Source'!$1:$4</definedName>
    <definedName name="_xlnm.Print_Titles" localSheetId="2">'Payment Total'!$1:$5</definedName>
    <definedName name="_xlnm.Print_Titles" localSheetId="8">SpecialEdDeficit!$1:$2</definedName>
    <definedName name="_xlnm.Print_Titles" localSheetId="7">SurtaxPayment!$1:$5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5" l="1"/>
  <c r="T7" i="5"/>
  <c r="B18" i="10" l="1"/>
  <c r="K300" i="5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28" i="3"/>
  <c r="K329" i="3"/>
  <c r="K330" i="3"/>
  <c r="K6" i="3"/>
  <c r="B30" i="10"/>
  <c r="E4" i="1" l="1"/>
  <c r="G327" i="11"/>
  <c r="E328" i="15" l="1"/>
  <c r="T331" i="17" l="1"/>
  <c r="U331" i="17"/>
  <c r="S331" i="17"/>
  <c r="P331" i="17"/>
  <c r="Q331" i="17"/>
  <c r="O331" i="17"/>
  <c r="L331" i="17"/>
  <c r="M331" i="17"/>
  <c r="K331" i="17"/>
  <c r="Q332" i="5" l="1"/>
  <c r="B19" i="10" s="1"/>
  <c r="AO327" i="11" l="1"/>
  <c r="G43" i="12"/>
  <c r="E327" i="11" l="1"/>
  <c r="D1" i="15" l="1"/>
  <c r="Y14" i="12" l="1"/>
  <c r="S14" i="12"/>
  <c r="T14" i="12"/>
  <c r="U14" i="12"/>
  <c r="V14" i="12"/>
  <c r="W14" i="12"/>
  <c r="X14" i="12"/>
  <c r="R14" i="12"/>
  <c r="J14" i="12"/>
  <c r="N14" i="12"/>
  <c r="M14" i="12"/>
  <c r="L14" i="12"/>
  <c r="K14" i="12"/>
  <c r="F327" i="11" l="1"/>
  <c r="H327" i="11"/>
  <c r="I327" i="11"/>
  <c r="J327" i="11"/>
  <c r="K327" i="11"/>
  <c r="L327" i="11"/>
  <c r="M327" i="11"/>
  <c r="N327" i="11"/>
  <c r="O327" i="11"/>
  <c r="P327" i="11"/>
  <c r="Q327" i="11"/>
  <c r="R327" i="11"/>
  <c r="S327" i="11"/>
  <c r="T327" i="11"/>
  <c r="U327" i="11"/>
  <c r="V327" i="11"/>
  <c r="W327" i="11"/>
  <c r="X327" i="11"/>
  <c r="Y327" i="11"/>
  <c r="Z327" i="11"/>
  <c r="AA327" i="11"/>
  <c r="AB327" i="11"/>
  <c r="AC327" i="11"/>
  <c r="AD327" i="11"/>
  <c r="AE327" i="11"/>
  <c r="AF327" i="11"/>
  <c r="AG327" i="11"/>
  <c r="AH327" i="11"/>
  <c r="AI327" i="11"/>
  <c r="AJ327" i="11"/>
  <c r="AK327" i="11"/>
  <c r="AL327" i="11"/>
  <c r="AM327" i="11"/>
  <c r="AN327" i="11"/>
  <c r="G26" i="12"/>
  <c r="G25" i="12"/>
  <c r="G24" i="12"/>
  <c r="G23" i="12"/>
  <c r="G22" i="12"/>
  <c r="G21" i="12"/>
  <c r="G20" i="12"/>
  <c r="G19" i="12"/>
  <c r="G18" i="12"/>
  <c r="G17" i="12"/>
  <c r="C6" i="5" l="1"/>
  <c r="D6" i="5"/>
  <c r="E6" i="5"/>
  <c r="G6" i="5"/>
  <c r="B3" i="10"/>
  <c r="I4" i="2" s="1"/>
  <c r="R8" i="5"/>
  <c r="S8" i="5" s="1"/>
  <c r="T8" i="5" s="1"/>
  <c r="R9" i="5"/>
  <c r="S9" i="5" s="1"/>
  <c r="T9" i="5" s="1"/>
  <c r="R10" i="5"/>
  <c r="S10" i="5" s="1"/>
  <c r="T10" i="5" s="1"/>
  <c r="R11" i="5"/>
  <c r="S11" i="5" s="1"/>
  <c r="T11" i="5" s="1"/>
  <c r="R12" i="5"/>
  <c r="S12" i="5" s="1"/>
  <c r="T12" i="5" s="1"/>
  <c r="R13" i="5"/>
  <c r="S13" i="5" s="1"/>
  <c r="T13" i="5" s="1"/>
  <c r="R14" i="5"/>
  <c r="S14" i="5" s="1"/>
  <c r="T14" i="5" s="1"/>
  <c r="R15" i="5"/>
  <c r="S15" i="5" s="1"/>
  <c r="T15" i="5" s="1"/>
  <c r="R16" i="5"/>
  <c r="S16" i="5" s="1"/>
  <c r="T16" i="5" s="1"/>
  <c r="R17" i="5"/>
  <c r="S17" i="5" s="1"/>
  <c r="T17" i="5" s="1"/>
  <c r="R18" i="5"/>
  <c r="S18" i="5" s="1"/>
  <c r="T18" i="5" s="1"/>
  <c r="R19" i="5"/>
  <c r="S19" i="5" s="1"/>
  <c r="T19" i="5" s="1"/>
  <c r="R20" i="5"/>
  <c r="S20" i="5" s="1"/>
  <c r="T20" i="5" s="1"/>
  <c r="R21" i="5"/>
  <c r="S21" i="5" s="1"/>
  <c r="T21" i="5" s="1"/>
  <c r="R22" i="5"/>
  <c r="S22" i="5" s="1"/>
  <c r="T22" i="5" s="1"/>
  <c r="R23" i="5"/>
  <c r="S23" i="5" s="1"/>
  <c r="T23" i="5" s="1"/>
  <c r="R24" i="5"/>
  <c r="S24" i="5" s="1"/>
  <c r="T24" i="5" s="1"/>
  <c r="R25" i="5"/>
  <c r="S25" i="5" s="1"/>
  <c r="T25" i="5" s="1"/>
  <c r="R26" i="5"/>
  <c r="S26" i="5" s="1"/>
  <c r="T26" i="5" s="1"/>
  <c r="R27" i="5"/>
  <c r="S27" i="5" s="1"/>
  <c r="T27" i="5" s="1"/>
  <c r="R28" i="5"/>
  <c r="S28" i="5" s="1"/>
  <c r="T28" i="5" s="1"/>
  <c r="R29" i="5"/>
  <c r="S29" i="5" s="1"/>
  <c r="T29" i="5" s="1"/>
  <c r="R30" i="5"/>
  <c r="S30" i="5" s="1"/>
  <c r="T30" i="5" s="1"/>
  <c r="R31" i="5"/>
  <c r="S31" i="5" s="1"/>
  <c r="T31" i="5" s="1"/>
  <c r="R32" i="5"/>
  <c r="S32" i="5" s="1"/>
  <c r="T32" i="5" s="1"/>
  <c r="R33" i="5"/>
  <c r="S33" i="5" s="1"/>
  <c r="T33" i="5" s="1"/>
  <c r="R34" i="5"/>
  <c r="S34" i="5" s="1"/>
  <c r="T34" i="5" s="1"/>
  <c r="R35" i="5"/>
  <c r="S35" i="5" s="1"/>
  <c r="T35" i="5" s="1"/>
  <c r="R36" i="5"/>
  <c r="S36" i="5" s="1"/>
  <c r="T36" i="5" s="1"/>
  <c r="R37" i="5"/>
  <c r="S37" i="5" s="1"/>
  <c r="T37" i="5" s="1"/>
  <c r="R38" i="5"/>
  <c r="S38" i="5" s="1"/>
  <c r="T38" i="5" s="1"/>
  <c r="R39" i="5"/>
  <c r="S39" i="5" s="1"/>
  <c r="T39" i="5" s="1"/>
  <c r="R40" i="5"/>
  <c r="S40" i="5" s="1"/>
  <c r="T40" i="5" s="1"/>
  <c r="R41" i="5"/>
  <c r="S41" i="5" s="1"/>
  <c r="T41" i="5" s="1"/>
  <c r="R42" i="5"/>
  <c r="S42" i="5" s="1"/>
  <c r="T42" i="5" s="1"/>
  <c r="R43" i="5"/>
  <c r="S43" i="5" s="1"/>
  <c r="T43" i="5" s="1"/>
  <c r="R44" i="5"/>
  <c r="S44" i="5" s="1"/>
  <c r="T44" i="5" s="1"/>
  <c r="R45" i="5"/>
  <c r="S45" i="5" s="1"/>
  <c r="T45" i="5" s="1"/>
  <c r="R46" i="5"/>
  <c r="S46" i="5" s="1"/>
  <c r="T46" i="5" s="1"/>
  <c r="R47" i="5"/>
  <c r="S47" i="5" s="1"/>
  <c r="T47" i="5" s="1"/>
  <c r="R48" i="5"/>
  <c r="S48" i="5" s="1"/>
  <c r="T48" i="5" s="1"/>
  <c r="R49" i="5"/>
  <c r="S49" i="5" s="1"/>
  <c r="T49" i="5" s="1"/>
  <c r="R50" i="5"/>
  <c r="S50" i="5" s="1"/>
  <c r="T50" i="5" s="1"/>
  <c r="R51" i="5"/>
  <c r="S51" i="5" s="1"/>
  <c r="T51" i="5" s="1"/>
  <c r="R52" i="5"/>
  <c r="S52" i="5" s="1"/>
  <c r="T52" i="5" s="1"/>
  <c r="R53" i="5"/>
  <c r="S53" i="5" s="1"/>
  <c r="T53" i="5" s="1"/>
  <c r="R54" i="5"/>
  <c r="S54" i="5" s="1"/>
  <c r="T54" i="5" s="1"/>
  <c r="R55" i="5"/>
  <c r="S55" i="5" s="1"/>
  <c r="T55" i="5" s="1"/>
  <c r="R56" i="5"/>
  <c r="S56" i="5" s="1"/>
  <c r="T56" i="5" s="1"/>
  <c r="R57" i="5"/>
  <c r="S57" i="5" s="1"/>
  <c r="T57" i="5" s="1"/>
  <c r="R58" i="5"/>
  <c r="S58" i="5" s="1"/>
  <c r="T58" i="5" s="1"/>
  <c r="R59" i="5"/>
  <c r="S59" i="5" s="1"/>
  <c r="T59" i="5" s="1"/>
  <c r="R60" i="5"/>
  <c r="S60" i="5" s="1"/>
  <c r="T60" i="5" s="1"/>
  <c r="R61" i="5"/>
  <c r="S61" i="5" s="1"/>
  <c r="T61" i="5" s="1"/>
  <c r="R62" i="5"/>
  <c r="S62" i="5" s="1"/>
  <c r="T62" i="5" s="1"/>
  <c r="R63" i="5"/>
  <c r="S63" i="5" s="1"/>
  <c r="T63" i="5" s="1"/>
  <c r="R64" i="5"/>
  <c r="S64" i="5" s="1"/>
  <c r="T64" i="5" s="1"/>
  <c r="R65" i="5"/>
  <c r="S65" i="5" s="1"/>
  <c r="T65" i="5" s="1"/>
  <c r="R66" i="5"/>
  <c r="S66" i="5" s="1"/>
  <c r="T66" i="5" s="1"/>
  <c r="R67" i="5"/>
  <c r="S67" i="5" s="1"/>
  <c r="T67" i="5" s="1"/>
  <c r="R68" i="5"/>
  <c r="S68" i="5" s="1"/>
  <c r="T68" i="5" s="1"/>
  <c r="R69" i="5"/>
  <c r="S69" i="5" s="1"/>
  <c r="T69" i="5" s="1"/>
  <c r="R70" i="5"/>
  <c r="S70" i="5" s="1"/>
  <c r="T70" i="5" s="1"/>
  <c r="R71" i="5"/>
  <c r="S71" i="5" s="1"/>
  <c r="T71" i="5" s="1"/>
  <c r="R72" i="5"/>
  <c r="S72" i="5" s="1"/>
  <c r="T72" i="5" s="1"/>
  <c r="R73" i="5"/>
  <c r="S73" i="5" s="1"/>
  <c r="T73" i="5" s="1"/>
  <c r="R74" i="5"/>
  <c r="S74" i="5" s="1"/>
  <c r="T74" i="5" s="1"/>
  <c r="R75" i="5"/>
  <c r="S75" i="5" s="1"/>
  <c r="T75" i="5" s="1"/>
  <c r="R76" i="5"/>
  <c r="S76" i="5" s="1"/>
  <c r="T76" i="5" s="1"/>
  <c r="R77" i="5"/>
  <c r="S77" i="5" s="1"/>
  <c r="T77" i="5" s="1"/>
  <c r="R78" i="5"/>
  <c r="S78" i="5" s="1"/>
  <c r="T78" i="5" s="1"/>
  <c r="R79" i="5"/>
  <c r="S79" i="5" s="1"/>
  <c r="T79" i="5" s="1"/>
  <c r="R80" i="5"/>
  <c r="S80" i="5" s="1"/>
  <c r="T80" i="5" s="1"/>
  <c r="R81" i="5"/>
  <c r="S81" i="5" s="1"/>
  <c r="T81" i="5" s="1"/>
  <c r="R82" i="5"/>
  <c r="S82" i="5" s="1"/>
  <c r="T82" i="5" s="1"/>
  <c r="R83" i="5"/>
  <c r="S83" i="5" s="1"/>
  <c r="T83" i="5" s="1"/>
  <c r="R84" i="5"/>
  <c r="S84" i="5" s="1"/>
  <c r="T84" i="5" s="1"/>
  <c r="R85" i="5"/>
  <c r="S85" i="5" s="1"/>
  <c r="T85" i="5" s="1"/>
  <c r="R86" i="5"/>
  <c r="S86" i="5" s="1"/>
  <c r="T86" i="5" s="1"/>
  <c r="R87" i="5"/>
  <c r="S87" i="5" s="1"/>
  <c r="T87" i="5" s="1"/>
  <c r="R88" i="5"/>
  <c r="S88" i="5" s="1"/>
  <c r="T88" i="5" s="1"/>
  <c r="R89" i="5"/>
  <c r="S89" i="5" s="1"/>
  <c r="T89" i="5" s="1"/>
  <c r="R90" i="5"/>
  <c r="S90" i="5" s="1"/>
  <c r="T90" i="5" s="1"/>
  <c r="R91" i="5"/>
  <c r="S91" i="5" s="1"/>
  <c r="T91" i="5" s="1"/>
  <c r="R92" i="5"/>
  <c r="S92" i="5" s="1"/>
  <c r="T92" i="5" s="1"/>
  <c r="R93" i="5"/>
  <c r="S93" i="5" s="1"/>
  <c r="T93" i="5" s="1"/>
  <c r="R94" i="5"/>
  <c r="S94" i="5" s="1"/>
  <c r="T94" i="5" s="1"/>
  <c r="R95" i="5"/>
  <c r="S95" i="5" s="1"/>
  <c r="T95" i="5" s="1"/>
  <c r="R96" i="5"/>
  <c r="S96" i="5" s="1"/>
  <c r="T96" i="5" s="1"/>
  <c r="R97" i="5"/>
  <c r="S97" i="5" s="1"/>
  <c r="T97" i="5" s="1"/>
  <c r="R98" i="5"/>
  <c r="S98" i="5" s="1"/>
  <c r="T98" i="5" s="1"/>
  <c r="R99" i="5"/>
  <c r="S99" i="5" s="1"/>
  <c r="T99" i="5" s="1"/>
  <c r="R100" i="5"/>
  <c r="S100" i="5" s="1"/>
  <c r="T100" i="5" s="1"/>
  <c r="R101" i="5"/>
  <c r="S101" i="5" s="1"/>
  <c r="T101" i="5" s="1"/>
  <c r="R102" i="5"/>
  <c r="S102" i="5" s="1"/>
  <c r="T102" i="5" s="1"/>
  <c r="R103" i="5"/>
  <c r="S103" i="5" s="1"/>
  <c r="T103" i="5" s="1"/>
  <c r="R104" i="5"/>
  <c r="S104" i="5" s="1"/>
  <c r="T104" i="5" s="1"/>
  <c r="R105" i="5"/>
  <c r="S105" i="5" s="1"/>
  <c r="T105" i="5" s="1"/>
  <c r="R106" i="5"/>
  <c r="S106" i="5" s="1"/>
  <c r="T106" i="5" s="1"/>
  <c r="R107" i="5"/>
  <c r="S107" i="5" s="1"/>
  <c r="T107" i="5" s="1"/>
  <c r="R108" i="5"/>
  <c r="S108" i="5" s="1"/>
  <c r="T108" i="5" s="1"/>
  <c r="R109" i="5"/>
  <c r="S109" i="5" s="1"/>
  <c r="T109" i="5" s="1"/>
  <c r="R110" i="5"/>
  <c r="S110" i="5" s="1"/>
  <c r="T110" i="5" s="1"/>
  <c r="R111" i="5"/>
  <c r="S111" i="5" s="1"/>
  <c r="T111" i="5" s="1"/>
  <c r="R112" i="5"/>
  <c r="S112" i="5" s="1"/>
  <c r="T112" i="5" s="1"/>
  <c r="R113" i="5"/>
  <c r="S113" i="5" s="1"/>
  <c r="T113" i="5" s="1"/>
  <c r="R114" i="5"/>
  <c r="S114" i="5" s="1"/>
  <c r="T114" i="5" s="1"/>
  <c r="R115" i="5"/>
  <c r="S115" i="5" s="1"/>
  <c r="T115" i="5" s="1"/>
  <c r="R116" i="5"/>
  <c r="S116" i="5" s="1"/>
  <c r="T116" i="5" s="1"/>
  <c r="R117" i="5"/>
  <c r="S117" i="5" s="1"/>
  <c r="T117" i="5" s="1"/>
  <c r="R118" i="5"/>
  <c r="S118" i="5" s="1"/>
  <c r="T118" i="5" s="1"/>
  <c r="R119" i="5"/>
  <c r="S119" i="5" s="1"/>
  <c r="T119" i="5" s="1"/>
  <c r="R120" i="5"/>
  <c r="S120" i="5" s="1"/>
  <c r="T120" i="5" s="1"/>
  <c r="R121" i="5"/>
  <c r="S121" i="5" s="1"/>
  <c r="T121" i="5" s="1"/>
  <c r="R122" i="5"/>
  <c r="S122" i="5" s="1"/>
  <c r="T122" i="5" s="1"/>
  <c r="R123" i="5"/>
  <c r="S123" i="5" s="1"/>
  <c r="T123" i="5" s="1"/>
  <c r="R124" i="5"/>
  <c r="S124" i="5" s="1"/>
  <c r="T124" i="5" s="1"/>
  <c r="R125" i="5"/>
  <c r="S125" i="5" s="1"/>
  <c r="T125" i="5" s="1"/>
  <c r="R126" i="5"/>
  <c r="S126" i="5" s="1"/>
  <c r="T126" i="5" s="1"/>
  <c r="R127" i="5"/>
  <c r="S127" i="5" s="1"/>
  <c r="T127" i="5" s="1"/>
  <c r="R128" i="5"/>
  <c r="S128" i="5" s="1"/>
  <c r="T128" i="5" s="1"/>
  <c r="R129" i="5"/>
  <c r="S129" i="5" s="1"/>
  <c r="T129" i="5" s="1"/>
  <c r="R130" i="5"/>
  <c r="S130" i="5" s="1"/>
  <c r="T130" i="5" s="1"/>
  <c r="R131" i="5"/>
  <c r="S131" i="5" s="1"/>
  <c r="T131" i="5" s="1"/>
  <c r="R132" i="5"/>
  <c r="S132" i="5" s="1"/>
  <c r="T132" i="5" s="1"/>
  <c r="R133" i="5"/>
  <c r="S133" i="5" s="1"/>
  <c r="T133" i="5" s="1"/>
  <c r="R134" i="5"/>
  <c r="S134" i="5" s="1"/>
  <c r="T134" i="5" s="1"/>
  <c r="R135" i="5"/>
  <c r="S135" i="5" s="1"/>
  <c r="T135" i="5" s="1"/>
  <c r="R136" i="5"/>
  <c r="S136" i="5" s="1"/>
  <c r="T136" i="5" s="1"/>
  <c r="R137" i="5"/>
  <c r="S137" i="5" s="1"/>
  <c r="T137" i="5" s="1"/>
  <c r="R138" i="5"/>
  <c r="S138" i="5" s="1"/>
  <c r="T138" i="5" s="1"/>
  <c r="R139" i="5"/>
  <c r="S139" i="5" s="1"/>
  <c r="T139" i="5" s="1"/>
  <c r="R140" i="5"/>
  <c r="S140" i="5" s="1"/>
  <c r="T140" i="5" s="1"/>
  <c r="R141" i="5"/>
  <c r="S141" i="5" s="1"/>
  <c r="T141" i="5" s="1"/>
  <c r="R142" i="5"/>
  <c r="S142" i="5" s="1"/>
  <c r="T142" i="5" s="1"/>
  <c r="R143" i="5"/>
  <c r="S143" i="5" s="1"/>
  <c r="T143" i="5" s="1"/>
  <c r="R144" i="5"/>
  <c r="S144" i="5" s="1"/>
  <c r="T144" i="5" s="1"/>
  <c r="R145" i="5"/>
  <c r="S145" i="5" s="1"/>
  <c r="T145" i="5" s="1"/>
  <c r="R146" i="5"/>
  <c r="S146" i="5" s="1"/>
  <c r="T146" i="5" s="1"/>
  <c r="R147" i="5"/>
  <c r="S147" i="5" s="1"/>
  <c r="T147" i="5" s="1"/>
  <c r="R148" i="5"/>
  <c r="S148" i="5" s="1"/>
  <c r="T148" i="5" s="1"/>
  <c r="R149" i="5"/>
  <c r="S149" i="5" s="1"/>
  <c r="T149" i="5" s="1"/>
  <c r="R150" i="5"/>
  <c r="S150" i="5" s="1"/>
  <c r="T150" i="5" s="1"/>
  <c r="R151" i="5"/>
  <c r="S151" i="5" s="1"/>
  <c r="T151" i="5" s="1"/>
  <c r="R152" i="5"/>
  <c r="S152" i="5" s="1"/>
  <c r="T152" i="5" s="1"/>
  <c r="R153" i="5"/>
  <c r="S153" i="5" s="1"/>
  <c r="T153" i="5" s="1"/>
  <c r="R154" i="5"/>
  <c r="S154" i="5" s="1"/>
  <c r="T154" i="5" s="1"/>
  <c r="R155" i="5"/>
  <c r="S155" i="5" s="1"/>
  <c r="T155" i="5" s="1"/>
  <c r="R156" i="5"/>
  <c r="S156" i="5" s="1"/>
  <c r="T156" i="5" s="1"/>
  <c r="R157" i="5"/>
  <c r="S157" i="5" s="1"/>
  <c r="T157" i="5" s="1"/>
  <c r="R158" i="5"/>
  <c r="S158" i="5" s="1"/>
  <c r="T158" i="5" s="1"/>
  <c r="R159" i="5"/>
  <c r="S159" i="5" s="1"/>
  <c r="T159" i="5" s="1"/>
  <c r="R160" i="5"/>
  <c r="S160" i="5" s="1"/>
  <c r="T160" i="5" s="1"/>
  <c r="R161" i="5"/>
  <c r="S161" i="5" s="1"/>
  <c r="T161" i="5" s="1"/>
  <c r="R162" i="5"/>
  <c r="S162" i="5" s="1"/>
  <c r="T162" i="5" s="1"/>
  <c r="R163" i="5"/>
  <c r="S163" i="5" s="1"/>
  <c r="T163" i="5" s="1"/>
  <c r="R164" i="5"/>
  <c r="S164" i="5" s="1"/>
  <c r="T164" i="5" s="1"/>
  <c r="R165" i="5"/>
  <c r="S165" i="5" s="1"/>
  <c r="T165" i="5" s="1"/>
  <c r="R166" i="5"/>
  <c r="S166" i="5" s="1"/>
  <c r="T166" i="5" s="1"/>
  <c r="R167" i="5"/>
  <c r="S167" i="5" s="1"/>
  <c r="T167" i="5" s="1"/>
  <c r="R168" i="5"/>
  <c r="S168" i="5" s="1"/>
  <c r="T168" i="5" s="1"/>
  <c r="R169" i="5"/>
  <c r="S169" i="5" s="1"/>
  <c r="T169" i="5" s="1"/>
  <c r="R170" i="5"/>
  <c r="S170" i="5" s="1"/>
  <c r="T170" i="5" s="1"/>
  <c r="R171" i="5"/>
  <c r="S171" i="5" s="1"/>
  <c r="T171" i="5" s="1"/>
  <c r="R172" i="5"/>
  <c r="S172" i="5" s="1"/>
  <c r="T172" i="5" s="1"/>
  <c r="R173" i="5"/>
  <c r="S173" i="5" s="1"/>
  <c r="T173" i="5" s="1"/>
  <c r="R174" i="5"/>
  <c r="S174" i="5" s="1"/>
  <c r="T174" i="5" s="1"/>
  <c r="R175" i="5"/>
  <c r="S175" i="5" s="1"/>
  <c r="T175" i="5" s="1"/>
  <c r="R176" i="5"/>
  <c r="S176" i="5" s="1"/>
  <c r="T176" i="5" s="1"/>
  <c r="R177" i="5"/>
  <c r="S177" i="5" s="1"/>
  <c r="T177" i="5" s="1"/>
  <c r="R178" i="5"/>
  <c r="S178" i="5" s="1"/>
  <c r="T178" i="5" s="1"/>
  <c r="R179" i="5"/>
  <c r="S179" i="5" s="1"/>
  <c r="T179" i="5" s="1"/>
  <c r="R180" i="5"/>
  <c r="S180" i="5" s="1"/>
  <c r="T180" i="5" s="1"/>
  <c r="R181" i="5"/>
  <c r="S181" i="5" s="1"/>
  <c r="T181" i="5" s="1"/>
  <c r="R182" i="5"/>
  <c r="S182" i="5" s="1"/>
  <c r="T182" i="5" s="1"/>
  <c r="R183" i="5"/>
  <c r="S183" i="5" s="1"/>
  <c r="T183" i="5" s="1"/>
  <c r="R184" i="5"/>
  <c r="S184" i="5" s="1"/>
  <c r="T184" i="5" s="1"/>
  <c r="R185" i="5"/>
  <c r="S185" i="5" s="1"/>
  <c r="T185" i="5" s="1"/>
  <c r="R186" i="5"/>
  <c r="S186" i="5" s="1"/>
  <c r="T186" i="5" s="1"/>
  <c r="R187" i="5"/>
  <c r="S187" i="5" s="1"/>
  <c r="T187" i="5" s="1"/>
  <c r="R188" i="5"/>
  <c r="S188" i="5" s="1"/>
  <c r="T188" i="5" s="1"/>
  <c r="R189" i="5"/>
  <c r="S189" i="5" s="1"/>
  <c r="T189" i="5" s="1"/>
  <c r="R190" i="5"/>
  <c r="S190" i="5" s="1"/>
  <c r="T190" i="5" s="1"/>
  <c r="R191" i="5"/>
  <c r="S191" i="5" s="1"/>
  <c r="T191" i="5" s="1"/>
  <c r="R192" i="5"/>
  <c r="S192" i="5" s="1"/>
  <c r="T192" i="5" s="1"/>
  <c r="R193" i="5"/>
  <c r="S193" i="5" s="1"/>
  <c r="T193" i="5" s="1"/>
  <c r="R194" i="5"/>
  <c r="S194" i="5" s="1"/>
  <c r="T194" i="5" s="1"/>
  <c r="R195" i="5"/>
  <c r="S195" i="5" s="1"/>
  <c r="T195" i="5" s="1"/>
  <c r="R196" i="5"/>
  <c r="S196" i="5" s="1"/>
  <c r="T196" i="5" s="1"/>
  <c r="R197" i="5"/>
  <c r="S197" i="5" s="1"/>
  <c r="T197" i="5" s="1"/>
  <c r="R198" i="5"/>
  <c r="S198" i="5" s="1"/>
  <c r="T198" i="5" s="1"/>
  <c r="R199" i="5"/>
  <c r="S199" i="5" s="1"/>
  <c r="T199" i="5" s="1"/>
  <c r="R200" i="5"/>
  <c r="S200" i="5" s="1"/>
  <c r="T200" i="5" s="1"/>
  <c r="R201" i="5"/>
  <c r="S201" i="5" s="1"/>
  <c r="T201" i="5" s="1"/>
  <c r="R202" i="5"/>
  <c r="S202" i="5" s="1"/>
  <c r="T202" i="5" s="1"/>
  <c r="R203" i="5"/>
  <c r="S203" i="5" s="1"/>
  <c r="T203" i="5" s="1"/>
  <c r="R204" i="5"/>
  <c r="S204" i="5" s="1"/>
  <c r="T204" i="5" s="1"/>
  <c r="R205" i="5"/>
  <c r="S205" i="5" s="1"/>
  <c r="T205" i="5" s="1"/>
  <c r="R206" i="5"/>
  <c r="S206" i="5" s="1"/>
  <c r="T206" i="5" s="1"/>
  <c r="R207" i="5"/>
  <c r="S207" i="5" s="1"/>
  <c r="T207" i="5" s="1"/>
  <c r="R208" i="5"/>
  <c r="S208" i="5" s="1"/>
  <c r="T208" i="5" s="1"/>
  <c r="R209" i="5"/>
  <c r="S209" i="5" s="1"/>
  <c r="T209" i="5" s="1"/>
  <c r="R210" i="5"/>
  <c r="S210" i="5" s="1"/>
  <c r="T210" i="5" s="1"/>
  <c r="R211" i="5"/>
  <c r="S211" i="5" s="1"/>
  <c r="T211" i="5" s="1"/>
  <c r="R212" i="5"/>
  <c r="S212" i="5" s="1"/>
  <c r="T212" i="5" s="1"/>
  <c r="R213" i="5"/>
  <c r="S213" i="5" s="1"/>
  <c r="T213" i="5" s="1"/>
  <c r="R214" i="5"/>
  <c r="S214" i="5" s="1"/>
  <c r="T214" i="5" s="1"/>
  <c r="R215" i="5"/>
  <c r="S215" i="5" s="1"/>
  <c r="T215" i="5" s="1"/>
  <c r="R216" i="5"/>
  <c r="S216" i="5" s="1"/>
  <c r="T216" i="5" s="1"/>
  <c r="R217" i="5"/>
  <c r="S217" i="5" s="1"/>
  <c r="T217" i="5" s="1"/>
  <c r="R218" i="5"/>
  <c r="S218" i="5" s="1"/>
  <c r="T218" i="5" s="1"/>
  <c r="R219" i="5"/>
  <c r="S219" i="5" s="1"/>
  <c r="T219" i="5" s="1"/>
  <c r="R220" i="5"/>
  <c r="S220" i="5" s="1"/>
  <c r="T220" i="5" s="1"/>
  <c r="R221" i="5"/>
  <c r="S221" i="5" s="1"/>
  <c r="T221" i="5" s="1"/>
  <c r="R222" i="5"/>
  <c r="S222" i="5" s="1"/>
  <c r="T222" i="5" s="1"/>
  <c r="R223" i="5"/>
  <c r="S223" i="5" s="1"/>
  <c r="T223" i="5" s="1"/>
  <c r="R224" i="5"/>
  <c r="S224" i="5" s="1"/>
  <c r="T224" i="5" s="1"/>
  <c r="R225" i="5"/>
  <c r="S225" i="5" s="1"/>
  <c r="T225" i="5" s="1"/>
  <c r="R226" i="5"/>
  <c r="S226" i="5" s="1"/>
  <c r="T226" i="5" s="1"/>
  <c r="R227" i="5"/>
  <c r="S227" i="5" s="1"/>
  <c r="T227" i="5" s="1"/>
  <c r="R228" i="5"/>
  <c r="S228" i="5" s="1"/>
  <c r="T228" i="5" s="1"/>
  <c r="R229" i="5"/>
  <c r="S229" i="5" s="1"/>
  <c r="T229" i="5" s="1"/>
  <c r="R230" i="5"/>
  <c r="S230" i="5" s="1"/>
  <c r="T230" i="5" s="1"/>
  <c r="R231" i="5"/>
  <c r="S231" i="5" s="1"/>
  <c r="T231" i="5" s="1"/>
  <c r="R232" i="5"/>
  <c r="S232" i="5" s="1"/>
  <c r="T232" i="5" s="1"/>
  <c r="R233" i="5"/>
  <c r="S233" i="5" s="1"/>
  <c r="T233" i="5" s="1"/>
  <c r="R234" i="5"/>
  <c r="S234" i="5" s="1"/>
  <c r="T234" i="5" s="1"/>
  <c r="R235" i="5"/>
  <c r="S235" i="5" s="1"/>
  <c r="T235" i="5" s="1"/>
  <c r="R236" i="5"/>
  <c r="S236" i="5" s="1"/>
  <c r="T236" i="5" s="1"/>
  <c r="R237" i="5"/>
  <c r="S237" i="5" s="1"/>
  <c r="T237" i="5" s="1"/>
  <c r="R238" i="5"/>
  <c r="S238" i="5" s="1"/>
  <c r="T238" i="5" s="1"/>
  <c r="R239" i="5"/>
  <c r="S239" i="5" s="1"/>
  <c r="T239" i="5" s="1"/>
  <c r="R240" i="5"/>
  <c r="S240" i="5" s="1"/>
  <c r="T240" i="5" s="1"/>
  <c r="R241" i="5"/>
  <c r="S241" i="5" s="1"/>
  <c r="T241" i="5" s="1"/>
  <c r="R242" i="5"/>
  <c r="S242" i="5" s="1"/>
  <c r="T242" i="5" s="1"/>
  <c r="R243" i="5"/>
  <c r="S243" i="5" s="1"/>
  <c r="T243" i="5" s="1"/>
  <c r="R244" i="5"/>
  <c r="S244" i="5" s="1"/>
  <c r="T244" i="5" s="1"/>
  <c r="R245" i="5"/>
  <c r="S245" i="5" s="1"/>
  <c r="T245" i="5" s="1"/>
  <c r="R246" i="5"/>
  <c r="S246" i="5" s="1"/>
  <c r="T246" i="5" s="1"/>
  <c r="R247" i="5"/>
  <c r="S247" i="5" s="1"/>
  <c r="T247" i="5" s="1"/>
  <c r="R248" i="5"/>
  <c r="S248" i="5" s="1"/>
  <c r="T248" i="5" s="1"/>
  <c r="R249" i="5"/>
  <c r="S249" i="5" s="1"/>
  <c r="T249" i="5" s="1"/>
  <c r="R250" i="5"/>
  <c r="S250" i="5" s="1"/>
  <c r="T250" i="5" s="1"/>
  <c r="R251" i="5"/>
  <c r="S251" i="5" s="1"/>
  <c r="T251" i="5" s="1"/>
  <c r="R252" i="5"/>
  <c r="S252" i="5" s="1"/>
  <c r="T252" i="5" s="1"/>
  <c r="R253" i="5"/>
  <c r="S253" i="5" s="1"/>
  <c r="T253" i="5" s="1"/>
  <c r="R254" i="5"/>
  <c r="S254" i="5" s="1"/>
  <c r="T254" i="5" s="1"/>
  <c r="R255" i="5"/>
  <c r="S255" i="5" s="1"/>
  <c r="T255" i="5" s="1"/>
  <c r="R256" i="5"/>
  <c r="S256" i="5" s="1"/>
  <c r="T256" i="5" s="1"/>
  <c r="R257" i="5"/>
  <c r="S257" i="5" s="1"/>
  <c r="T257" i="5" s="1"/>
  <c r="R258" i="5"/>
  <c r="S258" i="5" s="1"/>
  <c r="T258" i="5" s="1"/>
  <c r="R259" i="5"/>
  <c r="S259" i="5" s="1"/>
  <c r="T259" i="5" s="1"/>
  <c r="R260" i="5"/>
  <c r="S260" i="5" s="1"/>
  <c r="T260" i="5" s="1"/>
  <c r="R261" i="5"/>
  <c r="S261" i="5" s="1"/>
  <c r="T261" i="5" s="1"/>
  <c r="R262" i="5"/>
  <c r="S262" i="5" s="1"/>
  <c r="T262" i="5" s="1"/>
  <c r="R263" i="5"/>
  <c r="S263" i="5" s="1"/>
  <c r="T263" i="5" s="1"/>
  <c r="R264" i="5"/>
  <c r="S264" i="5" s="1"/>
  <c r="T264" i="5" s="1"/>
  <c r="R265" i="5"/>
  <c r="S265" i="5" s="1"/>
  <c r="T265" i="5" s="1"/>
  <c r="R266" i="5"/>
  <c r="S266" i="5" s="1"/>
  <c r="T266" i="5" s="1"/>
  <c r="R267" i="5"/>
  <c r="S267" i="5" s="1"/>
  <c r="T267" i="5" s="1"/>
  <c r="R268" i="5"/>
  <c r="S268" i="5" s="1"/>
  <c r="T268" i="5" s="1"/>
  <c r="R269" i="5"/>
  <c r="S269" i="5" s="1"/>
  <c r="T269" i="5" s="1"/>
  <c r="R270" i="5"/>
  <c r="S270" i="5" s="1"/>
  <c r="T270" i="5" s="1"/>
  <c r="R271" i="5"/>
  <c r="S271" i="5" s="1"/>
  <c r="T271" i="5" s="1"/>
  <c r="R272" i="5"/>
  <c r="S272" i="5" s="1"/>
  <c r="T272" i="5" s="1"/>
  <c r="R273" i="5"/>
  <c r="S273" i="5" s="1"/>
  <c r="T273" i="5" s="1"/>
  <c r="R274" i="5"/>
  <c r="S274" i="5" s="1"/>
  <c r="T274" i="5" s="1"/>
  <c r="R275" i="5"/>
  <c r="S275" i="5" s="1"/>
  <c r="T275" i="5" s="1"/>
  <c r="R276" i="5"/>
  <c r="S276" i="5" s="1"/>
  <c r="T276" i="5" s="1"/>
  <c r="R277" i="5"/>
  <c r="S277" i="5" s="1"/>
  <c r="T277" i="5" s="1"/>
  <c r="R278" i="5"/>
  <c r="S278" i="5" s="1"/>
  <c r="T278" i="5" s="1"/>
  <c r="R279" i="5"/>
  <c r="S279" i="5" s="1"/>
  <c r="T279" i="5" s="1"/>
  <c r="R280" i="5"/>
  <c r="S280" i="5" s="1"/>
  <c r="T280" i="5" s="1"/>
  <c r="R281" i="5"/>
  <c r="S281" i="5" s="1"/>
  <c r="T281" i="5" s="1"/>
  <c r="R282" i="5"/>
  <c r="S282" i="5" s="1"/>
  <c r="T282" i="5" s="1"/>
  <c r="R283" i="5"/>
  <c r="S283" i="5" s="1"/>
  <c r="T283" i="5" s="1"/>
  <c r="R284" i="5"/>
  <c r="S284" i="5" s="1"/>
  <c r="T284" i="5" s="1"/>
  <c r="R285" i="5"/>
  <c r="S285" i="5" s="1"/>
  <c r="T285" i="5" s="1"/>
  <c r="R286" i="5"/>
  <c r="S286" i="5" s="1"/>
  <c r="T286" i="5" s="1"/>
  <c r="R287" i="5"/>
  <c r="S287" i="5" s="1"/>
  <c r="T287" i="5" s="1"/>
  <c r="R288" i="5"/>
  <c r="S288" i="5" s="1"/>
  <c r="T288" i="5" s="1"/>
  <c r="R289" i="5"/>
  <c r="S289" i="5" s="1"/>
  <c r="T289" i="5" s="1"/>
  <c r="R290" i="5"/>
  <c r="S290" i="5" s="1"/>
  <c r="T290" i="5" s="1"/>
  <c r="R291" i="5"/>
  <c r="S291" i="5" s="1"/>
  <c r="T291" i="5" s="1"/>
  <c r="R292" i="5"/>
  <c r="S292" i="5" s="1"/>
  <c r="T292" i="5" s="1"/>
  <c r="R293" i="5"/>
  <c r="S293" i="5" s="1"/>
  <c r="T293" i="5" s="1"/>
  <c r="R294" i="5"/>
  <c r="S294" i="5" s="1"/>
  <c r="T294" i="5" s="1"/>
  <c r="R295" i="5"/>
  <c r="S295" i="5" s="1"/>
  <c r="T295" i="5" s="1"/>
  <c r="R296" i="5"/>
  <c r="S296" i="5" s="1"/>
  <c r="T296" i="5" s="1"/>
  <c r="R297" i="5"/>
  <c r="S297" i="5" s="1"/>
  <c r="T297" i="5" s="1"/>
  <c r="R298" i="5"/>
  <c r="S298" i="5" s="1"/>
  <c r="T298" i="5" s="1"/>
  <c r="R299" i="5"/>
  <c r="S299" i="5" s="1"/>
  <c r="T299" i="5" s="1"/>
  <c r="R300" i="5"/>
  <c r="S300" i="5" s="1"/>
  <c r="T300" i="5" s="1"/>
  <c r="R301" i="5"/>
  <c r="S301" i="5" s="1"/>
  <c r="T301" i="5" s="1"/>
  <c r="R302" i="5"/>
  <c r="S302" i="5" s="1"/>
  <c r="T302" i="5" s="1"/>
  <c r="R303" i="5"/>
  <c r="S303" i="5" s="1"/>
  <c r="T303" i="5" s="1"/>
  <c r="R304" i="5"/>
  <c r="S304" i="5" s="1"/>
  <c r="T304" i="5" s="1"/>
  <c r="R305" i="5"/>
  <c r="S305" i="5" s="1"/>
  <c r="T305" i="5" s="1"/>
  <c r="R306" i="5"/>
  <c r="S306" i="5" s="1"/>
  <c r="T306" i="5" s="1"/>
  <c r="R307" i="5"/>
  <c r="S307" i="5" s="1"/>
  <c r="T307" i="5" s="1"/>
  <c r="R308" i="5"/>
  <c r="S308" i="5" s="1"/>
  <c r="T308" i="5" s="1"/>
  <c r="R309" i="5"/>
  <c r="S309" i="5" s="1"/>
  <c r="T309" i="5" s="1"/>
  <c r="R310" i="5"/>
  <c r="S310" i="5" s="1"/>
  <c r="T310" i="5" s="1"/>
  <c r="R311" i="5"/>
  <c r="S311" i="5" s="1"/>
  <c r="T311" i="5" s="1"/>
  <c r="R312" i="5"/>
  <c r="S312" i="5" s="1"/>
  <c r="T312" i="5" s="1"/>
  <c r="R313" i="5"/>
  <c r="S313" i="5" s="1"/>
  <c r="T313" i="5" s="1"/>
  <c r="R314" i="5"/>
  <c r="S314" i="5" s="1"/>
  <c r="T314" i="5" s="1"/>
  <c r="R315" i="5"/>
  <c r="S315" i="5" s="1"/>
  <c r="T315" i="5" s="1"/>
  <c r="R316" i="5"/>
  <c r="S316" i="5" s="1"/>
  <c r="T316" i="5" s="1"/>
  <c r="R317" i="5"/>
  <c r="S317" i="5" s="1"/>
  <c r="T317" i="5" s="1"/>
  <c r="R318" i="5"/>
  <c r="S318" i="5" s="1"/>
  <c r="T318" i="5" s="1"/>
  <c r="R319" i="5"/>
  <c r="S319" i="5" s="1"/>
  <c r="T319" i="5" s="1"/>
  <c r="R320" i="5"/>
  <c r="S320" i="5" s="1"/>
  <c r="T320" i="5" s="1"/>
  <c r="R321" i="5"/>
  <c r="S321" i="5" s="1"/>
  <c r="T321" i="5" s="1"/>
  <c r="R322" i="5"/>
  <c r="S322" i="5" s="1"/>
  <c r="T322" i="5" s="1"/>
  <c r="R323" i="5"/>
  <c r="S323" i="5" s="1"/>
  <c r="T323" i="5" s="1"/>
  <c r="R324" i="5"/>
  <c r="S324" i="5" s="1"/>
  <c r="T324" i="5" s="1"/>
  <c r="R325" i="5"/>
  <c r="S325" i="5" s="1"/>
  <c r="T325" i="5" s="1"/>
  <c r="R326" i="5"/>
  <c r="S326" i="5" s="1"/>
  <c r="T326" i="5" s="1"/>
  <c r="R327" i="5"/>
  <c r="S327" i="5" s="1"/>
  <c r="T327" i="5" s="1"/>
  <c r="R328" i="5"/>
  <c r="S328" i="5" s="1"/>
  <c r="T328" i="5" s="1"/>
  <c r="R329" i="5"/>
  <c r="S329" i="5" s="1"/>
  <c r="T329" i="5" s="1"/>
  <c r="R330" i="5"/>
  <c r="S330" i="5" s="1"/>
  <c r="T330" i="5" s="1"/>
  <c r="R331" i="5"/>
  <c r="S331" i="5" s="1"/>
  <c r="T331" i="5" s="1"/>
  <c r="R7" i="5"/>
  <c r="S7" i="5" s="1"/>
  <c r="I5" i="3"/>
  <c r="B5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6" i="3"/>
  <c r="F4" i="5"/>
  <c r="E4" i="5"/>
  <c r="D4" i="5"/>
  <c r="C4" i="5"/>
  <c r="G5" i="5"/>
  <c r="F6" i="5"/>
  <c r="B6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B127" i="5" s="1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B151" i="5" s="1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B175" i="5" s="1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B199" i="5" s="1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B223" i="5" s="1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A242" i="5"/>
  <c r="A243" i="5"/>
  <c r="A244" i="5"/>
  <c r="A245" i="5"/>
  <c r="A246" i="5"/>
  <c r="A247" i="5"/>
  <c r="B247" i="5" s="1"/>
  <c r="A248" i="5"/>
  <c r="A249" i="5"/>
  <c r="A250" i="5"/>
  <c r="A251" i="5"/>
  <c r="A252" i="5"/>
  <c r="A253" i="5"/>
  <c r="A254" i="5"/>
  <c r="A255" i="5"/>
  <c r="A256" i="5"/>
  <c r="A257" i="5"/>
  <c r="A258" i="5"/>
  <c r="A259" i="5"/>
  <c r="A260" i="5"/>
  <c r="A261" i="5"/>
  <c r="A262" i="5"/>
  <c r="A263" i="5"/>
  <c r="A264" i="5"/>
  <c r="A265" i="5"/>
  <c r="A266" i="5"/>
  <c r="A267" i="5"/>
  <c r="A268" i="5"/>
  <c r="A269" i="5"/>
  <c r="A270" i="5"/>
  <c r="A271" i="5"/>
  <c r="B271" i="5" s="1"/>
  <c r="A272" i="5"/>
  <c r="A273" i="5"/>
  <c r="A274" i="5"/>
  <c r="A275" i="5"/>
  <c r="A276" i="5"/>
  <c r="A277" i="5"/>
  <c r="A278" i="5"/>
  <c r="A279" i="5"/>
  <c r="A280" i="5"/>
  <c r="A281" i="5"/>
  <c r="A282" i="5"/>
  <c r="A283" i="5"/>
  <c r="A284" i="5"/>
  <c r="A285" i="5"/>
  <c r="A286" i="5"/>
  <c r="A287" i="5"/>
  <c r="A288" i="5"/>
  <c r="A289" i="5"/>
  <c r="A290" i="5"/>
  <c r="A291" i="5"/>
  <c r="A292" i="5"/>
  <c r="A293" i="5"/>
  <c r="A294" i="5"/>
  <c r="A295" i="5"/>
  <c r="B295" i="5" s="1"/>
  <c r="A296" i="5"/>
  <c r="A297" i="5"/>
  <c r="A298" i="5"/>
  <c r="A299" i="5"/>
  <c r="A300" i="5"/>
  <c r="A301" i="5"/>
  <c r="A302" i="5"/>
  <c r="A303" i="5"/>
  <c r="A304" i="5"/>
  <c r="A305" i="5"/>
  <c r="A306" i="5"/>
  <c r="A307" i="5"/>
  <c r="A308" i="5"/>
  <c r="A309" i="5"/>
  <c r="A310" i="5"/>
  <c r="A311" i="5"/>
  <c r="A312" i="5"/>
  <c r="A313" i="5"/>
  <c r="A314" i="5"/>
  <c r="A315" i="5"/>
  <c r="A316" i="5"/>
  <c r="A317" i="5"/>
  <c r="A318" i="5"/>
  <c r="A319" i="5"/>
  <c r="B319" i="5" s="1"/>
  <c r="A320" i="5"/>
  <c r="A321" i="5"/>
  <c r="A322" i="5"/>
  <c r="A323" i="5"/>
  <c r="A324" i="5"/>
  <c r="A325" i="5"/>
  <c r="A326" i="5"/>
  <c r="A327" i="5"/>
  <c r="A328" i="5"/>
  <c r="A329" i="5"/>
  <c r="A330" i="5"/>
  <c r="A331" i="5"/>
  <c r="A7" i="5"/>
  <c r="B4" i="10"/>
  <c r="H4" i="2" s="1"/>
  <c r="G4" i="2"/>
  <c r="F4" i="2"/>
  <c r="F23" i="2" s="1"/>
  <c r="E4" i="2"/>
  <c r="D4" i="2"/>
  <c r="C4" i="2"/>
  <c r="B4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G33" i="2" s="1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E51" i="2" s="1"/>
  <c r="A52" i="2"/>
  <c r="D52" i="2" s="1"/>
  <c r="A53" i="2"/>
  <c r="A54" i="2"/>
  <c r="B54" i="2" s="1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G73" i="2" s="1"/>
  <c r="A74" i="2"/>
  <c r="A75" i="2"/>
  <c r="E75" i="2" s="1"/>
  <c r="A76" i="2"/>
  <c r="A77" i="2"/>
  <c r="C77" i="2" s="1"/>
  <c r="A78" i="2"/>
  <c r="A79" i="2"/>
  <c r="A80" i="2"/>
  <c r="A81" i="2"/>
  <c r="A82" i="2"/>
  <c r="A83" i="2"/>
  <c r="A84" i="2"/>
  <c r="A85" i="2"/>
  <c r="A86" i="2"/>
  <c r="A87" i="2"/>
  <c r="A88" i="2"/>
  <c r="A89" i="2"/>
  <c r="G89" i="2" s="1"/>
  <c r="A90" i="2"/>
  <c r="A91" i="2"/>
  <c r="A92" i="2"/>
  <c r="D92" i="2" s="1"/>
  <c r="A93" i="2"/>
  <c r="C93" i="2" s="1"/>
  <c r="A94" i="2"/>
  <c r="A95" i="2"/>
  <c r="A96" i="2"/>
  <c r="A97" i="2"/>
  <c r="G97" i="2" s="1"/>
  <c r="A98" i="2"/>
  <c r="A99" i="2"/>
  <c r="A100" i="2"/>
  <c r="A101" i="2"/>
  <c r="A102" i="2"/>
  <c r="A103" i="2"/>
  <c r="A104" i="2"/>
  <c r="A105" i="2"/>
  <c r="G105" i="2" s="1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G121" i="2" s="1"/>
  <c r="A122" i="2"/>
  <c r="A123" i="2"/>
  <c r="E123" i="2" s="1"/>
  <c r="A124" i="2"/>
  <c r="A125" i="2"/>
  <c r="A126" i="2"/>
  <c r="B126" i="2" s="1"/>
  <c r="A127" i="2"/>
  <c r="A128" i="2"/>
  <c r="A129" i="2"/>
  <c r="A130" i="2"/>
  <c r="A131" i="2"/>
  <c r="A132" i="2"/>
  <c r="A133" i="2"/>
  <c r="A134" i="2"/>
  <c r="A135" i="2"/>
  <c r="A136" i="2"/>
  <c r="A137" i="2"/>
  <c r="G137" i="2" s="1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B150" i="2" s="1"/>
  <c r="A151" i="2"/>
  <c r="A152" i="2"/>
  <c r="A153" i="2"/>
  <c r="G153" i="2" s="1"/>
  <c r="A154" i="2"/>
  <c r="A155" i="2"/>
  <c r="A156" i="2"/>
  <c r="A157" i="2"/>
  <c r="A158" i="2"/>
  <c r="A159" i="2"/>
  <c r="A160" i="2"/>
  <c r="A161" i="2"/>
  <c r="C161" i="2" s="1"/>
  <c r="A162" i="2"/>
  <c r="A163" i="2"/>
  <c r="A164" i="2"/>
  <c r="A165" i="2"/>
  <c r="A166" i="2"/>
  <c r="A167" i="2"/>
  <c r="A168" i="2"/>
  <c r="A169" i="2"/>
  <c r="G169" i="2" s="1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C185" i="2" s="1"/>
  <c r="A186" i="2"/>
  <c r="A187" i="2"/>
  <c r="A188" i="2"/>
  <c r="A189" i="2"/>
  <c r="A190" i="2"/>
  <c r="A191" i="2"/>
  <c r="A192" i="2"/>
  <c r="A193" i="2"/>
  <c r="G193" i="2" s="1"/>
  <c r="A194" i="2"/>
  <c r="A195" i="2"/>
  <c r="A196" i="2"/>
  <c r="A197" i="2"/>
  <c r="C197" i="2" s="1"/>
  <c r="A198" i="2"/>
  <c r="B198" i="2" s="1"/>
  <c r="A199" i="2"/>
  <c r="A200" i="2"/>
  <c r="A201" i="2"/>
  <c r="A202" i="2"/>
  <c r="C202" i="2" s="1"/>
  <c r="A203" i="2"/>
  <c r="A204" i="2"/>
  <c r="A205" i="2"/>
  <c r="A206" i="2"/>
  <c r="A207" i="2"/>
  <c r="A208" i="2"/>
  <c r="A209" i="2"/>
  <c r="G209" i="2" s="1"/>
  <c r="A210" i="2"/>
  <c r="A211" i="2"/>
  <c r="A212" i="2"/>
  <c r="A213" i="2"/>
  <c r="A214" i="2"/>
  <c r="A215" i="2"/>
  <c r="A216" i="2"/>
  <c r="A217" i="2"/>
  <c r="G217" i="2" s="1"/>
  <c r="A218" i="2"/>
  <c r="A219" i="2"/>
  <c r="E219" i="2" s="1"/>
  <c r="A220" i="2"/>
  <c r="A221" i="2"/>
  <c r="A222" i="2"/>
  <c r="A223" i="2"/>
  <c r="A224" i="2"/>
  <c r="A225" i="2"/>
  <c r="G225" i="2" s="1"/>
  <c r="A226" i="2"/>
  <c r="A227" i="2"/>
  <c r="A228" i="2"/>
  <c r="A229" i="2"/>
  <c r="C229" i="2" s="1"/>
  <c r="A230" i="2"/>
  <c r="A231" i="2"/>
  <c r="A232" i="2"/>
  <c r="A233" i="2"/>
  <c r="A234" i="2"/>
  <c r="A235" i="2"/>
  <c r="A236" i="2"/>
  <c r="A237" i="2"/>
  <c r="A238" i="2"/>
  <c r="A239" i="2"/>
  <c r="A240" i="2"/>
  <c r="A241" i="2"/>
  <c r="C241" i="2" s="1"/>
  <c r="A242" i="2"/>
  <c r="A243" i="2"/>
  <c r="E243" i="2" s="1"/>
  <c r="A244" i="2"/>
  <c r="A245" i="2"/>
  <c r="C245" i="2" s="1"/>
  <c r="A246" i="2"/>
  <c r="A247" i="2"/>
  <c r="A248" i="2"/>
  <c r="A249" i="2"/>
  <c r="A250" i="2"/>
  <c r="G250" i="2" s="1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G265" i="2" s="1"/>
  <c r="A266" i="2"/>
  <c r="A267" i="2"/>
  <c r="E267" i="2" s="1"/>
  <c r="A268" i="2"/>
  <c r="A269" i="2"/>
  <c r="A270" i="2"/>
  <c r="A271" i="2"/>
  <c r="A272" i="2"/>
  <c r="A273" i="2"/>
  <c r="G273" i="2" s="1"/>
  <c r="A274" i="2"/>
  <c r="A275" i="2"/>
  <c r="A276" i="2"/>
  <c r="A277" i="2"/>
  <c r="C277" i="2" s="1"/>
  <c r="A278" i="2"/>
  <c r="A279" i="2"/>
  <c r="A280" i="2"/>
  <c r="A281" i="2"/>
  <c r="G281" i="2" s="1"/>
  <c r="A282" i="2"/>
  <c r="A283" i="2"/>
  <c r="A284" i="2"/>
  <c r="A285" i="2"/>
  <c r="A286" i="2"/>
  <c r="A287" i="2"/>
  <c r="A288" i="2"/>
  <c r="A289" i="2"/>
  <c r="C289" i="2" s="1"/>
  <c r="A290" i="2"/>
  <c r="A291" i="2"/>
  <c r="A292" i="2"/>
  <c r="A293" i="2"/>
  <c r="A294" i="2"/>
  <c r="B294" i="2" s="1"/>
  <c r="A295" i="2"/>
  <c r="A296" i="2"/>
  <c r="A297" i="2"/>
  <c r="A298" i="2"/>
  <c r="A299" i="2"/>
  <c r="A300" i="2"/>
  <c r="A301" i="2"/>
  <c r="C301" i="2" s="1"/>
  <c r="A302" i="2"/>
  <c r="A303" i="2"/>
  <c r="A304" i="2"/>
  <c r="A305" i="2"/>
  <c r="C305" i="2" s="1"/>
  <c r="A306" i="2"/>
  <c r="A307" i="2"/>
  <c r="A308" i="2"/>
  <c r="A309" i="2"/>
  <c r="A310" i="2"/>
  <c r="A311" i="2"/>
  <c r="A312" i="2"/>
  <c r="A313" i="2"/>
  <c r="G313" i="2" s="1"/>
  <c r="A314" i="2"/>
  <c r="A315" i="2"/>
  <c r="A316" i="2"/>
  <c r="A317" i="2"/>
  <c r="A318" i="2"/>
  <c r="B318" i="2" s="1"/>
  <c r="A319" i="2"/>
  <c r="A320" i="2"/>
  <c r="A321" i="2"/>
  <c r="G321" i="2" s="1"/>
  <c r="A322" i="2"/>
  <c r="A323" i="2"/>
  <c r="A324" i="2"/>
  <c r="A325" i="2"/>
  <c r="C325" i="2" s="1"/>
  <c r="A326" i="2"/>
  <c r="A327" i="2"/>
  <c r="A328" i="2"/>
  <c r="A329" i="2"/>
  <c r="A330" i="2"/>
  <c r="A6" i="2"/>
  <c r="B4" i="1"/>
  <c r="A7" i="1"/>
  <c r="E7" i="1" s="1"/>
  <c r="A8" i="1"/>
  <c r="E8" i="1" s="1"/>
  <c r="A9" i="1"/>
  <c r="A10" i="1"/>
  <c r="E10" i="1" s="1"/>
  <c r="A11" i="1"/>
  <c r="E11" i="1" s="1"/>
  <c r="A12" i="1"/>
  <c r="E12" i="1" s="1"/>
  <c r="A13" i="1"/>
  <c r="E13" i="1" s="1"/>
  <c r="A14" i="1"/>
  <c r="E14" i="1" s="1"/>
  <c r="A15" i="1"/>
  <c r="E15" i="1" s="1"/>
  <c r="A16" i="1"/>
  <c r="E16" i="1" s="1"/>
  <c r="A17" i="1"/>
  <c r="A18" i="1"/>
  <c r="E18" i="1" s="1"/>
  <c r="A19" i="1"/>
  <c r="A20" i="1"/>
  <c r="E20" i="1" s="1"/>
  <c r="A21" i="1"/>
  <c r="E21" i="1" s="1"/>
  <c r="A22" i="1"/>
  <c r="E22" i="1" s="1"/>
  <c r="A23" i="1"/>
  <c r="E23" i="1" s="1"/>
  <c r="A24" i="1"/>
  <c r="E24" i="1" s="1"/>
  <c r="A25" i="1"/>
  <c r="E25" i="1" s="1"/>
  <c r="A26" i="1"/>
  <c r="E26" i="1" s="1"/>
  <c r="A27" i="1"/>
  <c r="A28" i="1"/>
  <c r="E28" i="1" s="1"/>
  <c r="A29" i="1"/>
  <c r="E29" i="1" s="1"/>
  <c r="A30" i="1"/>
  <c r="A31" i="1"/>
  <c r="E31" i="1" s="1"/>
  <c r="A32" i="1"/>
  <c r="E32" i="1" s="1"/>
  <c r="A33" i="1"/>
  <c r="E33" i="1" s="1"/>
  <c r="A34" i="1"/>
  <c r="E34" i="1" s="1"/>
  <c r="A35" i="1"/>
  <c r="E35" i="1" s="1"/>
  <c r="A36" i="1"/>
  <c r="E36" i="1" s="1"/>
  <c r="A37" i="1"/>
  <c r="E37" i="1" s="1"/>
  <c r="A38" i="1"/>
  <c r="E38" i="1" s="1"/>
  <c r="A39" i="1"/>
  <c r="E39" i="1" s="1"/>
  <c r="A40" i="1"/>
  <c r="E40" i="1" s="1"/>
  <c r="A41" i="1"/>
  <c r="A42" i="1"/>
  <c r="E42" i="1" s="1"/>
  <c r="A43" i="1"/>
  <c r="E43" i="1" s="1"/>
  <c r="A44" i="1"/>
  <c r="E44" i="1" s="1"/>
  <c r="A45" i="1"/>
  <c r="E45" i="1" s="1"/>
  <c r="A46" i="1"/>
  <c r="A47" i="1"/>
  <c r="E47" i="1" s="1"/>
  <c r="A48" i="1"/>
  <c r="E48" i="1" s="1"/>
  <c r="A49" i="1"/>
  <c r="E49" i="1" s="1"/>
  <c r="A50" i="1"/>
  <c r="E50" i="1" s="1"/>
  <c r="A51" i="1"/>
  <c r="E51" i="1" s="1"/>
  <c r="A52" i="1"/>
  <c r="E52" i="1" s="1"/>
  <c r="A53" i="1"/>
  <c r="E53" i="1" s="1"/>
  <c r="A54" i="1"/>
  <c r="A55" i="1"/>
  <c r="E55" i="1" s="1"/>
  <c r="A56" i="1"/>
  <c r="E56" i="1" s="1"/>
  <c r="A57" i="1"/>
  <c r="E57" i="1" s="1"/>
  <c r="A58" i="1"/>
  <c r="E58" i="1" s="1"/>
  <c r="A59" i="1"/>
  <c r="E59" i="1" s="1"/>
  <c r="A60" i="1"/>
  <c r="E60" i="1" s="1"/>
  <c r="A61" i="1"/>
  <c r="E61" i="1" s="1"/>
  <c r="A62" i="1"/>
  <c r="E62" i="1" s="1"/>
  <c r="A63" i="1"/>
  <c r="E63" i="1" s="1"/>
  <c r="A64" i="1"/>
  <c r="E64" i="1" s="1"/>
  <c r="A65" i="1"/>
  <c r="A66" i="1"/>
  <c r="E66" i="1" s="1"/>
  <c r="A67" i="1"/>
  <c r="E67" i="1" s="1"/>
  <c r="A68" i="1"/>
  <c r="E68" i="1" s="1"/>
  <c r="A69" i="1"/>
  <c r="E69" i="1" s="1"/>
  <c r="A70" i="1"/>
  <c r="E70" i="1" s="1"/>
  <c r="A71" i="1"/>
  <c r="E71" i="1" s="1"/>
  <c r="A72" i="1"/>
  <c r="E72" i="1" s="1"/>
  <c r="A73" i="1"/>
  <c r="E73" i="1" s="1"/>
  <c r="A74" i="1"/>
  <c r="E74" i="1" s="1"/>
  <c r="A75" i="1"/>
  <c r="E75" i="1" s="1"/>
  <c r="A76" i="1"/>
  <c r="E76" i="1" s="1"/>
  <c r="A77" i="1"/>
  <c r="E77" i="1" s="1"/>
  <c r="A78" i="1"/>
  <c r="A79" i="1"/>
  <c r="E79" i="1" s="1"/>
  <c r="A80" i="1"/>
  <c r="E80" i="1" s="1"/>
  <c r="A81" i="1"/>
  <c r="E81" i="1" s="1"/>
  <c r="A82" i="1"/>
  <c r="E82" i="1" s="1"/>
  <c r="A83" i="1"/>
  <c r="E83" i="1" s="1"/>
  <c r="A84" i="1"/>
  <c r="E84" i="1" s="1"/>
  <c r="A85" i="1"/>
  <c r="E85" i="1" s="1"/>
  <c r="A86" i="1"/>
  <c r="E86" i="1" s="1"/>
  <c r="A87" i="1"/>
  <c r="E87" i="1" s="1"/>
  <c r="A88" i="1"/>
  <c r="E88" i="1" s="1"/>
  <c r="A89" i="1"/>
  <c r="E89" i="1" s="1"/>
  <c r="A90" i="1"/>
  <c r="A91" i="1"/>
  <c r="E91" i="1" s="1"/>
  <c r="A92" i="1"/>
  <c r="E92" i="1" s="1"/>
  <c r="A93" i="1"/>
  <c r="E93" i="1" s="1"/>
  <c r="A94" i="1"/>
  <c r="E94" i="1" s="1"/>
  <c r="A95" i="1"/>
  <c r="E95" i="1" s="1"/>
  <c r="A96" i="1"/>
  <c r="E96" i="1" s="1"/>
  <c r="A97" i="1"/>
  <c r="E97" i="1" s="1"/>
  <c r="A98" i="1"/>
  <c r="E98" i="1" s="1"/>
  <c r="A99" i="1"/>
  <c r="E99" i="1" s="1"/>
  <c r="A100" i="1"/>
  <c r="E100" i="1" s="1"/>
  <c r="A101" i="1"/>
  <c r="E101" i="1" s="1"/>
  <c r="A102" i="1"/>
  <c r="A103" i="1"/>
  <c r="E103" i="1" s="1"/>
  <c r="A104" i="1"/>
  <c r="E104" i="1" s="1"/>
  <c r="A105" i="1"/>
  <c r="E105" i="1" s="1"/>
  <c r="A106" i="1"/>
  <c r="E106" i="1" s="1"/>
  <c r="A107" i="1"/>
  <c r="E107" i="1" s="1"/>
  <c r="A108" i="1"/>
  <c r="E108" i="1" s="1"/>
  <c r="A109" i="1"/>
  <c r="E109" i="1" s="1"/>
  <c r="A110" i="1"/>
  <c r="E110" i="1" s="1"/>
  <c r="A111" i="1"/>
  <c r="E111" i="1" s="1"/>
  <c r="A112" i="1"/>
  <c r="E112" i="1" s="1"/>
  <c r="A113" i="1"/>
  <c r="E113" i="1" s="1"/>
  <c r="A114" i="1"/>
  <c r="E114" i="1" s="1"/>
  <c r="A115" i="1"/>
  <c r="E115" i="1" s="1"/>
  <c r="A116" i="1"/>
  <c r="E116" i="1" s="1"/>
  <c r="A117" i="1"/>
  <c r="E117" i="1" s="1"/>
  <c r="A118" i="1"/>
  <c r="E118" i="1" s="1"/>
  <c r="A119" i="1"/>
  <c r="E119" i="1" s="1"/>
  <c r="A120" i="1"/>
  <c r="E120" i="1" s="1"/>
  <c r="A121" i="1"/>
  <c r="E121" i="1" s="1"/>
  <c r="A122" i="1"/>
  <c r="E122" i="1" s="1"/>
  <c r="A123" i="1"/>
  <c r="E123" i="1" s="1"/>
  <c r="A124" i="1"/>
  <c r="E124" i="1" s="1"/>
  <c r="A125" i="1"/>
  <c r="E125" i="1" s="1"/>
  <c r="A126" i="1"/>
  <c r="E126" i="1" s="1"/>
  <c r="A127" i="1"/>
  <c r="A128" i="1"/>
  <c r="E128" i="1" s="1"/>
  <c r="A129" i="1"/>
  <c r="E129" i="1" s="1"/>
  <c r="A130" i="1"/>
  <c r="E130" i="1" s="1"/>
  <c r="A131" i="1"/>
  <c r="E131" i="1" s="1"/>
  <c r="A132" i="1"/>
  <c r="E132" i="1" s="1"/>
  <c r="A133" i="1"/>
  <c r="E133" i="1" s="1"/>
  <c r="A134" i="1"/>
  <c r="E134" i="1" s="1"/>
  <c r="A135" i="1"/>
  <c r="E135" i="1" s="1"/>
  <c r="A136" i="1"/>
  <c r="E136" i="1" s="1"/>
  <c r="A137" i="1"/>
  <c r="E137" i="1" s="1"/>
  <c r="A138" i="1"/>
  <c r="E138" i="1" s="1"/>
  <c r="A139" i="1"/>
  <c r="E139" i="1" s="1"/>
  <c r="A140" i="1"/>
  <c r="E140" i="1" s="1"/>
  <c r="A141" i="1"/>
  <c r="E141" i="1" s="1"/>
  <c r="A142" i="1"/>
  <c r="E142" i="1" s="1"/>
  <c r="A143" i="1"/>
  <c r="E143" i="1" s="1"/>
  <c r="A144" i="1"/>
  <c r="E144" i="1" s="1"/>
  <c r="A145" i="1"/>
  <c r="E145" i="1" s="1"/>
  <c r="A146" i="1"/>
  <c r="E146" i="1" s="1"/>
  <c r="A147" i="1"/>
  <c r="E147" i="1" s="1"/>
  <c r="A148" i="1"/>
  <c r="E148" i="1" s="1"/>
  <c r="A149" i="1"/>
  <c r="E149" i="1" s="1"/>
  <c r="A150" i="1"/>
  <c r="E150" i="1" s="1"/>
  <c r="A151" i="1"/>
  <c r="E151" i="1" s="1"/>
  <c r="A152" i="1"/>
  <c r="E152" i="1" s="1"/>
  <c r="A153" i="1"/>
  <c r="E153" i="1" s="1"/>
  <c r="A154" i="1"/>
  <c r="A155" i="1"/>
  <c r="E155" i="1" s="1"/>
  <c r="A156" i="1"/>
  <c r="E156" i="1" s="1"/>
  <c r="A157" i="1"/>
  <c r="E157" i="1" s="1"/>
  <c r="A158" i="1"/>
  <c r="E158" i="1" s="1"/>
  <c r="A159" i="1"/>
  <c r="E159" i="1" s="1"/>
  <c r="A160" i="1"/>
  <c r="E160" i="1" s="1"/>
  <c r="A161" i="1"/>
  <c r="E161" i="1" s="1"/>
  <c r="A162" i="1"/>
  <c r="E162" i="1" s="1"/>
  <c r="A163" i="1"/>
  <c r="E163" i="1" s="1"/>
  <c r="A164" i="1"/>
  <c r="E164" i="1" s="1"/>
  <c r="A165" i="1"/>
  <c r="E165" i="1" s="1"/>
  <c r="A166" i="1"/>
  <c r="E166" i="1" s="1"/>
  <c r="A167" i="1"/>
  <c r="E167" i="1" s="1"/>
  <c r="A168" i="1"/>
  <c r="E168" i="1" s="1"/>
  <c r="A169" i="1"/>
  <c r="E169" i="1" s="1"/>
  <c r="A170" i="1"/>
  <c r="E170" i="1" s="1"/>
  <c r="A171" i="1"/>
  <c r="E171" i="1" s="1"/>
  <c r="A172" i="1"/>
  <c r="E172" i="1" s="1"/>
  <c r="A173" i="1"/>
  <c r="E173" i="1" s="1"/>
  <c r="A174" i="1"/>
  <c r="A175" i="1"/>
  <c r="E175" i="1" s="1"/>
  <c r="A176" i="1"/>
  <c r="E176" i="1" s="1"/>
  <c r="A177" i="1"/>
  <c r="E177" i="1" s="1"/>
  <c r="A178" i="1"/>
  <c r="E178" i="1" s="1"/>
  <c r="A179" i="1"/>
  <c r="E179" i="1" s="1"/>
  <c r="A180" i="1"/>
  <c r="E180" i="1" s="1"/>
  <c r="A181" i="1"/>
  <c r="E181" i="1" s="1"/>
  <c r="A182" i="1"/>
  <c r="E182" i="1" s="1"/>
  <c r="A183" i="1"/>
  <c r="E183" i="1" s="1"/>
  <c r="A184" i="1"/>
  <c r="E184" i="1" s="1"/>
  <c r="A185" i="1"/>
  <c r="E185" i="1" s="1"/>
  <c r="A186" i="1"/>
  <c r="E186" i="1" s="1"/>
  <c r="A187" i="1"/>
  <c r="E187" i="1" s="1"/>
  <c r="A188" i="1"/>
  <c r="E188" i="1" s="1"/>
  <c r="A189" i="1"/>
  <c r="E189" i="1" s="1"/>
  <c r="A190" i="1"/>
  <c r="E190" i="1" s="1"/>
  <c r="A191" i="1"/>
  <c r="E191" i="1" s="1"/>
  <c r="A192" i="1"/>
  <c r="E192" i="1" s="1"/>
  <c r="A193" i="1"/>
  <c r="E193" i="1" s="1"/>
  <c r="A194" i="1"/>
  <c r="E194" i="1" s="1"/>
  <c r="A195" i="1"/>
  <c r="E195" i="1" s="1"/>
  <c r="A196" i="1"/>
  <c r="E196" i="1" s="1"/>
  <c r="A197" i="1"/>
  <c r="E197" i="1" s="1"/>
  <c r="A198" i="1"/>
  <c r="E198" i="1" s="1"/>
  <c r="A199" i="1"/>
  <c r="A200" i="1"/>
  <c r="A201" i="1"/>
  <c r="A202" i="1"/>
  <c r="E202" i="1" s="1"/>
  <c r="A203" i="1"/>
  <c r="E203" i="1" s="1"/>
  <c r="A204" i="1"/>
  <c r="E204" i="1" s="1"/>
  <c r="A205" i="1"/>
  <c r="E205" i="1" s="1"/>
  <c r="A206" i="1"/>
  <c r="E206" i="1" s="1"/>
  <c r="A207" i="1"/>
  <c r="E207" i="1" s="1"/>
  <c r="A208" i="1"/>
  <c r="E208" i="1" s="1"/>
  <c r="A209" i="1"/>
  <c r="E209" i="1" s="1"/>
  <c r="A210" i="1"/>
  <c r="E210" i="1" s="1"/>
  <c r="A211" i="1"/>
  <c r="E211" i="1" s="1"/>
  <c r="A212" i="1"/>
  <c r="E212" i="1" s="1"/>
  <c r="A213" i="1"/>
  <c r="E213" i="1" s="1"/>
  <c r="A214" i="1"/>
  <c r="E214" i="1" s="1"/>
  <c r="A215" i="1"/>
  <c r="E215" i="1" s="1"/>
  <c r="A216" i="1"/>
  <c r="E216" i="1" s="1"/>
  <c r="A217" i="1"/>
  <c r="E217" i="1" s="1"/>
  <c r="A218" i="1"/>
  <c r="E218" i="1" s="1"/>
  <c r="A219" i="1"/>
  <c r="E219" i="1" s="1"/>
  <c r="A220" i="1"/>
  <c r="E220" i="1" s="1"/>
  <c r="A221" i="1"/>
  <c r="E221" i="1" s="1"/>
  <c r="A222" i="1"/>
  <c r="A223" i="1"/>
  <c r="E223" i="1" s="1"/>
  <c r="A224" i="1"/>
  <c r="E224" i="1" s="1"/>
  <c r="A225" i="1"/>
  <c r="E225" i="1" s="1"/>
  <c r="A226" i="1"/>
  <c r="E226" i="1" s="1"/>
  <c r="A227" i="1"/>
  <c r="E227" i="1" s="1"/>
  <c r="A228" i="1"/>
  <c r="E228" i="1" s="1"/>
  <c r="A229" i="1"/>
  <c r="E229" i="1" s="1"/>
  <c r="A230" i="1"/>
  <c r="E230" i="1" s="1"/>
  <c r="A231" i="1"/>
  <c r="E231" i="1" s="1"/>
  <c r="A232" i="1"/>
  <c r="E232" i="1" s="1"/>
  <c r="A233" i="1"/>
  <c r="E233" i="1" s="1"/>
  <c r="A234" i="1"/>
  <c r="E234" i="1" s="1"/>
  <c r="A235" i="1"/>
  <c r="E235" i="1" s="1"/>
  <c r="A236" i="1"/>
  <c r="E236" i="1" s="1"/>
  <c r="A237" i="1"/>
  <c r="A238" i="1"/>
  <c r="E238" i="1" s="1"/>
  <c r="A239" i="1"/>
  <c r="E239" i="1" s="1"/>
  <c r="A240" i="1"/>
  <c r="E240" i="1" s="1"/>
  <c r="A241" i="1"/>
  <c r="E241" i="1" s="1"/>
  <c r="A242" i="1"/>
  <c r="E242" i="1" s="1"/>
  <c r="A243" i="1"/>
  <c r="E243" i="1" s="1"/>
  <c r="A244" i="1"/>
  <c r="E244" i="1" s="1"/>
  <c r="A245" i="1"/>
  <c r="E245" i="1" s="1"/>
  <c r="A246" i="1"/>
  <c r="E246" i="1" s="1"/>
  <c r="A247" i="1"/>
  <c r="E247" i="1" s="1"/>
  <c r="A248" i="1"/>
  <c r="E248" i="1" s="1"/>
  <c r="A249" i="1"/>
  <c r="E249" i="1" s="1"/>
  <c r="A250" i="1"/>
  <c r="E250" i="1" s="1"/>
  <c r="A251" i="1"/>
  <c r="E251" i="1" s="1"/>
  <c r="A252" i="1"/>
  <c r="E252" i="1" s="1"/>
  <c r="A253" i="1"/>
  <c r="E253" i="1" s="1"/>
  <c r="A254" i="1"/>
  <c r="E254" i="1" s="1"/>
  <c r="A255" i="1"/>
  <c r="E255" i="1" s="1"/>
  <c r="A256" i="1"/>
  <c r="E256" i="1" s="1"/>
  <c r="A257" i="1"/>
  <c r="E257" i="1" s="1"/>
  <c r="A258" i="1"/>
  <c r="A259" i="1"/>
  <c r="E259" i="1" s="1"/>
  <c r="A260" i="1"/>
  <c r="E260" i="1" s="1"/>
  <c r="A261" i="1"/>
  <c r="E261" i="1" s="1"/>
  <c r="A262" i="1"/>
  <c r="E262" i="1" s="1"/>
  <c r="A263" i="1"/>
  <c r="E263" i="1" s="1"/>
  <c r="A264" i="1"/>
  <c r="A265" i="1"/>
  <c r="A266" i="1"/>
  <c r="E266" i="1" s="1"/>
  <c r="A267" i="1"/>
  <c r="A268" i="1"/>
  <c r="E268" i="1" s="1"/>
  <c r="A269" i="1"/>
  <c r="E269" i="1" s="1"/>
  <c r="A270" i="1"/>
  <c r="E270" i="1" s="1"/>
  <c r="A271" i="1"/>
  <c r="E271" i="1" s="1"/>
  <c r="A272" i="1"/>
  <c r="E272" i="1" s="1"/>
  <c r="A273" i="1"/>
  <c r="E273" i="1" s="1"/>
  <c r="A274" i="1"/>
  <c r="E274" i="1" s="1"/>
  <c r="A275" i="1"/>
  <c r="E275" i="1" s="1"/>
  <c r="A276" i="1"/>
  <c r="E276" i="1" s="1"/>
  <c r="A277" i="1"/>
  <c r="E277" i="1" s="1"/>
  <c r="A278" i="1"/>
  <c r="E278" i="1" s="1"/>
  <c r="A279" i="1"/>
  <c r="E279" i="1" s="1"/>
  <c r="A280" i="1"/>
  <c r="E280" i="1" s="1"/>
  <c r="A281" i="1"/>
  <c r="E281" i="1" s="1"/>
  <c r="A282" i="1"/>
  <c r="A283" i="1"/>
  <c r="E283" i="1" s="1"/>
  <c r="A284" i="1"/>
  <c r="E284" i="1" s="1"/>
  <c r="A285" i="1"/>
  <c r="E285" i="1" s="1"/>
  <c r="A286" i="1"/>
  <c r="A287" i="1"/>
  <c r="E287" i="1" s="1"/>
  <c r="A288" i="1"/>
  <c r="E288" i="1" s="1"/>
  <c r="A289" i="1"/>
  <c r="E289" i="1" s="1"/>
  <c r="A290" i="1"/>
  <c r="E290" i="1" s="1"/>
  <c r="A291" i="1"/>
  <c r="E291" i="1" s="1"/>
  <c r="A292" i="1"/>
  <c r="E292" i="1" s="1"/>
  <c r="A293" i="1"/>
  <c r="E293" i="1" s="1"/>
  <c r="A294" i="1"/>
  <c r="E294" i="1" s="1"/>
  <c r="A295" i="1"/>
  <c r="E295" i="1" s="1"/>
  <c r="A296" i="1"/>
  <c r="E296" i="1" s="1"/>
  <c r="A297" i="1"/>
  <c r="E297" i="1" s="1"/>
  <c r="A298" i="1"/>
  <c r="E298" i="1" s="1"/>
  <c r="A299" i="1"/>
  <c r="E299" i="1" s="1"/>
  <c r="A300" i="1"/>
  <c r="E300" i="1" s="1"/>
  <c r="A301" i="1"/>
  <c r="E301" i="1" s="1"/>
  <c r="A302" i="1"/>
  <c r="E302" i="1" s="1"/>
  <c r="A303" i="1"/>
  <c r="E303" i="1" s="1"/>
  <c r="A304" i="1"/>
  <c r="E304" i="1" s="1"/>
  <c r="A305" i="1"/>
  <c r="E305" i="1" s="1"/>
  <c r="A306" i="1"/>
  <c r="E306" i="1" s="1"/>
  <c r="A307" i="1"/>
  <c r="E307" i="1" s="1"/>
  <c r="A308" i="1"/>
  <c r="E308" i="1" s="1"/>
  <c r="A309" i="1"/>
  <c r="E309" i="1" s="1"/>
  <c r="A310" i="1"/>
  <c r="E310" i="1" s="1"/>
  <c r="A311" i="1"/>
  <c r="E311" i="1" s="1"/>
  <c r="A312" i="1"/>
  <c r="E312" i="1" s="1"/>
  <c r="A313" i="1"/>
  <c r="E313" i="1" s="1"/>
  <c r="A314" i="1"/>
  <c r="E314" i="1" s="1"/>
  <c r="A315" i="1"/>
  <c r="E315" i="1" s="1"/>
  <c r="A316" i="1"/>
  <c r="E316" i="1" s="1"/>
  <c r="A317" i="1"/>
  <c r="E317" i="1" s="1"/>
  <c r="A318" i="1"/>
  <c r="E318" i="1" s="1"/>
  <c r="A319" i="1"/>
  <c r="E319" i="1" s="1"/>
  <c r="A320" i="1"/>
  <c r="E320" i="1" s="1"/>
  <c r="A321" i="1"/>
  <c r="E321" i="1" s="1"/>
  <c r="A322" i="1"/>
  <c r="E322" i="1" s="1"/>
  <c r="A323" i="1"/>
  <c r="E323" i="1" s="1"/>
  <c r="A324" i="1"/>
  <c r="E324" i="1" s="1"/>
  <c r="A325" i="1"/>
  <c r="E325" i="1" s="1"/>
  <c r="A326" i="1"/>
  <c r="E326" i="1" s="1"/>
  <c r="A327" i="1"/>
  <c r="A328" i="1"/>
  <c r="E328" i="1" s="1"/>
  <c r="A329" i="1"/>
  <c r="E329" i="1" s="1"/>
  <c r="A330" i="1"/>
  <c r="E330" i="1" s="1"/>
  <c r="A6" i="1"/>
  <c r="E6" i="1" s="1"/>
  <c r="G4" i="1"/>
  <c r="F4" i="1"/>
  <c r="D4" i="1"/>
  <c r="C4" i="1"/>
  <c r="C271" i="1" s="1"/>
  <c r="C317" i="2"/>
  <c r="C173" i="2"/>
  <c r="G161" i="2"/>
  <c r="C149" i="2"/>
  <c r="G145" i="2"/>
  <c r="C137" i="2"/>
  <c r="C133" i="2"/>
  <c r="C101" i="2"/>
  <c r="G85" i="2"/>
  <c r="C69" i="2"/>
  <c r="G65" i="2"/>
  <c r="C53" i="2"/>
  <c r="G49" i="2"/>
  <c r="G41" i="2"/>
  <c r="G13" i="2"/>
  <c r="C13" i="2"/>
  <c r="G143" i="2"/>
  <c r="G107" i="2"/>
  <c r="E107" i="2"/>
  <c r="G43" i="2"/>
  <c r="E27" i="2"/>
  <c r="G23" i="2"/>
  <c r="G19" i="2"/>
  <c r="C179" i="2"/>
  <c r="C67" i="2"/>
  <c r="C35" i="2"/>
  <c r="C19" i="2"/>
  <c r="C23" i="2"/>
  <c r="C7" i="2"/>
  <c r="C139" i="2"/>
  <c r="C91" i="2"/>
  <c r="C43" i="2"/>
  <c r="C95" i="2"/>
  <c r="C79" i="2"/>
  <c r="C47" i="2"/>
  <c r="B15" i="1"/>
  <c r="B22" i="1"/>
  <c r="B312" i="1" l="1"/>
  <c r="B300" i="2"/>
  <c r="B43" i="1"/>
  <c r="G37" i="2"/>
  <c r="F163" i="2"/>
  <c r="E141" i="2"/>
  <c r="G71" i="2"/>
  <c r="G229" i="2"/>
  <c r="D282" i="1"/>
  <c r="E282" i="1"/>
  <c r="D258" i="1"/>
  <c r="E258" i="1"/>
  <c r="B154" i="1"/>
  <c r="E154" i="1"/>
  <c r="B90" i="1"/>
  <c r="E90" i="1"/>
  <c r="G328" i="2"/>
  <c r="G280" i="2"/>
  <c r="G232" i="2"/>
  <c r="T232" i="3" s="1"/>
  <c r="G232" i="3" s="1"/>
  <c r="G224" i="2"/>
  <c r="C208" i="2"/>
  <c r="P208" i="3" s="1"/>
  <c r="C208" i="3" s="1"/>
  <c r="G200" i="2"/>
  <c r="T200" i="3" s="1"/>
  <c r="G200" i="3" s="1"/>
  <c r="G184" i="2"/>
  <c r="G160" i="2"/>
  <c r="B144" i="2"/>
  <c r="G136" i="2"/>
  <c r="C104" i="2"/>
  <c r="P104" i="3" s="1"/>
  <c r="C104" i="3" s="1"/>
  <c r="G88" i="2"/>
  <c r="B48" i="2"/>
  <c r="C40" i="2"/>
  <c r="P40" i="3" s="1"/>
  <c r="C40" i="3" s="1"/>
  <c r="C32" i="2"/>
  <c r="C16" i="2"/>
  <c r="C8" i="2"/>
  <c r="B267" i="1"/>
  <c r="E267" i="1"/>
  <c r="B27" i="1"/>
  <c r="E27" i="1"/>
  <c r="B19" i="1"/>
  <c r="E19" i="1"/>
  <c r="G25" i="2"/>
  <c r="B232" i="1"/>
  <c r="G79" i="2"/>
  <c r="B265" i="1"/>
  <c r="E265" i="1"/>
  <c r="B201" i="1"/>
  <c r="E201" i="1"/>
  <c r="B65" i="1"/>
  <c r="E65" i="1"/>
  <c r="B41" i="1"/>
  <c r="E41" i="1"/>
  <c r="B17" i="1"/>
  <c r="E17" i="1"/>
  <c r="B9" i="1"/>
  <c r="E9" i="1"/>
  <c r="C319" i="2"/>
  <c r="C311" i="2"/>
  <c r="G215" i="2"/>
  <c r="G175" i="2"/>
  <c r="G167" i="2"/>
  <c r="T167" i="3" s="1"/>
  <c r="G167" i="3" s="1"/>
  <c r="C151" i="2"/>
  <c r="C143" i="2"/>
  <c r="P143" i="3" s="1"/>
  <c r="C143" i="3" s="1"/>
  <c r="C127" i="2"/>
  <c r="P127" i="3" s="1"/>
  <c r="C127" i="3" s="1"/>
  <c r="G119" i="2"/>
  <c r="C103" i="2"/>
  <c r="G95" i="2"/>
  <c r="C71" i="2"/>
  <c r="C55" i="2"/>
  <c r="P55" i="3" s="1"/>
  <c r="C55" i="3" s="1"/>
  <c r="G47" i="2"/>
  <c r="F31" i="2"/>
  <c r="S31" i="3" s="1"/>
  <c r="F31" i="3" s="1"/>
  <c r="F7" i="2"/>
  <c r="S7" i="3" s="1"/>
  <c r="F7" i="3" s="1"/>
  <c r="B200" i="1"/>
  <c r="E200" i="1"/>
  <c r="B331" i="5"/>
  <c r="B307" i="5"/>
  <c r="B283" i="5"/>
  <c r="B259" i="5"/>
  <c r="B235" i="5"/>
  <c r="B211" i="5"/>
  <c r="B187" i="5"/>
  <c r="B139" i="5"/>
  <c r="B264" i="1"/>
  <c r="E264" i="1"/>
  <c r="G253" i="2"/>
  <c r="T253" i="3" s="1"/>
  <c r="G253" i="3" s="1"/>
  <c r="G221" i="2"/>
  <c r="G133" i="2"/>
  <c r="T133" i="3" s="1"/>
  <c r="G133" i="3" s="1"/>
  <c r="G125" i="2"/>
  <c r="T125" i="3" s="1"/>
  <c r="G125" i="3" s="1"/>
  <c r="C25" i="2"/>
  <c r="B327" i="1"/>
  <c r="E327" i="1"/>
  <c r="B199" i="1"/>
  <c r="E199" i="1"/>
  <c r="B127" i="1"/>
  <c r="E127" i="1"/>
  <c r="B271" i="1"/>
  <c r="B286" i="1"/>
  <c r="E286" i="1"/>
  <c r="B222" i="1"/>
  <c r="E222" i="1"/>
  <c r="B174" i="1"/>
  <c r="E174" i="1"/>
  <c r="B102" i="1"/>
  <c r="E102" i="1"/>
  <c r="B78" i="1"/>
  <c r="E78" i="1"/>
  <c r="B54" i="1"/>
  <c r="E54" i="1"/>
  <c r="B46" i="1"/>
  <c r="E46" i="1"/>
  <c r="B30" i="1"/>
  <c r="E30" i="1"/>
  <c r="G316" i="2"/>
  <c r="G268" i="2"/>
  <c r="G260" i="2"/>
  <c r="G196" i="2"/>
  <c r="G124" i="2"/>
  <c r="T124" i="3" s="1"/>
  <c r="G124" i="3" s="1"/>
  <c r="G28" i="2"/>
  <c r="B237" i="1"/>
  <c r="E237" i="1"/>
  <c r="G283" i="2"/>
  <c r="G235" i="2"/>
  <c r="G211" i="2"/>
  <c r="G163" i="2"/>
  <c r="G139" i="2"/>
  <c r="T139" i="3" s="1"/>
  <c r="G139" i="3" s="1"/>
  <c r="F95" i="2"/>
  <c r="C167" i="2"/>
  <c r="P167" i="3" s="1"/>
  <c r="C167" i="3" s="1"/>
  <c r="G151" i="2"/>
  <c r="T151" i="3" s="1"/>
  <c r="G151" i="3" s="1"/>
  <c r="G319" i="2"/>
  <c r="F212" i="2"/>
  <c r="F140" i="2"/>
  <c r="S140" i="3" s="1"/>
  <c r="F140" i="3" s="1"/>
  <c r="C175" i="2"/>
  <c r="G7" i="2"/>
  <c r="T7" i="3" s="1"/>
  <c r="G7" i="3" s="1"/>
  <c r="F55" i="2"/>
  <c r="G311" i="2"/>
  <c r="C221" i="2"/>
  <c r="P221" i="3" s="1"/>
  <c r="C221" i="3" s="1"/>
  <c r="C31" i="2"/>
  <c r="F71" i="2"/>
  <c r="G127" i="2"/>
  <c r="T127" i="3" s="1"/>
  <c r="G127" i="3" s="1"/>
  <c r="B60" i="1"/>
  <c r="C330" i="2"/>
  <c r="C145" i="2"/>
  <c r="B193" i="2"/>
  <c r="D248" i="1"/>
  <c r="B192" i="1"/>
  <c r="B168" i="1"/>
  <c r="B144" i="1"/>
  <c r="B120" i="1"/>
  <c r="B96" i="1"/>
  <c r="B48" i="1"/>
  <c r="B24" i="1"/>
  <c r="C193" i="2"/>
  <c r="P193" i="3" s="1"/>
  <c r="C193" i="3" s="1"/>
  <c r="C244" i="2"/>
  <c r="C220" i="2"/>
  <c r="C44" i="2"/>
  <c r="P44" i="3" s="1"/>
  <c r="C44" i="3" s="1"/>
  <c r="C20" i="2"/>
  <c r="D71" i="2"/>
  <c r="Q71" i="3" s="1"/>
  <c r="D71" i="3" s="1"/>
  <c r="D183" i="1"/>
  <c r="C119" i="2"/>
  <c r="P119" i="3" s="1"/>
  <c r="C119" i="3" s="1"/>
  <c r="B37" i="1"/>
  <c r="C171" i="2"/>
  <c r="C147" i="2"/>
  <c r="C131" i="2"/>
  <c r="P131" i="3" s="1"/>
  <c r="C131" i="3" s="1"/>
  <c r="B115" i="2"/>
  <c r="G91" i="2"/>
  <c r="T91" i="3" s="1"/>
  <c r="G91" i="3" s="1"/>
  <c r="C83" i="2"/>
  <c r="G67" i="2"/>
  <c r="T67" i="3" s="1"/>
  <c r="G67" i="3" s="1"/>
  <c r="C97" i="1"/>
  <c r="D301" i="1"/>
  <c r="D253" i="1"/>
  <c r="D203" i="1"/>
  <c r="D33" i="1"/>
  <c r="B87" i="1"/>
  <c r="D205" i="1"/>
  <c r="D189" i="1"/>
  <c r="B253" i="1"/>
  <c r="C63" i="1"/>
  <c r="D319" i="1"/>
  <c r="D82" i="1"/>
  <c r="C66" i="1"/>
  <c r="F127" i="2"/>
  <c r="S127" i="3" s="1"/>
  <c r="F127" i="3" s="1"/>
  <c r="C96" i="1"/>
  <c r="C312" i="1"/>
  <c r="C150" i="1"/>
  <c r="C229" i="1"/>
  <c r="D181" i="1"/>
  <c r="D157" i="1"/>
  <c r="D133" i="1"/>
  <c r="D85" i="1"/>
  <c r="D61" i="1"/>
  <c r="D45" i="1"/>
  <c r="D21" i="1"/>
  <c r="F67" i="2"/>
  <c r="F103" i="2"/>
  <c r="S103" i="3" s="1"/>
  <c r="F103" i="3" s="1"/>
  <c r="F319" i="2"/>
  <c r="S319" i="3" s="1"/>
  <c r="F319" i="3" s="1"/>
  <c r="F179" i="2"/>
  <c r="F155" i="2"/>
  <c r="S155" i="3" s="1"/>
  <c r="F155" i="3" s="1"/>
  <c r="F107" i="2"/>
  <c r="F59" i="2"/>
  <c r="S59" i="3" s="1"/>
  <c r="F59" i="3" s="1"/>
  <c r="C321" i="1"/>
  <c r="D313" i="1"/>
  <c r="C297" i="1"/>
  <c r="D289" i="1"/>
  <c r="D273" i="1"/>
  <c r="C233" i="1"/>
  <c r="D217" i="1"/>
  <c r="C153" i="1"/>
  <c r="D145" i="1"/>
  <c r="D129" i="1"/>
  <c r="D121" i="1"/>
  <c r="D97" i="1"/>
  <c r="C81" i="1"/>
  <c r="C73" i="1"/>
  <c r="D49" i="1"/>
  <c r="C25" i="1"/>
  <c r="F64" i="2"/>
  <c r="S64" i="3" s="1"/>
  <c r="F64" i="3" s="1"/>
  <c r="F56" i="2"/>
  <c r="F19" i="2"/>
  <c r="S19" i="3" s="1"/>
  <c r="F19" i="3" s="1"/>
  <c r="F79" i="2"/>
  <c r="G179" i="2"/>
  <c r="F39" i="2"/>
  <c r="S39" i="3" s="1"/>
  <c r="F39" i="3" s="1"/>
  <c r="D229" i="1"/>
  <c r="F15" i="2"/>
  <c r="S15" i="3" s="1"/>
  <c r="F15" i="3" s="1"/>
  <c r="F43" i="2"/>
  <c r="S43" i="3" s="1"/>
  <c r="F43" i="3" s="1"/>
  <c r="F119" i="2"/>
  <c r="C80" i="1"/>
  <c r="D192" i="1"/>
  <c r="C313" i="1"/>
  <c r="F47" i="2"/>
  <c r="S47" i="3" s="1"/>
  <c r="F47" i="3" s="1"/>
  <c r="F83" i="2"/>
  <c r="C88" i="2"/>
  <c r="P88" i="3" s="1"/>
  <c r="C88" i="3" s="1"/>
  <c r="G277" i="2"/>
  <c r="T277" i="3" s="1"/>
  <c r="G277" i="3" s="1"/>
  <c r="D270" i="1"/>
  <c r="C241" i="1"/>
  <c r="C207" i="1"/>
  <c r="C7" i="1"/>
  <c r="C247" i="1"/>
  <c r="C244" i="1"/>
  <c r="C212" i="1"/>
  <c r="C84" i="1"/>
  <c r="C68" i="1"/>
  <c r="B115" i="5"/>
  <c r="B91" i="5"/>
  <c r="C193" i="1"/>
  <c r="C69" i="1"/>
  <c r="C231" i="1"/>
  <c r="C300" i="1"/>
  <c r="D276" i="1"/>
  <c r="C204" i="1"/>
  <c r="C100" i="1"/>
  <c r="C49" i="1"/>
  <c r="C165" i="1"/>
  <c r="C330" i="1"/>
  <c r="G208" i="2"/>
  <c r="B323" i="1"/>
  <c r="D291" i="1"/>
  <c r="C275" i="1"/>
  <c r="D259" i="1"/>
  <c r="C235" i="1"/>
  <c r="D147" i="1"/>
  <c r="C123" i="1"/>
  <c r="B99" i="1"/>
  <c r="D75" i="1"/>
  <c r="B51" i="1"/>
  <c r="G35" i="2"/>
  <c r="E93" i="2"/>
  <c r="R93" i="3" s="1"/>
  <c r="E93" i="3" s="1"/>
  <c r="C201" i="1"/>
  <c r="C121" i="1"/>
  <c r="C145" i="1"/>
  <c r="D73" i="1"/>
  <c r="C27" i="1"/>
  <c r="C324" i="1"/>
  <c r="C268" i="1"/>
  <c r="D172" i="1"/>
  <c r="C148" i="1"/>
  <c r="D124" i="1"/>
  <c r="D76" i="1"/>
  <c r="C52" i="1"/>
  <c r="C44" i="1"/>
  <c r="C36" i="1"/>
  <c r="D28" i="1"/>
  <c r="D12" i="1"/>
  <c r="B13" i="1"/>
  <c r="C24" i="1"/>
  <c r="C289" i="1"/>
  <c r="C114" i="1"/>
  <c r="C67" i="1"/>
  <c r="B42" i="1"/>
  <c r="B31" i="1"/>
  <c r="D231" i="1"/>
  <c r="B307" i="1"/>
  <c r="B299" i="1"/>
  <c r="C283" i="1"/>
  <c r="C267" i="1"/>
  <c r="C251" i="1"/>
  <c r="B243" i="1"/>
  <c r="B195" i="1"/>
  <c r="D139" i="1"/>
  <c r="D67" i="1"/>
  <c r="B59" i="1"/>
  <c r="B114" i="1"/>
  <c r="D324" i="1"/>
  <c r="D195" i="1"/>
  <c r="C138" i="1"/>
  <c r="C111" i="1"/>
  <c r="B39" i="1"/>
  <c r="B279" i="1"/>
  <c r="G16" i="2"/>
  <c r="C280" i="2"/>
  <c r="P280" i="3" s="1"/>
  <c r="C280" i="3" s="1"/>
  <c r="B306" i="1"/>
  <c r="B250" i="1"/>
  <c r="B282" i="2"/>
  <c r="B274" i="2"/>
  <c r="B258" i="2"/>
  <c r="G226" i="2"/>
  <c r="T226" i="3" s="1"/>
  <c r="G226" i="3" s="1"/>
  <c r="B210" i="2"/>
  <c r="G154" i="2"/>
  <c r="T154" i="3" s="1"/>
  <c r="G154" i="3" s="1"/>
  <c r="C130" i="2"/>
  <c r="B114" i="2"/>
  <c r="B90" i="2"/>
  <c r="C105" i="1"/>
  <c r="C210" i="1"/>
  <c r="C183" i="1"/>
  <c r="C21" i="1"/>
  <c r="C87" i="1"/>
  <c r="B58" i="1"/>
  <c r="D210" i="1"/>
  <c r="B7" i="1"/>
  <c r="B151" i="1"/>
  <c r="B247" i="1"/>
  <c r="C115" i="2"/>
  <c r="P115" i="3" s="1"/>
  <c r="C115" i="3" s="1"/>
  <c r="G131" i="2"/>
  <c r="B88" i="2"/>
  <c r="G185" i="2"/>
  <c r="C57" i="1"/>
  <c r="C151" i="1"/>
  <c r="C325" i="1"/>
  <c r="C285" i="1"/>
  <c r="C168" i="1"/>
  <c r="C174" i="1"/>
  <c r="D99" i="1"/>
  <c r="C243" i="1"/>
  <c r="C79" i="1"/>
  <c r="C107" i="2"/>
  <c r="P107" i="3" s="1"/>
  <c r="C107" i="3" s="1"/>
  <c r="C163" i="2"/>
  <c r="F131" i="2"/>
  <c r="S131" i="3" s="1"/>
  <c r="F131" i="3" s="1"/>
  <c r="D330" i="1"/>
  <c r="B210" i="1"/>
  <c r="B194" i="1"/>
  <c r="B186" i="1"/>
  <c r="B66" i="1"/>
  <c r="G301" i="2"/>
  <c r="C177" i="1"/>
  <c r="C137" i="1"/>
  <c r="D52" i="1"/>
  <c r="C273" i="1"/>
  <c r="C155" i="2"/>
  <c r="P155" i="3" s="1"/>
  <c r="C155" i="3" s="1"/>
  <c r="F91" i="2"/>
  <c r="F115" i="2"/>
  <c r="S115" i="3" s="1"/>
  <c r="F115" i="3" s="1"/>
  <c r="F139" i="2"/>
  <c r="S139" i="3" s="1"/>
  <c r="F139" i="3" s="1"/>
  <c r="C235" i="2"/>
  <c r="C288" i="1"/>
  <c r="C225" i="1"/>
  <c r="C169" i="1"/>
  <c r="C161" i="1"/>
  <c r="C56" i="1"/>
  <c r="C216" i="1"/>
  <c r="C141" i="1"/>
  <c r="C306" i="1"/>
  <c r="C127" i="1"/>
  <c r="C30" i="1"/>
  <c r="C15" i="1"/>
  <c r="C199" i="1"/>
  <c r="D91" i="2"/>
  <c r="G115" i="2"/>
  <c r="T115" i="3" s="1"/>
  <c r="G115" i="3" s="1"/>
  <c r="C209" i="2"/>
  <c r="P209" i="3" s="1"/>
  <c r="C209" i="3" s="1"/>
  <c r="G289" i="2"/>
  <c r="G305" i="2"/>
  <c r="T305" i="3" s="1"/>
  <c r="G305" i="3" s="1"/>
  <c r="F38" i="2"/>
  <c r="S38" i="3" s="1"/>
  <c r="F38" i="3" s="1"/>
  <c r="C203" i="1"/>
  <c r="C187" i="1"/>
  <c r="C147" i="1"/>
  <c r="C131" i="1"/>
  <c r="C115" i="1"/>
  <c r="B115" i="1"/>
  <c r="C107" i="1"/>
  <c r="C91" i="1"/>
  <c r="D91" i="1"/>
  <c r="C43" i="1"/>
  <c r="C19" i="1"/>
  <c r="C11" i="1"/>
  <c r="D11" i="1"/>
  <c r="C156" i="1"/>
  <c r="B156" i="1"/>
  <c r="D84" i="1"/>
  <c r="D204" i="1"/>
  <c r="C125" i="1"/>
  <c r="C205" i="1"/>
  <c r="C195" i="1"/>
  <c r="C186" i="1"/>
  <c r="C51" i="1"/>
  <c r="B147" i="1"/>
  <c r="C255" i="1"/>
  <c r="C54" i="1"/>
  <c r="C279" i="1"/>
  <c r="D103" i="2"/>
  <c r="G241" i="2"/>
  <c r="C322" i="1"/>
  <c r="C314" i="1"/>
  <c r="C290" i="1"/>
  <c r="C234" i="1"/>
  <c r="C226" i="1"/>
  <c r="C178" i="1"/>
  <c r="C162" i="1"/>
  <c r="C154" i="1"/>
  <c r="D138" i="1"/>
  <c r="B138" i="1"/>
  <c r="C98" i="1"/>
  <c r="C90" i="1"/>
  <c r="C74" i="1"/>
  <c r="C58" i="1"/>
  <c r="C50" i="1"/>
  <c r="C42" i="1"/>
  <c r="C34" i="1"/>
  <c r="C10" i="1"/>
  <c r="D17" i="2"/>
  <c r="Q17" i="3" s="1"/>
  <c r="D17" i="3" s="1"/>
  <c r="A46" i="10"/>
  <c r="B26" i="12" s="1"/>
  <c r="B27" i="12" s="1"/>
  <c r="A45" i="10"/>
  <c r="B25" i="12" s="1"/>
  <c r="A44" i="10"/>
  <c r="B24" i="12" s="1"/>
  <c r="A43" i="10"/>
  <c r="B23" i="12" s="1"/>
  <c r="A42" i="10"/>
  <c r="B22" i="12" s="1"/>
  <c r="A41" i="10"/>
  <c r="B21" i="12" s="1"/>
  <c r="A40" i="10"/>
  <c r="B20" i="12" s="1"/>
  <c r="A39" i="10"/>
  <c r="B19" i="12" s="1"/>
  <c r="A38" i="10"/>
  <c r="B18" i="12" s="1"/>
  <c r="A37" i="10"/>
  <c r="B17" i="12" s="1"/>
  <c r="B84" i="1"/>
  <c r="C265" i="1"/>
  <c r="C249" i="1"/>
  <c r="C329" i="2"/>
  <c r="P329" i="3" s="1"/>
  <c r="C329" i="3" s="1"/>
  <c r="G329" i="2"/>
  <c r="C256" i="1"/>
  <c r="C72" i="1"/>
  <c r="B72" i="1"/>
  <c r="C64" i="1"/>
  <c r="C103" i="1"/>
  <c r="C223" i="1"/>
  <c r="C31" i="1"/>
  <c r="C309" i="1"/>
  <c r="C189" i="1"/>
  <c r="C157" i="1"/>
  <c r="C61" i="1"/>
  <c r="C327" i="1"/>
  <c r="C191" i="1"/>
  <c r="C135" i="1"/>
  <c r="C213" i="1"/>
  <c r="C181" i="1"/>
  <c r="C37" i="1"/>
  <c r="C129" i="1"/>
  <c r="B33" i="1"/>
  <c r="C33" i="1"/>
  <c r="C9" i="1"/>
  <c r="C45" i="1"/>
  <c r="C101" i="1"/>
  <c r="D36" i="1"/>
  <c r="C217" i="1"/>
  <c r="C303" i="1"/>
  <c r="C75" i="1"/>
  <c r="C159" i="1"/>
  <c r="C39" i="1"/>
  <c r="C175" i="1"/>
  <c r="C6" i="1"/>
  <c r="C313" i="2"/>
  <c r="D87" i="1"/>
  <c r="D317" i="1"/>
  <c r="D237" i="1"/>
  <c r="D287" i="1"/>
  <c r="C328" i="1"/>
  <c r="C320" i="1"/>
  <c r="D312" i="1"/>
  <c r="C296" i="1"/>
  <c r="C280" i="1"/>
  <c r="C264" i="1"/>
  <c r="C248" i="1"/>
  <c r="C240" i="1"/>
  <c r="C232" i="1"/>
  <c r="B216" i="1"/>
  <c r="D216" i="1"/>
  <c r="C160" i="1"/>
  <c r="D144" i="1"/>
  <c r="C136" i="1"/>
  <c r="C120" i="1"/>
  <c r="C112" i="1"/>
  <c r="C93" i="1"/>
  <c r="C117" i="1"/>
  <c r="D48" i="1"/>
  <c r="D120" i="1"/>
  <c r="C277" i="1"/>
  <c r="C190" i="1"/>
  <c r="C319" i="1"/>
  <c r="C102" i="1"/>
  <c r="C222" i="1"/>
  <c r="C99" i="1"/>
  <c r="D159" i="1"/>
  <c r="C295" i="1"/>
  <c r="C55" i="1"/>
  <c r="B187" i="1"/>
  <c r="C169" i="2"/>
  <c r="C217" i="2"/>
  <c r="P217" i="3" s="1"/>
  <c r="C217" i="3" s="1"/>
  <c r="C265" i="2"/>
  <c r="C270" i="1"/>
  <c r="D246" i="1"/>
  <c r="C182" i="1"/>
  <c r="D175" i="2"/>
  <c r="Q175" i="3" s="1"/>
  <c r="D175" i="3" s="1"/>
  <c r="D196" i="2"/>
  <c r="Q196" i="3" s="1"/>
  <c r="D196" i="3" s="1"/>
  <c r="E329" i="2"/>
  <c r="B107" i="2"/>
  <c r="G40" i="2"/>
  <c r="B61" i="1"/>
  <c r="B301" i="1"/>
  <c r="B270" i="1"/>
  <c r="B6" i="1"/>
  <c r="C78" i="1"/>
  <c r="G11" i="2"/>
  <c r="T11" i="3" s="1"/>
  <c r="G11" i="3" s="1"/>
  <c r="G31" i="2"/>
  <c r="T31" i="3" s="1"/>
  <c r="G31" i="3" s="1"/>
  <c r="G55" i="2"/>
  <c r="G103" i="2"/>
  <c r="T103" i="3" s="1"/>
  <c r="G103" i="3" s="1"/>
  <c r="G155" i="2"/>
  <c r="T155" i="3" s="1"/>
  <c r="G155" i="3" s="1"/>
  <c r="D40" i="2"/>
  <c r="G61" i="2"/>
  <c r="T61" i="3" s="1"/>
  <c r="G61" i="3" s="1"/>
  <c r="G197" i="2"/>
  <c r="T197" i="3" s="1"/>
  <c r="G197" i="3" s="1"/>
  <c r="G207" i="2"/>
  <c r="G191" i="2"/>
  <c r="T191" i="3" s="1"/>
  <c r="G191" i="3" s="1"/>
  <c r="G63" i="2"/>
  <c r="T63" i="3" s="1"/>
  <c r="G63" i="3" s="1"/>
  <c r="G246" i="2"/>
  <c r="T246" i="3" s="1"/>
  <c r="G246" i="3" s="1"/>
  <c r="G102" i="2"/>
  <c r="T102" i="3" s="1"/>
  <c r="G102" i="3" s="1"/>
  <c r="C310" i="1"/>
  <c r="C246" i="1"/>
  <c r="C214" i="1"/>
  <c r="C198" i="1"/>
  <c r="C142" i="1"/>
  <c r="C126" i="1"/>
  <c r="C94" i="1"/>
  <c r="C70" i="1"/>
  <c r="C62" i="1"/>
  <c r="C38" i="1"/>
  <c r="B129" i="1"/>
  <c r="G166" i="2"/>
  <c r="T166" i="3" s="1"/>
  <c r="G166" i="3" s="1"/>
  <c r="B319" i="1"/>
  <c r="G59" i="2"/>
  <c r="G83" i="2"/>
  <c r="T83" i="3" s="1"/>
  <c r="G83" i="3" s="1"/>
  <c r="G109" i="2"/>
  <c r="T109" i="3" s="1"/>
  <c r="G109" i="3" s="1"/>
  <c r="G173" i="2"/>
  <c r="C301" i="1"/>
  <c r="C261" i="1"/>
  <c r="C253" i="1"/>
  <c r="C237" i="1"/>
  <c r="C221" i="1"/>
  <c r="C197" i="1"/>
  <c r="C173" i="1"/>
  <c r="C149" i="1"/>
  <c r="C133" i="1"/>
  <c r="D109" i="1"/>
  <c r="D93" i="1"/>
  <c r="C85" i="1"/>
  <c r="C77" i="1"/>
  <c r="C53" i="1"/>
  <c r="B21" i="1"/>
  <c r="C13" i="1"/>
  <c r="G325" i="2"/>
  <c r="T325" i="3" s="1"/>
  <c r="G325" i="3" s="1"/>
  <c r="G285" i="2"/>
  <c r="T285" i="3" s="1"/>
  <c r="G285" i="3" s="1"/>
  <c r="G269" i="2"/>
  <c r="G237" i="2"/>
  <c r="T237" i="3" s="1"/>
  <c r="G237" i="3" s="1"/>
  <c r="G205" i="2"/>
  <c r="G181" i="2"/>
  <c r="T181" i="3" s="1"/>
  <c r="G181" i="3" s="1"/>
  <c r="G157" i="2"/>
  <c r="T157" i="3" s="1"/>
  <c r="G157" i="3" s="1"/>
  <c r="G141" i="2"/>
  <c r="C59" i="2"/>
  <c r="F35" i="2"/>
  <c r="S35" i="3" s="1"/>
  <c r="F35" i="3" s="1"/>
  <c r="F11" i="2"/>
  <c r="C308" i="1"/>
  <c r="D308" i="1"/>
  <c r="C211" i="1"/>
  <c r="B211" i="1"/>
  <c r="D171" i="1"/>
  <c r="B171" i="1"/>
  <c r="C163" i="1"/>
  <c r="B163" i="1"/>
  <c r="D275" i="2"/>
  <c r="Q275" i="3" s="1"/>
  <c r="D275" i="3" s="1"/>
  <c r="D67" i="2"/>
  <c r="D19" i="2"/>
  <c r="Q19" i="3" s="1"/>
  <c r="D19" i="3" s="1"/>
  <c r="B252" i="1"/>
  <c r="C252" i="1"/>
  <c r="C180" i="1"/>
  <c r="B180" i="1"/>
  <c r="C132" i="1"/>
  <c r="B132" i="1"/>
  <c r="C108" i="1"/>
  <c r="B108" i="1"/>
  <c r="G292" i="2"/>
  <c r="T292" i="3" s="1"/>
  <c r="G292" i="3" s="1"/>
  <c r="C292" i="2"/>
  <c r="G68" i="2"/>
  <c r="F68" i="2"/>
  <c r="S68" i="3" s="1"/>
  <c r="F68" i="3" s="1"/>
  <c r="D137" i="2"/>
  <c r="D311" i="2"/>
  <c r="Q311" i="3" s="1"/>
  <c r="D311" i="3" s="1"/>
  <c r="D79" i="2"/>
  <c r="D23" i="2"/>
  <c r="Q23" i="3" s="1"/>
  <c r="D23" i="3" s="1"/>
  <c r="D29" i="2"/>
  <c r="Q29" i="3" s="1"/>
  <c r="D29" i="3" s="1"/>
  <c r="D31" i="2"/>
  <c r="D167" i="2"/>
  <c r="Q167" i="3" s="1"/>
  <c r="D167" i="3" s="1"/>
  <c r="D293" i="2"/>
  <c r="Q293" i="3" s="1"/>
  <c r="D293" i="3" s="1"/>
  <c r="D11" i="2"/>
  <c r="Q11" i="3" s="1"/>
  <c r="D11" i="3" s="1"/>
  <c r="D43" i="2"/>
  <c r="Q43" i="3" s="1"/>
  <c r="D43" i="3" s="1"/>
  <c r="D7" i="2"/>
  <c r="Q7" i="3" s="1"/>
  <c r="D7" i="3" s="1"/>
  <c r="D179" i="2"/>
  <c r="Q179" i="3" s="1"/>
  <c r="D179" i="3" s="1"/>
  <c r="D151" i="2"/>
  <c r="Q151" i="3" s="1"/>
  <c r="D151" i="3" s="1"/>
  <c r="D156" i="1"/>
  <c r="C315" i="1"/>
  <c r="B315" i="1"/>
  <c r="C259" i="1"/>
  <c r="D131" i="1"/>
  <c r="D83" i="2"/>
  <c r="Q83" i="3" s="1"/>
  <c r="D83" i="3" s="1"/>
  <c r="D155" i="2"/>
  <c r="Q155" i="3" s="1"/>
  <c r="D155" i="3" s="1"/>
  <c r="G52" i="2"/>
  <c r="T52" i="3" s="1"/>
  <c r="G52" i="3" s="1"/>
  <c r="D124" i="2"/>
  <c r="D244" i="2"/>
  <c r="B68" i="1"/>
  <c r="D108" i="1"/>
  <c r="C276" i="1"/>
  <c r="C171" i="1"/>
  <c r="C139" i="1"/>
  <c r="D115" i="2"/>
  <c r="Q115" i="3" s="1"/>
  <c r="D115" i="3" s="1"/>
  <c r="D47" i="2"/>
  <c r="D64" i="2"/>
  <c r="Q64" i="3" s="1"/>
  <c r="D64" i="3" s="1"/>
  <c r="C124" i="2"/>
  <c r="P124" i="3" s="1"/>
  <c r="C124" i="3" s="1"/>
  <c r="D73" i="2"/>
  <c r="C228" i="1"/>
  <c r="D228" i="1"/>
  <c r="C12" i="1"/>
  <c r="B12" i="1"/>
  <c r="C291" i="1"/>
  <c r="D131" i="2"/>
  <c r="D95" i="2"/>
  <c r="Q95" i="3" s="1"/>
  <c r="D95" i="3" s="1"/>
  <c r="D283" i="2"/>
  <c r="D28" i="2"/>
  <c r="Q28" i="3" s="1"/>
  <c r="D28" i="3" s="1"/>
  <c r="D288" i="2"/>
  <c r="D160" i="2"/>
  <c r="Q160" i="3" s="1"/>
  <c r="D160" i="3" s="1"/>
  <c r="D172" i="2"/>
  <c r="Q172" i="3" s="1"/>
  <c r="D172" i="3" s="1"/>
  <c r="G172" i="2"/>
  <c r="G148" i="2"/>
  <c r="T148" i="3" s="1"/>
  <c r="G148" i="3" s="1"/>
  <c r="C148" i="2"/>
  <c r="P148" i="3" s="1"/>
  <c r="C148" i="3" s="1"/>
  <c r="D100" i="2"/>
  <c r="G100" i="2"/>
  <c r="T100" i="3" s="1"/>
  <c r="G100" i="3" s="1"/>
  <c r="C100" i="2"/>
  <c r="F76" i="2"/>
  <c r="S76" i="3" s="1"/>
  <c r="F76" i="3" s="1"/>
  <c r="D76" i="2"/>
  <c r="D119" i="2"/>
  <c r="D35" i="2"/>
  <c r="Q35" i="3" s="1"/>
  <c r="D35" i="3" s="1"/>
  <c r="D139" i="2"/>
  <c r="Q139" i="3" s="1"/>
  <c r="D139" i="3" s="1"/>
  <c r="D235" i="2"/>
  <c r="C52" i="2"/>
  <c r="P52" i="3" s="1"/>
  <c r="C52" i="3" s="1"/>
  <c r="C219" i="1"/>
  <c r="B219" i="1"/>
  <c r="C60" i="1"/>
  <c r="D100" i="1"/>
  <c r="D180" i="1"/>
  <c r="B36" i="1"/>
  <c r="B75" i="1"/>
  <c r="D163" i="1"/>
  <c r="C307" i="1"/>
  <c r="D163" i="2"/>
  <c r="Q163" i="3" s="1"/>
  <c r="D163" i="3" s="1"/>
  <c r="D127" i="2"/>
  <c r="Q127" i="3" s="1"/>
  <c r="D127" i="3" s="1"/>
  <c r="D49" i="2"/>
  <c r="D113" i="2"/>
  <c r="Q113" i="3" s="1"/>
  <c r="D113" i="3" s="1"/>
  <c r="D55" i="2"/>
  <c r="Q55" i="3" s="1"/>
  <c r="D55" i="3" s="1"/>
  <c r="D143" i="2"/>
  <c r="Q143" i="3" s="1"/>
  <c r="D143" i="3" s="1"/>
  <c r="D88" i="2"/>
  <c r="Q88" i="3" s="1"/>
  <c r="D88" i="3" s="1"/>
  <c r="D81" i="2"/>
  <c r="D121" i="2"/>
  <c r="Q121" i="3" s="1"/>
  <c r="D121" i="3" s="1"/>
  <c r="C318" i="1"/>
  <c r="D318" i="1"/>
  <c r="B318" i="1"/>
  <c r="D294" i="1"/>
  <c r="C294" i="1"/>
  <c r="D46" i="2"/>
  <c r="Q46" i="3" s="1"/>
  <c r="D46" i="3" s="1"/>
  <c r="D221" i="2"/>
  <c r="D173" i="2"/>
  <c r="Q173" i="3" s="1"/>
  <c r="D173" i="3" s="1"/>
  <c r="D178" i="2"/>
  <c r="Q178" i="3" s="1"/>
  <c r="D178" i="3" s="1"/>
  <c r="D10" i="2"/>
  <c r="B73" i="5"/>
  <c r="D130" i="1"/>
  <c r="C283" i="2"/>
  <c r="B282" i="1"/>
  <c r="B258" i="1"/>
  <c r="B234" i="1"/>
  <c r="B18" i="1"/>
  <c r="C109" i="1"/>
  <c r="B49" i="1"/>
  <c r="D96" i="1"/>
  <c r="C144" i="1"/>
  <c r="D240" i="1"/>
  <c r="D102" i="1"/>
  <c r="D174" i="1"/>
  <c r="D127" i="1"/>
  <c r="D50" i="1"/>
  <c r="C11" i="2"/>
  <c r="P11" i="3" s="1"/>
  <c r="C11" i="3" s="1"/>
  <c r="D59" i="2"/>
  <c r="Q59" i="3" s="1"/>
  <c r="D59" i="3" s="1"/>
  <c r="D329" i="1"/>
  <c r="C305" i="1"/>
  <c r="C185" i="1"/>
  <c r="C41" i="1"/>
  <c r="B201" i="2"/>
  <c r="C81" i="2"/>
  <c r="D136" i="2"/>
  <c r="Q136" i="3" s="1"/>
  <c r="D136" i="3" s="1"/>
  <c r="D16" i="2"/>
  <c r="Q16" i="3" s="1"/>
  <c r="D16" i="3" s="1"/>
  <c r="D307" i="1"/>
  <c r="D256" i="2"/>
  <c r="Q256" i="3" s="1"/>
  <c r="D256" i="3" s="1"/>
  <c r="D208" i="2"/>
  <c r="D112" i="2"/>
  <c r="Q112" i="3" s="1"/>
  <c r="D112" i="3" s="1"/>
  <c r="D25" i="1"/>
  <c r="B57" i="1"/>
  <c r="C48" i="1"/>
  <c r="C192" i="1"/>
  <c r="D153" i="1"/>
  <c r="D177" i="1"/>
  <c r="D201" i="1"/>
  <c r="D225" i="1"/>
  <c r="D135" i="1"/>
  <c r="C18" i="1"/>
  <c r="B175" i="1"/>
  <c r="B231" i="1"/>
  <c r="D107" i="2"/>
  <c r="Q107" i="3" s="1"/>
  <c r="D107" i="3" s="1"/>
  <c r="C112" i="2"/>
  <c r="P112" i="3" s="1"/>
  <c r="C112" i="3" s="1"/>
  <c r="C311" i="1"/>
  <c r="C287" i="1"/>
  <c r="C239" i="1"/>
  <c r="C143" i="1"/>
  <c r="C95" i="1"/>
  <c r="C71" i="1"/>
  <c r="E327" i="2"/>
  <c r="E303" i="2"/>
  <c r="R303" i="3" s="1"/>
  <c r="E303" i="3" s="1"/>
  <c r="E279" i="2"/>
  <c r="E255" i="2"/>
  <c r="E231" i="2"/>
  <c r="R231" i="3" s="1"/>
  <c r="E231" i="3" s="1"/>
  <c r="C159" i="2"/>
  <c r="P159" i="3" s="1"/>
  <c r="C159" i="3" s="1"/>
  <c r="C135" i="2"/>
  <c r="P135" i="3" s="1"/>
  <c r="C135" i="3" s="1"/>
  <c r="C39" i="2"/>
  <c r="P39" i="3" s="1"/>
  <c r="C39" i="3" s="1"/>
  <c r="B254" i="5"/>
  <c r="B283" i="1"/>
  <c r="D310" i="2"/>
  <c r="B301" i="5"/>
  <c r="B181" i="5"/>
  <c r="B157" i="5"/>
  <c r="B61" i="5"/>
  <c r="B317" i="1"/>
  <c r="E6" i="2"/>
  <c r="R6" i="3" s="1"/>
  <c r="E6" i="3" s="1"/>
  <c r="E213" i="2"/>
  <c r="R213" i="3" s="1"/>
  <c r="E213" i="3" s="1"/>
  <c r="E117" i="2"/>
  <c r="D271" i="1"/>
  <c r="D55" i="1"/>
  <c r="B228" i="1"/>
  <c r="G46" i="2"/>
  <c r="T46" i="3" s="1"/>
  <c r="G46" i="3" s="1"/>
  <c r="G22" i="2"/>
  <c r="T22" i="3" s="1"/>
  <c r="G22" i="3" s="1"/>
  <c r="G21" i="2"/>
  <c r="G15" i="2"/>
  <c r="T15" i="3" s="1"/>
  <c r="G15" i="3" s="1"/>
  <c r="C72" i="2"/>
  <c r="D219" i="1"/>
  <c r="D42" i="1"/>
  <c r="D66" i="1"/>
  <c r="D19" i="1"/>
  <c r="D47" i="1"/>
  <c r="D79" i="1"/>
  <c r="D115" i="1"/>
  <c r="D187" i="1"/>
  <c r="D223" i="1"/>
  <c r="D6" i="1"/>
  <c r="B240" i="1"/>
  <c r="D306" i="1"/>
  <c r="D300" i="1"/>
  <c r="D288" i="1"/>
  <c r="D264" i="1"/>
  <c r="D222" i="1"/>
  <c r="D198" i="1"/>
  <c r="D186" i="1"/>
  <c r="D168" i="1"/>
  <c r="D162" i="1"/>
  <c r="D150" i="1"/>
  <c r="D126" i="1"/>
  <c r="D114" i="1"/>
  <c r="D72" i="1"/>
  <c r="D30" i="1"/>
  <c r="D24" i="1"/>
  <c r="C118" i="2"/>
  <c r="C106" i="2"/>
  <c r="P106" i="3" s="1"/>
  <c r="C106" i="3" s="1"/>
  <c r="C94" i="2"/>
  <c r="P94" i="3" s="1"/>
  <c r="C94" i="3" s="1"/>
  <c r="C82" i="2"/>
  <c r="C76" i="2"/>
  <c r="P76" i="3" s="1"/>
  <c r="C76" i="3" s="1"/>
  <c r="C64" i="2"/>
  <c r="C28" i="2"/>
  <c r="P28" i="3" s="1"/>
  <c r="C28" i="3" s="1"/>
  <c r="D251" i="2"/>
  <c r="Q251" i="3" s="1"/>
  <c r="D251" i="3" s="1"/>
  <c r="B300" i="3"/>
  <c r="B288" i="3"/>
  <c r="B276" i="3"/>
  <c r="B264" i="3"/>
  <c r="B252" i="3"/>
  <c r="B240" i="3"/>
  <c r="B228" i="3"/>
  <c r="B216" i="3"/>
  <c r="B204" i="3"/>
  <c r="B192" i="3"/>
  <c r="D274" i="1"/>
  <c r="D27" i="1"/>
  <c r="D111" i="1"/>
  <c r="D243" i="1"/>
  <c r="D90" i="1"/>
  <c r="D63" i="1"/>
  <c r="D211" i="1"/>
  <c r="D327" i="1"/>
  <c r="D267" i="1"/>
  <c r="B180" i="3"/>
  <c r="B168" i="3"/>
  <c r="B156" i="3"/>
  <c r="B150" i="3"/>
  <c r="B144" i="3"/>
  <c r="B132" i="3"/>
  <c r="B126" i="3"/>
  <c r="B120" i="3"/>
  <c r="B108" i="3"/>
  <c r="B96" i="3"/>
  <c r="B84" i="3"/>
  <c r="B72" i="3"/>
  <c r="B60" i="3"/>
  <c r="B54" i="3"/>
  <c r="B48" i="3"/>
  <c r="B42" i="3"/>
  <c r="B36" i="3"/>
  <c r="B30" i="3"/>
  <c r="B24" i="3"/>
  <c r="D328" i="2"/>
  <c r="Q328" i="3" s="1"/>
  <c r="D328" i="3" s="1"/>
  <c r="D326" i="1"/>
  <c r="D314" i="1"/>
  <c r="D278" i="1"/>
  <c r="B272" i="1"/>
  <c r="D266" i="1"/>
  <c r="B260" i="1"/>
  <c r="D242" i="1"/>
  <c r="D236" i="1"/>
  <c r="D224" i="1"/>
  <c r="D218" i="1"/>
  <c r="D206" i="1"/>
  <c r="D200" i="1"/>
  <c r="D188" i="1"/>
  <c r="D176" i="1"/>
  <c r="D170" i="1"/>
  <c r="D164" i="1"/>
  <c r="D152" i="1"/>
  <c r="D146" i="1"/>
  <c r="B140" i="1"/>
  <c r="D134" i="1"/>
  <c r="D128" i="1"/>
  <c r="D122" i="1"/>
  <c r="D116" i="1"/>
  <c r="D104" i="1"/>
  <c r="D92" i="1"/>
  <c r="D80" i="1"/>
  <c r="B56" i="1"/>
  <c r="B32" i="1"/>
  <c r="D20" i="1"/>
  <c r="D8" i="1"/>
  <c r="D234" i="2"/>
  <c r="Q234" i="3" s="1"/>
  <c r="D234" i="3" s="1"/>
  <c r="D180" i="2"/>
  <c r="Q180" i="3" s="1"/>
  <c r="D180" i="3" s="1"/>
  <c r="D13" i="1"/>
  <c r="B29" i="1"/>
  <c r="B45" i="1"/>
  <c r="D57" i="1"/>
  <c r="D81" i="1"/>
  <c r="D117" i="1"/>
  <c r="B162" i="1"/>
  <c r="B285" i="1"/>
  <c r="D32" i="1"/>
  <c r="D60" i="1"/>
  <c r="D132" i="1"/>
  <c r="D141" i="1"/>
  <c r="D169" i="1"/>
  <c r="D213" i="1"/>
  <c r="D249" i="1"/>
  <c r="D265" i="1"/>
  <c r="D285" i="1"/>
  <c r="D309" i="1"/>
  <c r="B98" i="1"/>
  <c r="C258" i="1"/>
  <c r="D322" i="1"/>
  <c r="B259" i="1"/>
  <c r="D303" i="1"/>
  <c r="D234" i="1"/>
  <c r="D43" i="1"/>
  <c r="B67" i="1"/>
  <c r="B91" i="1"/>
  <c r="B111" i="1"/>
  <c r="B135" i="1"/>
  <c r="B159" i="1"/>
  <c r="B183" i="1"/>
  <c r="D207" i="1"/>
  <c r="D235" i="1"/>
  <c r="D255" i="1"/>
  <c r="D295" i="1"/>
  <c r="D18" i="1"/>
  <c r="D54" i="1"/>
  <c r="D78" i="1"/>
  <c r="D15" i="1"/>
  <c r="D31" i="1"/>
  <c r="B55" i="1"/>
  <c r="B79" i="1"/>
  <c r="D95" i="1"/>
  <c r="D123" i="1"/>
  <c r="B223" i="1"/>
  <c r="D251" i="1"/>
  <c r="B139" i="1"/>
  <c r="B291" i="1"/>
  <c r="P7" i="3"/>
  <c r="C7" i="3" s="1"/>
  <c r="D303" i="2"/>
  <c r="Q303" i="3" s="1"/>
  <c r="D303" i="3" s="1"/>
  <c r="G64" i="2"/>
  <c r="G76" i="2"/>
  <c r="T76" i="3" s="1"/>
  <c r="G76" i="3" s="1"/>
  <c r="G112" i="2"/>
  <c r="T112" i="3" s="1"/>
  <c r="G112" i="3" s="1"/>
  <c r="D148" i="2"/>
  <c r="Q148" i="3" s="1"/>
  <c r="D148" i="3" s="1"/>
  <c r="D184" i="2"/>
  <c r="Q184" i="3" s="1"/>
  <c r="D184" i="3" s="1"/>
  <c r="C268" i="2"/>
  <c r="P268" i="3" s="1"/>
  <c r="C268" i="3" s="1"/>
  <c r="B81" i="1"/>
  <c r="D85" i="2"/>
  <c r="Q85" i="3" s="1"/>
  <c r="D85" i="3" s="1"/>
  <c r="D197" i="2"/>
  <c r="Q197" i="3" s="1"/>
  <c r="D197" i="3" s="1"/>
  <c r="D233" i="2"/>
  <c r="D311" i="1"/>
  <c r="D293" i="1"/>
  <c r="D281" i="1"/>
  <c r="D269" i="1"/>
  <c r="B263" i="1"/>
  <c r="D257" i="1"/>
  <c r="D245" i="1"/>
  <c r="D233" i="1"/>
  <c r="D227" i="1"/>
  <c r="D221" i="1"/>
  <c r="B215" i="1"/>
  <c r="D209" i="1"/>
  <c r="D197" i="1"/>
  <c r="D191" i="1"/>
  <c r="D185" i="1"/>
  <c r="B179" i="1"/>
  <c r="D173" i="1"/>
  <c r="D167" i="1"/>
  <c r="D161" i="1"/>
  <c r="B155" i="1"/>
  <c r="D149" i="1"/>
  <c r="D137" i="1"/>
  <c r="D125" i="1"/>
  <c r="B119" i="1"/>
  <c r="D113" i="1"/>
  <c r="D101" i="1"/>
  <c r="D89" i="1"/>
  <c r="B83" i="1"/>
  <c r="D65" i="1"/>
  <c r="D59" i="1"/>
  <c r="D53" i="1"/>
  <c r="B47" i="1"/>
  <c r="B35" i="1"/>
  <c r="D29" i="1"/>
  <c r="B23" i="1"/>
  <c r="D17" i="1"/>
  <c r="D177" i="2"/>
  <c r="Q177" i="3" s="1"/>
  <c r="D177" i="3" s="1"/>
  <c r="D165" i="2"/>
  <c r="Q165" i="3" s="1"/>
  <c r="D165" i="3" s="1"/>
  <c r="D111" i="2"/>
  <c r="Q111" i="3" s="1"/>
  <c r="D111" i="3" s="1"/>
  <c r="D99" i="2"/>
  <c r="Q99" i="3" s="1"/>
  <c r="D99" i="3" s="1"/>
  <c r="F87" i="2"/>
  <c r="S87" i="3" s="1"/>
  <c r="F87" i="3" s="1"/>
  <c r="D27" i="2"/>
  <c r="Q27" i="3" s="1"/>
  <c r="D27" i="3" s="1"/>
  <c r="E301" i="2"/>
  <c r="B316" i="1"/>
  <c r="B304" i="1"/>
  <c r="D298" i="1"/>
  <c r="B292" i="1"/>
  <c r="D286" i="1"/>
  <c r="B274" i="1"/>
  <c r="D262" i="1"/>
  <c r="B220" i="1"/>
  <c r="B208" i="1"/>
  <c r="B196" i="1"/>
  <c r="A1" i="5"/>
  <c r="O4" i="17"/>
  <c r="K4" i="17"/>
  <c r="G2" i="17"/>
  <c r="G1" i="17"/>
  <c r="D9" i="1"/>
  <c r="B25" i="1"/>
  <c r="D37" i="1"/>
  <c r="B53" i="1"/>
  <c r="D69" i="1"/>
  <c r="D105" i="1"/>
  <c r="B146" i="1"/>
  <c r="B205" i="1"/>
  <c r="B328" i="1"/>
  <c r="D44" i="1"/>
  <c r="B92" i="1"/>
  <c r="D148" i="1"/>
  <c r="D252" i="1"/>
  <c r="B297" i="1"/>
  <c r="D165" i="1"/>
  <c r="D193" i="1"/>
  <c r="C209" i="1"/>
  <c r="D241" i="1"/>
  <c r="D261" i="1"/>
  <c r="D277" i="1"/>
  <c r="D297" i="1"/>
  <c r="D321" i="1"/>
  <c r="C282" i="1"/>
  <c r="B303" i="1"/>
  <c r="D325" i="1"/>
  <c r="D51" i="1"/>
  <c r="B207" i="1"/>
  <c r="B235" i="1"/>
  <c r="B255" i="1"/>
  <c r="B295" i="1"/>
  <c r="B106" i="1"/>
  <c r="D7" i="1"/>
  <c r="D39" i="1"/>
  <c r="B63" i="1"/>
  <c r="B123" i="1"/>
  <c r="D151" i="1"/>
  <c r="D175" i="1"/>
  <c r="B103" i="1"/>
  <c r="D319" i="2"/>
  <c r="Q319" i="3" s="1"/>
  <c r="D319" i="3" s="1"/>
  <c r="C136" i="2"/>
  <c r="P136" i="3" s="1"/>
  <c r="C136" i="3" s="1"/>
  <c r="C172" i="2"/>
  <c r="P172" i="3" s="1"/>
  <c r="C172" i="3" s="1"/>
  <c r="C212" i="2"/>
  <c r="P212" i="3" s="1"/>
  <c r="C212" i="3" s="1"/>
  <c r="C328" i="2"/>
  <c r="P328" i="3" s="1"/>
  <c r="C328" i="3" s="1"/>
  <c r="D37" i="2"/>
  <c r="Q37" i="3" s="1"/>
  <c r="D37" i="3" s="1"/>
  <c r="D61" i="2"/>
  <c r="Q61" i="3" s="1"/>
  <c r="D61" i="3" s="1"/>
  <c r="D97" i="2"/>
  <c r="D245" i="2"/>
  <c r="Q245" i="3" s="1"/>
  <c r="D245" i="3" s="1"/>
  <c r="D305" i="1"/>
  <c r="C23" i="1"/>
  <c r="C83" i="1"/>
  <c r="D143" i="1"/>
  <c r="C167" i="1"/>
  <c r="E35" i="2"/>
  <c r="R35" i="3" s="1"/>
  <c r="E35" i="3" s="1"/>
  <c r="E67" i="2"/>
  <c r="R67" i="3" s="1"/>
  <c r="E67" i="3" s="1"/>
  <c r="G87" i="2"/>
  <c r="T87" i="3" s="1"/>
  <c r="G87" i="3" s="1"/>
  <c r="E111" i="2"/>
  <c r="R111" i="3" s="1"/>
  <c r="E111" i="3" s="1"/>
  <c r="E147" i="2"/>
  <c r="R147" i="3" s="1"/>
  <c r="E147" i="3" s="1"/>
  <c r="E41" i="2"/>
  <c r="R41" i="3" s="1"/>
  <c r="E41" i="3" s="1"/>
  <c r="E216" i="2"/>
  <c r="R216" i="3" s="1"/>
  <c r="E216" i="3" s="1"/>
  <c r="D30" i="2"/>
  <c r="D24" i="2"/>
  <c r="Q24" i="3" s="1"/>
  <c r="D24" i="3" s="1"/>
  <c r="B101" i="2"/>
  <c r="D239" i="1"/>
  <c r="D275" i="1"/>
  <c r="D35" i="1"/>
  <c r="C119" i="1"/>
  <c r="C323" i="1"/>
  <c r="D71" i="1"/>
  <c r="D107" i="1"/>
  <c r="D135" i="2"/>
  <c r="Q135" i="3" s="1"/>
  <c r="D135" i="3" s="1"/>
  <c r="C75" i="2"/>
  <c r="P75" i="3" s="1"/>
  <c r="C75" i="3" s="1"/>
  <c r="C51" i="2"/>
  <c r="P51" i="3" s="1"/>
  <c r="C51" i="3" s="1"/>
  <c r="E99" i="2"/>
  <c r="R99" i="3" s="1"/>
  <c r="E99" i="3" s="1"/>
  <c r="C65" i="1"/>
  <c r="C29" i="1"/>
  <c r="D77" i="1"/>
  <c r="C245" i="1"/>
  <c r="C257" i="1"/>
  <c r="C269" i="1"/>
  <c r="C281" i="1"/>
  <c r="C293" i="1"/>
  <c r="C329" i="1"/>
  <c r="B287" i="1"/>
  <c r="D23" i="1"/>
  <c r="C35" i="1"/>
  <c r="D83" i="1"/>
  <c r="D119" i="1"/>
  <c r="D323" i="1"/>
  <c r="C170" i="1"/>
  <c r="C47" i="1"/>
  <c r="B95" i="1"/>
  <c r="B131" i="1"/>
  <c r="B203" i="1"/>
  <c r="B251" i="1"/>
  <c r="D279" i="1"/>
  <c r="D103" i="1"/>
  <c r="C227" i="1"/>
  <c r="D39" i="2"/>
  <c r="Q39" i="3" s="1"/>
  <c r="D39" i="3" s="1"/>
  <c r="D15" i="2"/>
  <c r="Q15" i="3" s="1"/>
  <c r="D15" i="3" s="1"/>
  <c r="D123" i="2"/>
  <c r="Q123" i="3" s="1"/>
  <c r="D123" i="3" s="1"/>
  <c r="E59" i="2"/>
  <c r="R59" i="3" s="1"/>
  <c r="E59" i="3" s="1"/>
  <c r="E91" i="2"/>
  <c r="R91" i="3" s="1"/>
  <c r="E91" i="3" s="1"/>
  <c r="G111" i="2"/>
  <c r="T111" i="3" s="1"/>
  <c r="G111" i="3" s="1"/>
  <c r="G135" i="2"/>
  <c r="T135" i="3" s="1"/>
  <c r="G135" i="3" s="1"/>
  <c r="F147" i="2"/>
  <c r="S147" i="3" s="1"/>
  <c r="F147" i="3" s="1"/>
  <c r="E167" i="2"/>
  <c r="R167" i="3" s="1"/>
  <c r="E167" i="3" s="1"/>
  <c r="C6" i="2"/>
  <c r="P6" i="3" s="1"/>
  <c r="C6" i="3" s="1"/>
  <c r="G244" i="2"/>
  <c r="D316" i="2"/>
  <c r="Q316" i="3" s="1"/>
  <c r="D316" i="3" s="1"/>
  <c r="E153" i="2"/>
  <c r="D289" i="2"/>
  <c r="Q289" i="3" s="1"/>
  <c r="D289" i="3" s="1"/>
  <c r="D325" i="2"/>
  <c r="Q325" i="3" s="1"/>
  <c r="D325" i="3" s="1"/>
  <c r="B221" i="1"/>
  <c r="B269" i="1"/>
  <c r="C17" i="1"/>
  <c r="B329" i="1"/>
  <c r="C317" i="1"/>
  <c r="B11" i="1"/>
  <c r="C59" i="1"/>
  <c r="B191" i="1"/>
  <c r="B311" i="1"/>
  <c r="E83" i="2"/>
  <c r="R83" i="3" s="1"/>
  <c r="E83" i="3" s="1"/>
  <c r="E115" i="2"/>
  <c r="R115" i="3" s="1"/>
  <c r="E115" i="3" s="1"/>
  <c r="E139" i="2"/>
  <c r="R139" i="3" s="1"/>
  <c r="E139" i="3" s="1"/>
  <c r="E64" i="2"/>
  <c r="R64" i="3" s="1"/>
  <c r="E64" i="3" s="1"/>
  <c r="E125" i="2"/>
  <c r="B89" i="1"/>
  <c r="C113" i="1"/>
  <c r="D41" i="1"/>
  <c r="B233" i="1"/>
  <c r="B239" i="1"/>
  <c r="B275" i="1"/>
  <c r="B71" i="1"/>
  <c r="B107" i="1"/>
  <c r="B143" i="1"/>
  <c r="E19" i="2"/>
  <c r="R19" i="3" s="1"/>
  <c r="E19" i="3" s="1"/>
  <c r="G39" i="2"/>
  <c r="T39" i="3" s="1"/>
  <c r="G39" i="3" s="1"/>
  <c r="F63" i="2"/>
  <c r="S63" i="3" s="1"/>
  <c r="F63" i="3" s="1"/>
  <c r="E131" i="2"/>
  <c r="R131" i="3" s="1"/>
  <c r="E131" i="3" s="1"/>
  <c r="E179" i="2"/>
  <c r="R179" i="3" s="1"/>
  <c r="E179" i="3" s="1"/>
  <c r="E235" i="2"/>
  <c r="R235" i="3" s="1"/>
  <c r="E235" i="3" s="1"/>
  <c r="E52" i="2"/>
  <c r="R52" i="3" s="1"/>
  <c r="E52" i="3" s="1"/>
  <c r="C117" i="2"/>
  <c r="E285" i="2"/>
  <c r="R285" i="3" s="1"/>
  <c r="E285" i="3" s="1"/>
  <c r="E274" i="2"/>
  <c r="D250" i="1"/>
  <c r="D238" i="1"/>
  <c r="D226" i="1"/>
  <c r="D202" i="1"/>
  <c r="D190" i="1"/>
  <c r="D184" i="1"/>
  <c r="B172" i="1"/>
  <c r="D166" i="1"/>
  <c r="D154" i="1"/>
  <c r="B130" i="1"/>
  <c r="B124" i="1"/>
  <c r="B82" i="1"/>
  <c r="B76" i="1"/>
  <c r="C89" i="1"/>
  <c r="D315" i="1"/>
  <c r="D199" i="1"/>
  <c r="D247" i="1"/>
  <c r="D283" i="1"/>
  <c r="C63" i="2"/>
  <c r="P63" i="3" s="1"/>
  <c r="C63" i="3" s="1"/>
  <c r="E11" i="2"/>
  <c r="R11" i="3" s="1"/>
  <c r="E11" i="3" s="1"/>
  <c r="E43" i="2"/>
  <c r="R43" i="3" s="1"/>
  <c r="E43" i="3" s="1"/>
  <c r="C184" i="2"/>
  <c r="P184" i="3" s="1"/>
  <c r="C184" i="3" s="1"/>
  <c r="D220" i="2"/>
  <c r="Q220" i="3" s="1"/>
  <c r="D220" i="3" s="1"/>
  <c r="D292" i="2"/>
  <c r="B105" i="1"/>
  <c r="E21" i="2"/>
  <c r="R21" i="3" s="1"/>
  <c r="E21" i="3" s="1"/>
  <c r="E53" i="2"/>
  <c r="E73" i="2"/>
  <c r="R73" i="3" s="1"/>
  <c r="E73" i="3" s="1"/>
  <c r="E85" i="2"/>
  <c r="D230" i="1"/>
  <c r="C230" i="1"/>
  <c r="D38" i="1"/>
  <c r="B38" i="1"/>
  <c r="D26" i="1"/>
  <c r="B26" i="1"/>
  <c r="C14" i="1"/>
  <c r="B14" i="1"/>
  <c r="G324" i="2"/>
  <c r="T324" i="3" s="1"/>
  <c r="G324" i="3" s="1"/>
  <c r="E324" i="2"/>
  <c r="R324" i="3" s="1"/>
  <c r="E324" i="3" s="1"/>
  <c r="G288" i="2"/>
  <c r="C288" i="2"/>
  <c r="P288" i="3" s="1"/>
  <c r="C288" i="3" s="1"/>
  <c r="B288" i="2"/>
  <c r="G270" i="2"/>
  <c r="T270" i="3" s="1"/>
  <c r="G270" i="3" s="1"/>
  <c r="B270" i="2"/>
  <c r="C228" i="2"/>
  <c r="P228" i="3" s="1"/>
  <c r="C228" i="3" s="1"/>
  <c r="E228" i="2"/>
  <c r="R228" i="3" s="1"/>
  <c r="E228" i="3" s="1"/>
  <c r="D228" i="2"/>
  <c r="Q228" i="3" s="1"/>
  <c r="D228" i="3" s="1"/>
  <c r="B222" i="2"/>
  <c r="E222" i="2"/>
  <c r="R222" i="3" s="1"/>
  <c r="E222" i="3" s="1"/>
  <c r="C204" i="2"/>
  <c r="P204" i="3" s="1"/>
  <c r="C204" i="3" s="1"/>
  <c r="D204" i="2"/>
  <c r="Q204" i="3" s="1"/>
  <c r="D204" i="3" s="1"/>
  <c r="G204" i="2"/>
  <c r="T204" i="3" s="1"/>
  <c r="G204" i="3" s="1"/>
  <c r="B204" i="2"/>
  <c r="G36" i="2"/>
  <c r="T36" i="3" s="1"/>
  <c r="G36" i="3" s="1"/>
  <c r="C36" i="2"/>
  <c r="P36" i="3" s="1"/>
  <c r="C36" i="3" s="1"/>
  <c r="D36" i="2"/>
  <c r="Q36" i="3" s="1"/>
  <c r="D36" i="3" s="1"/>
  <c r="B36" i="2"/>
  <c r="G18" i="2"/>
  <c r="T18" i="3" s="1"/>
  <c r="G18" i="3" s="1"/>
  <c r="B18" i="2"/>
  <c r="B242" i="1"/>
  <c r="D56" i="1"/>
  <c r="B80" i="1"/>
  <c r="C92" i="1"/>
  <c r="C116" i="1"/>
  <c r="B314" i="1"/>
  <c r="C326" i="1"/>
  <c r="R27" i="3"/>
  <c r="E27" i="3" s="1"/>
  <c r="T47" i="3"/>
  <c r="G47" i="3" s="1"/>
  <c r="S71" i="3"/>
  <c r="F71" i="3" s="1"/>
  <c r="R107" i="3"/>
  <c r="E107" i="3" s="1"/>
  <c r="T175" i="3"/>
  <c r="G175" i="3" s="1"/>
  <c r="B46" i="2"/>
  <c r="B322" i="2"/>
  <c r="B40" i="2"/>
  <c r="E204" i="2"/>
  <c r="R204" i="3" s="1"/>
  <c r="E204" i="3" s="1"/>
  <c r="G228" i="2"/>
  <c r="B190" i="2"/>
  <c r="G114" i="2"/>
  <c r="D302" i="1"/>
  <c r="C302" i="1"/>
  <c r="B302" i="1"/>
  <c r="D194" i="1"/>
  <c r="C194" i="1"/>
  <c r="D158" i="1"/>
  <c r="C158" i="1"/>
  <c r="B158" i="1"/>
  <c r="D110" i="1"/>
  <c r="B110" i="1"/>
  <c r="C192" i="2"/>
  <c r="P192" i="3" s="1"/>
  <c r="C192" i="3" s="1"/>
  <c r="G192" i="2"/>
  <c r="T192" i="3" s="1"/>
  <c r="G192" i="3" s="1"/>
  <c r="D186" i="2"/>
  <c r="Q186" i="3" s="1"/>
  <c r="D186" i="3" s="1"/>
  <c r="B186" i="2"/>
  <c r="C174" i="2"/>
  <c r="P174" i="3" s="1"/>
  <c r="C174" i="3" s="1"/>
  <c r="B174" i="2"/>
  <c r="G168" i="2"/>
  <c r="T168" i="3" s="1"/>
  <c r="G168" i="3" s="1"/>
  <c r="E168" i="2"/>
  <c r="R168" i="3" s="1"/>
  <c r="E168" i="3" s="1"/>
  <c r="C168" i="2"/>
  <c r="P168" i="3" s="1"/>
  <c r="C168" i="3" s="1"/>
  <c r="G156" i="2"/>
  <c r="T156" i="3" s="1"/>
  <c r="G156" i="3" s="1"/>
  <c r="E156" i="2"/>
  <c r="R156" i="3" s="1"/>
  <c r="E156" i="3" s="1"/>
  <c r="C156" i="2"/>
  <c r="P156" i="3" s="1"/>
  <c r="C156" i="3" s="1"/>
  <c r="B156" i="2"/>
  <c r="B78" i="2"/>
  <c r="G78" i="2"/>
  <c r="T78" i="3" s="1"/>
  <c r="G78" i="3" s="1"/>
  <c r="D48" i="2"/>
  <c r="Q48" i="3" s="1"/>
  <c r="D48" i="3" s="1"/>
  <c r="G48" i="2"/>
  <c r="T48" i="3" s="1"/>
  <c r="G48" i="3" s="1"/>
  <c r="C48" i="2"/>
  <c r="P48" i="3" s="1"/>
  <c r="C48" i="3" s="1"/>
  <c r="B165" i="2"/>
  <c r="B89" i="2"/>
  <c r="B73" i="2"/>
  <c r="B61" i="2"/>
  <c r="B179" i="2"/>
  <c r="B103" i="2"/>
  <c r="B47" i="2"/>
  <c r="B316" i="2"/>
  <c r="B268" i="2"/>
  <c r="B226" i="2"/>
  <c r="B178" i="2"/>
  <c r="B130" i="2"/>
  <c r="B94" i="2"/>
  <c r="B23" i="2"/>
  <c r="B262" i="2"/>
  <c r="B187" i="2"/>
  <c r="B139" i="2"/>
  <c r="B91" i="2"/>
  <c r="B35" i="2"/>
  <c r="B202" i="2"/>
  <c r="B125" i="2"/>
  <c r="B57" i="2"/>
  <c r="B49" i="2"/>
  <c r="B37" i="2"/>
  <c r="B25" i="2"/>
  <c r="B13" i="2"/>
  <c r="B259" i="2"/>
  <c r="B95" i="2"/>
  <c r="B11" i="2"/>
  <c r="B263" i="2"/>
  <c r="B220" i="2"/>
  <c r="B172" i="2"/>
  <c r="B124" i="2"/>
  <c r="B86" i="2"/>
  <c r="B256" i="2"/>
  <c r="B166" i="2"/>
  <c r="B128" i="2"/>
  <c r="B83" i="2"/>
  <c r="B19" i="2"/>
  <c r="B313" i="2"/>
  <c r="B301" i="2"/>
  <c r="B109" i="2"/>
  <c r="B97" i="2"/>
  <c r="B77" i="2"/>
  <c r="B9" i="2"/>
  <c r="B238" i="2"/>
  <c r="B163" i="2"/>
  <c r="B79" i="2"/>
  <c r="B100" i="2"/>
  <c r="B76" i="2"/>
  <c r="B64" i="2"/>
  <c r="B52" i="2"/>
  <c r="B28" i="2"/>
  <c r="B215" i="2"/>
  <c r="B167" i="2"/>
  <c r="B119" i="2"/>
  <c r="B326" i="2"/>
  <c r="B251" i="2"/>
  <c r="B160" i="2"/>
  <c r="B123" i="2"/>
  <c r="B75" i="2"/>
  <c r="B154" i="2"/>
  <c r="B181" i="2"/>
  <c r="B145" i="2"/>
  <c r="B65" i="2"/>
  <c r="B21" i="2"/>
  <c r="B131" i="2"/>
  <c r="B71" i="2"/>
  <c r="B295" i="2"/>
  <c r="B70" i="2"/>
  <c r="B219" i="2"/>
  <c r="B155" i="2"/>
  <c r="B118" i="2"/>
  <c r="B67" i="2"/>
  <c r="B205" i="2"/>
  <c r="B169" i="2"/>
  <c r="B133" i="2"/>
  <c r="B85" i="2"/>
  <c r="B53" i="2"/>
  <c r="B41" i="2"/>
  <c r="B29" i="2"/>
  <c r="B211" i="2"/>
  <c r="B63" i="2"/>
  <c r="B279" i="2"/>
  <c r="B247" i="2"/>
  <c r="B112" i="2"/>
  <c r="B59" i="2"/>
  <c r="C272" i="1"/>
  <c r="B248" i="1"/>
  <c r="B290" i="1"/>
  <c r="B104" i="1"/>
  <c r="B116" i="1"/>
  <c r="C128" i="1"/>
  <c r="C140" i="1"/>
  <c r="C152" i="1"/>
  <c r="C164" i="1"/>
  <c r="C236" i="1"/>
  <c r="D272" i="1"/>
  <c r="D296" i="1"/>
  <c r="B206" i="1"/>
  <c r="C110" i="1"/>
  <c r="C26" i="1"/>
  <c r="C206" i="1"/>
  <c r="B192" i="2"/>
  <c r="B102" i="2"/>
  <c r="B307" i="2"/>
  <c r="B214" i="2"/>
  <c r="D86" i="1"/>
  <c r="B86" i="1"/>
  <c r="G312" i="2"/>
  <c r="D312" i="2"/>
  <c r="Q312" i="3" s="1"/>
  <c r="D312" i="3" s="1"/>
  <c r="B312" i="2"/>
  <c r="C312" i="2"/>
  <c r="B306" i="2"/>
  <c r="D306" i="2"/>
  <c r="Q306" i="3" s="1"/>
  <c r="D306" i="3" s="1"/>
  <c r="G252" i="2"/>
  <c r="T252" i="3" s="1"/>
  <c r="G252" i="3" s="1"/>
  <c r="E252" i="2"/>
  <c r="R252" i="3" s="1"/>
  <c r="E252" i="3" s="1"/>
  <c r="B252" i="2"/>
  <c r="G240" i="2"/>
  <c r="T240" i="3" s="1"/>
  <c r="G240" i="3" s="1"/>
  <c r="E240" i="2"/>
  <c r="R240" i="3" s="1"/>
  <c r="E240" i="3" s="1"/>
  <c r="C240" i="2"/>
  <c r="P240" i="3" s="1"/>
  <c r="C240" i="3" s="1"/>
  <c r="D240" i="2"/>
  <c r="Q240" i="3" s="1"/>
  <c r="D240" i="3" s="1"/>
  <c r="G180" i="2"/>
  <c r="T180" i="3" s="1"/>
  <c r="G180" i="3" s="1"/>
  <c r="E180" i="2"/>
  <c r="D162" i="2"/>
  <c r="Q162" i="3" s="1"/>
  <c r="D162" i="3" s="1"/>
  <c r="B162" i="2"/>
  <c r="G108" i="2"/>
  <c r="T108" i="3" s="1"/>
  <c r="G108" i="3" s="1"/>
  <c r="C108" i="2"/>
  <c r="P108" i="3" s="1"/>
  <c r="C108" i="3" s="1"/>
  <c r="D108" i="2"/>
  <c r="Q108" i="3" s="1"/>
  <c r="D108" i="3" s="1"/>
  <c r="B108" i="2"/>
  <c r="D96" i="2"/>
  <c r="Q96" i="3" s="1"/>
  <c r="D96" i="3" s="1"/>
  <c r="G96" i="2"/>
  <c r="T96" i="3" s="1"/>
  <c r="G96" i="3" s="1"/>
  <c r="E96" i="2"/>
  <c r="R96" i="3" s="1"/>
  <c r="E96" i="3" s="1"/>
  <c r="G84" i="2"/>
  <c r="T84" i="3" s="1"/>
  <c r="G84" i="3" s="1"/>
  <c r="C84" i="2"/>
  <c r="P84" i="3" s="1"/>
  <c r="C84" i="3" s="1"/>
  <c r="D84" i="2"/>
  <c r="Q84" i="3" s="1"/>
  <c r="D84" i="3" s="1"/>
  <c r="B84" i="2"/>
  <c r="D72" i="2"/>
  <c r="Q72" i="3" s="1"/>
  <c r="D72" i="3" s="1"/>
  <c r="B72" i="2"/>
  <c r="G72" i="2"/>
  <c r="T72" i="3" s="1"/>
  <c r="G72" i="3" s="1"/>
  <c r="F72" i="2"/>
  <c r="S72" i="3" s="1"/>
  <c r="F72" i="3" s="1"/>
  <c r="E60" i="2"/>
  <c r="R60" i="3" s="1"/>
  <c r="E60" i="3" s="1"/>
  <c r="C60" i="2"/>
  <c r="D60" i="2"/>
  <c r="Q60" i="3" s="1"/>
  <c r="D60" i="3" s="1"/>
  <c r="B60" i="2"/>
  <c r="G60" i="2"/>
  <c r="T60" i="3" s="1"/>
  <c r="G60" i="3" s="1"/>
  <c r="B24" i="2"/>
  <c r="G24" i="2"/>
  <c r="T24" i="3" s="1"/>
  <c r="G24" i="3" s="1"/>
  <c r="C24" i="2"/>
  <c r="P24" i="3" s="1"/>
  <c r="C24" i="3" s="1"/>
  <c r="D68" i="1"/>
  <c r="C104" i="1"/>
  <c r="B170" i="1"/>
  <c r="B296" i="1"/>
  <c r="B8" i="1"/>
  <c r="B20" i="1"/>
  <c r="B164" i="1"/>
  <c r="C260" i="1"/>
  <c r="D320" i="1"/>
  <c r="B74" i="1"/>
  <c r="C122" i="1"/>
  <c r="C266" i="1"/>
  <c r="D14" i="1"/>
  <c r="C218" i="1"/>
  <c r="B283" i="2"/>
  <c r="B151" i="2"/>
  <c r="B16" i="2"/>
  <c r="G300" i="2"/>
  <c r="T300" i="3" s="1"/>
  <c r="G300" i="3" s="1"/>
  <c r="B330" i="2"/>
  <c r="B284" i="1"/>
  <c r="C284" i="1"/>
  <c r="D254" i="1"/>
  <c r="C254" i="1"/>
  <c r="B254" i="1"/>
  <c r="B182" i="1"/>
  <c r="D182" i="1"/>
  <c r="G276" i="2"/>
  <c r="T276" i="3" s="1"/>
  <c r="G276" i="3" s="1"/>
  <c r="C276" i="2"/>
  <c r="P276" i="3" s="1"/>
  <c r="C276" i="3" s="1"/>
  <c r="G144" i="2"/>
  <c r="T144" i="3" s="1"/>
  <c r="G144" i="3" s="1"/>
  <c r="E144" i="2"/>
  <c r="R144" i="3" s="1"/>
  <c r="E144" i="3" s="1"/>
  <c r="D144" i="2"/>
  <c r="Q144" i="3" s="1"/>
  <c r="D144" i="3" s="1"/>
  <c r="D138" i="2"/>
  <c r="Q138" i="3" s="1"/>
  <c r="D138" i="3" s="1"/>
  <c r="B138" i="2"/>
  <c r="G132" i="2"/>
  <c r="T132" i="3" s="1"/>
  <c r="G132" i="3" s="1"/>
  <c r="E132" i="2"/>
  <c r="R132" i="3" s="1"/>
  <c r="E132" i="3" s="1"/>
  <c r="C132" i="2"/>
  <c r="P132" i="3" s="1"/>
  <c r="C132" i="3" s="1"/>
  <c r="D132" i="2"/>
  <c r="Q132" i="3" s="1"/>
  <c r="D132" i="3" s="1"/>
  <c r="G120" i="2"/>
  <c r="T120" i="3" s="1"/>
  <c r="G120" i="3" s="1"/>
  <c r="E120" i="2"/>
  <c r="C120" i="2"/>
  <c r="P120" i="3" s="1"/>
  <c r="C120" i="3" s="1"/>
  <c r="G12" i="2"/>
  <c r="T12" i="3" s="1"/>
  <c r="G12" i="3" s="1"/>
  <c r="C12" i="2"/>
  <c r="P12" i="3" s="1"/>
  <c r="C12" i="3" s="1"/>
  <c r="D12" i="2"/>
  <c r="Q12" i="3" s="1"/>
  <c r="D12" i="3" s="1"/>
  <c r="B12" i="2"/>
  <c r="D212" i="1"/>
  <c r="D98" i="1"/>
  <c r="B128" i="1"/>
  <c r="D140" i="1"/>
  <c r="B152" i="1"/>
  <c r="C176" i="1"/>
  <c r="B188" i="1"/>
  <c r="C200" i="1"/>
  <c r="B122" i="1"/>
  <c r="C8" i="1"/>
  <c r="C20" i="1"/>
  <c r="C32" i="1"/>
  <c r="B44" i="1"/>
  <c r="B176" i="1"/>
  <c r="C188" i="1"/>
  <c r="C224" i="1"/>
  <c r="D260" i="1"/>
  <c r="D74" i="1"/>
  <c r="C134" i="1"/>
  <c r="D290" i="1"/>
  <c r="C278" i="1"/>
  <c r="B62" i="1"/>
  <c r="C242" i="1"/>
  <c r="B199" i="2"/>
  <c r="D168" i="2"/>
  <c r="Q168" i="3" s="1"/>
  <c r="D168" i="3" s="1"/>
  <c r="E192" i="2"/>
  <c r="R192" i="3" s="1"/>
  <c r="E192" i="3" s="1"/>
  <c r="D284" i="1"/>
  <c r="C86" i="1"/>
  <c r="B218" i="1"/>
  <c r="B50" i="1"/>
  <c r="D62" i="1"/>
  <c r="C146" i="1"/>
  <c r="P91" i="3"/>
  <c r="C91" i="3" s="1"/>
  <c r="Q31" i="3"/>
  <c r="D31" i="3" s="1"/>
  <c r="P67" i="3"/>
  <c r="C67" i="3" s="1"/>
  <c r="S23" i="3"/>
  <c r="F23" i="3" s="1"/>
  <c r="B43" i="2"/>
  <c r="B231" i="2"/>
  <c r="F60" i="2"/>
  <c r="S60" i="3" s="1"/>
  <c r="F60" i="3" s="1"/>
  <c r="B96" i="2"/>
  <c r="G216" i="2"/>
  <c r="T216" i="3" s="1"/>
  <c r="G216" i="3" s="1"/>
  <c r="C324" i="2"/>
  <c r="P324" i="3" s="1"/>
  <c r="C324" i="3" s="1"/>
  <c r="B55" i="2"/>
  <c r="B217" i="2"/>
  <c r="P47" i="3"/>
  <c r="C47" i="3" s="1"/>
  <c r="P23" i="3"/>
  <c r="C23" i="3" s="1"/>
  <c r="R51" i="3"/>
  <c r="E51" i="3" s="1"/>
  <c r="T71" i="3"/>
  <c r="G71" i="3" s="1"/>
  <c r="S95" i="3"/>
  <c r="F95" i="3" s="1"/>
  <c r="P8" i="3"/>
  <c r="C8" i="3" s="1"/>
  <c r="D268" i="2"/>
  <c r="Q268" i="3" s="1"/>
  <c r="D268" i="3" s="1"/>
  <c r="D281" i="2"/>
  <c r="Q281" i="3" s="1"/>
  <c r="D281" i="3" s="1"/>
  <c r="B10" i="2"/>
  <c r="B323" i="2"/>
  <c r="B317" i="2"/>
  <c r="B275" i="2"/>
  <c r="B227" i="2"/>
  <c r="I12" i="2"/>
  <c r="P175" i="3"/>
  <c r="C175" i="3" s="1"/>
  <c r="P171" i="3"/>
  <c r="C171" i="3" s="1"/>
  <c r="P35" i="3"/>
  <c r="C35" i="3" s="1"/>
  <c r="P147" i="3"/>
  <c r="C147" i="3" s="1"/>
  <c r="S55" i="3"/>
  <c r="F55" i="3" s="1"/>
  <c r="R75" i="3"/>
  <c r="E75" i="3" s="1"/>
  <c r="T95" i="3"/>
  <c r="G95" i="3" s="1"/>
  <c r="B286" i="2"/>
  <c r="B250" i="2"/>
  <c r="B58" i="2"/>
  <c r="P79" i="3"/>
  <c r="C79" i="3" s="1"/>
  <c r="P163" i="3"/>
  <c r="C163" i="3" s="1"/>
  <c r="T55" i="3"/>
  <c r="G55" i="3" s="1"/>
  <c r="T79" i="3"/>
  <c r="G79" i="3" s="1"/>
  <c r="T119" i="3"/>
  <c r="G119" i="3" s="1"/>
  <c r="T163" i="3"/>
  <c r="G163" i="3" s="1"/>
  <c r="B227" i="1"/>
  <c r="B167" i="1"/>
  <c r="B137" i="1"/>
  <c r="B113" i="1"/>
  <c r="B101" i="1"/>
  <c r="B195" i="2"/>
  <c r="E293" i="2"/>
  <c r="R293" i="3" s="1"/>
  <c r="E293" i="3" s="1"/>
  <c r="S79" i="3"/>
  <c r="F79" i="3" s="1"/>
  <c r="R123" i="3"/>
  <c r="E123" i="3" s="1"/>
  <c r="P20" i="3"/>
  <c r="C20" i="3" s="1"/>
  <c r="D118" i="1"/>
  <c r="D106" i="1"/>
  <c r="D88" i="1"/>
  <c r="D46" i="1"/>
  <c r="B40" i="1"/>
  <c r="B28" i="1"/>
  <c r="D22" i="1"/>
  <c r="D16" i="1"/>
  <c r="B320" i="2"/>
  <c r="B284" i="2"/>
  <c r="B230" i="2"/>
  <c r="B146" i="2"/>
  <c r="B134" i="2"/>
  <c r="B26" i="2"/>
  <c r="F108" i="2"/>
  <c r="S108" i="3" s="1"/>
  <c r="F108" i="3" s="1"/>
  <c r="Q67" i="3"/>
  <c r="D67" i="3" s="1"/>
  <c r="P103" i="3"/>
  <c r="C103" i="3" s="1"/>
  <c r="T23" i="3"/>
  <c r="G23" i="3" s="1"/>
  <c r="B12" i="3"/>
  <c r="E205" i="2"/>
  <c r="R205" i="3" s="1"/>
  <c r="E205" i="3" s="1"/>
  <c r="E265" i="2"/>
  <c r="R265" i="3" s="1"/>
  <c r="E265" i="3" s="1"/>
  <c r="B321" i="2"/>
  <c r="E195" i="2"/>
  <c r="R195" i="3" s="1"/>
  <c r="E195" i="3" s="1"/>
  <c r="D299" i="1"/>
  <c r="C299" i="1"/>
  <c r="D263" i="1"/>
  <c r="C263" i="1"/>
  <c r="D215" i="1"/>
  <c r="C215" i="1"/>
  <c r="D179" i="1"/>
  <c r="C179" i="1"/>
  <c r="D155" i="1"/>
  <c r="C155" i="1"/>
  <c r="G6" i="2"/>
  <c r="D6" i="2"/>
  <c r="Q6" i="3" s="1"/>
  <c r="D6" i="3" s="1"/>
  <c r="G327" i="2"/>
  <c r="T327" i="3" s="1"/>
  <c r="G327" i="3" s="1"/>
  <c r="D327" i="2"/>
  <c r="Q327" i="3" s="1"/>
  <c r="D327" i="3" s="1"/>
  <c r="C327" i="2"/>
  <c r="P327" i="3" s="1"/>
  <c r="C327" i="3" s="1"/>
  <c r="E315" i="2"/>
  <c r="R315" i="3" s="1"/>
  <c r="E315" i="3" s="1"/>
  <c r="B315" i="2"/>
  <c r="B309" i="2"/>
  <c r="E309" i="2"/>
  <c r="R309" i="3" s="1"/>
  <c r="E309" i="3" s="1"/>
  <c r="D309" i="2"/>
  <c r="Q309" i="3" s="1"/>
  <c r="D309" i="3" s="1"/>
  <c r="G303" i="2"/>
  <c r="T303" i="3" s="1"/>
  <c r="G303" i="3" s="1"/>
  <c r="C303" i="2"/>
  <c r="P303" i="3" s="1"/>
  <c r="C303" i="3" s="1"/>
  <c r="E297" i="2"/>
  <c r="R297" i="3" s="1"/>
  <c r="E297" i="3" s="1"/>
  <c r="G297" i="2"/>
  <c r="T297" i="3" s="1"/>
  <c r="G297" i="3" s="1"/>
  <c r="B297" i="2"/>
  <c r="E291" i="2"/>
  <c r="R291" i="3" s="1"/>
  <c r="E291" i="3" s="1"/>
  <c r="B291" i="2"/>
  <c r="D273" i="2"/>
  <c r="Q273" i="3" s="1"/>
  <c r="D273" i="3" s="1"/>
  <c r="E273" i="2"/>
  <c r="R273" i="3" s="1"/>
  <c r="E273" i="3" s="1"/>
  <c r="E261" i="2"/>
  <c r="R261" i="3" s="1"/>
  <c r="E261" i="3" s="1"/>
  <c r="B261" i="2"/>
  <c r="G261" i="2"/>
  <c r="T261" i="3" s="1"/>
  <c r="G261" i="3" s="1"/>
  <c r="D225" i="2"/>
  <c r="Q225" i="3" s="1"/>
  <c r="D225" i="3" s="1"/>
  <c r="B225" i="2"/>
  <c r="E225" i="2"/>
  <c r="R225" i="3" s="1"/>
  <c r="E225" i="3" s="1"/>
  <c r="B213" i="2"/>
  <c r="D213" i="2"/>
  <c r="Q213" i="3" s="1"/>
  <c r="D213" i="3" s="1"/>
  <c r="G201" i="2"/>
  <c r="T201" i="3" s="1"/>
  <c r="G201" i="3" s="1"/>
  <c r="E201" i="2"/>
  <c r="R201" i="3" s="1"/>
  <c r="E201" i="3" s="1"/>
  <c r="D201" i="2"/>
  <c r="Q201" i="3" s="1"/>
  <c r="D201" i="3" s="1"/>
  <c r="E189" i="2"/>
  <c r="D189" i="2"/>
  <c r="Q189" i="3" s="1"/>
  <c r="D189" i="3" s="1"/>
  <c r="B189" i="2"/>
  <c r="G189" i="2"/>
  <c r="T189" i="3" s="1"/>
  <c r="G189" i="3" s="1"/>
  <c r="E183" i="2"/>
  <c r="R183" i="3" s="1"/>
  <c r="E183" i="3" s="1"/>
  <c r="C183" i="2"/>
  <c r="P183" i="3" s="1"/>
  <c r="C183" i="3" s="1"/>
  <c r="D183" i="2"/>
  <c r="Q183" i="3" s="1"/>
  <c r="D183" i="3" s="1"/>
  <c r="B183" i="2"/>
  <c r="G183" i="2"/>
  <c r="T183" i="3" s="1"/>
  <c r="G183" i="3" s="1"/>
  <c r="G177" i="2"/>
  <c r="T177" i="3" s="1"/>
  <c r="G177" i="3" s="1"/>
  <c r="B177" i="2"/>
  <c r="G171" i="2"/>
  <c r="T171" i="3" s="1"/>
  <c r="G171" i="3" s="1"/>
  <c r="B171" i="2"/>
  <c r="E171" i="2"/>
  <c r="R171" i="3" s="1"/>
  <c r="E171" i="3" s="1"/>
  <c r="D171" i="2"/>
  <c r="Q171" i="3" s="1"/>
  <c r="D171" i="3" s="1"/>
  <c r="G165" i="2"/>
  <c r="T165" i="3" s="1"/>
  <c r="G165" i="3" s="1"/>
  <c r="E165" i="2"/>
  <c r="R165" i="3" s="1"/>
  <c r="E165" i="3" s="1"/>
  <c r="G159" i="2"/>
  <c r="T159" i="3" s="1"/>
  <c r="G159" i="3" s="1"/>
  <c r="D159" i="2"/>
  <c r="Q159" i="3" s="1"/>
  <c r="D159" i="3" s="1"/>
  <c r="E159" i="2"/>
  <c r="R159" i="3" s="1"/>
  <c r="E159" i="3" s="1"/>
  <c r="C153" i="2"/>
  <c r="P153" i="3" s="1"/>
  <c r="C153" i="3" s="1"/>
  <c r="B153" i="2"/>
  <c r="D153" i="2"/>
  <c r="Q153" i="3" s="1"/>
  <c r="D153" i="3" s="1"/>
  <c r="D147" i="2"/>
  <c r="Q147" i="3" s="1"/>
  <c r="D147" i="3" s="1"/>
  <c r="B147" i="2"/>
  <c r="G147" i="2"/>
  <c r="T147" i="3" s="1"/>
  <c r="G147" i="3" s="1"/>
  <c r="B135" i="2"/>
  <c r="E135" i="2"/>
  <c r="R135" i="3" s="1"/>
  <c r="E135" i="3" s="1"/>
  <c r="F135" i="2"/>
  <c r="S135" i="3" s="1"/>
  <c r="F135" i="3" s="1"/>
  <c r="E129" i="2"/>
  <c r="R129" i="3" s="1"/>
  <c r="E129" i="3" s="1"/>
  <c r="D129" i="2"/>
  <c r="Q129" i="3" s="1"/>
  <c r="D129" i="3" s="1"/>
  <c r="G129" i="2"/>
  <c r="T129" i="3" s="1"/>
  <c r="G129" i="3" s="1"/>
  <c r="G123" i="2"/>
  <c r="T123" i="3" s="1"/>
  <c r="G123" i="3" s="1"/>
  <c r="F123" i="2"/>
  <c r="S123" i="3" s="1"/>
  <c r="F123" i="3" s="1"/>
  <c r="C123" i="2"/>
  <c r="P123" i="3" s="1"/>
  <c r="C123" i="3" s="1"/>
  <c r="G117" i="2"/>
  <c r="T117" i="3" s="1"/>
  <c r="G117" i="3" s="1"/>
  <c r="B117" i="2"/>
  <c r="F111" i="2"/>
  <c r="S111" i="3" s="1"/>
  <c r="F111" i="3" s="1"/>
  <c r="C111" i="2"/>
  <c r="P111" i="3" s="1"/>
  <c r="C111" i="3" s="1"/>
  <c r="D105" i="2"/>
  <c r="Q105" i="3" s="1"/>
  <c r="D105" i="3" s="1"/>
  <c r="E105" i="2"/>
  <c r="R105" i="3" s="1"/>
  <c r="E105" i="3" s="1"/>
  <c r="B99" i="2"/>
  <c r="G99" i="2"/>
  <c r="T99" i="3" s="1"/>
  <c r="G99" i="3" s="1"/>
  <c r="C99" i="2"/>
  <c r="P99" i="3" s="1"/>
  <c r="C99" i="3" s="1"/>
  <c r="F99" i="2"/>
  <c r="S99" i="3" s="1"/>
  <c r="F99" i="3" s="1"/>
  <c r="G93" i="2"/>
  <c r="T93" i="3" s="1"/>
  <c r="G93" i="3" s="1"/>
  <c r="B93" i="2"/>
  <c r="E87" i="2"/>
  <c r="R87" i="3" s="1"/>
  <c r="E87" i="3" s="1"/>
  <c r="C87" i="2"/>
  <c r="P87" i="3" s="1"/>
  <c r="C87" i="3" s="1"/>
  <c r="B87" i="2"/>
  <c r="D87" i="2"/>
  <c r="Q87" i="3" s="1"/>
  <c r="D87" i="3" s="1"/>
  <c r="G81" i="2"/>
  <c r="T81" i="3" s="1"/>
  <c r="G81" i="3" s="1"/>
  <c r="E81" i="2"/>
  <c r="R81" i="3" s="1"/>
  <c r="E81" i="3" s="1"/>
  <c r="B81" i="2"/>
  <c r="G75" i="2"/>
  <c r="T75" i="3" s="1"/>
  <c r="G75" i="3" s="1"/>
  <c r="D75" i="2"/>
  <c r="Q75" i="3" s="1"/>
  <c r="D75" i="3" s="1"/>
  <c r="F75" i="2"/>
  <c r="S75" i="3" s="1"/>
  <c r="F75" i="3" s="1"/>
  <c r="G69" i="2"/>
  <c r="T69" i="3" s="1"/>
  <c r="G69" i="3" s="1"/>
  <c r="E69" i="2"/>
  <c r="R69" i="3" s="1"/>
  <c r="E69" i="3" s="1"/>
  <c r="E63" i="2"/>
  <c r="R63" i="3" s="1"/>
  <c r="E63" i="3" s="1"/>
  <c r="D63" i="2"/>
  <c r="Q63" i="3" s="1"/>
  <c r="D63" i="3" s="1"/>
  <c r="E57" i="2"/>
  <c r="R57" i="3" s="1"/>
  <c r="E57" i="3" s="1"/>
  <c r="D57" i="2"/>
  <c r="Q57" i="3" s="1"/>
  <c r="D57" i="3" s="1"/>
  <c r="C57" i="2"/>
  <c r="P57" i="3" s="1"/>
  <c r="C57" i="3" s="1"/>
  <c r="G57" i="2"/>
  <c r="T57" i="3" s="1"/>
  <c r="G57" i="3" s="1"/>
  <c r="D51" i="2"/>
  <c r="Q51" i="3" s="1"/>
  <c r="D51" i="3" s="1"/>
  <c r="B51" i="2"/>
  <c r="F51" i="2"/>
  <c r="S51" i="3" s="1"/>
  <c r="F51" i="3" s="1"/>
  <c r="G51" i="2"/>
  <c r="T51" i="3" s="1"/>
  <c r="G51" i="3" s="1"/>
  <c r="E45" i="2"/>
  <c r="R45" i="3" s="1"/>
  <c r="E45" i="3" s="1"/>
  <c r="C45" i="2"/>
  <c r="P45" i="3" s="1"/>
  <c r="C45" i="3" s="1"/>
  <c r="B45" i="2"/>
  <c r="G45" i="2"/>
  <c r="T45" i="3" s="1"/>
  <c r="G45" i="3" s="1"/>
  <c r="E39" i="2"/>
  <c r="R39" i="3" s="1"/>
  <c r="E39" i="3" s="1"/>
  <c r="B39" i="2"/>
  <c r="D33" i="2"/>
  <c r="Q33" i="3" s="1"/>
  <c r="D33" i="3" s="1"/>
  <c r="C33" i="2"/>
  <c r="P33" i="3" s="1"/>
  <c r="C33" i="3" s="1"/>
  <c r="E33" i="2"/>
  <c r="R33" i="3" s="1"/>
  <c r="E33" i="3" s="1"/>
  <c r="G27" i="2"/>
  <c r="T27" i="3" s="1"/>
  <c r="G27" i="3" s="1"/>
  <c r="B27" i="2"/>
  <c r="F27" i="2"/>
  <c r="S27" i="3" s="1"/>
  <c r="F27" i="3" s="1"/>
  <c r="C27" i="2"/>
  <c r="P27" i="3" s="1"/>
  <c r="C27" i="3" s="1"/>
  <c r="E15" i="2"/>
  <c r="R15" i="3" s="1"/>
  <c r="E15" i="3" s="1"/>
  <c r="C15" i="2"/>
  <c r="P15" i="3" s="1"/>
  <c r="C15" i="3" s="1"/>
  <c r="D9" i="2"/>
  <c r="Q9" i="3" s="1"/>
  <c r="D9" i="3" s="1"/>
  <c r="E9" i="2"/>
  <c r="R9" i="3" s="1"/>
  <c r="E9" i="3" s="1"/>
  <c r="C9" i="2"/>
  <c r="P9" i="3" s="1"/>
  <c r="C9" i="3" s="1"/>
  <c r="G9" i="2"/>
  <c r="E289" i="2"/>
  <c r="R289" i="3" s="1"/>
  <c r="E289" i="3" s="1"/>
  <c r="E241" i="2"/>
  <c r="R241" i="3" s="1"/>
  <c r="E241" i="3" s="1"/>
  <c r="E233" i="2"/>
  <c r="R233" i="3" s="1"/>
  <c r="E233" i="3" s="1"/>
  <c r="E217" i="2"/>
  <c r="R217" i="3" s="1"/>
  <c r="E217" i="3" s="1"/>
  <c r="E181" i="2"/>
  <c r="R181" i="3" s="1"/>
  <c r="E181" i="3" s="1"/>
  <c r="E121" i="2"/>
  <c r="R121" i="3" s="1"/>
  <c r="E121" i="3" s="1"/>
  <c r="E77" i="2"/>
  <c r="R77" i="3" s="1"/>
  <c r="E77" i="3" s="1"/>
  <c r="E17" i="2"/>
  <c r="R17" i="3" s="1"/>
  <c r="E17" i="3" s="1"/>
  <c r="E276" i="2"/>
  <c r="R276" i="3" s="1"/>
  <c r="E276" i="3" s="1"/>
  <c r="E256" i="2"/>
  <c r="R256" i="3" s="1"/>
  <c r="E256" i="3" s="1"/>
  <c r="E208" i="2"/>
  <c r="R208" i="3" s="1"/>
  <c r="E208" i="3" s="1"/>
  <c r="E172" i="2"/>
  <c r="R172" i="3" s="1"/>
  <c r="E172" i="3" s="1"/>
  <c r="E136" i="2"/>
  <c r="R136" i="3" s="1"/>
  <c r="E136" i="3" s="1"/>
  <c r="E24" i="2"/>
  <c r="R24" i="3" s="1"/>
  <c r="E24" i="3" s="1"/>
  <c r="E16" i="2"/>
  <c r="R16" i="3" s="1"/>
  <c r="E16" i="3" s="1"/>
  <c r="E311" i="2"/>
  <c r="R311" i="3" s="1"/>
  <c r="E311" i="3" s="1"/>
  <c r="E283" i="2"/>
  <c r="R283" i="3" s="1"/>
  <c r="E283" i="3" s="1"/>
  <c r="E163" i="2"/>
  <c r="R163" i="3" s="1"/>
  <c r="E163" i="3" s="1"/>
  <c r="E143" i="2"/>
  <c r="R143" i="3" s="1"/>
  <c r="E143" i="3" s="1"/>
  <c r="E127" i="2"/>
  <c r="R127" i="3" s="1"/>
  <c r="E127" i="3" s="1"/>
  <c r="E119" i="2"/>
  <c r="R119" i="3" s="1"/>
  <c r="E119" i="3" s="1"/>
  <c r="E103" i="2"/>
  <c r="R103" i="3" s="1"/>
  <c r="E103" i="3" s="1"/>
  <c r="E95" i="2"/>
  <c r="R95" i="3" s="1"/>
  <c r="E95" i="3" s="1"/>
  <c r="E79" i="2"/>
  <c r="R79" i="3" s="1"/>
  <c r="E79" i="3" s="1"/>
  <c r="E71" i="2"/>
  <c r="R71" i="3" s="1"/>
  <c r="E71" i="3" s="1"/>
  <c r="E55" i="2"/>
  <c r="R55" i="3" s="1"/>
  <c r="E55" i="3" s="1"/>
  <c r="E47" i="2"/>
  <c r="R47" i="3" s="1"/>
  <c r="E47" i="3" s="1"/>
  <c r="E31" i="2"/>
  <c r="R31" i="3" s="1"/>
  <c r="E31" i="3" s="1"/>
  <c r="E23" i="2"/>
  <c r="R23" i="3" s="1"/>
  <c r="E23" i="3" s="1"/>
  <c r="E306" i="2"/>
  <c r="R306" i="3" s="1"/>
  <c r="E306" i="3" s="1"/>
  <c r="E325" i="2"/>
  <c r="R325" i="3" s="1"/>
  <c r="E325" i="3" s="1"/>
  <c r="E269" i="2"/>
  <c r="R269" i="3" s="1"/>
  <c r="E269" i="3" s="1"/>
  <c r="E101" i="2"/>
  <c r="R101" i="3" s="1"/>
  <c r="E101" i="3" s="1"/>
  <c r="E89" i="2"/>
  <c r="R89" i="3" s="1"/>
  <c r="E89" i="3" s="1"/>
  <c r="E37" i="2"/>
  <c r="R37" i="3" s="1"/>
  <c r="E37" i="3" s="1"/>
  <c r="E300" i="2"/>
  <c r="R300" i="3" s="1"/>
  <c r="E300" i="3" s="1"/>
  <c r="E288" i="2"/>
  <c r="R288" i="3" s="1"/>
  <c r="E288" i="3" s="1"/>
  <c r="E232" i="2"/>
  <c r="R232" i="3" s="1"/>
  <c r="E232" i="3" s="1"/>
  <c r="E112" i="2"/>
  <c r="R112" i="3" s="1"/>
  <c r="E112" i="3" s="1"/>
  <c r="E84" i="2"/>
  <c r="R84" i="3" s="1"/>
  <c r="E84" i="3" s="1"/>
  <c r="E76" i="2"/>
  <c r="R76" i="3" s="1"/>
  <c r="E76" i="3" s="1"/>
  <c r="E72" i="2"/>
  <c r="R72" i="3" s="1"/>
  <c r="E72" i="3" s="1"/>
  <c r="E56" i="2"/>
  <c r="R56" i="3" s="1"/>
  <c r="E56" i="3" s="1"/>
  <c r="E36" i="2"/>
  <c r="R36" i="3" s="1"/>
  <c r="E36" i="3" s="1"/>
  <c r="E28" i="2"/>
  <c r="R28" i="3" s="1"/>
  <c r="E28" i="3" s="1"/>
  <c r="E319" i="2"/>
  <c r="R319" i="3" s="1"/>
  <c r="E319" i="3" s="1"/>
  <c r="E151" i="2"/>
  <c r="R151" i="3" s="1"/>
  <c r="E151" i="3" s="1"/>
  <c r="E7" i="2"/>
  <c r="R7" i="3" s="1"/>
  <c r="E7" i="3" s="1"/>
  <c r="E239" i="2"/>
  <c r="R239" i="3" s="1"/>
  <c r="E239" i="3" s="1"/>
  <c r="E277" i="2"/>
  <c r="R277" i="3" s="1"/>
  <c r="E277" i="3" s="1"/>
  <c r="E229" i="2"/>
  <c r="R229" i="3" s="1"/>
  <c r="E229" i="3" s="1"/>
  <c r="E193" i="2"/>
  <c r="R193" i="3" s="1"/>
  <c r="E193" i="3" s="1"/>
  <c r="E157" i="2"/>
  <c r="R157" i="3" s="1"/>
  <c r="E157" i="3" s="1"/>
  <c r="E149" i="2"/>
  <c r="R149" i="3" s="1"/>
  <c r="E149" i="3" s="1"/>
  <c r="E133" i="2"/>
  <c r="R133" i="3" s="1"/>
  <c r="E133" i="3" s="1"/>
  <c r="E109" i="2"/>
  <c r="R109" i="3" s="1"/>
  <c r="E109" i="3" s="1"/>
  <c r="E61" i="2"/>
  <c r="R61" i="3" s="1"/>
  <c r="E61" i="3" s="1"/>
  <c r="E49" i="2"/>
  <c r="R49" i="3" s="1"/>
  <c r="E49" i="3" s="1"/>
  <c r="E13" i="2"/>
  <c r="R13" i="3" s="1"/>
  <c r="E13" i="3" s="1"/>
  <c r="E312" i="2"/>
  <c r="R312" i="3" s="1"/>
  <c r="E312" i="3" s="1"/>
  <c r="E268" i="2"/>
  <c r="R268" i="3" s="1"/>
  <c r="E268" i="3" s="1"/>
  <c r="E104" i="2"/>
  <c r="R104" i="3" s="1"/>
  <c r="E104" i="3" s="1"/>
  <c r="E88" i="2"/>
  <c r="R88" i="3" s="1"/>
  <c r="E88" i="3" s="1"/>
  <c r="E48" i="2"/>
  <c r="R48" i="3" s="1"/>
  <c r="E48" i="3" s="1"/>
  <c r="E40" i="2"/>
  <c r="R40" i="3" s="1"/>
  <c r="E40" i="3" s="1"/>
  <c r="E323" i="2"/>
  <c r="R323" i="3" s="1"/>
  <c r="E323" i="3" s="1"/>
  <c r="E282" i="2"/>
  <c r="R282" i="3" s="1"/>
  <c r="E282" i="3" s="1"/>
  <c r="E313" i="2"/>
  <c r="R313" i="3" s="1"/>
  <c r="E313" i="3" s="1"/>
  <c r="E210" i="2"/>
  <c r="R210" i="3" s="1"/>
  <c r="E210" i="3" s="1"/>
  <c r="E317" i="2"/>
  <c r="R317" i="3" s="1"/>
  <c r="E317" i="3" s="1"/>
  <c r="E145" i="2"/>
  <c r="R145" i="3" s="1"/>
  <c r="E145" i="3" s="1"/>
  <c r="E97" i="2"/>
  <c r="R97" i="3" s="1"/>
  <c r="E97" i="3" s="1"/>
  <c r="E65" i="2"/>
  <c r="R65" i="3" s="1"/>
  <c r="E65" i="3" s="1"/>
  <c r="E25" i="2"/>
  <c r="R25" i="3" s="1"/>
  <c r="E25" i="3" s="1"/>
  <c r="E304" i="2"/>
  <c r="R304" i="3" s="1"/>
  <c r="E304" i="3" s="1"/>
  <c r="E264" i="2"/>
  <c r="R264" i="3" s="1"/>
  <c r="E264" i="3" s="1"/>
  <c r="E244" i="2"/>
  <c r="R244" i="3" s="1"/>
  <c r="E244" i="3" s="1"/>
  <c r="E184" i="2"/>
  <c r="R184" i="3" s="1"/>
  <c r="E184" i="3" s="1"/>
  <c r="E148" i="2"/>
  <c r="R148" i="3" s="1"/>
  <c r="E148" i="3" s="1"/>
  <c r="E108" i="2"/>
  <c r="R108" i="3" s="1"/>
  <c r="E108" i="3" s="1"/>
  <c r="E12" i="2"/>
  <c r="R12" i="3" s="1"/>
  <c r="E12" i="3" s="1"/>
  <c r="E175" i="2"/>
  <c r="R175" i="3" s="1"/>
  <c r="E175" i="3" s="1"/>
  <c r="E155" i="2"/>
  <c r="R155" i="3" s="1"/>
  <c r="E155" i="3" s="1"/>
  <c r="B75" i="3"/>
  <c r="B107" i="3"/>
  <c r="D237" i="2"/>
  <c r="Q237" i="3" s="1"/>
  <c r="D237" i="3" s="1"/>
  <c r="E90" i="2"/>
  <c r="R90" i="3" s="1"/>
  <c r="E90" i="3" s="1"/>
  <c r="E154" i="2"/>
  <c r="R154" i="3" s="1"/>
  <c r="E154" i="3" s="1"/>
  <c r="B243" i="2"/>
  <c r="E169" i="2"/>
  <c r="R169" i="3" s="1"/>
  <c r="E169" i="3" s="1"/>
  <c r="E177" i="2"/>
  <c r="R177" i="3" s="1"/>
  <c r="E177" i="3" s="1"/>
  <c r="G213" i="2"/>
  <c r="T213" i="3" s="1"/>
  <c r="G213" i="3" s="1"/>
  <c r="E237" i="2"/>
  <c r="R237" i="3" s="1"/>
  <c r="E237" i="3" s="1"/>
  <c r="S119" i="3"/>
  <c r="F119" i="3" s="1"/>
  <c r="T143" i="3"/>
  <c r="G143" i="3" s="1"/>
  <c r="S163" i="3"/>
  <c r="F163" i="3" s="1"/>
  <c r="P235" i="3"/>
  <c r="C235" i="3" s="1"/>
  <c r="P32" i="3"/>
  <c r="C32" i="3" s="1"/>
  <c r="T68" i="3"/>
  <c r="G68" i="3" s="1"/>
  <c r="P100" i="3"/>
  <c r="C100" i="3" s="1"/>
  <c r="B125" i="1"/>
  <c r="E238" i="2"/>
  <c r="R238" i="3" s="1"/>
  <c r="E238" i="3" s="1"/>
  <c r="E124" i="2"/>
  <c r="R124" i="3" s="1"/>
  <c r="E124" i="3" s="1"/>
  <c r="E100" i="2"/>
  <c r="R100" i="3" s="1"/>
  <c r="E100" i="3" s="1"/>
  <c r="E34" i="2"/>
  <c r="R34" i="3" s="1"/>
  <c r="E34" i="3" s="1"/>
  <c r="E22" i="2"/>
  <c r="R22" i="3" s="1"/>
  <c r="E22" i="3" s="1"/>
  <c r="D318" i="2"/>
  <c r="Q318" i="3" s="1"/>
  <c r="D318" i="3" s="1"/>
  <c r="E290" i="2"/>
  <c r="R290" i="3" s="1"/>
  <c r="E290" i="3" s="1"/>
  <c r="E194" i="2"/>
  <c r="R194" i="3" s="1"/>
  <c r="E194" i="3" s="1"/>
  <c r="E182" i="2"/>
  <c r="R182" i="3" s="1"/>
  <c r="E182" i="3" s="1"/>
  <c r="E170" i="2"/>
  <c r="R170" i="3" s="1"/>
  <c r="E170" i="3" s="1"/>
  <c r="E44" i="2"/>
  <c r="R44" i="3" s="1"/>
  <c r="E44" i="3" s="1"/>
  <c r="E32" i="2"/>
  <c r="R32" i="3" s="1"/>
  <c r="E32" i="3" s="1"/>
  <c r="E20" i="2"/>
  <c r="R20" i="3" s="1"/>
  <c r="E20" i="3" s="1"/>
  <c r="E8" i="2"/>
  <c r="R8" i="3" s="1"/>
  <c r="E8" i="3" s="1"/>
  <c r="B197" i="3"/>
  <c r="P95" i="3"/>
  <c r="C95" i="3" s="1"/>
  <c r="Q47" i="3"/>
  <c r="D47" i="3" s="1"/>
  <c r="P151" i="3"/>
  <c r="C151" i="3" s="1"/>
  <c r="P83" i="3"/>
  <c r="C83" i="3" s="1"/>
  <c r="P179" i="3"/>
  <c r="C179" i="3" s="1"/>
  <c r="S11" i="3"/>
  <c r="F11" i="3" s="1"/>
  <c r="S83" i="3"/>
  <c r="F83" i="3" s="1"/>
  <c r="S91" i="3"/>
  <c r="F91" i="3" s="1"/>
  <c r="S107" i="3"/>
  <c r="F107" i="3" s="1"/>
  <c r="S179" i="3"/>
  <c r="F179" i="3" s="1"/>
  <c r="Q283" i="3"/>
  <c r="D283" i="3" s="1"/>
  <c r="C238" i="2"/>
  <c r="P238" i="3" s="1"/>
  <c r="C238" i="3" s="1"/>
  <c r="Q103" i="3"/>
  <c r="D103" i="3" s="1"/>
  <c r="Q131" i="3"/>
  <c r="D131" i="3" s="1"/>
  <c r="P43" i="3"/>
  <c r="C43" i="3" s="1"/>
  <c r="P139" i="3"/>
  <c r="C139" i="3" s="1"/>
  <c r="P71" i="3"/>
  <c r="C71" i="3" s="1"/>
  <c r="T19" i="3"/>
  <c r="G19" i="3" s="1"/>
  <c r="T35" i="3"/>
  <c r="G35" i="3" s="1"/>
  <c r="T43" i="3"/>
  <c r="G43" i="3" s="1"/>
  <c r="T59" i="3"/>
  <c r="G59" i="3" s="1"/>
  <c r="S67" i="3"/>
  <c r="F67" i="3" s="1"/>
  <c r="T107" i="3"/>
  <c r="G107" i="3" s="1"/>
  <c r="T131" i="3"/>
  <c r="G131" i="3" s="1"/>
  <c r="P283" i="3"/>
  <c r="C283" i="3" s="1"/>
  <c r="T88" i="3"/>
  <c r="G88" i="3" s="1"/>
  <c r="Q119" i="3"/>
  <c r="D119" i="3" s="1"/>
  <c r="P31" i="3"/>
  <c r="C31" i="3" s="1"/>
  <c r="P59" i="3"/>
  <c r="C59" i="3" s="1"/>
  <c r="Q79" i="3"/>
  <c r="D79" i="3" s="1"/>
  <c r="Q91" i="3"/>
  <c r="D91" i="3" s="1"/>
  <c r="P19" i="3"/>
  <c r="C19" i="3" s="1"/>
  <c r="Q92" i="3"/>
  <c r="D92" i="3" s="1"/>
  <c r="E305" i="2"/>
  <c r="R305" i="3" s="1"/>
  <c r="E305" i="3" s="1"/>
  <c r="E287" i="2"/>
  <c r="R287" i="3" s="1"/>
  <c r="E287" i="3" s="1"/>
  <c r="C258" i="2"/>
  <c r="P258" i="3" s="1"/>
  <c r="C258" i="3" s="1"/>
  <c r="C30" i="5"/>
  <c r="G282" i="5"/>
  <c r="B226" i="1"/>
  <c r="B322" i="1"/>
  <c r="C28" i="1"/>
  <c r="B52" i="1"/>
  <c r="C76" i="1"/>
  <c r="B100" i="1"/>
  <c r="C124" i="1"/>
  <c r="B148" i="1"/>
  <c r="C172" i="1"/>
  <c r="D196" i="1"/>
  <c r="D208" i="1"/>
  <c r="D220" i="1"/>
  <c r="D232" i="1"/>
  <c r="D244" i="1"/>
  <c r="D256" i="1"/>
  <c r="D268" i="1"/>
  <c r="D280" i="1"/>
  <c r="D292" i="1"/>
  <c r="D304" i="1"/>
  <c r="D316" i="1"/>
  <c r="D328" i="1"/>
  <c r="B238" i="1"/>
  <c r="B298" i="1"/>
  <c r="D94" i="1"/>
  <c r="D142" i="1"/>
  <c r="D178" i="1"/>
  <c r="D214" i="1"/>
  <c r="D310" i="1"/>
  <c r="C82" i="1"/>
  <c r="D10" i="1"/>
  <c r="D34" i="1"/>
  <c r="D70" i="1"/>
  <c r="C130" i="1"/>
  <c r="C274" i="1"/>
  <c r="D285" i="2"/>
  <c r="Q285" i="3" s="1"/>
  <c r="D285" i="3" s="1"/>
  <c r="D154" i="2"/>
  <c r="Q154" i="3" s="1"/>
  <c r="D154" i="3" s="1"/>
  <c r="D198" i="2"/>
  <c r="Q198" i="3" s="1"/>
  <c r="D198" i="3" s="1"/>
  <c r="G238" i="2"/>
  <c r="T238" i="3" s="1"/>
  <c r="G238" i="3" s="1"/>
  <c r="B207" i="3"/>
  <c r="B15" i="3"/>
  <c r="B172" i="3"/>
  <c r="B28" i="3"/>
  <c r="B296" i="3"/>
  <c r="B148" i="3"/>
  <c r="B26" i="3"/>
  <c r="B268" i="3"/>
  <c r="B124" i="3"/>
  <c r="B196" i="3"/>
  <c r="B52" i="3"/>
  <c r="C16" i="1"/>
  <c r="C106" i="1"/>
  <c r="C250" i="1"/>
  <c r="C286" i="1"/>
  <c r="B76" i="3"/>
  <c r="B69" i="3"/>
  <c r="B275" i="3"/>
  <c r="B179" i="3"/>
  <c r="B143" i="3"/>
  <c r="B47" i="3"/>
  <c r="C88" i="1"/>
  <c r="C22" i="1"/>
  <c r="C46" i="1"/>
  <c r="B16" i="1"/>
  <c r="C40" i="1"/>
  <c r="B64" i="1"/>
  <c r="B88" i="1"/>
  <c r="B112" i="1"/>
  <c r="B136" i="1"/>
  <c r="B160" i="1"/>
  <c r="B184" i="1"/>
  <c r="D58" i="1"/>
  <c r="C166" i="1"/>
  <c r="C202" i="1"/>
  <c r="C238" i="1"/>
  <c r="C298" i="1"/>
  <c r="B118" i="1"/>
  <c r="B77" i="1"/>
  <c r="E58" i="2"/>
  <c r="R58" i="3" s="1"/>
  <c r="E58" i="3" s="1"/>
  <c r="B100" i="3"/>
  <c r="C184" i="1"/>
  <c r="B178" i="1"/>
  <c r="B280" i="1"/>
  <c r="D40" i="1"/>
  <c r="D64" i="1"/>
  <c r="D112" i="1"/>
  <c r="D136" i="1"/>
  <c r="D160" i="1"/>
  <c r="B94" i="1"/>
  <c r="B10" i="1"/>
  <c r="B34" i="1"/>
  <c r="B70" i="1"/>
  <c r="C118" i="1"/>
  <c r="C262" i="1"/>
  <c r="B145" i="1"/>
  <c r="B133" i="1"/>
  <c r="B121" i="1"/>
  <c r="B109" i="1"/>
  <c r="B97" i="1"/>
  <c r="B85" i="1"/>
  <c r="B73" i="1"/>
  <c r="D329" i="2"/>
  <c r="Q329" i="3" s="1"/>
  <c r="D329" i="3" s="1"/>
  <c r="B329" i="2"/>
  <c r="G317" i="2"/>
  <c r="T317" i="3" s="1"/>
  <c r="G317" i="3" s="1"/>
  <c r="D317" i="2"/>
  <c r="Q317" i="3" s="1"/>
  <c r="D317" i="3" s="1"/>
  <c r="D305" i="2"/>
  <c r="Q305" i="3" s="1"/>
  <c r="D305" i="3" s="1"/>
  <c r="B305" i="2"/>
  <c r="B293" i="2"/>
  <c r="G293" i="2"/>
  <c r="T293" i="3" s="1"/>
  <c r="G293" i="3" s="1"/>
  <c r="C293" i="2"/>
  <c r="P293" i="3" s="1"/>
  <c r="C293" i="3" s="1"/>
  <c r="E281" i="2"/>
  <c r="R281" i="3" s="1"/>
  <c r="E281" i="3" s="1"/>
  <c r="C281" i="2"/>
  <c r="P281" i="3" s="1"/>
  <c r="C281" i="3" s="1"/>
  <c r="C269" i="2"/>
  <c r="P269" i="3" s="1"/>
  <c r="C269" i="3" s="1"/>
  <c r="D269" i="2"/>
  <c r="Q269" i="3" s="1"/>
  <c r="D269" i="3" s="1"/>
  <c r="C263" i="2"/>
  <c r="P263" i="3" s="1"/>
  <c r="C263" i="3" s="1"/>
  <c r="E263" i="2"/>
  <c r="R263" i="3" s="1"/>
  <c r="E263" i="3" s="1"/>
  <c r="G245" i="2"/>
  <c r="T245" i="3" s="1"/>
  <c r="G245" i="3" s="1"/>
  <c r="E245" i="2"/>
  <c r="R245" i="3" s="1"/>
  <c r="E245" i="3" s="1"/>
  <c r="G233" i="2"/>
  <c r="T233" i="3" s="1"/>
  <c r="G233" i="3" s="1"/>
  <c r="C233" i="2"/>
  <c r="P233" i="3" s="1"/>
  <c r="C233" i="3" s="1"/>
  <c r="E221" i="2"/>
  <c r="R221" i="3" s="1"/>
  <c r="E221" i="3" s="1"/>
  <c r="B221" i="2"/>
  <c r="D215" i="2"/>
  <c r="Q215" i="3" s="1"/>
  <c r="D215" i="3" s="1"/>
  <c r="E215" i="2"/>
  <c r="R215" i="3" s="1"/>
  <c r="E215" i="3" s="1"/>
  <c r="D209" i="2"/>
  <c r="Q209" i="3" s="1"/>
  <c r="D209" i="3" s="1"/>
  <c r="B209" i="2"/>
  <c r="E209" i="2"/>
  <c r="R209" i="3" s="1"/>
  <c r="E209" i="3" s="1"/>
  <c r="E197" i="2"/>
  <c r="R197" i="3" s="1"/>
  <c r="E197" i="3" s="1"/>
  <c r="B197" i="2"/>
  <c r="D185" i="2"/>
  <c r="Q185" i="3" s="1"/>
  <c r="D185" i="3" s="1"/>
  <c r="B185" i="2"/>
  <c r="E185" i="2"/>
  <c r="R185" i="3" s="1"/>
  <c r="E185" i="3" s="1"/>
  <c r="E173" i="2"/>
  <c r="R173" i="3" s="1"/>
  <c r="E173" i="3" s="1"/>
  <c r="B173" i="2"/>
  <c r="D161" i="2"/>
  <c r="Q161" i="3" s="1"/>
  <c r="D161" i="3" s="1"/>
  <c r="B161" i="2"/>
  <c r="E161" i="2"/>
  <c r="R161" i="3" s="1"/>
  <c r="E161" i="3" s="1"/>
  <c r="G149" i="2"/>
  <c r="T149" i="3" s="1"/>
  <c r="G149" i="3" s="1"/>
  <c r="D149" i="2"/>
  <c r="Q149" i="3" s="1"/>
  <c r="D149" i="3" s="1"/>
  <c r="E137" i="2"/>
  <c r="R137" i="3" s="1"/>
  <c r="E137" i="3" s="1"/>
  <c r="B137" i="2"/>
  <c r="C125" i="2"/>
  <c r="P125" i="3" s="1"/>
  <c r="C125" i="3" s="1"/>
  <c r="D125" i="2"/>
  <c r="Q125" i="3" s="1"/>
  <c r="D125" i="3" s="1"/>
  <c r="E113" i="2"/>
  <c r="R113" i="3" s="1"/>
  <c r="E113" i="3" s="1"/>
  <c r="C113" i="2"/>
  <c r="P113" i="3" s="1"/>
  <c r="C113" i="3" s="1"/>
  <c r="G113" i="2"/>
  <c r="T113" i="3" s="1"/>
  <c r="G113" i="3" s="1"/>
  <c r="G101" i="2"/>
  <c r="T101" i="3" s="1"/>
  <c r="G101" i="3" s="1"/>
  <c r="D101" i="2"/>
  <c r="Q101" i="3" s="1"/>
  <c r="D101" i="3" s="1"/>
  <c r="C89" i="2"/>
  <c r="P89" i="3" s="1"/>
  <c r="C89" i="3" s="1"/>
  <c r="D89" i="2"/>
  <c r="Q89" i="3" s="1"/>
  <c r="D89" i="3" s="1"/>
  <c r="G77" i="2"/>
  <c r="T77" i="3" s="1"/>
  <c r="G77" i="3" s="1"/>
  <c r="D77" i="2"/>
  <c r="Q77" i="3" s="1"/>
  <c r="D77" i="3" s="1"/>
  <c r="C65" i="2"/>
  <c r="P65" i="3" s="1"/>
  <c r="C65" i="3" s="1"/>
  <c r="H65" i="2"/>
  <c r="U65" i="3" s="1"/>
  <c r="V65" i="3" s="1"/>
  <c r="W65" i="3" s="1"/>
  <c r="D65" i="2"/>
  <c r="Q65" i="3" s="1"/>
  <c r="D65" i="3" s="1"/>
  <c r="G53" i="2"/>
  <c r="T53" i="3" s="1"/>
  <c r="G53" i="3" s="1"/>
  <c r="D53" i="2"/>
  <c r="Q53" i="3" s="1"/>
  <c r="D53" i="3" s="1"/>
  <c r="C41" i="2"/>
  <c r="P41" i="3" s="1"/>
  <c r="C41" i="3" s="1"/>
  <c r="D41" i="2"/>
  <c r="Q41" i="3" s="1"/>
  <c r="D41" i="3" s="1"/>
  <c r="E29" i="2"/>
  <c r="R29" i="3" s="1"/>
  <c r="E29" i="3" s="1"/>
  <c r="C29" i="2"/>
  <c r="P29" i="3" s="1"/>
  <c r="C29" i="3" s="1"/>
  <c r="G29" i="2"/>
  <c r="T29" i="3" s="1"/>
  <c r="G29" i="3" s="1"/>
  <c r="B17" i="2"/>
  <c r="G17" i="2"/>
  <c r="T17" i="3" s="1"/>
  <c r="G17" i="3" s="1"/>
  <c r="C17" i="2"/>
  <c r="P17" i="3" s="1"/>
  <c r="C17" i="3" s="1"/>
  <c r="C246" i="2"/>
  <c r="P246" i="3" s="1"/>
  <c r="C246" i="3" s="1"/>
  <c r="C66" i="2"/>
  <c r="P66" i="3" s="1"/>
  <c r="C66" i="3" s="1"/>
  <c r="C309" i="2"/>
  <c r="P309" i="3" s="1"/>
  <c r="C309" i="3" s="1"/>
  <c r="C205" i="2"/>
  <c r="P205" i="3" s="1"/>
  <c r="C205" i="3" s="1"/>
  <c r="C181" i="2"/>
  <c r="P181" i="3" s="1"/>
  <c r="C181" i="3" s="1"/>
  <c r="C157" i="2"/>
  <c r="P157" i="3" s="1"/>
  <c r="C157" i="3" s="1"/>
  <c r="C141" i="2"/>
  <c r="P141" i="3" s="1"/>
  <c r="C141" i="3" s="1"/>
  <c r="C109" i="2"/>
  <c r="P109" i="3" s="1"/>
  <c r="C109" i="3" s="1"/>
  <c r="C21" i="2"/>
  <c r="P21" i="3" s="1"/>
  <c r="C21" i="3" s="1"/>
  <c r="C300" i="2"/>
  <c r="P300" i="3" s="1"/>
  <c r="C300" i="3" s="1"/>
  <c r="C252" i="2"/>
  <c r="P252" i="3" s="1"/>
  <c r="C252" i="3" s="1"/>
  <c r="C216" i="2"/>
  <c r="P216" i="3" s="1"/>
  <c r="C216" i="3" s="1"/>
  <c r="C180" i="2"/>
  <c r="P180" i="3" s="1"/>
  <c r="C180" i="3" s="1"/>
  <c r="C144" i="2"/>
  <c r="P144" i="3" s="1"/>
  <c r="C144" i="3" s="1"/>
  <c r="C54" i="2"/>
  <c r="P54" i="3" s="1"/>
  <c r="C54" i="3" s="1"/>
  <c r="C285" i="2"/>
  <c r="P285" i="3" s="1"/>
  <c r="C285" i="3" s="1"/>
  <c r="C273" i="2"/>
  <c r="P273" i="3" s="1"/>
  <c r="C273" i="3" s="1"/>
  <c r="C261" i="2"/>
  <c r="P261" i="3" s="1"/>
  <c r="C261" i="3" s="1"/>
  <c r="C213" i="2"/>
  <c r="P213" i="3" s="1"/>
  <c r="C213" i="3" s="1"/>
  <c r="C189" i="2"/>
  <c r="P189" i="3" s="1"/>
  <c r="C189" i="3" s="1"/>
  <c r="C165" i="2"/>
  <c r="P165" i="3" s="1"/>
  <c r="C165" i="3" s="1"/>
  <c r="C129" i="2"/>
  <c r="P129" i="3" s="1"/>
  <c r="C129" i="3" s="1"/>
  <c r="C97" i="2"/>
  <c r="P97" i="3" s="1"/>
  <c r="C97" i="3" s="1"/>
  <c r="C73" i="2"/>
  <c r="P73" i="3" s="1"/>
  <c r="C73" i="3" s="1"/>
  <c r="C49" i="2"/>
  <c r="P49" i="3" s="1"/>
  <c r="C49" i="3" s="1"/>
  <c r="C294" i="2"/>
  <c r="P294" i="3" s="1"/>
  <c r="C294" i="3" s="1"/>
  <c r="C150" i="2"/>
  <c r="P150" i="3" s="1"/>
  <c r="C150" i="3" s="1"/>
  <c r="C237" i="2"/>
  <c r="P237" i="3" s="1"/>
  <c r="C237" i="3" s="1"/>
  <c r="C225" i="2"/>
  <c r="P225" i="3" s="1"/>
  <c r="C225" i="3" s="1"/>
  <c r="C201" i="2"/>
  <c r="P201" i="3" s="1"/>
  <c r="C201" i="3" s="1"/>
  <c r="C177" i="2"/>
  <c r="P177" i="3" s="1"/>
  <c r="C177" i="3" s="1"/>
  <c r="C121" i="2"/>
  <c r="P121" i="3" s="1"/>
  <c r="C121" i="3" s="1"/>
  <c r="C105" i="2"/>
  <c r="P105" i="3" s="1"/>
  <c r="C105" i="3" s="1"/>
  <c r="C85" i="2"/>
  <c r="P85" i="3" s="1"/>
  <c r="C85" i="3" s="1"/>
  <c r="C61" i="2"/>
  <c r="P61" i="3" s="1"/>
  <c r="C61" i="3" s="1"/>
  <c r="C37" i="2"/>
  <c r="P37" i="3" s="1"/>
  <c r="C37" i="3" s="1"/>
  <c r="C96" i="2"/>
  <c r="P96" i="3" s="1"/>
  <c r="C96" i="3" s="1"/>
  <c r="B220" i="3"/>
  <c r="C196" i="1"/>
  <c r="C208" i="1"/>
  <c r="C220" i="1"/>
  <c r="C292" i="1"/>
  <c r="C304" i="1"/>
  <c r="C316" i="1"/>
  <c r="B141" i="1"/>
  <c r="B117" i="1"/>
  <c r="B93" i="1"/>
  <c r="B69" i="1"/>
  <c r="E328" i="2"/>
  <c r="R328" i="3" s="1"/>
  <c r="E328" i="3" s="1"/>
  <c r="B328" i="2"/>
  <c r="D322" i="2"/>
  <c r="Q322" i="3" s="1"/>
  <c r="D322" i="3" s="1"/>
  <c r="E322" i="2"/>
  <c r="R322" i="3" s="1"/>
  <c r="E322" i="3" s="1"/>
  <c r="C316" i="2"/>
  <c r="P316" i="3" s="1"/>
  <c r="C316" i="3" s="1"/>
  <c r="E316" i="2"/>
  <c r="R316" i="3" s="1"/>
  <c r="E316" i="3" s="1"/>
  <c r="C304" i="2"/>
  <c r="P304" i="3" s="1"/>
  <c r="C304" i="3" s="1"/>
  <c r="D304" i="2"/>
  <c r="Q304" i="3" s="1"/>
  <c r="D304" i="3" s="1"/>
  <c r="G304" i="2"/>
  <c r="T304" i="3" s="1"/>
  <c r="G304" i="3" s="1"/>
  <c r="F292" i="2"/>
  <c r="S292" i="3" s="1"/>
  <c r="F292" i="3" s="1"/>
  <c r="E292" i="2"/>
  <c r="R292" i="3" s="1"/>
  <c r="E292" i="3" s="1"/>
  <c r="D280" i="2"/>
  <c r="Q280" i="3" s="1"/>
  <c r="D280" i="3" s="1"/>
  <c r="E280" i="2"/>
  <c r="R280" i="3" s="1"/>
  <c r="E280" i="3" s="1"/>
  <c r="C256" i="2"/>
  <c r="P256" i="3" s="1"/>
  <c r="C256" i="3" s="1"/>
  <c r="G256" i="2"/>
  <c r="T256" i="3" s="1"/>
  <c r="G256" i="3" s="1"/>
  <c r="C232" i="2"/>
  <c r="P232" i="3" s="1"/>
  <c r="C232" i="3" s="1"/>
  <c r="D232" i="2"/>
  <c r="Q232" i="3" s="1"/>
  <c r="D232" i="3" s="1"/>
  <c r="E220" i="2"/>
  <c r="R220" i="3" s="1"/>
  <c r="E220" i="3" s="1"/>
  <c r="G220" i="2"/>
  <c r="T220" i="3" s="1"/>
  <c r="G220" i="3" s="1"/>
  <c r="C196" i="2"/>
  <c r="P196" i="3" s="1"/>
  <c r="C196" i="3" s="1"/>
  <c r="E196" i="2"/>
  <c r="R196" i="3" s="1"/>
  <c r="E196" i="3" s="1"/>
  <c r="D190" i="2"/>
  <c r="Q190" i="3" s="1"/>
  <c r="D190" i="3" s="1"/>
  <c r="E190" i="2"/>
  <c r="R190" i="3" s="1"/>
  <c r="E190" i="3" s="1"/>
  <c r="D166" i="2"/>
  <c r="Q166" i="3" s="1"/>
  <c r="D166" i="3" s="1"/>
  <c r="E166" i="2"/>
  <c r="R166" i="3" s="1"/>
  <c r="E166" i="3" s="1"/>
  <c r="C160" i="2"/>
  <c r="P160" i="3" s="1"/>
  <c r="C160" i="3" s="1"/>
  <c r="E160" i="2"/>
  <c r="R160" i="3" s="1"/>
  <c r="E160" i="3" s="1"/>
  <c r="D142" i="2"/>
  <c r="Q142" i="3" s="1"/>
  <c r="D142" i="3" s="1"/>
  <c r="B142" i="2"/>
  <c r="G34" i="2"/>
  <c r="T34" i="3" s="1"/>
  <c r="G34" i="3" s="1"/>
  <c r="B34" i="2"/>
  <c r="D313" i="2"/>
  <c r="Q313" i="3" s="1"/>
  <c r="D313" i="3" s="1"/>
  <c r="D297" i="2"/>
  <c r="Q297" i="3" s="1"/>
  <c r="D297" i="3" s="1"/>
  <c r="D261" i="2"/>
  <c r="Q261" i="3" s="1"/>
  <c r="D261" i="3" s="1"/>
  <c r="D241" i="2"/>
  <c r="Q241" i="3" s="1"/>
  <c r="D241" i="3" s="1"/>
  <c r="D229" i="2"/>
  <c r="Q229" i="3" s="1"/>
  <c r="D229" i="3" s="1"/>
  <c r="D145" i="2"/>
  <c r="Q145" i="3" s="1"/>
  <c r="D145" i="3" s="1"/>
  <c r="D93" i="2"/>
  <c r="Q93" i="3" s="1"/>
  <c r="D93" i="3" s="1"/>
  <c r="D69" i="2"/>
  <c r="Q69" i="3" s="1"/>
  <c r="D69" i="3" s="1"/>
  <c r="D45" i="2"/>
  <c r="Q45" i="3" s="1"/>
  <c r="D45" i="3" s="1"/>
  <c r="D25" i="2"/>
  <c r="Q25" i="3" s="1"/>
  <c r="D25" i="3" s="1"/>
  <c r="D210" i="2"/>
  <c r="Q210" i="3" s="1"/>
  <c r="D210" i="3" s="1"/>
  <c r="D301" i="2"/>
  <c r="Q301" i="3" s="1"/>
  <c r="D301" i="3" s="1"/>
  <c r="D277" i="2"/>
  <c r="Q277" i="3" s="1"/>
  <c r="D277" i="3" s="1"/>
  <c r="D265" i="2"/>
  <c r="Q265" i="3" s="1"/>
  <c r="D265" i="3" s="1"/>
  <c r="D217" i="2"/>
  <c r="Q217" i="3" s="1"/>
  <c r="D217" i="3" s="1"/>
  <c r="D193" i="2"/>
  <c r="Q193" i="3" s="1"/>
  <c r="D193" i="3" s="1"/>
  <c r="D169" i="2"/>
  <c r="Q169" i="3" s="1"/>
  <c r="D169" i="3" s="1"/>
  <c r="D133" i="2"/>
  <c r="Q133" i="3" s="1"/>
  <c r="D133" i="3" s="1"/>
  <c r="D117" i="2"/>
  <c r="Q117" i="3" s="1"/>
  <c r="D117" i="3" s="1"/>
  <c r="D13" i="2"/>
  <c r="Q13" i="3" s="1"/>
  <c r="D13" i="3" s="1"/>
  <c r="D324" i="2"/>
  <c r="Q324" i="3" s="1"/>
  <c r="D324" i="3" s="1"/>
  <c r="D78" i="2"/>
  <c r="Q78" i="3" s="1"/>
  <c r="D78" i="3" s="1"/>
  <c r="D42" i="2"/>
  <c r="Q42" i="3" s="1"/>
  <c r="D42" i="3" s="1"/>
  <c r="D249" i="2"/>
  <c r="Q249" i="3" s="1"/>
  <c r="D249" i="3" s="1"/>
  <c r="D205" i="2"/>
  <c r="Q205" i="3" s="1"/>
  <c r="D205" i="3" s="1"/>
  <c r="D181" i="2"/>
  <c r="Q181" i="3" s="1"/>
  <c r="D181" i="3" s="1"/>
  <c r="D157" i="2"/>
  <c r="Q157" i="3" s="1"/>
  <c r="D157" i="3" s="1"/>
  <c r="D141" i="2"/>
  <c r="Q141" i="3" s="1"/>
  <c r="D141" i="3" s="1"/>
  <c r="D109" i="2"/>
  <c r="Q109" i="3" s="1"/>
  <c r="D109" i="3" s="1"/>
  <c r="D21" i="2"/>
  <c r="Q21" i="3" s="1"/>
  <c r="D21" i="3" s="1"/>
  <c r="D300" i="2"/>
  <c r="Q300" i="3" s="1"/>
  <c r="D300" i="3" s="1"/>
  <c r="D276" i="2"/>
  <c r="Q276" i="3" s="1"/>
  <c r="D276" i="3" s="1"/>
  <c r="D252" i="2"/>
  <c r="Q252" i="3" s="1"/>
  <c r="D252" i="3" s="1"/>
  <c r="D216" i="2"/>
  <c r="Q216" i="3" s="1"/>
  <c r="D216" i="3" s="1"/>
  <c r="D192" i="2"/>
  <c r="Q192" i="3" s="1"/>
  <c r="D192" i="3" s="1"/>
  <c r="D156" i="2"/>
  <c r="Q156" i="3" s="1"/>
  <c r="D156" i="3" s="1"/>
  <c r="D120" i="2"/>
  <c r="Q120" i="3" s="1"/>
  <c r="D120" i="3" s="1"/>
  <c r="B244" i="3"/>
  <c r="B295" i="3"/>
  <c r="B223" i="3"/>
  <c r="B199" i="3"/>
  <c r="B97" i="3"/>
  <c r="B79" i="3"/>
  <c r="D321" i="2"/>
  <c r="Q321" i="3" s="1"/>
  <c r="D321" i="3" s="1"/>
  <c r="B15" i="2"/>
  <c r="E275" i="2"/>
  <c r="R275" i="3" s="1"/>
  <c r="E275" i="3" s="1"/>
  <c r="D272" i="2"/>
  <c r="Q272" i="3" s="1"/>
  <c r="D272" i="3" s="1"/>
  <c r="T260" i="3"/>
  <c r="G260" i="3" s="1"/>
  <c r="C248" i="2"/>
  <c r="P248" i="3" s="1"/>
  <c r="C248" i="3" s="1"/>
  <c r="T224" i="3"/>
  <c r="G224" i="3" s="1"/>
  <c r="S212" i="3"/>
  <c r="F212" i="3" s="1"/>
  <c r="C116" i="2"/>
  <c r="P116" i="3" s="1"/>
  <c r="C116" i="3" s="1"/>
  <c r="S56" i="3"/>
  <c r="F56" i="3" s="1"/>
  <c r="C50" i="2"/>
  <c r="P50" i="3" s="1"/>
  <c r="C50" i="3" s="1"/>
  <c r="C271" i="2"/>
  <c r="P271" i="3" s="1"/>
  <c r="C271" i="3" s="1"/>
  <c r="G323" i="2"/>
  <c r="T323" i="3" s="1"/>
  <c r="G323" i="3" s="1"/>
  <c r="B62" i="3"/>
  <c r="B293" i="3"/>
  <c r="B161" i="3"/>
  <c r="B33" i="3"/>
  <c r="B227" i="3"/>
  <c r="B167" i="3"/>
  <c r="B131" i="3"/>
  <c r="B95" i="3"/>
  <c r="B63" i="3"/>
  <c r="B35" i="3"/>
  <c r="B7" i="3"/>
  <c r="B260" i="3"/>
  <c r="B236" i="3"/>
  <c r="B212" i="3"/>
  <c r="B188" i="3"/>
  <c r="B164" i="3"/>
  <c r="B140" i="3"/>
  <c r="B116" i="3"/>
  <c r="B92" i="3"/>
  <c r="B68" i="3"/>
  <c r="B44" i="3"/>
  <c r="B20" i="3"/>
  <c r="B261" i="3"/>
  <c r="B129" i="3"/>
  <c r="B323" i="3"/>
  <c r="B195" i="3"/>
  <c r="B159" i="3"/>
  <c r="B123" i="3"/>
  <c r="B87" i="3"/>
  <c r="B59" i="3"/>
  <c r="B31" i="3"/>
  <c r="B9" i="3"/>
  <c r="B284" i="3"/>
  <c r="B256" i="3"/>
  <c r="B232" i="3"/>
  <c r="B208" i="3"/>
  <c r="B184" i="3"/>
  <c r="B160" i="3"/>
  <c r="B136" i="3"/>
  <c r="B112" i="3"/>
  <c r="B88" i="3"/>
  <c r="B64" i="3"/>
  <c r="B40" i="3"/>
  <c r="B16" i="3"/>
  <c r="B86" i="3"/>
  <c r="B257" i="3"/>
  <c r="B101" i="3"/>
  <c r="B299" i="3"/>
  <c r="B219" i="3"/>
  <c r="B191" i="3"/>
  <c r="B155" i="3"/>
  <c r="B119" i="3"/>
  <c r="B83" i="3"/>
  <c r="B55" i="3"/>
  <c r="B27" i="3"/>
  <c r="B308" i="3"/>
  <c r="B70" i="3"/>
  <c r="B225" i="3"/>
  <c r="B215" i="3"/>
  <c r="B183" i="3"/>
  <c r="B147" i="3"/>
  <c r="B111" i="3"/>
  <c r="B51" i="3"/>
  <c r="B23" i="3"/>
  <c r="B272" i="3"/>
  <c r="B248" i="3"/>
  <c r="B224" i="3"/>
  <c r="B200" i="3"/>
  <c r="B176" i="3"/>
  <c r="B152" i="3"/>
  <c r="B128" i="3"/>
  <c r="B104" i="3"/>
  <c r="B80" i="3"/>
  <c r="B56" i="3"/>
  <c r="B32" i="3"/>
  <c r="B8" i="3"/>
  <c r="B22" i="3"/>
  <c r="B165" i="3"/>
  <c r="B65" i="3"/>
  <c r="B251" i="3"/>
  <c r="B203" i="3"/>
  <c r="B171" i="3"/>
  <c r="B135" i="3"/>
  <c r="B99" i="3"/>
  <c r="B71" i="3"/>
  <c r="B39" i="3"/>
  <c r="B11" i="3"/>
  <c r="B292" i="3"/>
  <c r="F171" i="2"/>
  <c r="S171" i="3" s="1"/>
  <c r="F171" i="3" s="1"/>
  <c r="T179" i="3"/>
  <c r="G179" i="3" s="1"/>
  <c r="B224" i="2"/>
  <c r="F311" i="2"/>
  <c r="S311" i="3" s="1"/>
  <c r="F311" i="3" s="1"/>
  <c r="T319" i="3"/>
  <c r="G319" i="3" s="1"/>
  <c r="B38" i="2"/>
  <c r="E242" i="2"/>
  <c r="R242" i="3" s="1"/>
  <c r="E242" i="3" s="1"/>
  <c r="B242" i="2"/>
  <c r="D236" i="2"/>
  <c r="Q236" i="3" s="1"/>
  <c r="D236" i="3" s="1"/>
  <c r="F236" i="2"/>
  <c r="S236" i="3" s="1"/>
  <c r="F236" i="3" s="1"/>
  <c r="B236" i="2"/>
  <c r="E188" i="2"/>
  <c r="R188" i="3" s="1"/>
  <c r="E188" i="3" s="1"/>
  <c r="F188" i="2"/>
  <c r="S188" i="3" s="1"/>
  <c r="F188" i="3" s="1"/>
  <c r="G176" i="2"/>
  <c r="T176" i="3" s="1"/>
  <c r="G176" i="3" s="1"/>
  <c r="D176" i="2"/>
  <c r="Q176" i="3" s="1"/>
  <c r="D176" i="3" s="1"/>
  <c r="C164" i="2"/>
  <c r="P164" i="3" s="1"/>
  <c r="C164" i="3" s="1"/>
  <c r="F164" i="2"/>
  <c r="S164" i="3" s="1"/>
  <c r="F164" i="3" s="1"/>
  <c r="E164" i="2"/>
  <c r="R164" i="3" s="1"/>
  <c r="E164" i="3" s="1"/>
  <c r="G152" i="2"/>
  <c r="T152" i="3" s="1"/>
  <c r="G152" i="3" s="1"/>
  <c r="D152" i="2"/>
  <c r="Q152" i="3" s="1"/>
  <c r="D152" i="3" s="1"/>
  <c r="B140" i="2"/>
  <c r="E140" i="2"/>
  <c r="R140" i="3" s="1"/>
  <c r="E140" i="3" s="1"/>
  <c r="C140" i="2"/>
  <c r="P140" i="3" s="1"/>
  <c r="C140" i="3" s="1"/>
  <c r="C128" i="2"/>
  <c r="P128" i="3" s="1"/>
  <c r="C128" i="3" s="1"/>
  <c r="F128" i="2"/>
  <c r="S128" i="3" s="1"/>
  <c r="F128" i="3" s="1"/>
  <c r="E128" i="2"/>
  <c r="R128" i="3" s="1"/>
  <c r="E128" i="3" s="1"/>
  <c r="E116" i="2"/>
  <c r="R116" i="3" s="1"/>
  <c r="E116" i="3" s="1"/>
  <c r="G116" i="2"/>
  <c r="T116" i="3" s="1"/>
  <c r="G116" i="3" s="1"/>
  <c r="F116" i="2"/>
  <c r="S116" i="3" s="1"/>
  <c r="F116" i="3" s="1"/>
  <c r="B104" i="2"/>
  <c r="D104" i="2"/>
  <c r="Q104" i="3" s="1"/>
  <c r="D104" i="3" s="1"/>
  <c r="G104" i="2"/>
  <c r="T104" i="3" s="1"/>
  <c r="G104" i="3" s="1"/>
  <c r="B92" i="2"/>
  <c r="G92" i="2"/>
  <c r="T92" i="3" s="1"/>
  <c r="G92" i="3" s="1"/>
  <c r="E92" i="2"/>
  <c r="R92" i="3" s="1"/>
  <c r="E92" i="3" s="1"/>
  <c r="C92" i="2"/>
  <c r="P92" i="3" s="1"/>
  <c r="C92" i="3" s="1"/>
  <c r="D80" i="2"/>
  <c r="Q80" i="3" s="1"/>
  <c r="D80" i="3" s="1"/>
  <c r="F80" i="2"/>
  <c r="S80" i="3" s="1"/>
  <c r="F80" i="3" s="1"/>
  <c r="E80" i="2"/>
  <c r="R80" i="3" s="1"/>
  <c r="E80" i="3" s="1"/>
  <c r="C80" i="2"/>
  <c r="P80" i="3" s="1"/>
  <c r="C80" i="3" s="1"/>
  <c r="B80" i="2"/>
  <c r="B68" i="2"/>
  <c r="E68" i="2"/>
  <c r="R68" i="3" s="1"/>
  <c r="E68" i="3" s="1"/>
  <c r="C68" i="2"/>
  <c r="P68" i="3" s="1"/>
  <c r="C68" i="3" s="1"/>
  <c r="D68" i="2"/>
  <c r="Q68" i="3" s="1"/>
  <c r="D68" i="3" s="1"/>
  <c r="D62" i="2"/>
  <c r="Q62" i="3" s="1"/>
  <c r="D62" i="3" s="1"/>
  <c r="B62" i="2"/>
  <c r="B56" i="2"/>
  <c r="C56" i="2"/>
  <c r="P56" i="3" s="1"/>
  <c r="C56" i="3" s="1"/>
  <c r="D56" i="2"/>
  <c r="Q56" i="3" s="1"/>
  <c r="D56" i="3" s="1"/>
  <c r="G56" i="2"/>
  <c r="T56" i="3" s="1"/>
  <c r="G56" i="3" s="1"/>
  <c r="D44" i="2"/>
  <c r="Q44" i="3" s="1"/>
  <c r="D44" i="3" s="1"/>
  <c r="B44" i="2"/>
  <c r="G44" i="2"/>
  <c r="T44" i="3" s="1"/>
  <c r="G44" i="3" s="1"/>
  <c r="F44" i="2"/>
  <c r="S44" i="3" s="1"/>
  <c r="F44" i="3" s="1"/>
  <c r="B32" i="2"/>
  <c r="D32" i="2"/>
  <c r="Q32" i="3" s="1"/>
  <c r="D32" i="3" s="1"/>
  <c r="G32" i="2"/>
  <c r="T32" i="3" s="1"/>
  <c r="G32" i="3" s="1"/>
  <c r="F32" i="2"/>
  <c r="S32" i="3" s="1"/>
  <c r="F32" i="3" s="1"/>
  <c r="D20" i="2"/>
  <c r="Q20" i="3" s="1"/>
  <c r="D20" i="3" s="1"/>
  <c r="B20" i="2"/>
  <c r="G20" i="2"/>
  <c r="T20" i="3" s="1"/>
  <c r="G20" i="3" s="1"/>
  <c r="F20" i="2"/>
  <c r="S20" i="3" s="1"/>
  <c r="F20" i="3" s="1"/>
  <c r="B8" i="2"/>
  <c r="G8" i="2"/>
  <c r="T8" i="3" s="1"/>
  <c r="G8" i="3" s="1"/>
  <c r="F8" i="2"/>
  <c r="S8" i="3" s="1"/>
  <c r="F8" i="3" s="1"/>
  <c r="F168" i="2"/>
  <c r="S168" i="3" s="1"/>
  <c r="F168" i="3" s="1"/>
  <c r="F216" i="2"/>
  <c r="S216" i="3" s="1"/>
  <c r="F216" i="3" s="1"/>
  <c r="F112" i="2"/>
  <c r="S112" i="3" s="1"/>
  <c r="F112" i="3" s="1"/>
  <c r="F88" i="2"/>
  <c r="S88" i="3" s="1"/>
  <c r="F88" i="3" s="1"/>
  <c r="F84" i="2"/>
  <c r="S84" i="3" s="1"/>
  <c r="F84" i="3" s="1"/>
  <c r="F327" i="2"/>
  <c r="S327" i="3" s="1"/>
  <c r="F327" i="3" s="1"/>
  <c r="F220" i="2"/>
  <c r="S220" i="3" s="1"/>
  <c r="F220" i="3" s="1"/>
  <c r="F124" i="2"/>
  <c r="S124" i="3" s="1"/>
  <c r="F124" i="3" s="1"/>
  <c r="F6" i="2"/>
  <c r="S6" i="3" s="1"/>
  <c r="F6" i="3" s="1"/>
  <c r="F235" i="2"/>
  <c r="S235" i="3" s="1"/>
  <c r="F235" i="3" s="1"/>
  <c r="F96" i="2"/>
  <c r="S96" i="3" s="1"/>
  <c r="F96" i="3" s="1"/>
  <c r="F283" i="2"/>
  <c r="S283" i="3" s="1"/>
  <c r="F283" i="3" s="1"/>
  <c r="F183" i="2"/>
  <c r="S183" i="3" s="1"/>
  <c r="F183" i="3" s="1"/>
  <c r="F175" i="2"/>
  <c r="S175" i="3" s="1"/>
  <c r="F175" i="3" s="1"/>
  <c r="F167" i="2"/>
  <c r="S167" i="3" s="1"/>
  <c r="F167" i="3" s="1"/>
  <c r="F159" i="2"/>
  <c r="S159" i="3" s="1"/>
  <c r="F159" i="3" s="1"/>
  <c r="F151" i="2"/>
  <c r="S151" i="3" s="1"/>
  <c r="F151" i="3" s="1"/>
  <c r="F143" i="2"/>
  <c r="S143" i="3" s="1"/>
  <c r="F143" i="3" s="1"/>
  <c r="F172" i="2"/>
  <c r="S172" i="3" s="1"/>
  <c r="F172" i="3" s="1"/>
  <c r="F100" i="2"/>
  <c r="S100" i="3" s="1"/>
  <c r="F100" i="3" s="1"/>
  <c r="F52" i="2"/>
  <c r="S52" i="3" s="1"/>
  <c r="F52" i="3" s="1"/>
  <c r="F48" i="2"/>
  <c r="S48" i="3" s="1"/>
  <c r="F48" i="3" s="1"/>
  <c r="F40" i="2"/>
  <c r="S40" i="3" s="1"/>
  <c r="F40" i="3" s="1"/>
  <c r="F36" i="2"/>
  <c r="S36" i="3" s="1"/>
  <c r="F36" i="3" s="1"/>
  <c r="F28" i="2"/>
  <c r="S28" i="3" s="1"/>
  <c r="F28" i="3" s="1"/>
  <c r="F24" i="2"/>
  <c r="S24" i="3" s="1"/>
  <c r="F24" i="3" s="1"/>
  <c r="F16" i="2"/>
  <c r="S16" i="3" s="1"/>
  <c r="F16" i="3" s="1"/>
  <c r="F12" i="2"/>
  <c r="S12" i="3" s="1"/>
  <c r="F12" i="3" s="1"/>
  <c r="F303" i="2"/>
  <c r="S303" i="3" s="1"/>
  <c r="F303" i="3" s="1"/>
  <c r="F276" i="2"/>
  <c r="S276" i="3" s="1"/>
  <c r="F276" i="3" s="1"/>
  <c r="F144" i="2"/>
  <c r="S144" i="3" s="1"/>
  <c r="F144" i="3" s="1"/>
  <c r="Q235" i="3"/>
  <c r="D235" i="3" s="1"/>
  <c r="B188" i="2"/>
  <c r="G80" i="2"/>
  <c r="T80" i="3" s="1"/>
  <c r="G80" i="3" s="1"/>
  <c r="Q100" i="3"/>
  <c r="D100" i="3" s="1"/>
  <c r="R120" i="3"/>
  <c r="E120" i="3" s="1"/>
  <c r="D128" i="2"/>
  <c r="Q128" i="3" s="1"/>
  <c r="D128" i="3" s="1"/>
  <c r="E152" i="2"/>
  <c r="R152" i="3" s="1"/>
  <c r="E152" i="3" s="1"/>
  <c r="B319" i="3"/>
  <c r="B313" i="3"/>
  <c r="B307" i="3"/>
  <c r="B289" i="3"/>
  <c r="B283" i="3"/>
  <c r="B277" i="3"/>
  <c r="B271" i="3"/>
  <c r="B265" i="3"/>
  <c r="B259" i="3"/>
  <c r="B247" i="3"/>
  <c r="B241" i="3"/>
  <c r="B235" i="3"/>
  <c r="B229" i="3"/>
  <c r="B217" i="3"/>
  <c r="B211" i="3"/>
  <c r="B193" i="3"/>
  <c r="B187" i="3"/>
  <c r="B181" i="3"/>
  <c r="B175" i="3"/>
  <c r="B169" i="3"/>
  <c r="B163" i="3"/>
  <c r="B151" i="3"/>
  <c r="B145" i="3"/>
  <c r="B139" i="3"/>
  <c r="B133" i="3"/>
  <c r="B127" i="3"/>
  <c r="B121" i="3"/>
  <c r="B115" i="3"/>
  <c r="B103" i="3"/>
  <c r="B91" i="3"/>
  <c r="B85" i="3"/>
  <c r="B73" i="3"/>
  <c r="B67" i="3"/>
  <c r="B49" i="3"/>
  <c r="B43" i="3"/>
  <c r="B37" i="3"/>
  <c r="T311" i="3"/>
  <c r="G311" i="3" s="1"/>
  <c r="T64" i="3"/>
  <c r="G64" i="3" s="1"/>
  <c r="Q124" i="3"/>
  <c r="D124" i="3" s="1"/>
  <c r="E258" i="2"/>
  <c r="R258" i="3" s="1"/>
  <c r="E258" i="3" s="1"/>
  <c r="E286" i="2"/>
  <c r="R286" i="3" s="1"/>
  <c r="E286" i="3" s="1"/>
  <c r="E203" i="2"/>
  <c r="R203" i="3" s="1"/>
  <c r="E203" i="3" s="1"/>
  <c r="D267" i="2"/>
  <c r="Q267" i="3" s="1"/>
  <c r="D267" i="3" s="1"/>
  <c r="E307" i="2"/>
  <c r="R307" i="3" s="1"/>
  <c r="E307" i="3" s="1"/>
  <c r="E259" i="2"/>
  <c r="R259" i="3" s="1"/>
  <c r="E259" i="3" s="1"/>
  <c r="E247" i="2"/>
  <c r="R247" i="3" s="1"/>
  <c r="E247" i="3" s="1"/>
  <c r="E223" i="2"/>
  <c r="R223" i="3" s="1"/>
  <c r="E223" i="3" s="1"/>
  <c r="E199" i="2"/>
  <c r="R199" i="3" s="1"/>
  <c r="E199" i="3" s="1"/>
  <c r="E187" i="2"/>
  <c r="R187" i="3" s="1"/>
  <c r="E187" i="3" s="1"/>
  <c r="B204" i="5"/>
  <c r="T16" i="3"/>
  <c r="G16" i="3" s="1"/>
  <c r="T28" i="3"/>
  <c r="G28" i="3" s="1"/>
  <c r="T40" i="3"/>
  <c r="G40" i="3" s="1"/>
  <c r="Q76" i="3"/>
  <c r="D76" i="3" s="1"/>
  <c r="C297" i="2"/>
  <c r="P297" i="3" s="1"/>
  <c r="C297" i="3" s="1"/>
  <c r="G309" i="2"/>
  <c r="T309" i="3" s="1"/>
  <c r="G309" i="3" s="1"/>
  <c r="C321" i="2"/>
  <c r="P321" i="3" s="1"/>
  <c r="C321" i="3" s="1"/>
  <c r="E42" i="2"/>
  <c r="R42" i="3" s="1"/>
  <c r="E42" i="3" s="1"/>
  <c r="E66" i="2"/>
  <c r="R66" i="3" s="1"/>
  <c r="E66" i="3" s="1"/>
  <c r="E102" i="2"/>
  <c r="R102" i="3" s="1"/>
  <c r="E102" i="3" s="1"/>
  <c r="E130" i="2"/>
  <c r="R130" i="3" s="1"/>
  <c r="E130" i="3" s="1"/>
  <c r="E246" i="2"/>
  <c r="R246" i="3" s="1"/>
  <c r="E246" i="3" s="1"/>
  <c r="E262" i="2"/>
  <c r="R262" i="3" s="1"/>
  <c r="E262" i="3" s="1"/>
  <c r="E310" i="2"/>
  <c r="R310" i="3" s="1"/>
  <c r="E310" i="3" s="1"/>
  <c r="E330" i="2"/>
  <c r="R330" i="3" s="1"/>
  <c r="E330" i="3" s="1"/>
  <c r="E207" i="2"/>
  <c r="R207" i="3" s="1"/>
  <c r="E207" i="3" s="1"/>
  <c r="E227" i="2"/>
  <c r="R227" i="3" s="1"/>
  <c r="E227" i="3" s="1"/>
  <c r="E251" i="2"/>
  <c r="R251" i="3" s="1"/>
  <c r="E251" i="3" s="1"/>
  <c r="E299" i="2"/>
  <c r="R299" i="3" s="1"/>
  <c r="E299" i="3" s="1"/>
  <c r="E138" i="2"/>
  <c r="R138" i="3" s="1"/>
  <c r="E138" i="3" s="1"/>
  <c r="T283" i="3"/>
  <c r="G283" i="3" s="1"/>
  <c r="P72" i="3"/>
  <c r="C72" i="3" s="1"/>
  <c r="T160" i="3"/>
  <c r="G160" i="3" s="1"/>
  <c r="E321" i="2"/>
  <c r="R321" i="3" s="1"/>
  <c r="E321" i="3" s="1"/>
  <c r="E30" i="2"/>
  <c r="R30" i="3" s="1"/>
  <c r="E30" i="3" s="1"/>
  <c r="E178" i="2"/>
  <c r="R178" i="3" s="1"/>
  <c r="E178" i="3" s="1"/>
  <c r="E202" i="2"/>
  <c r="R202" i="3" s="1"/>
  <c r="E202" i="3" s="1"/>
  <c r="E234" i="2"/>
  <c r="R234" i="3" s="1"/>
  <c r="E234" i="3" s="1"/>
  <c r="E270" i="2"/>
  <c r="R270" i="3" s="1"/>
  <c r="E270" i="3" s="1"/>
  <c r="E294" i="2"/>
  <c r="R294" i="3" s="1"/>
  <c r="E294" i="3" s="1"/>
  <c r="D231" i="2"/>
  <c r="Q231" i="3" s="1"/>
  <c r="D231" i="3" s="1"/>
  <c r="D255" i="2"/>
  <c r="Q255" i="3" s="1"/>
  <c r="D255" i="3" s="1"/>
  <c r="C307" i="2"/>
  <c r="P307" i="3" s="1"/>
  <c r="C307" i="3" s="1"/>
  <c r="T235" i="3"/>
  <c r="G235" i="3" s="1"/>
  <c r="P311" i="3"/>
  <c r="C311" i="3" s="1"/>
  <c r="P319" i="3"/>
  <c r="C319" i="3" s="1"/>
  <c r="P16" i="3"/>
  <c r="C16" i="3" s="1"/>
  <c r="Q40" i="3"/>
  <c r="D40" i="3" s="1"/>
  <c r="Q52" i="3"/>
  <c r="D52" i="3" s="1"/>
  <c r="P60" i="3"/>
  <c r="C60" i="3" s="1"/>
  <c r="P64" i="3"/>
  <c r="C64" i="3" s="1"/>
  <c r="T25" i="3"/>
  <c r="G25" i="3" s="1"/>
  <c r="E18" i="2"/>
  <c r="R18" i="3" s="1"/>
  <c r="E18" i="3" s="1"/>
  <c r="E250" i="2"/>
  <c r="R250" i="3" s="1"/>
  <c r="E250" i="3" s="1"/>
  <c r="E298" i="2"/>
  <c r="R298" i="3" s="1"/>
  <c r="E298" i="3" s="1"/>
  <c r="E318" i="2"/>
  <c r="R318" i="3" s="1"/>
  <c r="E318" i="3" s="1"/>
  <c r="E191" i="2"/>
  <c r="R191" i="3" s="1"/>
  <c r="E191" i="3" s="1"/>
  <c r="F92" i="2"/>
  <c r="S92" i="3" s="1"/>
  <c r="F92" i="3" s="1"/>
  <c r="F104" i="2"/>
  <c r="S104" i="3" s="1"/>
  <c r="F104" i="3" s="1"/>
  <c r="D116" i="2"/>
  <c r="Q116" i="3" s="1"/>
  <c r="D116" i="3" s="1"/>
  <c r="G128" i="2"/>
  <c r="T128" i="3" s="1"/>
  <c r="G128" i="3" s="1"/>
  <c r="F192" i="2"/>
  <c r="S192" i="3" s="1"/>
  <c r="F192" i="3" s="1"/>
  <c r="T196" i="3"/>
  <c r="G196" i="3" s="1"/>
  <c r="F280" i="2"/>
  <c r="S280" i="3" s="1"/>
  <c r="F280" i="3" s="1"/>
  <c r="F304" i="2"/>
  <c r="S304" i="3" s="1"/>
  <c r="F304" i="3" s="1"/>
  <c r="C188" i="2"/>
  <c r="P188" i="3" s="1"/>
  <c r="C188" i="3" s="1"/>
  <c r="D200" i="2"/>
  <c r="Q200" i="3" s="1"/>
  <c r="D200" i="3" s="1"/>
  <c r="Q208" i="3"/>
  <c r="D208" i="3" s="1"/>
  <c r="T280" i="3"/>
  <c r="G280" i="3" s="1"/>
  <c r="F77" i="2"/>
  <c r="S77" i="3" s="1"/>
  <c r="F77" i="3" s="1"/>
  <c r="F81" i="2"/>
  <c r="S81" i="3" s="1"/>
  <c r="F81" i="3" s="1"/>
  <c r="F85" i="2"/>
  <c r="S85" i="3" s="1"/>
  <c r="F85" i="3" s="1"/>
  <c r="T89" i="3"/>
  <c r="G89" i="3" s="1"/>
  <c r="F125" i="2"/>
  <c r="S125" i="3" s="1"/>
  <c r="F125" i="3" s="1"/>
  <c r="P137" i="3"/>
  <c r="C137" i="3" s="1"/>
  <c r="P173" i="3"/>
  <c r="C173" i="3" s="1"/>
  <c r="R327" i="3"/>
  <c r="E327" i="3" s="1"/>
  <c r="B194" i="2"/>
  <c r="B290" i="2"/>
  <c r="F120" i="2"/>
  <c r="S120" i="3" s="1"/>
  <c r="F120" i="3" s="1"/>
  <c r="T136" i="3"/>
  <c r="G136" i="3" s="1"/>
  <c r="T172" i="3"/>
  <c r="G172" i="3" s="1"/>
  <c r="T268" i="3"/>
  <c r="G268" i="3" s="1"/>
  <c r="E320" i="2"/>
  <c r="R320" i="3" s="1"/>
  <c r="E320" i="3" s="1"/>
  <c r="D320" i="2"/>
  <c r="Q320" i="3" s="1"/>
  <c r="D320" i="3" s="1"/>
  <c r="G308" i="2"/>
  <c r="T308" i="3" s="1"/>
  <c r="G308" i="3" s="1"/>
  <c r="F308" i="2"/>
  <c r="S308" i="3" s="1"/>
  <c r="F308" i="3" s="1"/>
  <c r="E308" i="2"/>
  <c r="R308" i="3" s="1"/>
  <c r="E308" i="3" s="1"/>
  <c r="D296" i="2"/>
  <c r="Q296" i="3" s="1"/>
  <c r="D296" i="3" s="1"/>
  <c r="C296" i="2"/>
  <c r="P296" i="3" s="1"/>
  <c r="C296" i="3" s="1"/>
  <c r="G284" i="2"/>
  <c r="T284" i="3" s="1"/>
  <c r="G284" i="3" s="1"/>
  <c r="F284" i="2"/>
  <c r="S284" i="3" s="1"/>
  <c r="F284" i="3" s="1"/>
  <c r="E284" i="2"/>
  <c r="R284" i="3" s="1"/>
  <c r="E284" i="3" s="1"/>
  <c r="E272" i="2"/>
  <c r="R272" i="3" s="1"/>
  <c r="E272" i="3" s="1"/>
  <c r="C272" i="2"/>
  <c r="P272" i="3" s="1"/>
  <c r="C272" i="3" s="1"/>
  <c r="D260" i="2"/>
  <c r="Q260" i="3" s="1"/>
  <c r="D260" i="3" s="1"/>
  <c r="E260" i="2"/>
  <c r="R260" i="3" s="1"/>
  <c r="E260" i="3" s="1"/>
  <c r="G248" i="2"/>
  <c r="T248" i="3" s="1"/>
  <c r="G248" i="3" s="1"/>
  <c r="F248" i="2"/>
  <c r="S248" i="3" s="1"/>
  <c r="F248" i="3" s="1"/>
  <c r="E248" i="2"/>
  <c r="R248" i="3" s="1"/>
  <c r="E248" i="3" s="1"/>
  <c r="D248" i="2"/>
  <c r="Q248" i="3" s="1"/>
  <c r="D248" i="3" s="1"/>
  <c r="E236" i="2"/>
  <c r="R236" i="3" s="1"/>
  <c r="E236" i="3" s="1"/>
  <c r="C236" i="2"/>
  <c r="P236" i="3" s="1"/>
  <c r="C236" i="3" s="1"/>
  <c r="G236" i="2"/>
  <c r="T236" i="3" s="1"/>
  <c r="G236" i="3" s="1"/>
  <c r="E224" i="2"/>
  <c r="R224" i="3" s="1"/>
  <c r="E224" i="3" s="1"/>
  <c r="F224" i="2"/>
  <c r="S224" i="3" s="1"/>
  <c r="F224" i="3" s="1"/>
  <c r="C224" i="2"/>
  <c r="P224" i="3" s="1"/>
  <c r="C224" i="3" s="1"/>
  <c r="D224" i="2"/>
  <c r="Q224" i="3" s="1"/>
  <c r="D224" i="3" s="1"/>
  <c r="D212" i="2"/>
  <c r="Q212" i="3" s="1"/>
  <c r="D212" i="3" s="1"/>
  <c r="G212" i="2"/>
  <c r="T212" i="3" s="1"/>
  <c r="G212" i="3" s="1"/>
  <c r="E212" i="2"/>
  <c r="R212" i="3" s="1"/>
  <c r="E212" i="3" s="1"/>
  <c r="F200" i="2"/>
  <c r="S200" i="3" s="1"/>
  <c r="F200" i="3" s="1"/>
  <c r="E200" i="2"/>
  <c r="R200" i="3" s="1"/>
  <c r="E200" i="3" s="1"/>
  <c r="C200" i="2"/>
  <c r="P200" i="3" s="1"/>
  <c r="C200" i="3" s="1"/>
  <c r="D188" i="2"/>
  <c r="Q188" i="3" s="1"/>
  <c r="D188" i="3" s="1"/>
  <c r="G188" i="2"/>
  <c r="T188" i="3" s="1"/>
  <c r="G188" i="3" s="1"/>
  <c r="E176" i="2"/>
  <c r="R176" i="3" s="1"/>
  <c r="E176" i="3" s="1"/>
  <c r="F176" i="2"/>
  <c r="S176" i="3" s="1"/>
  <c r="F176" i="3" s="1"/>
  <c r="C176" i="2"/>
  <c r="P176" i="3" s="1"/>
  <c r="C176" i="3" s="1"/>
  <c r="D164" i="2"/>
  <c r="Q164" i="3" s="1"/>
  <c r="D164" i="3" s="1"/>
  <c r="G164" i="2"/>
  <c r="T164" i="3" s="1"/>
  <c r="G164" i="3" s="1"/>
  <c r="F152" i="2"/>
  <c r="S152" i="3" s="1"/>
  <c r="F152" i="3" s="1"/>
  <c r="C152" i="2"/>
  <c r="P152" i="3" s="1"/>
  <c r="C152" i="3" s="1"/>
  <c r="D140" i="2"/>
  <c r="Q140" i="3" s="1"/>
  <c r="D140" i="3" s="1"/>
  <c r="G140" i="2"/>
  <c r="T140" i="3" s="1"/>
  <c r="G140" i="3" s="1"/>
  <c r="F29" i="2"/>
  <c r="S29" i="3" s="1"/>
  <c r="F29" i="3" s="1"/>
  <c r="F268" i="2"/>
  <c r="S268" i="3" s="1"/>
  <c r="F268" i="3" s="1"/>
  <c r="F244" i="2"/>
  <c r="S244" i="3" s="1"/>
  <c r="F244" i="3" s="1"/>
  <c r="F240" i="2"/>
  <c r="S240" i="3" s="1"/>
  <c r="F240" i="3" s="1"/>
  <c r="F196" i="2"/>
  <c r="S196" i="3" s="1"/>
  <c r="F196" i="3" s="1"/>
  <c r="F148" i="2"/>
  <c r="S148" i="3" s="1"/>
  <c r="F148" i="3" s="1"/>
  <c r="F228" i="2"/>
  <c r="S228" i="3" s="1"/>
  <c r="F228" i="3" s="1"/>
  <c r="F204" i="2"/>
  <c r="S204" i="3" s="1"/>
  <c r="F204" i="3" s="1"/>
  <c r="F324" i="2"/>
  <c r="S324" i="3" s="1"/>
  <c r="F324" i="3" s="1"/>
  <c r="F312" i="2"/>
  <c r="S312" i="3" s="1"/>
  <c r="F312" i="3" s="1"/>
  <c r="F252" i="2"/>
  <c r="S252" i="3" s="1"/>
  <c r="F252" i="3" s="1"/>
  <c r="F232" i="2"/>
  <c r="S232" i="3" s="1"/>
  <c r="F232" i="3" s="1"/>
  <c r="F184" i="2"/>
  <c r="S184" i="3" s="1"/>
  <c r="F184" i="3" s="1"/>
  <c r="F180" i="2"/>
  <c r="S180" i="3" s="1"/>
  <c r="F180" i="3" s="1"/>
  <c r="F160" i="2"/>
  <c r="S160" i="3" s="1"/>
  <c r="F160" i="3" s="1"/>
  <c r="F156" i="2"/>
  <c r="S156" i="3" s="1"/>
  <c r="F156" i="3" s="1"/>
  <c r="F136" i="2"/>
  <c r="S136" i="3" s="1"/>
  <c r="F136" i="3" s="1"/>
  <c r="F132" i="2"/>
  <c r="S132" i="3" s="1"/>
  <c r="F132" i="3" s="1"/>
  <c r="F229" i="2"/>
  <c r="S229" i="3" s="1"/>
  <c r="F229" i="3" s="1"/>
  <c r="F209" i="2"/>
  <c r="S209" i="3" s="1"/>
  <c r="F209" i="3" s="1"/>
  <c r="F205" i="2"/>
  <c r="S205" i="3" s="1"/>
  <c r="F205" i="3" s="1"/>
  <c r="F197" i="2"/>
  <c r="S197" i="3" s="1"/>
  <c r="F197" i="3" s="1"/>
  <c r="F65" i="2"/>
  <c r="S65" i="3" s="1"/>
  <c r="F65" i="3" s="1"/>
  <c r="F328" i="2"/>
  <c r="S328" i="3" s="1"/>
  <c r="F328" i="3" s="1"/>
  <c r="F316" i="2"/>
  <c r="S316" i="3" s="1"/>
  <c r="F316" i="3" s="1"/>
  <c r="F300" i="2"/>
  <c r="S300" i="3" s="1"/>
  <c r="F300" i="3" s="1"/>
  <c r="F288" i="2"/>
  <c r="S288" i="3" s="1"/>
  <c r="F288" i="3" s="1"/>
  <c r="F256" i="2"/>
  <c r="S256" i="3" s="1"/>
  <c r="F256" i="3" s="1"/>
  <c r="F208" i="2"/>
  <c r="S208" i="3" s="1"/>
  <c r="F208" i="3" s="1"/>
  <c r="F17" i="2"/>
  <c r="S17" i="3" s="1"/>
  <c r="F17" i="3" s="1"/>
  <c r="F13" i="2"/>
  <c r="S13" i="3" s="1"/>
  <c r="F13" i="3" s="1"/>
  <c r="F9" i="2"/>
  <c r="S9" i="3" s="1"/>
  <c r="F9" i="3" s="1"/>
  <c r="B218" i="5"/>
  <c r="B178" i="5"/>
  <c r="B146" i="5"/>
  <c r="B58" i="5"/>
  <c r="B112" i="5"/>
  <c r="T21" i="3"/>
  <c r="G21" i="3" s="1"/>
  <c r="T73" i="3"/>
  <c r="G73" i="3" s="1"/>
  <c r="T85" i="3"/>
  <c r="G85" i="3" s="1"/>
  <c r="T121" i="3"/>
  <c r="G121" i="3" s="1"/>
  <c r="P133" i="3"/>
  <c r="C133" i="3" s="1"/>
  <c r="P169" i="3"/>
  <c r="C169" i="3" s="1"/>
  <c r="T265" i="3"/>
  <c r="G265" i="3" s="1"/>
  <c r="T289" i="3"/>
  <c r="G289" i="3" s="1"/>
  <c r="T313" i="3"/>
  <c r="G313" i="3" s="1"/>
  <c r="P130" i="3"/>
  <c r="C130" i="3" s="1"/>
  <c r="Q244" i="3"/>
  <c r="D244" i="3" s="1"/>
  <c r="T41" i="3"/>
  <c r="G41" i="3" s="1"/>
  <c r="P53" i="3"/>
  <c r="C53" i="3" s="1"/>
  <c r="R117" i="3"/>
  <c r="E117" i="3" s="1"/>
  <c r="R153" i="3"/>
  <c r="E153" i="3" s="1"/>
  <c r="G286" i="2"/>
  <c r="T286" i="3" s="1"/>
  <c r="G286" i="3" s="1"/>
  <c r="E211" i="2"/>
  <c r="R211" i="3" s="1"/>
  <c r="E211" i="3" s="1"/>
  <c r="C223" i="2"/>
  <c r="P223" i="3" s="1"/>
  <c r="C223" i="3" s="1"/>
  <c r="G239" i="2"/>
  <c r="T239" i="3" s="1"/>
  <c r="G239" i="3" s="1"/>
  <c r="B231" i="3"/>
  <c r="B255" i="3"/>
  <c r="B279" i="3"/>
  <c r="B303" i="3"/>
  <c r="B6" i="3"/>
  <c r="B41" i="3"/>
  <c r="B105" i="3"/>
  <c r="B137" i="3"/>
  <c r="B201" i="3"/>
  <c r="B233" i="3"/>
  <c r="B297" i="3"/>
  <c r="P220" i="3"/>
  <c r="C220" i="3" s="1"/>
  <c r="P244" i="3"/>
  <c r="C244" i="3" s="1"/>
  <c r="T288" i="3"/>
  <c r="G288" i="3" s="1"/>
  <c r="T316" i="3"/>
  <c r="G316" i="3" s="1"/>
  <c r="T37" i="3"/>
  <c r="G37" i="3" s="1"/>
  <c r="T153" i="3"/>
  <c r="G153" i="3" s="1"/>
  <c r="P161" i="3"/>
  <c r="C161" i="3" s="1"/>
  <c r="P185" i="3"/>
  <c r="C185" i="3" s="1"/>
  <c r="C199" i="2"/>
  <c r="P199" i="3" s="1"/>
  <c r="C199" i="3" s="1"/>
  <c r="B280" i="3"/>
  <c r="B304" i="3"/>
  <c r="B19" i="3"/>
  <c r="B17" i="3"/>
  <c r="B81" i="3"/>
  <c r="B113" i="3"/>
  <c r="B177" i="3"/>
  <c r="B209" i="3"/>
  <c r="B273" i="3"/>
  <c r="B305" i="3"/>
  <c r="B106" i="3"/>
  <c r="B94" i="3"/>
  <c r="B46" i="3"/>
  <c r="R180" i="3"/>
  <c r="E180" i="3" s="1"/>
  <c r="T184" i="3"/>
  <c r="G184" i="3" s="1"/>
  <c r="T208" i="3"/>
  <c r="G208" i="3" s="1"/>
  <c r="T312" i="3"/>
  <c r="G312" i="3" s="1"/>
  <c r="T33" i="3"/>
  <c r="G33" i="3" s="1"/>
  <c r="Q49" i="3"/>
  <c r="D49" i="3" s="1"/>
  <c r="T97" i="3"/>
  <c r="G97" i="3" s="1"/>
  <c r="G243" i="2"/>
  <c r="T243" i="3" s="1"/>
  <c r="G243" i="3" s="1"/>
  <c r="D259" i="2"/>
  <c r="Q259" i="3" s="1"/>
  <c r="D259" i="3" s="1"/>
  <c r="E271" i="2"/>
  <c r="R271" i="3" s="1"/>
  <c r="E271" i="3" s="1"/>
  <c r="G287" i="2"/>
  <c r="T287" i="3" s="1"/>
  <c r="G287" i="3" s="1"/>
  <c r="B239" i="3"/>
  <c r="B263" i="3"/>
  <c r="B287" i="3"/>
  <c r="B315" i="3"/>
  <c r="B21" i="3"/>
  <c r="B53" i="3"/>
  <c r="B117" i="3"/>
  <c r="B149" i="3"/>
  <c r="B213" i="3"/>
  <c r="B245" i="3"/>
  <c r="B309" i="3"/>
  <c r="T228" i="3"/>
  <c r="G228" i="3" s="1"/>
  <c r="B243" i="3"/>
  <c r="B267" i="3"/>
  <c r="B291" i="3"/>
  <c r="B25" i="3"/>
  <c r="B57" i="3"/>
  <c r="B89" i="3"/>
  <c r="B153" i="3"/>
  <c r="B185" i="3"/>
  <c r="B249" i="3"/>
  <c r="B281" i="3"/>
  <c r="B10" i="3"/>
  <c r="B74" i="3"/>
  <c r="B38" i="3"/>
  <c r="B14" i="3"/>
  <c r="E326" i="2"/>
  <c r="R326" i="3" s="1"/>
  <c r="E326" i="3" s="1"/>
  <c r="F326" i="2"/>
  <c r="S326" i="3" s="1"/>
  <c r="F326" i="3" s="1"/>
  <c r="D326" i="2"/>
  <c r="Q326" i="3" s="1"/>
  <c r="D326" i="3" s="1"/>
  <c r="G320" i="2"/>
  <c r="T320" i="3" s="1"/>
  <c r="G320" i="3" s="1"/>
  <c r="F320" i="2"/>
  <c r="S320" i="3" s="1"/>
  <c r="F320" i="3" s="1"/>
  <c r="C320" i="2"/>
  <c r="P320" i="3" s="1"/>
  <c r="C320" i="3" s="1"/>
  <c r="E314" i="2"/>
  <c r="R314" i="3" s="1"/>
  <c r="E314" i="3" s="1"/>
  <c r="D314" i="2"/>
  <c r="Q314" i="3" s="1"/>
  <c r="D314" i="3" s="1"/>
  <c r="C308" i="2"/>
  <c r="P308" i="3" s="1"/>
  <c r="C308" i="3" s="1"/>
  <c r="D308" i="2"/>
  <c r="Q308" i="3" s="1"/>
  <c r="D308" i="3" s="1"/>
  <c r="E302" i="2"/>
  <c r="R302" i="3" s="1"/>
  <c r="E302" i="3" s="1"/>
  <c r="D302" i="2"/>
  <c r="Q302" i="3" s="1"/>
  <c r="D302" i="3" s="1"/>
  <c r="B302" i="2"/>
  <c r="G296" i="2"/>
  <c r="T296" i="3" s="1"/>
  <c r="G296" i="3" s="1"/>
  <c r="F296" i="2"/>
  <c r="S296" i="3" s="1"/>
  <c r="F296" i="3" s="1"/>
  <c r="E296" i="2"/>
  <c r="R296" i="3" s="1"/>
  <c r="E296" i="3" s="1"/>
  <c r="D284" i="2"/>
  <c r="Q284" i="3" s="1"/>
  <c r="D284" i="3" s="1"/>
  <c r="C284" i="2"/>
  <c r="P284" i="3" s="1"/>
  <c r="C284" i="3" s="1"/>
  <c r="E278" i="2"/>
  <c r="R278" i="3" s="1"/>
  <c r="E278" i="3" s="1"/>
  <c r="C278" i="2"/>
  <c r="P278" i="3" s="1"/>
  <c r="C278" i="3" s="1"/>
  <c r="G272" i="2"/>
  <c r="T272" i="3" s="1"/>
  <c r="G272" i="3" s="1"/>
  <c r="F272" i="2"/>
  <c r="S272" i="3" s="1"/>
  <c r="F272" i="3" s="1"/>
  <c r="E266" i="2"/>
  <c r="R266" i="3" s="1"/>
  <c r="E266" i="3" s="1"/>
  <c r="B266" i="2"/>
  <c r="F266" i="2"/>
  <c r="S266" i="3" s="1"/>
  <c r="F266" i="3" s="1"/>
  <c r="F260" i="2"/>
  <c r="S260" i="3" s="1"/>
  <c r="F260" i="3" s="1"/>
  <c r="C260" i="2"/>
  <c r="P260" i="3" s="1"/>
  <c r="C260" i="3" s="1"/>
  <c r="E254" i="2"/>
  <c r="R254" i="3" s="1"/>
  <c r="E254" i="3" s="1"/>
  <c r="B254" i="2"/>
  <c r="G230" i="2"/>
  <c r="T230" i="3" s="1"/>
  <c r="G230" i="3" s="1"/>
  <c r="E230" i="2"/>
  <c r="R230" i="3" s="1"/>
  <c r="E230" i="3" s="1"/>
  <c r="D230" i="2"/>
  <c r="Q230" i="3" s="1"/>
  <c r="D230" i="3" s="1"/>
  <c r="F218" i="2"/>
  <c r="S218" i="3" s="1"/>
  <c r="F218" i="3" s="1"/>
  <c r="C218" i="2"/>
  <c r="P218" i="3" s="1"/>
  <c r="C218" i="3" s="1"/>
  <c r="B218" i="2"/>
  <c r="F206" i="2"/>
  <c r="S206" i="3" s="1"/>
  <c r="F206" i="3" s="1"/>
  <c r="C206" i="2"/>
  <c r="P206" i="3" s="1"/>
  <c r="C206" i="3" s="1"/>
  <c r="B206" i="2"/>
  <c r="G158" i="2"/>
  <c r="T158" i="3" s="1"/>
  <c r="G158" i="3" s="1"/>
  <c r="E158" i="2"/>
  <c r="R158" i="3" s="1"/>
  <c r="E158" i="3" s="1"/>
  <c r="B158" i="2"/>
  <c r="F146" i="2"/>
  <c r="S146" i="3" s="1"/>
  <c r="F146" i="3" s="1"/>
  <c r="E146" i="2"/>
  <c r="R146" i="3" s="1"/>
  <c r="E146" i="3" s="1"/>
  <c r="F134" i="2"/>
  <c r="S134" i="3" s="1"/>
  <c r="F134" i="3" s="1"/>
  <c r="C134" i="2"/>
  <c r="P134" i="3" s="1"/>
  <c r="C134" i="3" s="1"/>
  <c r="G122" i="2"/>
  <c r="T122" i="3" s="1"/>
  <c r="G122" i="3" s="1"/>
  <c r="E122" i="2"/>
  <c r="R122" i="3" s="1"/>
  <c r="E122" i="3" s="1"/>
  <c r="B122" i="2"/>
  <c r="D122" i="2"/>
  <c r="Q122" i="3" s="1"/>
  <c r="D122" i="3" s="1"/>
  <c r="F110" i="2"/>
  <c r="S110" i="3" s="1"/>
  <c r="F110" i="3" s="1"/>
  <c r="E110" i="2"/>
  <c r="R110" i="3" s="1"/>
  <c r="E110" i="3" s="1"/>
  <c r="C110" i="2"/>
  <c r="P110" i="3" s="1"/>
  <c r="C110" i="3" s="1"/>
  <c r="B110" i="2"/>
  <c r="G98" i="2"/>
  <c r="T98" i="3" s="1"/>
  <c r="G98" i="3" s="1"/>
  <c r="D98" i="2"/>
  <c r="Q98" i="3" s="1"/>
  <c r="D98" i="3" s="1"/>
  <c r="F86" i="2"/>
  <c r="S86" i="3" s="1"/>
  <c r="F86" i="3" s="1"/>
  <c r="C86" i="2"/>
  <c r="P86" i="3" s="1"/>
  <c r="C86" i="3" s="1"/>
  <c r="F74" i="2"/>
  <c r="S74" i="3" s="1"/>
  <c r="F74" i="3" s="1"/>
  <c r="E74" i="2"/>
  <c r="R74" i="3" s="1"/>
  <c r="E74" i="3" s="1"/>
  <c r="D74" i="2"/>
  <c r="Q74" i="3" s="1"/>
  <c r="D74" i="3" s="1"/>
  <c r="B74" i="2"/>
  <c r="P325" i="3"/>
  <c r="C325" i="3" s="1"/>
  <c r="R329" i="3"/>
  <c r="E329" i="3" s="1"/>
  <c r="F14" i="2"/>
  <c r="S14" i="3" s="1"/>
  <c r="F14" i="3" s="1"/>
  <c r="B14" i="2"/>
  <c r="C14" i="2"/>
  <c r="P14" i="3" s="1"/>
  <c r="C14" i="3" s="1"/>
  <c r="F275" i="2"/>
  <c r="S275" i="3" s="1"/>
  <c r="F275" i="3" s="1"/>
  <c r="F234" i="2"/>
  <c r="S234" i="3" s="1"/>
  <c r="F234" i="3" s="1"/>
  <c r="F226" i="2"/>
  <c r="S226" i="3" s="1"/>
  <c r="F226" i="3" s="1"/>
  <c r="F138" i="2"/>
  <c r="S138" i="3" s="1"/>
  <c r="F138" i="3" s="1"/>
  <c r="F126" i="2"/>
  <c r="S126" i="3" s="1"/>
  <c r="F126" i="3" s="1"/>
  <c r="F321" i="2"/>
  <c r="S321" i="3" s="1"/>
  <c r="F321" i="3" s="1"/>
  <c r="F317" i="2"/>
  <c r="S317" i="3" s="1"/>
  <c r="F317" i="3" s="1"/>
  <c r="F313" i="2"/>
  <c r="S313" i="3" s="1"/>
  <c r="F313" i="3" s="1"/>
  <c r="F309" i="2"/>
  <c r="S309" i="3" s="1"/>
  <c r="F309" i="3" s="1"/>
  <c r="F305" i="2"/>
  <c r="S305" i="3" s="1"/>
  <c r="F305" i="3" s="1"/>
  <c r="F301" i="2"/>
  <c r="S301" i="3" s="1"/>
  <c r="F301" i="3" s="1"/>
  <c r="F297" i="2"/>
  <c r="S297" i="3" s="1"/>
  <c r="F297" i="3" s="1"/>
  <c r="F293" i="2"/>
  <c r="S293" i="3" s="1"/>
  <c r="F293" i="3" s="1"/>
  <c r="F193" i="2"/>
  <c r="S193" i="3" s="1"/>
  <c r="F193" i="3" s="1"/>
  <c r="F189" i="2"/>
  <c r="S189" i="3" s="1"/>
  <c r="F189" i="3" s="1"/>
  <c r="F295" i="2"/>
  <c r="S295" i="3" s="1"/>
  <c r="F295" i="3" s="1"/>
  <c r="F211" i="2"/>
  <c r="S211" i="3" s="1"/>
  <c r="F211" i="3" s="1"/>
  <c r="F298" i="2"/>
  <c r="S298" i="3" s="1"/>
  <c r="F298" i="3" s="1"/>
  <c r="F174" i="2"/>
  <c r="S174" i="3" s="1"/>
  <c r="F174" i="3" s="1"/>
  <c r="F58" i="2"/>
  <c r="S58" i="3" s="1"/>
  <c r="F58" i="3" s="1"/>
  <c r="F186" i="2"/>
  <c r="S186" i="3" s="1"/>
  <c r="F186" i="3" s="1"/>
  <c r="F94" i="2"/>
  <c r="S94" i="3" s="1"/>
  <c r="F94" i="3" s="1"/>
  <c r="F82" i="2"/>
  <c r="S82" i="3" s="1"/>
  <c r="F82" i="3" s="1"/>
  <c r="F70" i="2"/>
  <c r="S70" i="3" s="1"/>
  <c r="F70" i="3" s="1"/>
  <c r="F329" i="2"/>
  <c r="S329" i="3" s="1"/>
  <c r="F329" i="3" s="1"/>
  <c r="F250" i="2"/>
  <c r="S250" i="3" s="1"/>
  <c r="F250" i="3" s="1"/>
  <c r="F214" i="2"/>
  <c r="S214" i="3" s="1"/>
  <c r="F214" i="3" s="1"/>
  <c r="F198" i="2"/>
  <c r="S198" i="3" s="1"/>
  <c r="F198" i="3" s="1"/>
  <c r="F66" i="2"/>
  <c r="S66" i="3" s="1"/>
  <c r="F66" i="3" s="1"/>
  <c r="F54" i="2"/>
  <c r="S54" i="3" s="1"/>
  <c r="F54" i="3" s="1"/>
  <c r="F225" i="2"/>
  <c r="S225" i="3" s="1"/>
  <c r="F225" i="3" s="1"/>
  <c r="B52" i="5"/>
  <c r="B38" i="5"/>
  <c r="B156" i="5"/>
  <c r="B314" i="5"/>
  <c r="B278" i="5"/>
  <c r="B246" i="5"/>
  <c r="B210" i="5"/>
  <c r="B136" i="5"/>
  <c r="B143" i="5"/>
  <c r="B185" i="5"/>
  <c r="B174" i="5"/>
  <c r="B142" i="5"/>
  <c r="B320" i="5"/>
  <c r="B292" i="5"/>
  <c r="B260" i="5"/>
  <c r="B232" i="5"/>
  <c r="B200" i="5"/>
  <c r="B32" i="5"/>
  <c r="B10" i="5"/>
  <c r="B141" i="5"/>
  <c r="B124" i="5"/>
  <c r="B310" i="5"/>
  <c r="B274" i="5"/>
  <c r="B242" i="5"/>
  <c r="B206" i="5"/>
  <c r="B120" i="5"/>
  <c r="B131" i="5"/>
  <c r="B177" i="5"/>
  <c r="B170" i="5"/>
  <c r="B138" i="5"/>
  <c r="B316" i="5"/>
  <c r="B284" i="5"/>
  <c r="B256" i="5"/>
  <c r="B228" i="5"/>
  <c r="B196" i="5"/>
  <c r="B150" i="5"/>
  <c r="B117" i="5"/>
  <c r="B89" i="5"/>
  <c r="B306" i="5"/>
  <c r="B270" i="5"/>
  <c r="B238" i="5"/>
  <c r="B202" i="5"/>
  <c r="B104" i="5"/>
  <c r="B164" i="5"/>
  <c r="B162" i="5"/>
  <c r="B130" i="5"/>
  <c r="B312" i="5"/>
  <c r="B280" i="5"/>
  <c r="B252" i="5"/>
  <c r="B220" i="5"/>
  <c r="B190" i="5"/>
  <c r="B106" i="5"/>
  <c r="B41" i="5"/>
  <c r="B93" i="5"/>
  <c r="B330" i="5"/>
  <c r="B298" i="5"/>
  <c r="B262" i="5"/>
  <c r="B226" i="5"/>
  <c r="B188" i="5"/>
  <c r="B183" i="5"/>
  <c r="B119" i="5"/>
  <c r="B221" i="5"/>
  <c r="B132" i="5"/>
  <c r="B158" i="5"/>
  <c r="B126" i="5"/>
  <c r="B308" i="5"/>
  <c r="B276" i="5"/>
  <c r="B248" i="5"/>
  <c r="B216" i="5"/>
  <c r="B184" i="5"/>
  <c r="B9" i="5"/>
  <c r="B78" i="5"/>
  <c r="B194" i="5"/>
  <c r="B326" i="5"/>
  <c r="B290" i="5"/>
  <c r="B258" i="5"/>
  <c r="B222" i="5"/>
  <c r="B180" i="5"/>
  <c r="B111" i="5"/>
  <c r="B201" i="5"/>
  <c r="B99" i="5"/>
  <c r="B154" i="5"/>
  <c r="B328" i="5"/>
  <c r="B300" i="5"/>
  <c r="B268" i="5"/>
  <c r="B244" i="5"/>
  <c r="B212" i="5"/>
  <c r="B128" i="5"/>
  <c r="P93" i="3"/>
  <c r="C93" i="3" s="1"/>
  <c r="P101" i="3"/>
  <c r="C101" i="3" s="1"/>
  <c r="F117" i="2"/>
  <c r="S117" i="3" s="1"/>
  <c r="F117" i="3" s="1"/>
  <c r="Q137" i="3"/>
  <c r="D137" i="3" s="1"/>
  <c r="R141" i="3"/>
  <c r="E141" i="3" s="1"/>
  <c r="F145" i="2"/>
  <c r="S145" i="3" s="1"/>
  <c r="F145" i="3" s="1"/>
  <c r="F185" i="2"/>
  <c r="S185" i="3" s="1"/>
  <c r="F185" i="3" s="1"/>
  <c r="R189" i="3"/>
  <c r="E189" i="3" s="1"/>
  <c r="T193" i="3"/>
  <c r="G193" i="3" s="1"/>
  <c r="Q221" i="3"/>
  <c r="D221" i="3" s="1"/>
  <c r="F261" i="2"/>
  <c r="S261" i="3" s="1"/>
  <c r="F261" i="3" s="1"/>
  <c r="F50" i="2"/>
  <c r="S50" i="3" s="1"/>
  <c r="F50" i="3" s="1"/>
  <c r="F243" i="2"/>
  <c r="S243" i="3" s="1"/>
  <c r="F243" i="3" s="1"/>
  <c r="B236" i="5"/>
  <c r="B192" i="5"/>
  <c r="B286" i="5"/>
  <c r="B240" i="5"/>
  <c r="Q288" i="3"/>
  <c r="D288" i="3" s="1"/>
  <c r="Q292" i="3"/>
  <c r="D292" i="3" s="1"/>
  <c r="P312" i="3"/>
  <c r="C312" i="3" s="1"/>
  <c r="T328" i="3"/>
  <c r="G328" i="3" s="1"/>
  <c r="T13" i="3"/>
  <c r="G13" i="3" s="1"/>
  <c r="F21" i="2"/>
  <c r="S21" i="3" s="1"/>
  <c r="F21" i="3" s="1"/>
  <c r="R53" i="3"/>
  <c r="E53" i="3" s="1"/>
  <c r="F57" i="2"/>
  <c r="S57" i="3" s="1"/>
  <c r="F57" i="3" s="1"/>
  <c r="T65" i="3"/>
  <c r="G65" i="3" s="1"/>
  <c r="P77" i="3"/>
  <c r="C77" i="3" s="1"/>
  <c r="P81" i="3"/>
  <c r="C81" i="3" s="1"/>
  <c r="Q97" i="3"/>
  <c r="D97" i="3" s="1"/>
  <c r="F109" i="2"/>
  <c r="S109" i="3" s="1"/>
  <c r="F109" i="3" s="1"/>
  <c r="F137" i="2"/>
  <c r="S137" i="3" s="1"/>
  <c r="F137" i="3" s="1"/>
  <c r="T141" i="3"/>
  <c r="G141" i="3" s="1"/>
  <c r="T145" i="3"/>
  <c r="G145" i="3" s="1"/>
  <c r="F169" i="2"/>
  <c r="S169" i="3" s="1"/>
  <c r="F169" i="3" s="1"/>
  <c r="F26" i="2"/>
  <c r="S26" i="3" s="1"/>
  <c r="F26" i="3" s="1"/>
  <c r="B264" i="5"/>
  <c r="B95" i="5"/>
  <c r="B322" i="5"/>
  <c r="T244" i="3"/>
  <c r="G244" i="3" s="1"/>
  <c r="P292" i="3"/>
  <c r="C292" i="3" s="1"/>
  <c r="F49" i="2"/>
  <c r="S49" i="3" s="1"/>
  <c r="F49" i="3" s="1"/>
  <c r="Q81" i="3"/>
  <c r="D81" i="3" s="1"/>
  <c r="T105" i="3"/>
  <c r="G105" i="3" s="1"/>
  <c r="P117" i="3"/>
  <c r="C117" i="3" s="1"/>
  <c r="F133" i="2"/>
  <c r="S133" i="3" s="1"/>
  <c r="F133" i="3" s="1"/>
  <c r="P149" i="3"/>
  <c r="C149" i="3" s="1"/>
  <c r="F161" i="2"/>
  <c r="S161" i="3" s="1"/>
  <c r="F161" i="3" s="1"/>
  <c r="F165" i="2"/>
  <c r="S165" i="3" s="1"/>
  <c r="F165" i="3" s="1"/>
  <c r="F173" i="2"/>
  <c r="S173" i="3" s="1"/>
  <c r="F173" i="3" s="1"/>
  <c r="F177" i="2"/>
  <c r="S177" i="3" s="1"/>
  <c r="F177" i="3" s="1"/>
  <c r="T185" i="3"/>
  <c r="G185" i="3" s="1"/>
  <c r="P197" i="3"/>
  <c r="C197" i="3" s="1"/>
  <c r="F221" i="2"/>
  <c r="S221" i="3" s="1"/>
  <c r="F221" i="3" s="1"/>
  <c r="T225" i="3"/>
  <c r="G225" i="3" s="1"/>
  <c r="T301" i="3"/>
  <c r="G301" i="3" s="1"/>
  <c r="Q30" i="3"/>
  <c r="D30" i="3" s="1"/>
  <c r="T114" i="3"/>
  <c r="G114" i="3" s="1"/>
  <c r="F142" i="2"/>
  <c r="S142" i="3" s="1"/>
  <c r="F142" i="3" s="1"/>
  <c r="B296" i="5"/>
  <c r="B147" i="5"/>
  <c r="P13" i="3"/>
  <c r="C13" i="3" s="1"/>
  <c r="P25" i="3"/>
  <c r="C25" i="3" s="1"/>
  <c r="F37" i="2"/>
  <c r="S37" i="3" s="1"/>
  <c r="F37" i="3" s="1"/>
  <c r="F41" i="2"/>
  <c r="S41" i="3" s="1"/>
  <c r="F41" i="3" s="1"/>
  <c r="T49" i="3"/>
  <c r="G49" i="3" s="1"/>
  <c r="P69" i="3"/>
  <c r="C69" i="3" s="1"/>
  <c r="Q73" i="3"/>
  <c r="D73" i="3" s="1"/>
  <c r="R85" i="3"/>
  <c r="E85" i="3" s="1"/>
  <c r="F93" i="2"/>
  <c r="S93" i="3" s="1"/>
  <c r="F93" i="3" s="1"/>
  <c r="F97" i="2"/>
  <c r="S97" i="3" s="1"/>
  <c r="F97" i="3" s="1"/>
  <c r="F101" i="2"/>
  <c r="S101" i="3" s="1"/>
  <c r="F101" i="3" s="1"/>
  <c r="F121" i="2"/>
  <c r="S121" i="3" s="1"/>
  <c r="F121" i="3" s="1"/>
  <c r="R125" i="3"/>
  <c r="E125" i="3" s="1"/>
  <c r="T137" i="3"/>
  <c r="G137" i="3" s="1"/>
  <c r="P145" i="3"/>
  <c r="C145" i="3" s="1"/>
  <c r="F153" i="2"/>
  <c r="S153" i="3" s="1"/>
  <c r="F153" i="3" s="1"/>
  <c r="T161" i="3"/>
  <c r="G161" i="3" s="1"/>
  <c r="T169" i="3"/>
  <c r="G169" i="3" s="1"/>
  <c r="T173" i="3"/>
  <c r="G173" i="3" s="1"/>
  <c r="T217" i="3"/>
  <c r="G217" i="3" s="1"/>
  <c r="T221" i="3"/>
  <c r="G221" i="3" s="1"/>
  <c r="P229" i="3"/>
  <c r="C229" i="3" s="1"/>
  <c r="T321" i="3"/>
  <c r="G321" i="3" s="1"/>
  <c r="F90" i="2"/>
  <c r="S90" i="3" s="1"/>
  <c r="F90" i="3" s="1"/>
  <c r="P118" i="3"/>
  <c r="C118" i="3" s="1"/>
  <c r="B324" i="5"/>
  <c r="B168" i="5"/>
  <c r="B173" i="5"/>
  <c r="T229" i="3"/>
  <c r="G229" i="3" s="1"/>
  <c r="T241" i="3"/>
  <c r="G241" i="3" s="1"/>
  <c r="T273" i="3"/>
  <c r="G273" i="3" s="1"/>
  <c r="P301" i="3"/>
  <c r="C301" i="3" s="1"/>
  <c r="P317" i="3"/>
  <c r="C317" i="3" s="1"/>
  <c r="Q10" i="3"/>
  <c r="D10" i="3" s="1"/>
  <c r="P82" i="3"/>
  <c r="C82" i="3" s="1"/>
  <c r="F162" i="2"/>
  <c r="S162" i="3" s="1"/>
  <c r="F162" i="3" s="1"/>
  <c r="F150" i="2"/>
  <c r="S150" i="3" s="1"/>
  <c r="F150" i="3" s="1"/>
  <c r="F42" i="2"/>
  <c r="S42" i="3" s="1"/>
  <c r="F42" i="3" s="1"/>
  <c r="B323" i="5"/>
  <c r="B311" i="5"/>
  <c r="B299" i="5"/>
  <c r="B287" i="5"/>
  <c r="B275" i="5"/>
  <c r="B263" i="5"/>
  <c r="B251" i="5"/>
  <c r="B239" i="5"/>
  <c r="B227" i="5"/>
  <c r="B215" i="5"/>
  <c r="B203" i="5"/>
  <c r="B191" i="5"/>
  <c r="B179" i="5"/>
  <c r="B167" i="5"/>
  <c r="B155" i="5"/>
  <c r="B11" i="5"/>
  <c r="P245" i="3"/>
  <c r="C245" i="3" s="1"/>
  <c r="P265" i="3"/>
  <c r="C265" i="3" s="1"/>
  <c r="P277" i="3"/>
  <c r="C277" i="3" s="1"/>
  <c r="P289" i="3"/>
  <c r="C289" i="3" s="1"/>
  <c r="P305" i="3"/>
  <c r="C305" i="3" s="1"/>
  <c r="P313" i="3"/>
  <c r="C313" i="3" s="1"/>
  <c r="P202" i="3"/>
  <c r="C202" i="3" s="1"/>
  <c r="P330" i="3"/>
  <c r="C330" i="3" s="1"/>
  <c r="B160" i="5"/>
  <c r="T269" i="3"/>
  <c r="G269" i="3" s="1"/>
  <c r="T281" i="3"/>
  <c r="G281" i="3" s="1"/>
  <c r="R301" i="3"/>
  <c r="E301" i="3" s="1"/>
  <c r="T329" i="3"/>
  <c r="G329" i="3" s="1"/>
  <c r="T250" i="3"/>
  <c r="G250" i="3" s="1"/>
  <c r="Q310" i="3"/>
  <c r="D310" i="3" s="1"/>
  <c r="F118" i="2"/>
  <c r="S118" i="3" s="1"/>
  <c r="F118" i="3" s="1"/>
  <c r="B327" i="5"/>
  <c r="B315" i="5"/>
  <c r="B303" i="5"/>
  <c r="B291" i="5"/>
  <c r="B279" i="5"/>
  <c r="B267" i="5"/>
  <c r="B255" i="5"/>
  <c r="B243" i="5"/>
  <c r="B231" i="5"/>
  <c r="B219" i="5"/>
  <c r="B207" i="5"/>
  <c r="B195" i="5"/>
  <c r="B135" i="5"/>
  <c r="B39" i="5"/>
  <c r="T205" i="3"/>
  <c r="G205" i="3" s="1"/>
  <c r="T209" i="3"/>
  <c r="G209" i="3" s="1"/>
  <c r="Q233" i="3"/>
  <c r="D233" i="3" s="1"/>
  <c r="P241" i="3"/>
  <c r="C241" i="3" s="1"/>
  <c r="C315" i="2"/>
  <c r="P315" i="3" s="1"/>
  <c r="C315" i="3" s="1"/>
  <c r="B261" i="1"/>
  <c r="B320" i="1"/>
  <c r="B76" i="5"/>
  <c r="B12" i="5"/>
  <c r="B329" i="3"/>
  <c r="B325" i="3"/>
  <c r="B321" i="3"/>
  <c r="B25" i="5"/>
  <c r="B324" i="3"/>
  <c r="B316" i="3"/>
  <c r="B276" i="1"/>
  <c r="B330" i="3"/>
  <c r="B326" i="3"/>
  <c r="B318" i="3"/>
  <c r="B314" i="3"/>
  <c r="B302" i="3"/>
  <c r="B298" i="3"/>
  <c r="B294" i="3"/>
  <c r="B286" i="3"/>
  <c r="B282" i="3"/>
  <c r="B278" i="3"/>
  <c r="B274" i="3"/>
  <c r="B270" i="3"/>
  <c r="B262" i="3"/>
  <c r="B258" i="3"/>
  <c r="B246" i="3"/>
  <c r="B242" i="3"/>
  <c r="B238" i="3"/>
  <c r="B230" i="3"/>
  <c r="B226" i="3"/>
  <c r="B222" i="3"/>
  <c r="B218" i="3"/>
  <c r="B214" i="3"/>
  <c r="B206" i="3"/>
  <c r="B198" i="3"/>
  <c r="B194" i="3"/>
  <c r="B190" i="3"/>
  <c r="B182" i="3"/>
  <c r="B178" i="3"/>
  <c r="B170" i="3"/>
  <c r="B158" i="3"/>
  <c r="B146" i="3"/>
  <c r="B138" i="3"/>
  <c r="B130" i="3"/>
  <c r="B118" i="3"/>
  <c r="B114" i="3"/>
  <c r="B98" i="3"/>
  <c r="B82" i="3"/>
  <c r="B66" i="3"/>
  <c r="B50" i="3"/>
  <c r="B34" i="3"/>
  <c r="B18" i="3"/>
  <c r="F104" i="5"/>
  <c r="B212" i="1"/>
  <c r="G206" i="2"/>
  <c r="T206" i="3" s="1"/>
  <c r="G206" i="3" s="1"/>
  <c r="G214" i="2"/>
  <c r="T214" i="3" s="1"/>
  <c r="G214" i="3" s="1"/>
  <c r="G242" i="2"/>
  <c r="T242" i="3" s="1"/>
  <c r="G242" i="3" s="1"/>
  <c r="C250" i="2"/>
  <c r="P250" i="3" s="1"/>
  <c r="C250" i="3" s="1"/>
  <c r="C254" i="2"/>
  <c r="P254" i="3" s="1"/>
  <c r="C254" i="3" s="1"/>
  <c r="G262" i="2"/>
  <c r="T262" i="3" s="1"/>
  <c r="G262" i="3" s="1"/>
  <c r="G266" i="2"/>
  <c r="T266" i="3" s="1"/>
  <c r="G266" i="3" s="1"/>
  <c r="C274" i="2"/>
  <c r="P274" i="3" s="1"/>
  <c r="C274" i="3" s="1"/>
  <c r="G282" i="2"/>
  <c r="T282" i="3" s="1"/>
  <c r="G282" i="3" s="1"/>
  <c r="C290" i="2"/>
  <c r="P290" i="3" s="1"/>
  <c r="C290" i="3" s="1"/>
  <c r="G187" i="2"/>
  <c r="T187" i="3" s="1"/>
  <c r="G187" i="3" s="1"/>
  <c r="C195" i="2"/>
  <c r="P195" i="3" s="1"/>
  <c r="C195" i="3" s="1"/>
  <c r="G203" i="2"/>
  <c r="T203" i="3" s="1"/>
  <c r="G203" i="3" s="1"/>
  <c r="C211" i="2"/>
  <c r="P211" i="3" s="1"/>
  <c r="C211" i="3" s="1"/>
  <c r="C215" i="2"/>
  <c r="P215" i="3" s="1"/>
  <c r="C215" i="3" s="1"/>
  <c r="C219" i="2"/>
  <c r="P219" i="3" s="1"/>
  <c r="C219" i="3" s="1"/>
  <c r="G227" i="2"/>
  <c r="T227" i="3" s="1"/>
  <c r="G227" i="3" s="1"/>
  <c r="G231" i="2"/>
  <c r="T231" i="3" s="1"/>
  <c r="G231" i="3" s="1"/>
  <c r="C243" i="2"/>
  <c r="P243" i="3" s="1"/>
  <c r="C243" i="3" s="1"/>
  <c r="C247" i="2"/>
  <c r="P247" i="3" s="1"/>
  <c r="C247" i="3" s="1"/>
  <c r="C251" i="2"/>
  <c r="P251" i="3" s="1"/>
  <c r="C251" i="3" s="1"/>
  <c r="C259" i="2"/>
  <c r="P259" i="3" s="1"/>
  <c r="C259" i="3" s="1"/>
  <c r="C267" i="2"/>
  <c r="P267" i="3" s="1"/>
  <c r="C267" i="3" s="1"/>
  <c r="G271" i="2"/>
  <c r="T271" i="3" s="1"/>
  <c r="G271" i="3" s="1"/>
  <c r="G279" i="2"/>
  <c r="T279" i="3" s="1"/>
  <c r="G279" i="3" s="1"/>
  <c r="C291" i="2"/>
  <c r="P291" i="3" s="1"/>
  <c r="C291" i="3" s="1"/>
  <c r="G315" i="2"/>
  <c r="T315" i="3" s="1"/>
  <c r="G315" i="3" s="1"/>
  <c r="B224" i="1"/>
  <c r="B288" i="1"/>
  <c r="B324" i="1"/>
  <c r="B198" i="5"/>
  <c r="B214" i="5"/>
  <c r="B234" i="5"/>
  <c r="B250" i="5"/>
  <c r="B266" i="5"/>
  <c r="B282" i="5"/>
  <c r="B302" i="5"/>
  <c r="B318" i="5"/>
  <c r="B172" i="5"/>
  <c r="B101" i="5"/>
  <c r="B145" i="5"/>
  <c r="B161" i="5"/>
  <c r="B293" i="1"/>
  <c r="B49" i="5"/>
  <c r="B81" i="5"/>
  <c r="B14" i="5"/>
  <c r="B42" i="5"/>
  <c r="B62" i="5"/>
  <c r="B86" i="5"/>
  <c r="B118" i="5"/>
  <c r="B166" i="5"/>
  <c r="B16" i="5"/>
  <c r="B36" i="5"/>
  <c r="B60" i="5"/>
  <c r="B84" i="5"/>
  <c r="B176" i="5"/>
  <c r="B272" i="5"/>
  <c r="B13" i="5"/>
  <c r="B77" i="5"/>
  <c r="B26" i="5"/>
  <c r="F224" i="5"/>
  <c r="G258" i="2"/>
  <c r="T258" i="3" s="1"/>
  <c r="G258" i="3" s="1"/>
  <c r="C266" i="2"/>
  <c r="P266" i="3" s="1"/>
  <c r="C266" i="3" s="1"/>
  <c r="C270" i="2"/>
  <c r="P270" i="3" s="1"/>
  <c r="C270" i="3" s="1"/>
  <c r="R274" i="3"/>
  <c r="E274" i="3" s="1"/>
  <c r="G278" i="2"/>
  <c r="T278" i="3" s="1"/>
  <c r="G278" i="3" s="1"/>
  <c r="C286" i="2"/>
  <c r="P286" i="3" s="1"/>
  <c r="C286" i="3" s="1"/>
  <c r="G294" i="2"/>
  <c r="T294" i="3" s="1"/>
  <c r="G294" i="3" s="1"/>
  <c r="G298" i="2"/>
  <c r="T298" i="3" s="1"/>
  <c r="G298" i="3" s="1"/>
  <c r="G302" i="2"/>
  <c r="T302" i="3" s="1"/>
  <c r="G302" i="3" s="1"/>
  <c r="G306" i="2"/>
  <c r="T306" i="3" s="1"/>
  <c r="G306" i="3" s="1"/>
  <c r="G310" i="2"/>
  <c r="T310" i="3" s="1"/>
  <c r="G310" i="3" s="1"/>
  <c r="G314" i="2"/>
  <c r="T314" i="3" s="1"/>
  <c r="G314" i="3" s="1"/>
  <c r="G318" i="2"/>
  <c r="T318" i="3" s="1"/>
  <c r="G318" i="3" s="1"/>
  <c r="G322" i="2"/>
  <c r="T322" i="3" s="1"/>
  <c r="G322" i="3" s="1"/>
  <c r="G330" i="2"/>
  <c r="T330" i="3" s="1"/>
  <c r="G330" i="3" s="1"/>
  <c r="C191" i="2"/>
  <c r="P191" i="3" s="1"/>
  <c r="C191" i="3" s="1"/>
  <c r="G199" i="2"/>
  <c r="T199" i="3" s="1"/>
  <c r="G199" i="3" s="1"/>
  <c r="C207" i="2"/>
  <c r="P207" i="3" s="1"/>
  <c r="C207" i="3" s="1"/>
  <c r="G223" i="2"/>
  <c r="T223" i="3" s="1"/>
  <c r="G223" i="3" s="1"/>
  <c r="C231" i="2"/>
  <c r="P231" i="3" s="1"/>
  <c r="C231" i="3" s="1"/>
  <c r="C239" i="2"/>
  <c r="P239" i="3" s="1"/>
  <c r="C239" i="3" s="1"/>
  <c r="C255" i="2"/>
  <c r="P255" i="3" s="1"/>
  <c r="C255" i="3" s="1"/>
  <c r="G263" i="2"/>
  <c r="T263" i="3" s="1"/>
  <c r="G263" i="3" s="1"/>
  <c r="G267" i="2"/>
  <c r="T267" i="3" s="1"/>
  <c r="G267" i="3" s="1"/>
  <c r="G275" i="2"/>
  <c r="T275" i="3" s="1"/>
  <c r="G275" i="3" s="1"/>
  <c r="C299" i="2"/>
  <c r="P299" i="3" s="1"/>
  <c r="C299" i="3" s="1"/>
  <c r="G307" i="2"/>
  <c r="T307" i="3" s="1"/>
  <c r="G307" i="3" s="1"/>
  <c r="C323" i="2"/>
  <c r="P323" i="3" s="1"/>
  <c r="C323" i="3" s="1"/>
  <c r="B256" i="1"/>
  <c r="B300" i="1"/>
  <c r="B173" i="1"/>
  <c r="B113" i="5"/>
  <c r="B149" i="5"/>
  <c r="B165" i="5"/>
  <c r="B57" i="5"/>
  <c r="B97" i="5"/>
  <c r="B22" i="5"/>
  <c r="B46" i="5"/>
  <c r="B70" i="5"/>
  <c r="B98" i="5"/>
  <c r="B122" i="5"/>
  <c r="B182" i="5"/>
  <c r="B20" i="5"/>
  <c r="B44" i="5"/>
  <c r="B64" i="5"/>
  <c r="B108" i="5"/>
  <c r="B208" i="5"/>
  <c r="B288" i="5"/>
  <c r="B17" i="5"/>
  <c r="B69" i="5"/>
  <c r="G218" i="2"/>
  <c r="T218" i="3" s="1"/>
  <c r="G218" i="3" s="1"/>
  <c r="C230" i="2"/>
  <c r="P230" i="3" s="1"/>
  <c r="C230" i="3" s="1"/>
  <c r="C234" i="2"/>
  <c r="P234" i="3" s="1"/>
  <c r="C234" i="3" s="1"/>
  <c r="G234" i="2"/>
  <c r="T234" i="3" s="1"/>
  <c r="G234" i="3" s="1"/>
  <c r="C242" i="2"/>
  <c r="P242" i="3" s="1"/>
  <c r="C242" i="3" s="1"/>
  <c r="G254" i="2"/>
  <c r="T254" i="3" s="1"/>
  <c r="G254" i="3" s="1"/>
  <c r="C262" i="2"/>
  <c r="P262" i="3" s="1"/>
  <c r="C262" i="3" s="1"/>
  <c r="G274" i="2"/>
  <c r="T274" i="3" s="1"/>
  <c r="G274" i="3" s="1"/>
  <c r="C282" i="2"/>
  <c r="P282" i="3" s="1"/>
  <c r="C282" i="3" s="1"/>
  <c r="G290" i="2"/>
  <c r="T290" i="3" s="1"/>
  <c r="G290" i="3" s="1"/>
  <c r="C298" i="2"/>
  <c r="P298" i="3" s="1"/>
  <c r="C298" i="3" s="1"/>
  <c r="C302" i="2"/>
  <c r="P302" i="3" s="1"/>
  <c r="C302" i="3" s="1"/>
  <c r="C306" i="2"/>
  <c r="P306" i="3" s="1"/>
  <c r="C306" i="3" s="1"/>
  <c r="C310" i="2"/>
  <c r="P310" i="3" s="1"/>
  <c r="C310" i="3" s="1"/>
  <c r="C314" i="2"/>
  <c r="P314" i="3" s="1"/>
  <c r="C314" i="3" s="1"/>
  <c r="C318" i="2"/>
  <c r="P318" i="3" s="1"/>
  <c r="C318" i="3" s="1"/>
  <c r="C322" i="2"/>
  <c r="P322" i="3" s="1"/>
  <c r="C322" i="3" s="1"/>
  <c r="C326" i="2"/>
  <c r="P326" i="3" s="1"/>
  <c r="C326" i="3" s="1"/>
  <c r="G326" i="2"/>
  <c r="T326" i="3" s="1"/>
  <c r="G326" i="3" s="1"/>
  <c r="C187" i="2"/>
  <c r="P187" i="3" s="1"/>
  <c r="C187" i="3" s="1"/>
  <c r="G195" i="2"/>
  <c r="T195" i="3" s="1"/>
  <c r="G195" i="3" s="1"/>
  <c r="C203" i="2"/>
  <c r="P203" i="3" s="1"/>
  <c r="C203" i="3" s="1"/>
  <c r="G219" i="2"/>
  <c r="T219" i="3" s="1"/>
  <c r="G219" i="3" s="1"/>
  <c r="C227" i="2"/>
  <c r="P227" i="3" s="1"/>
  <c r="C227" i="3" s="1"/>
  <c r="G247" i="2"/>
  <c r="T247" i="3" s="1"/>
  <c r="G247" i="3" s="1"/>
  <c r="G251" i="2"/>
  <c r="T251" i="3" s="1"/>
  <c r="G251" i="3" s="1"/>
  <c r="G255" i="2"/>
  <c r="T255" i="3" s="1"/>
  <c r="G255" i="3" s="1"/>
  <c r="G259" i="2"/>
  <c r="T259" i="3" s="1"/>
  <c r="G259" i="3" s="1"/>
  <c r="C275" i="2"/>
  <c r="P275" i="3" s="1"/>
  <c r="C275" i="3" s="1"/>
  <c r="C279" i="2"/>
  <c r="P279" i="3" s="1"/>
  <c r="C279" i="3" s="1"/>
  <c r="C287" i="2"/>
  <c r="P287" i="3" s="1"/>
  <c r="C287" i="3" s="1"/>
  <c r="G291" i="2"/>
  <c r="T291" i="3" s="1"/>
  <c r="G291" i="3" s="1"/>
  <c r="G299" i="2"/>
  <c r="T299" i="3" s="1"/>
  <c r="G299" i="3" s="1"/>
  <c r="B204" i="1"/>
  <c r="B268" i="1"/>
  <c r="B308" i="1"/>
  <c r="B153" i="5"/>
  <c r="B169" i="5"/>
  <c r="B33" i="5"/>
  <c r="B65" i="5"/>
  <c r="B294" i="5"/>
  <c r="B30" i="5"/>
  <c r="B54" i="5"/>
  <c r="B74" i="5"/>
  <c r="B102" i="5"/>
  <c r="B134" i="5"/>
  <c r="B230" i="5"/>
  <c r="B28" i="5"/>
  <c r="B48" i="5"/>
  <c r="B68" i="5"/>
  <c r="B116" i="5"/>
  <c r="B224" i="5"/>
  <c r="B304" i="5"/>
  <c r="B80" i="5"/>
  <c r="F15" i="5"/>
  <c r="F7" i="5"/>
  <c r="F238" i="5"/>
  <c r="I61" i="3"/>
  <c r="D238" i="2"/>
  <c r="Q238" i="3" s="1"/>
  <c r="D238" i="3" s="1"/>
  <c r="D242" i="2"/>
  <c r="Q242" i="3" s="1"/>
  <c r="D242" i="3" s="1"/>
  <c r="D246" i="2"/>
  <c r="Q246" i="3" s="1"/>
  <c r="D246" i="3" s="1"/>
  <c r="D250" i="2"/>
  <c r="Q250" i="3" s="1"/>
  <c r="D250" i="3" s="1"/>
  <c r="D330" i="2"/>
  <c r="T207" i="3"/>
  <c r="G207" i="3" s="1"/>
  <c r="R219" i="3"/>
  <c r="E219" i="3" s="1"/>
  <c r="R243" i="3"/>
  <c r="E243" i="3" s="1"/>
  <c r="D247" i="2"/>
  <c r="Q247" i="3" s="1"/>
  <c r="D247" i="3" s="1"/>
  <c r="R255" i="3"/>
  <c r="E255" i="3" s="1"/>
  <c r="D263" i="2"/>
  <c r="Q263" i="3" s="1"/>
  <c r="D263" i="3" s="1"/>
  <c r="R267" i="3"/>
  <c r="E267" i="3" s="1"/>
  <c r="D271" i="2"/>
  <c r="Q271" i="3" s="1"/>
  <c r="D271" i="3" s="1"/>
  <c r="D287" i="2"/>
  <c r="Q287" i="3" s="1"/>
  <c r="D287" i="3" s="1"/>
  <c r="D291" i="2"/>
  <c r="Q291" i="3" s="1"/>
  <c r="D291" i="3" s="1"/>
  <c r="D254" i="2"/>
  <c r="Q254" i="3" s="1"/>
  <c r="D254" i="3" s="1"/>
  <c r="D258" i="2"/>
  <c r="Q258" i="3" s="1"/>
  <c r="D258" i="3" s="1"/>
  <c r="D262" i="2"/>
  <c r="Q262" i="3" s="1"/>
  <c r="D262" i="3" s="1"/>
  <c r="D266" i="2"/>
  <c r="Q266" i="3" s="1"/>
  <c r="D266" i="3" s="1"/>
  <c r="D187" i="2"/>
  <c r="Q187" i="3" s="1"/>
  <c r="D187" i="3" s="1"/>
  <c r="D191" i="2"/>
  <c r="Q191" i="3" s="1"/>
  <c r="D191" i="3" s="1"/>
  <c r="D203" i="2"/>
  <c r="Q203" i="3" s="1"/>
  <c r="D203" i="3" s="1"/>
  <c r="D207" i="2"/>
  <c r="Q207" i="3" s="1"/>
  <c r="D207" i="3" s="1"/>
  <c r="D211" i="2"/>
  <c r="Q211" i="3" s="1"/>
  <c r="D211" i="3" s="1"/>
  <c r="T211" i="3"/>
  <c r="G211" i="3" s="1"/>
  <c r="T215" i="3"/>
  <c r="G215" i="3" s="1"/>
  <c r="D279" i="2"/>
  <c r="Q279" i="3" s="1"/>
  <c r="D279" i="3" s="1"/>
  <c r="D299" i="2"/>
  <c r="Q299" i="3" s="1"/>
  <c r="D299" i="3" s="1"/>
  <c r="D307" i="2"/>
  <c r="Q307" i="3" s="1"/>
  <c r="D307" i="3" s="1"/>
  <c r="D315" i="2"/>
  <c r="Q315" i="3" s="1"/>
  <c r="D315" i="3" s="1"/>
  <c r="D323" i="2"/>
  <c r="Q323" i="3" s="1"/>
  <c r="D323" i="3" s="1"/>
  <c r="B260" i="2"/>
  <c r="D222" i="2"/>
  <c r="Q222" i="3" s="1"/>
  <c r="D222" i="3" s="1"/>
  <c r="D270" i="2"/>
  <c r="Q270" i="3" s="1"/>
  <c r="D270" i="3" s="1"/>
  <c r="D274" i="2"/>
  <c r="Q274" i="3" s="1"/>
  <c r="D274" i="3" s="1"/>
  <c r="D278" i="2"/>
  <c r="Q278" i="3" s="1"/>
  <c r="D278" i="3" s="1"/>
  <c r="D282" i="2"/>
  <c r="Q282" i="3" s="1"/>
  <c r="D282" i="3" s="1"/>
  <c r="D286" i="2"/>
  <c r="Q286" i="3" s="1"/>
  <c r="D286" i="3" s="1"/>
  <c r="D290" i="2"/>
  <c r="Q290" i="3" s="1"/>
  <c r="D290" i="3" s="1"/>
  <c r="D294" i="2"/>
  <c r="Q294" i="3" s="1"/>
  <c r="D294" i="3" s="1"/>
  <c r="D298" i="2"/>
  <c r="Q298" i="3" s="1"/>
  <c r="D298" i="3" s="1"/>
  <c r="D195" i="2"/>
  <c r="Q195" i="3" s="1"/>
  <c r="D195" i="3" s="1"/>
  <c r="D199" i="2"/>
  <c r="Q199" i="3" s="1"/>
  <c r="D199" i="3" s="1"/>
  <c r="D219" i="2"/>
  <c r="Q219" i="3" s="1"/>
  <c r="D219" i="3" s="1"/>
  <c r="D223" i="2"/>
  <c r="Q223" i="3" s="1"/>
  <c r="D223" i="3" s="1"/>
  <c r="D227" i="2"/>
  <c r="Q227" i="3" s="1"/>
  <c r="D227" i="3" s="1"/>
  <c r="D239" i="2"/>
  <c r="Q239" i="3" s="1"/>
  <c r="D239" i="3" s="1"/>
  <c r="D243" i="2"/>
  <c r="Q243" i="3" s="1"/>
  <c r="D243" i="3" s="1"/>
  <c r="R279" i="3"/>
  <c r="E279" i="3" s="1"/>
  <c r="B176" i="2"/>
  <c r="B45" i="5"/>
  <c r="B281" i="1"/>
  <c r="B264" i="2"/>
  <c r="B75" i="5"/>
  <c r="A1" i="1"/>
  <c r="A1" i="3"/>
  <c r="B169" i="1"/>
  <c r="B249" i="1"/>
  <c r="B209" i="1"/>
  <c r="B294" i="1"/>
  <c r="B148" i="5"/>
  <c r="B137" i="5"/>
  <c r="B133" i="5"/>
  <c r="B121" i="5"/>
  <c r="B109" i="5"/>
  <c r="B105" i="5"/>
  <c r="B23" i="5"/>
  <c r="B19" i="5"/>
  <c r="B153" i="1"/>
  <c r="B193" i="1"/>
  <c r="B229" i="1"/>
  <c r="B103" i="5"/>
  <c r="B87" i="5"/>
  <c r="B83" i="5"/>
  <c r="B29" i="5"/>
  <c r="B157" i="1"/>
  <c r="B213" i="1"/>
  <c r="B94" i="5"/>
  <c r="B90" i="5"/>
  <c r="B71" i="5"/>
  <c r="B55" i="5"/>
  <c r="B51" i="5"/>
  <c r="B43" i="5"/>
  <c r="I11" i="12"/>
  <c r="B43" i="12"/>
  <c r="B38" i="12"/>
  <c r="B37" i="12"/>
  <c r="A1" i="12"/>
  <c r="B16" i="12"/>
  <c r="A1" i="2"/>
  <c r="F302" i="1"/>
  <c r="B190" i="1"/>
  <c r="F71" i="1"/>
  <c r="D194" i="2"/>
  <c r="Q194" i="3" s="1"/>
  <c r="D194" i="3" s="1"/>
  <c r="D126" i="2"/>
  <c r="Q126" i="3" s="1"/>
  <c r="D126" i="3" s="1"/>
  <c r="D114" i="2"/>
  <c r="Q114" i="3" s="1"/>
  <c r="D114" i="3" s="1"/>
  <c r="D102" i="2"/>
  <c r="Q102" i="3" s="1"/>
  <c r="D102" i="3" s="1"/>
  <c r="E94" i="2"/>
  <c r="R94" i="3" s="1"/>
  <c r="E94" i="3" s="1"/>
  <c r="D90" i="2"/>
  <c r="Q90" i="3" s="1"/>
  <c r="D90" i="3" s="1"/>
  <c r="E82" i="2"/>
  <c r="R82" i="3" s="1"/>
  <c r="E82" i="3" s="1"/>
  <c r="D58" i="2"/>
  <c r="Q58" i="3" s="1"/>
  <c r="D58" i="3" s="1"/>
  <c r="E50" i="2"/>
  <c r="R50" i="3" s="1"/>
  <c r="E50" i="3" s="1"/>
  <c r="E26" i="2"/>
  <c r="R26" i="3" s="1"/>
  <c r="E26" i="3" s="1"/>
  <c r="B116" i="2"/>
  <c r="F259" i="2"/>
  <c r="S259" i="3" s="1"/>
  <c r="F259" i="3" s="1"/>
  <c r="B123" i="5"/>
  <c r="I314" i="3"/>
  <c r="B126" i="1"/>
  <c r="F258" i="1"/>
  <c r="B246" i="1"/>
  <c r="F232" i="1"/>
  <c r="H8" i="2"/>
  <c r="U8" i="3" s="1"/>
  <c r="V8" i="3" s="1"/>
  <c r="W8" i="3" s="1"/>
  <c r="D8" i="2"/>
  <c r="Q8" i="3" s="1"/>
  <c r="D8" i="3" s="1"/>
  <c r="H108" i="2"/>
  <c r="U108" i="3" s="1"/>
  <c r="V108" i="3" s="1"/>
  <c r="W108" i="3" s="1"/>
  <c r="B328" i="3"/>
  <c r="I176" i="3"/>
  <c r="B161" i="1"/>
  <c r="B181" i="1"/>
  <c r="B225" i="1"/>
  <c r="B277" i="1"/>
  <c r="B189" i="1"/>
  <c r="B245" i="1"/>
  <c r="B305" i="1"/>
  <c r="B330" i="1"/>
  <c r="B278" i="1"/>
  <c r="B214" i="1"/>
  <c r="B166" i="1"/>
  <c r="B90" i="3"/>
  <c r="B110" i="3"/>
  <c r="B134" i="3"/>
  <c r="B154" i="3"/>
  <c r="B174" i="3"/>
  <c r="B202" i="3"/>
  <c r="B234" i="3"/>
  <c r="B310" i="3"/>
  <c r="B254" i="3"/>
  <c r="B322" i="3"/>
  <c r="B327" i="3"/>
  <c r="B312" i="3"/>
  <c r="B301" i="3"/>
  <c r="B285" i="3"/>
  <c r="B269" i="3"/>
  <c r="B165" i="1"/>
  <c r="B185" i="1"/>
  <c r="B241" i="1"/>
  <c r="B289" i="1"/>
  <c r="B197" i="1"/>
  <c r="B257" i="1"/>
  <c r="B313" i="1"/>
  <c r="B326" i="1"/>
  <c r="B262" i="1"/>
  <c r="B236" i="1"/>
  <c r="B202" i="1"/>
  <c r="B150" i="1"/>
  <c r="B142" i="1"/>
  <c r="B134" i="1"/>
  <c r="G69" i="1"/>
  <c r="G298" i="1"/>
  <c r="G287" i="1"/>
  <c r="G283" i="1"/>
  <c r="G277" i="1"/>
  <c r="G262" i="1"/>
  <c r="G250" i="1"/>
  <c r="G239" i="1"/>
  <c r="G235" i="1"/>
  <c r="G202" i="1"/>
  <c r="B198" i="1"/>
  <c r="B149" i="1"/>
  <c r="G145" i="1"/>
  <c r="G137" i="1"/>
  <c r="G95" i="1"/>
  <c r="G83" i="1"/>
  <c r="G67" i="1"/>
  <c r="G55" i="1"/>
  <c r="G39" i="1"/>
  <c r="G27" i="1"/>
  <c r="G11" i="1"/>
  <c r="C226" i="2"/>
  <c r="P226" i="3" s="1"/>
  <c r="C226" i="3" s="1"/>
  <c r="C214" i="2"/>
  <c r="P214" i="3" s="1"/>
  <c r="C214" i="3" s="1"/>
  <c r="G198" i="2"/>
  <c r="T198" i="3" s="1"/>
  <c r="G198" i="3" s="1"/>
  <c r="G186" i="2"/>
  <c r="T186" i="3" s="1"/>
  <c r="G186" i="3" s="1"/>
  <c r="C182" i="2"/>
  <c r="P182" i="3" s="1"/>
  <c r="C182" i="3" s="1"/>
  <c r="G174" i="2"/>
  <c r="T174" i="3" s="1"/>
  <c r="G174" i="3" s="1"/>
  <c r="C170" i="2"/>
  <c r="P170" i="3" s="1"/>
  <c r="C170" i="3" s="1"/>
  <c r="C158" i="2"/>
  <c r="P158" i="3" s="1"/>
  <c r="C158" i="3" s="1"/>
  <c r="C146" i="2"/>
  <c r="P146" i="3" s="1"/>
  <c r="C146" i="3" s="1"/>
  <c r="G130" i="2"/>
  <c r="T130" i="3" s="1"/>
  <c r="G130" i="3" s="1"/>
  <c r="G106" i="2"/>
  <c r="T106" i="3" s="1"/>
  <c r="G106" i="3" s="1"/>
  <c r="C70" i="2"/>
  <c r="P70" i="3" s="1"/>
  <c r="C70" i="3" s="1"/>
  <c r="G62" i="2"/>
  <c r="T62" i="3" s="1"/>
  <c r="G62" i="3" s="1"/>
  <c r="C38" i="2"/>
  <c r="P38" i="3" s="1"/>
  <c r="C38" i="3" s="1"/>
  <c r="G30" i="2"/>
  <c r="T30" i="3" s="1"/>
  <c r="G30" i="3" s="1"/>
  <c r="C22" i="2"/>
  <c r="P22" i="3" s="1"/>
  <c r="C22" i="3" s="1"/>
  <c r="G14" i="2"/>
  <c r="T14" i="3" s="1"/>
  <c r="G14" i="3" s="1"/>
  <c r="G10" i="2"/>
  <c r="T10" i="3" s="1"/>
  <c r="G10" i="3" s="1"/>
  <c r="B58" i="3"/>
  <c r="B78" i="3"/>
  <c r="B102" i="3"/>
  <c r="B122" i="3"/>
  <c r="B142" i="3"/>
  <c r="B166" i="3"/>
  <c r="B186" i="3"/>
  <c r="B210" i="3"/>
  <c r="B266" i="3"/>
  <c r="B290" i="3"/>
  <c r="D7" i="5"/>
  <c r="K7" i="5" s="1"/>
  <c r="B269" i="5"/>
  <c r="B241" i="5"/>
  <c r="B67" i="5"/>
  <c r="B59" i="5"/>
  <c r="B35" i="5"/>
  <c r="B27" i="5"/>
  <c r="G154" i="5"/>
  <c r="H161" i="2"/>
  <c r="U161" i="3" s="1"/>
  <c r="V161" i="3" s="1"/>
  <c r="W161" i="3" s="1"/>
  <c r="H193" i="2"/>
  <c r="U193" i="3" s="1"/>
  <c r="V193" i="3" s="1"/>
  <c r="W193" i="3" s="1"/>
  <c r="H129" i="2"/>
  <c r="U129" i="3" s="1"/>
  <c r="V129" i="3" s="1"/>
  <c r="W129" i="3" s="1"/>
  <c r="H131" i="2"/>
  <c r="U131" i="3" s="1"/>
  <c r="V131" i="3" s="1"/>
  <c r="W131" i="3" s="1"/>
  <c r="H135" i="2"/>
  <c r="U135" i="3" s="1"/>
  <c r="V135" i="3" s="1"/>
  <c r="W135" i="3" s="1"/>
  <c r="D154" i="5"/>
  <c r="D210" i="5"/>
  <c r="D190" i="5"/>
  <c r="K190" i="5" s="1"/>
  <c r="D170" i="5"/>
  <c r="D147" i="5"/>
  <c r="D116" i="5"/>
  <c r="D93" i="5"/>
  <c r="D86" i="5"/>
  <c r="D54" i="5"/>
  <c r="D36" i="5"/>
  <c r="D32" i="5"/>
  <c r="D28" i="5"/>
  <c r="D22" i="5"/>
  <c r="D14" i="5"/>
  <c r="I232" i="3"/>
  <c r="D298" i="5"/>
  <c r="D30" i="5"/>
  <c r="I325" i="2"/>
  <c r="D126" i="5"/>
  <c r="G330" i="1"/>
  <c r="G255" i="1"/>
  <c r="G251" i="1"/>
  <c r="G229" i="1"/>
  <c r="G225" i="1"/>
  <c r="F217" i="1"/>
  <c r="G214" i="1"/>
  <c r="F173" i="1"/>
  <c r="G138" i="1"/>
  <c r="F116" i="1"/>
  <c r="F104" i="1"/>
  <c r="G96" i="1"/>
  <c r="F88" i="1"/>
  <c r="G40" i="1"/>
  <c r="F28" i="1"/>
  <c r="G24" i="1"/>
  <c r="G12" i="1"/>
  <c r="D197" i="5"/>
  <c r="D115" i="5"/>
  <c r="D10" i="5"/>
  <c r="D284" i="5"/>
  <c r="E232" i="5"/>
  <c r="E11" i="5"/>
  <c r="E275" i="5"/>
  <c r="E86" i="5"/>
  <c r="E316" i="5"/>
  <c r="H315" i="2"/>
  <c r="U315" i="3" s="1"/>
  <c r="V315" i="3" s="1"/>
  <c r="W315" i="3" s="1"/>
  <c r="H114" i="2"/>
  <c r="U114" i="3" s="1"/>
  <c r="V114" i="3" s="1"/>
  <c r="W114" i="3" s="1"/>
  <c r="H321" i="2"/>
  <c r="U321" i="3" s="1"/>
  <c r="V321" i="3" s="1"/>
  <c r="W321" i="3" s="1"/>
  <c r="H225" i="2"/>
  <c r="U225" i="3" s="1"/>
  <c r="V225" i="3" s="1"/>
  <c r="W225" i="3" s="1"/>
  <c r="H197" i="2"/>
  <c r="U197" i="3" s="1"/>
  <c r="V197" i="3" s="1"/>
  <c r="W197" i="3" s="1"/>
  <c r="H133" i="2"/>
  <c r="U133" i="3" s="1"/>
  <c r="V133" i="3" s="1"/>
  <c r="W133" i="3" s="1"/>
  <c r="H260" i="2"/>
  <c r="U260" i="3" s="1"/>
  <c r="V260" i="3" s="1"/>
  <c r="W260" i="3" s="1"/>
  <c r="H248" i="2"/>
  <c r="U248" i="3" s="1"/>
  <c r="V248" i="3" s="1"/>
  <c r="W248" i="3" s="1"/>
  <c r="H132" i="2"/>
  <c r="U132" i="3" s="1"/>
  <c r="V132" i="3" s="1"/>
  <c r="W132" i="3" s="1"/>
  <c r="H303" i="2"/>
  <c r="U303" i="3" s="1"/>
  <c r="V303" i="3" s="1"/>
  <c r="W303" i="3" s="1"/>
  <c r="H310" i="2"/>
  <c r="U310" i="3" s="1"/>
  <c r="V310" i="3" s="1"/>
  <c r="W310" i="3" s="1"/>
  <c r="H178" i="2"/>
  <c r="U178" i="3" s="1"/>
  <c r="V178" i="3" s="1"/>
  <c r="W178" i="3" s="1"/>
  <c r="H289" i="2"/>
  <c r="U289" i="3" s="1"/>
  <c r="V289" i="3" s="1"/>
  <c r="W289" i="3" s="1"/>
  <c r="H97" i="2"/>
  <c r="U97" i="3" s="1"/>
  <c r="V97" i="3" s="1"/>
  <c r="W97" i="3" s="1"/>
  <c r="H33" i="2"/>
  <c r="U33" i="3" s="1"/>
  <c r="V33" i="3" s="1"/>
  <c r="W33" i="3" s="1"/>
  <c r="H156" i="2"/>
  <c r="U156" i="3" s="1"/>
  <c r="V156" i="3" s="1"/>
  <c r="W156" i="3" s="1"/>
  <c r="H319" i="2"/>
  <c r="U319" i="3" s="1"/>
  <c r="V319" i="3" s="1"/>
  <c r="W319" i="3" s="1"/>
  <c r="H123" i="2"/>
  <c r="U123" i="3" s="1"/>
  <c r="V123" i="3" s="1"/>
  <c r="W123" i="3" s="1"/>
  <c r="H39" i="2"/>
  <c r="U39" i="3" s="1"/>
  <c r="V39" i="3" s="1"/>
  <c r="W39" i="3" s="1"/>
  <c r="H11" i="2"/>
  <c r="U11" i="3" s="1"/>
  <c r="V11" i="3" s="1"/>
  <c r="W11" i="3" s="1"/>
  <c r="E306" i="5"/>
  <c r="E290" i="5"/>
  <c r="E191" i="5"/>
  <c r="I215" i="2"/>
  <c r="I223" i="2"/>
  <c r="I296" i="2"/>
  <c r="I268" i="2"/>
  <c r="I19" i="2"/>
  <c r="I15" i="2"/>
  <c r="I8" i="3"/>
  <c r="I121" i="3"/>
  <c r="I216" i="3"/>
  <c r="I280" i="3"/>
  <c r="I48" i="3"/>
  <c r="I133" i="3"/>
  <c r="I217" i="3"/>
  <c r="I300" i="3"/>
  <c r="I190" i="2"/>
  <c r="E218" i="5"/>
  <c r="E206" i="5"/>
  <c r="E78" i="5"/>
  <c r="E46" i="5"/>
  <c r="I325" i="3"/>
  <c r="I287" i="3"/>
  <c r="I231" i="3"/>
  <c r="I223" i="3"/>
  <c r="I301" i="3"/>
  <c r="I175" i="3"/>
  <c r="H69" i="2"/>
  <c r="U69" i="3" s="1"/>
  <c r="V69" i="3" s="1"/>
  <c r="W69" i="3" s="1"/>
  <c r="H261" i="2"/>
  <c r="U261" i="3" s="1"/>
  <c r="V261" i="3" s="1"/>
  <c r="W261" i="3" s="1"/>
  <c r="E185" i="5"/>
  <c r="E165" i="5"/>
  <c r="E154" i="5"/>
  <c r="E142" i="5"/>
  <c r="F117" i="5"/>
  <c r="F131" i="5"/>
  <c r="F14" i="5"/>
  <c r="F303" i="5"/>
  <c r="I328" i="3"/>
  <c r="I320" i="3"/>
  <c r="I313" i="3"/>
  <c r="I202" i="3"/>
  <c r="I154" i="3"/>
  <c r="I258" i="3"/>
  <c r="I89" i="3"/>
  <c r="F54" i="1"/>
  <c r="G146" i="1"/>
  <c r="F174" i="1"/>
  <c r="G246" i="1"/>
  <c r="F288" i="1"/>
  <c r="G289" i="1"/>
  <c r="F317" i="1"/>
  <c r="G309" i="1"/>
  <c r="G305" i="1"/>
  <c r="F301" i="1"/>
  <c r="G294" i="1"/>
  <c r="F286" i="1"/>
  <c r="F272" i="1"/>
  <c r="G223" i="1"/>
  <c r="G178" i="1"/>
  <c r="F160" i="1"/>
  <c r="F144" i="1"/>
  <c r="G114" i="1"/>
  <c r="F50" i="1"/>
  <c r="E328" i="5"/>
  <c r="E320" i="5"/>
  <c r="D316" i="5"/>
  <c r="E312" i="5"/>
  <c r="E284" i="5"/>
  <c r="E276" i="5"/>
  <c r="E268" i="5"/>
  <c r="E260" i="5"/>
  <c r="E252" i="5"/>
  <c r="E244" i="5"/>
  <c r="E236" i="5"/>
  <c r="D232" i="5"/>
  <c r="D212" i="5"/>
  <c r="K212" i="5" s="1"/>
  <c r="E153" i="5"/>
  <c r="E141" i="5"/>
  <c r="E126" i="5"/>
  <c r="E62" i="5"/>
  <c r="D20" i="5"/>
  <c r="K20" i="5" s="1"/>
  <c r="D16" i="5"/>
  <c r="D12" i="5"/>
  <c r="D9" i="5"/>
  <c r="I273" i="3"/>
  <c r="I265" i="3"/>
  <c r="I257" i="3"/>
  <c r="I245" i="3"/>
  <c r="I181" i="3"/>
  <c r="I161" i="3"/>
  <c r="I149" i="3"/>
  <c r="I145" i="3"/>
  <c r="I117" i="3"/>
  <c r="I73" i="3"/>
  <c r="I37" i="3"/>
  <c r="I17" i="3"/>
  <c r="D11" i="5"/>
  <c r="D218" i="5"/>
  <c r="K218" i="5" s="1"/>
  <c r="D94" i="5"/>
  <c r="G267" i="1"/>
  <c r="G245" i="1"/>
  <c r="G218" i="1"/>
  <c r="G207" i="1"/>
  <c r="G203" i="1"/>
  <c r="G197" i="1"/>
  <c r="G193" i="1"/>
  <c r="F189" i="1"/>
  <c r="G185" i="1"/>
  <c r="G177" i="1"/>
  <c r="G170" i="1"/>
  <c r="F117" i="1"/>
  <c r="G113" i="1"/>
  <c r="E327" i="5"/>
  <c r="D315" i="5"/>
  <c r="D295" i="5"/>
  <c r="E291" i="5"/>
  <c r="E283" i="5"/>
  <c r="D275" i="5"/>
  <c r="K275" i="5" s="1"/>
  <c r="D231" i="5"/>
  <c r="E227" i="5"/>
  <c r="E207" i="5"/>
  <c r="E195" i="5"/>
  <c r="D191" i="5"/>
  <c r="E175" i="5"/>
  <c r="D148" i="5"/>
  <c r="E94" i="5"/>
  <c r="E61" i="5"/>
  <c r="D55" i="5"/>
  <c r="K55" i="5" s="1"/>
  <c r="D29" i="5"/>
  <c r="I288" i="3"/>
  <c r="I272" i="3"/>
  <c r="I208" i="3"/>
  <c r="I188" i="3"/>
  <c r="I168" i="3"/>
  <c r="I104" i="3"/>
  <c r="I64" i="3"/>
  <c r="I32" i="3"/>
  <c r="D328" i="5"/>
  <c r="D175" i="5"/>
  <c r="D62" i="5"/>
  <c r="F257" i="2"/>
  <c r="S257" i="3" s="1"/>
  <c r="F257" i="3" s="1"/>
  <c r="B257" i="2"/>
  <c r="H257" i="2"/>
  <c r="U257" i="3" s="1"/>
  <c r="V257" i="3" s="1"/>
  <c r="W257" i="3" s="1"/>
  <c r="D257" i="2"/>
  <c r="Q257" i="3" s="1"/>
  <c r="D257" i="3" s="1"/>
  <c r="D253" i="2"/>
  <c r="Q253" i="3" s="1"/>
  <c r="D253" i="3" s="1"/>
  <c r="F253" i="2"/>
  <c r="S253" i="3" s="1"/>
  <c r="F253" i="3" s="1"/>
  <c r="B253" i="2"/>
  <c r="F249" i="2"/>
  <c r="S249" i="3" s="1"/>
  <c r="F249" i="3" s="1"/>
  <c r="B249" i="2"/>
  <c r="C249" i="2"/>
  <c r="P249" i="3" s="1"/>
  <c r="C249" i="3" s="1"/>
  <c r="F264" i="2"/>
  <c r="S264" i="3" s="1"/>
  <c r="F264" i="3" s="1"/>
  <c r="G249" i="2"/>
  <c r="T249" i="3" s="1"/>
  <c r="G249" i="3" s="1"/>
  <c r="C257" i="2"/>
  <c r="P257" i="3" s="1"/>
  <c r="C257" i="3" s="1"/>
  <c r="B42" i="2"/>
  <c r="B106" i="2"/>
  <c r="B170" i="2"/>
  <c r="B234" i="2"/>
  <c r="B298" i="2"/>
  <c r="F282" i="2"/>
  <c r="S282" i="3" s="1"/>
  <c r="F282" i="3" s="1"/>
  <c r="B299" i="2"/>
  <c r="F195" i="2"/>
  <c r="S195" i="3" s="1"/>
  <c r="F195" i="3" s="1"/>
  <c r="D295" i="2"/>
  <c r="Q295" i="3" s="1"/>
  <c r="D295" i="3" s="1"/>
  <c r="C295" i="2"/>
  <c r="P295" i="3" s="1"/>
  <c r="C295" i="3" s="1"/>
  <c r="G295" i="2"/>
  <c r="T295" i="3" s="1"/>
  <c r="G295" i="3" s="1"/>
  <c r="E295" i="2"/>
  <c r="R295" i="3" s="1"/>
  <c r="E295" i="3" s="1"/>
  <c r="C264" i="2"/>
  <c r="P264" i="3" s="1"/>
  <c r="C264" i="3" s="1"/>
  <c r="G264" i="2"/>
  <c r="T264" i="3" s="1"/>
  <c r="G264" i="3" s="1"/>
  <c r="C253" i="2"/>
  <c r="P253" i="3" s="1"/>
  <c r="C253" i="3" s="1"/>
  <c r="E257" i="2"/>
  <c r="R257" i="3" s="1"/>
  <c r="E257" i="3" s="1"/>
  <c r="G266" i="1"/>
  <c r="B266" i="1"/>
  <c r="F244" i="1"/>
  <c r="B244" i="1"/>
  <c r="D264" i="2"/>
  <c r="Q264" i="3" s="1"/>
  <c r="D264" i="3" s="1"/>
  <c r="E249" i="2"/>
  <c r="R249" i="3" s="1"/>
  <c r="E249" i="3" s="1"/>
  <c r="E253" i="2"/>
  <c r="R253" i="3" s="1"/>
  <c r="E253" i="3" s="1"/>
  <c r="G257" i="2"/>
  <c r="T257" i="3" s="1"/>
  <c r="G257" i="3" s="1"/>
  <c r="E226" i="2"/>
  <c r="R226" i="3" s="1"/>
  <c r="E226" i="3" s="1"/>
  <c r="D226" i="2"/>
  <c r="Q226" i="3" s="1"/>
  <c r="D226" i="3" s="1"/>
  <c r="G222" i="2"/>
  <c r="T222" i="3" s="1"/>
  <c r="G222" i="3" s="1"/>
  <c r="C222" i="2"/>
  <c r="P222" i="3" s="1"/>
  <c r="C222" i="3" s="1"/>
  <c r="F222" i="2"/>
  <c r="S222" i="3" s="1"/>
  <c r="F222" i="3" s="1"/>
  <c r="D218" i="2"/>
  <c r="Q218" i="3" s="1"/>
  <c r="D218" i="3" s="1"/>
  <c r="E218" i="2"/>
  <c r="R218" i="3" s="1"/>
  <c r="E218" i="3" s="1"/>
  <c r="E214" i="2"/>
  <c r="R214" i="3" s="1"/>
  <c r="E214" i="3" s="1"/>
  <c r="H214" i="2"/>
  <c r="U214" i="3" s="1"/>
  <c r="V214" i="3" s="1"/>
  <c r="W214" i="3" s="1"/>
  <c r="D214" i="2"/>
  <c r="Q214" i="3" s="1"/>
  <c r="D214" i="3" s="1"/>
  <c r="G210" i="2"/>
  <c r="T210" i="3" s="1"/>
  <c r="G210" i="3" s="1"/>
  <c r="C210" i="2"/>
  <c r="P210" i="3" s="1"/>
  <c r="C210" i="3" s="1"/>
  <c r="F210" i="2"/>
  <c r="S210" i="3" s="1"/>
  <c r="F210" i="3" s="1"/>
  <c r="D206" i="2"/>
  <c r="Q206" i="3" s="1"/>
  <c r="D206" i="3" s="1"/>
  <c r="E206" i="2"/>
  <c r="R206" i="3" s="1"/>
  <c r="E206" i="3" s="1"/>
  <c r="F202" i="2"/>
  <c r="S202" i="3" s="1"/>
  <c r="F202" i="3" s="1"/>
  <c r="G202" i="2"/>
  <c r="T202" i="3" s="1"/>
  <c r="G202" i="3" s="1"/>
  <c r="D202" i="2"/>
  <c r="Q202" i="3" s="1"/>
  <c r="D202" i="3" s="1"/>
  <c r="E198" i="2"/>
  <c r="R198" i="3" s="1"/>
  <c r="E198" i="3" s="1"/>
  <c r="C198" i="2"/>
  <c r="P198" i="3" s="1"/>
  <c r="C198" i="3" s="1"/>
  <c r="G194" i="2"/>
  <c r="T194" i="3" s="1"/>
  <c r="G194" i="3" s="1"/>
  <c r="C194" i="2"/>
  <c r="P194" i="3" s="1"/>
  <c r="C194" i="3" s="1"/>
  <c r="F194" i="2"/>
  <c r="S194" i="3" s="1"/>
  <c r="F194" i="3" s="1"/>
  <c r="F190" i="2"/>
  <c r="S190" i="3" s="1"/>
  <c r="F190" i="3" s="1"/>
  <c r="G190" i="2"/>
  <c r="T190" i="3" s="1"/>
  <c r="G190" i="3" s="1"/>
  <c r="C190" i="2"/>
  <c r="P190" i="3" s="1"/>
  <c r="C190" i="3" s="1"/>
  <c r="E186" i="2"/>
  <c r="R186" i="3" s="1"/>
  <c r="E186" i="3" s="1"/>
  <c r="C186" i="2"/>
  <c r="P186" i="3" s="1"/>
  <c r="C186" i="3" s="1"/>
  <c r="G182" i="2"/>
  <c r="T182" i="3" s="1"/>
  <c r="G182" i="3" s="1"/>
  <c r="D182" i="2"/>
  <c r="Q182" i="3" s="1"/>
  <c r="D182" i="3" s="1"/>
  <c r="B182" i="2"/>
  <c r="F182" i="2"/>
  <c r="S182" i="3" s="1"/>
  <c r="F182" i="3" s="1"/>
  <c r="F178" i="2"/>
  <c r="S178" i="3" s="1"/>
  <c r="F178" i="3" s="1"/>
  <c r="G178" i="2"/>
  <c r="T178" i="3" s="1"/>
  <c r="G178" i="3" s="1"/>
  <c r="C178" i="2"/>
  <c r="P178" i="3" s="1"/>
  <c r="C178" i="3" s="1"/>
  <c r="E174" i="2"/>
  <c r="R174" i="3" s="1"/>
  <c r="E174" i="3" s="1"/>
  <c r="D174" i="2"/>
  <c r="Q174" i="3" s="1"/>
  <c r="D174" i="3" s="1"/>
  <c r="G170" i="2"/>
  <c r="T170" i="3" s="1"/>
  <c r="G170" i="3" s="1"/>
  <c r="D170" i="2"/>
  <c r="Q170" i="3" s="1"/>
  <c r="D170" i="3" s="1"/>
  <c r="F170" i="2"/>
  <c r="S170" i="3" s="1"/>
  <c r="F170" i="3" s="1"/>
  <c r="C166" i="2"/>
  <c r="P166" i="3" s="1"/>
  <c r="C166" i="3" s="1"/>
  <c r="F166" i="2"/>
  <c r="S166" i="3" s="1"/>
  <c r="F166" i="3" s="1"/>
  <c r="E162" i="2"/>
  <c r="R162" i="3" s="1"/>
  <c r="E162" i="3" s="1"/>
  <c r="G162" i="2"/>
  <c r="T162" i="3" s="1"/>
  <c r="G162" i="3" s="1"/>
  <c r="C162" i="2"/>
  <c r="P162" i="3" s="1"/>
  <c r="C162" i="3" s="1"/>
  <c r="F158" i="2"/>
  <c r="S158" i="3" s="1"/>
  <c r="F158" i="3" s="1"/>
  <c r="D158" i="2"/>
  <c r="Q158" i="3" s="1"/>
  <c r="D158" i="3" s="1"/>
  <c r="I154" i="2"/>
  <c r="C154" i="2"/>
  <c r="P154" i="3" s="1"/>
  <c r="C154" i="3" s="1"/>
  <c r="F154" i="2"/>
  <c r="S154" i="3" s="1"/>
  <c r="F154" i="3" s="1"/>
  <c r="E150" i="2"/>
  <c r="R150" i="3" s="1"/>
  <c r="E150" i="3" s="1"/>
  <c r="G150" i="2"/>
  <c r="T150" i="3" s="1"/>
  <c r="G150" i="3" s="1"/>
  <c r="D150" i="2"/>
  <c r="Q150" i="3" s="1"/>
  <c r="D150" i="3" s="1"/>
  <c r="G146" i="2"/>
  <c r="T146" i="3" s="1"/>
  <c r="G146" i="3" s="1"/>
  <c r="D146" i="2"/>
  <c r="Q146" i="3" s="1"/>
  <c r="D146" i="3" s="1"/>
  <c r="G142" i="2"/>
  <c r="T142" i="3" s="1"/>
  <c r="G142" i="3" s="1"/>
  <c r="C142" i="2"/>
  <c r="P142" i="3" s="1"/>
  <c r="C142" i="3" s="1"/>
  <c r="E142" i="2"/>
  <c r="R142" i="3" s="1"/>
  <c r="E142" i="3" s="1"/>
  <c r="C138" i="2"/>
  <c r="P138" i="3" s="1"/>
  <c r="C138" i="3" s="1"/>
  <c r="G138" i="2"/>
  <c r="T138" i="3" s="1"/>
  <c r="G138" i="3" s="1"/>
  <c r="E134" i="2"/>
  <c r="R134" i="3" s="1"/>
  <c r="E134" i="3" s="1"/>
  <c r="G134" i="2"/>
  <c r="T134" i="3" s="1"/>
  <c r="G134" i="3" s="1"/>
  <c r="D134" i="2"/>
  <c r="Q134" i="3" s="1"/>
  <c r="D134" i="3" s="1"/>
  <c r="F130" i="2"/>
  <c r="S130" i="3" s="1"/>
  <c r="F130" i="3" s="1"/>
  <c r="D130" i="2"/>
  <c r="Q130" i="3" s="1"/>
  <c r="D130" i="3" s="1"/>
  <c r="G126" i="2"/>
  <c r="T126" i="3" s="1"/>
  <c r="G126" i="3" s="1"/>
  <c r="C126" i="2"/>
  <c r="P126" i="3" s="1"/>
  <c r="C126" i="3" s="1"/>
  <c r="E126" i="2"/>
  <c r="R126" i="3" s="1"/>
  <c r="E126" i="3" s="1"/>
  <c r="C122" i="2"/>
  <c r="P122" i="3" s="1"/>
  <c r="C122" i="3" s="1"/>
  <c r="F122" i="2"/>
  <c r="S122" i="3" s="1"/>
  <c r="F122" i="3" s="1"/>
  <c r="E118" i="2"/>
  <c r="R118" i="3" s="1"/>
  <c r="E118" i="3" s="1"/>
  <c r="G118" i="2"/>
  <c r="T118" i="3" s="1"/>
  <c r="G118" i="3" s="1"/>
  <c r="D118" i="2"/>
  <c r="Q118" i="3" s="1"/>
  <c r="D118" i="3" s="1"/>
  <c r="F114" i="2"/>
  <c r="S114" i="3" s="1"/>
  <c r="F114" i="3" s="1"/>
  <c r="C114" i="2"/>
  <c r="P114" i="3" s="1"/>
  <c r="C114" i="3" s="1"/>
  <c r="E114" i="2"/>
  <c r="R114" i="3" s="1"/>
  <c r="E114" i="3" s="1"/>
  <c r="D110" i="2"/>
  <c r="Q110" i="3" s="1"/>
  <c r="D110" i="3" s="1"/>
  <c r="G110" i="2"/>
  <c r="T110" i="3" s="1"/>
  <c r="G110" i="3" s="1"/>
  <c r="E106" i="2"/>
  <c r="R106" i="3" s="1"/>
  <c r="E106" i="3" s="1"/>
  <c r="F106" i="2"/>
  <c r="S106" i="3" s="1"/>
  <c r="F106" i="3" s="1"/>
  <c r="D106" i="2"/>
  <c r="Q106" i="3" s="1"/>
  <c r="D106" i="3" s="1"/>
  <c r="F102" i="2"/>
  <c r="S102" i="3" s="1"/>
  <c r="F102" i="3" s="1"/>
  <c r="C102" i="2"/>
  <c r="P102" i="3" s="1"/>
  <c r="C102" i="3" s="1"/>
  <c r="F98" i="2"/>
  <c r="S98" i="3" s="1"/>
  <c r="F98" i="3" s="1"/>
  <c r="C98" i="2"/>
  <c r="P98" i="3" s="1"/>
  <c r="C98" i="3" s="1"/>
  <c r="B98" i="2"/>
  <c r="E98" i="2"/>
  <c r="R98" i="3" s="1"/>
  <c r="E98" i="3" s="1"/>
  <c r="D94" i="2"/>
  <c r="Q94" i="3" s="1"/>
  <c r="D94" i="3" s="1"/>
  <c r="G94" i="2"/>
  <c r="T94" i="3" s="1"/>
  <c r="G94" i="3" s="1"/>
  <c r="G90" i="2"/>
  <c r="T90" i="3" s="1"/>
  <c r="G90" i="3" s="1"/>
  <c r="I90" i="2"/>
  <c r="C90" i="2"/>
  <c r="P90" i="3" s="1"/>
  <c r="C90" i="3" s="1"/>
  <c r="G86" i="2"/>
  <c r="T86" i="3" s="1"/>
  <c r="G86" i="3" s="1"/>
  <c r="D86" i="2"/>
  <c r="Q86" i="3" s="1"/>
  <c r="D86" i="3" s="1"/>
  <c r="E86" i="2"/>
  <c r="R86" i="3" s="1"/>
  <c r="E86" i="3" s="1"/>
  <c r="D82" i="2"/>
  <c r="Q82" i="3" s="1"/>
  <c r="D82" i="3" s="1"/>
  <c r="G82" i="2"/>
  <c r="T82" i="3" s="1"/>
  <c r="G82" i="3" s="1"/>
  <c r="B82" i="2"/>
  <c r="E78" i="2"/>
  <c r="R78" i="3" s="1"/>
  <c r="E78" i="3" s="1"/>
  <c r="F78" i="2"/>
  <c r="S78" i="3" s="1"/>
  <c r="F78" i="3" s="1"/>
  <c r="C78" i="2"/>
  <c r="P78" i="3" s="1"/>
  <c r="C78" i="3" s="1"/>
  <c r="G74" i="2"/>
  <c r="T74" i="3" s="1"/>
  <c r="G74" i="3" s="1"/>
  <c r="C74" i="2"/>
  <c r="P74" i="3" s="1"/>
  <c r="C74" i="3" s="1"/>
  <c r="G70" i="2"/>
  <c r="T70" i="3" s="1"/>
  <c r="G70" i="3" s="1"/>
  <c r="D70" i="2"/>
  <c r="Q70" i="3" s="1"/>
  <c r="D70" i="3" s="1"/>
  <c r="E70" i="2"/>
  <c r="R70" i="3" s="1"/>
  <c r="E70" i="3" s="1"/>
  <c r="D66" i="2"/>
  <c r="Q66" i="3" s="1"/>
  <c r="D66" i="3" s="1"/>
  <c r="B66" i="2"/>
  <c r="G66" i="2"/>
  <c r="T66" i="3" s="1"/>
  <c r="G66" i="3" s="1"/>
  <c r="E62" i="2"/>
  <c r="R62" i="3" s="1"/>
  <c r="E62" i="3" s="1"/>
  <c r="F62" i="2"/>
  <c r="S62" i="3" s="1"/>
  <c r="F62" i="3" s="1"/>
  <c r="C62" i="2"/>
  <c r="P62" i="3" s="1"/>
  <c r="C62" i="3" s="1"/>
  <c r="G58" i="2"/>
  <c r="T58" i="3" s="1"/>
  <c r="G58" i="3" s="1"/>
  <c r="C58" i="2"/>
  <c r="P58" i="3" s="1"/>
  <c r="C58" i="3" s="1"/>
  <c r="G54" i="2"/>
  <c r="T54" i="3" s="1"/>
  <c r="G54" i="3" s="1"/>
  <c r="D54" i="2"/>
  <c r="Q54" i="3" s="1"/>
  <c r="D54" i="3" s="1"/>
  <c r="E54" i="2"/>
  <c r="R54" i="3" s="1"/>
  <c r="E54" i="3" s="1"/>
  <c r="D50" i="2"/>
  <c r="Q50" i="3" s="1"/>
  <c r="D50" i="3" s="1"/>
  <c r="G50" i="2"/>
  <c r="T50" i="3" s="1"/>
  <c r="G50" i="3" s="1"/>
  <c r="B50" i="2"/>
  <c r="E46" i="2"/>
  <c r="R46" i="3" s="1"/>
  <c r="E46" i="3" s="1"/>
  <c r="F46" i="2"/>
  <c r="S46" i="3" s="1"/>
  <c r="F46" i="3" s="1"/>
  <c r="C46" i="2"/>
  <c r="P46" i="3" s="1"/>
  <c r="C46" i="3" s="1"/>
  <c r="G42" i="2"/>
  <c r="T42" i="3" s="1"/>
  <c r="G42" i="3" s="1"/>
  <c r="C42" i="2"/>
  <c r="P42" i="3" s="1"/>
  <c r="C42" i="3" s="1"/>
  <c r="G38" i="2"/>
  <c r="T38" i="3" s="1"/>
  <c r="G38" i="3" s="1"/>
  <c r="D38" i="2"/>
  <c r="Q38" i="3" s="1"/>
  <c r="D38" i="3" s="1"/>
  <c r="E38" i="2"/>
  <c r="R38" i="3" s="1"/>
  <c r="E38" i="3" s="1"/>
  <c r="D34" i="2"/>
  <c r="Q34" i="3" s="1"/>
  <c r="D34" i="3" s="1"/>
  <c r="F34" i="2"/>
  <c r="S34" i="3" s="1"/>
  <c r="F34" i="3" s="1"/>
  <c r="C34" i="2"/>
  <c r="P34" i="3" s="1"/>
  <c r="C34" i="3" s="1"/>
  <c r="F30" i="2"/>
  <c r="S30" i="3" s="1"/>
  <c r="F30" i="3" s="1"/>
  <c r="C30" i="2"/>
  <c r="P30" i="3" s="1"/>
  <c r="C30" i="3" s="1"/>
  <c r="B30" i="2"/>
  <c r="C26" i="2"/>
  <c r="P26" i="3" s="1"/>
  <c r="C26" i="3" s="1"/>
  <c r="G26" i="2"/>
  <c r="D26" i="2"/>
  <c r="Q26" i="3" s="1"/>
  <c r="D26" i="3" s="1"/>
  <c r="F22" i="2"/>
  <c r="S22" i="3" s="1"/>
  <c r="F22" i="3" s="1"/>
  <c r="D22" i="2"/>
  <c r="Q22" i="3" s="1"/>
  <c r="D22" i="3" s="1"/>
  <c r="B22" i="2"/>
  <c r="D18" i="2"/>
  <c r="Q18" i="3" s="1"/>
  <c r="D18" i="3" s="1"/>
  <c r="F18" i="2"/>
  <c r="S18" i="3" s="1"/>
  <c r="F18" i="3" s="1"/>
  <c r="C18" i="2"/>
  <c r="P18" i="3" s="1"/>
  <c r="C18" i="3" s="1"/>
  <c r="H14" i="2"/>
  <c r="U14" i="3" s="1"/>
  <c r="V14" i="3" s="1"/>
  <c r="W14" i="3" s="1"/>
  <c r="D14" i="2"/>
  <c r="Q14" i="3" s="1"/>
  <c r="D14" i="3" s="1"/>
  <c r="E14" i="2"/>
  <c r="R14" i="3" s="1"/>
  <c r="E14" i="3" s="1"/>
  <c r="E10" i="2"/>
  <c r="R10" i="3" s="1"/>
  <c r="E10" i="3" s="1"/>
  <c r="F10" i="2"/>
  <c r="S10" i="3" s="1"/>
  <c r="F10" i="3" s="1"/>
  <c r="C10" i="2"/>
  <c r="P10" i="3" s="1"/>
  <c r="C10" i="3" s="1"/>
  <c r="B216" i="2"/>
  <c r="B196" i="2"/>
  <c r="B168" i="2"/>
  <c r="B136" i="2"/>
  <c r="B6" i="2"/>
  <c r="B303" i="2"/>
  <c r="B244" i="2"/>
  <c r="B272" i="2"/>
  <c r="B296" i="2"/>
  <c r="B212" i="2"/>
  <c r="B184" i="2"/>
  <c r="B164" i="2"/>
  <c r="B132" i="2"/>
  <c r="B235" i="2"/>
  <c r="B228" i="2"/>
  <c r="B248" i="2"/>
  <c r="B276" i="2"/>
  <c r="B304" i="2"/>
  <c r="B208" i="2"/>
  <c r="B180" i="2"/>
  <c r="B280" i="2"/>
  <c r="B152" i="2"/>
  <c r="B319" i="2"/>
  <c r="B278" i="2"/>
  <c r="B203" i="2"/>
  <c r="B287" i="2"/>
  <c r="B255" i="2"/>
  <c r="B223" i="2"/>
  <c r="B191" i="2"/>
  <c r="B159" i="2"/>
  <c r="B127" i="2"/>
  <c r="B31" i="2"/>
  <c r="B285" i="2"/>
  <c r="B277" i="2"/>
  <c r="B269" i="2"/>
  <c r="B241" i="2"/>
  <c r="B233" i="2"/>
  <c r="B308" i="2"/>
  <c r="B148" i="2"/>
  <c r="B7" i="2"/>
  <c r="B311" i="2"/>
  <c r="B267" i="2"/>
  <c r="B232" i="2"/>
  <c r="B200" i="2"/>
  <c r="B120" i="2"/>
  <c r="B310" i="2"/>
  <c r="B246" i="2"/>
  <c r="B314" i="2"/>
  <c r="B271" i="2"/>
  <c r="B239" i="2"/>
  <c r="B207" i="2"/>
  <c r="B175" i="2"/>
  <c r="B143" i="2"/>
  <c r="B111" i="2"/>
  <c r="B325" i="2"/>
  <c r="B289" i="2"/>
  <c r="B281" i="2"/>
  <c r="B273" i="2"/>
  <c r="B265" i="2"/>
  <c r="B245" i="2"/>
  <c r="B237" i="2"/>
  <c r="B229" i="2"/>
  <c r="B157" i="2"/>
  <c r="B149" i="2"/>
  <c r="B141" i="2"/>
  <c r="B129" i="2"/>
  <c r="B121" i="2"/>
  <c r="B113" i="2"/>
  <c r="B105" i="2"/>
  <c r="B69" i="2"/>
  <c r="B33" i="2"/>
  <c r="F315" i="2"/>
  <c r="S315" i="3" s="1"/>
  <c r="F315" i="3" s="1"/>
  <c r="F291" i="2"/>
  <c r="S291" i="3" s="1"/>
  <c r="F291" i="3" s="1"/>
  <c r="F271" i="2"/>
  <c r="S271" i="3" s="1"/>
  <c r="F271" i="3" s="1"/>
  <c r="F255" i="2"/>
  <c r="S255" i="3" s="1"/>
  <c r="F255" i="3" s="1"/>
  <c r="F239" i="2"/>
  <c r="S239" i="3" s="1"/>
  <c r="F239" i="3" s="1"/>
  <c r="F223" i="2"/>
  <c r="S223" i="3" s="1"/>
  <c r="F223" i="3" s="1"/>
  <c r="F207" i="2"/>
  <c r="S207" i="3" s="1"/>
  <c r="F207" i="3" s="1"/>
  <c r="F191" i="2"/>
  <c r="S191" i="3" s="1"/>
  <c r="F191" i="3" s="1"/>
  <c r="F322" i="2"/>
  <c r="S322" i="3" s="1"/>
  <c r="F322" i="3" s="1"/>
  <c r="F310" i="2"/>
  <c r="S310" i="3" s="1"/>
  <c r="F310" i="3" s="1"/>
  <c r="F294" i="2"/>
  <c r="S294" i="3" s="1"/>
  <c r="F294" i="3" s="1"/>
  <c r="F278" i="2"/>
  <c r="S278" i="3" s="1"/>
  <c r="F278" i="3" s="1"/>
  <c r="F262" i="2"/>
  <c r="S262" i="3" s="1"/>
  <c r="F262" i="3" s="1"/>
  <c r="F246" i="2"/>
  <c r="S246" i="3" s="1"/>
  <c r="F246" i="3" s="1"/>
  <c r="F230" i="2"/>
  <c r="S230" i="3" s="1"/>
  <c r="F230" i="3" s="1"/>
  <c r="F285" i="2"/>
  <c r="S285" i="3" s="1"/>
  <c r="F285" i="3" s="1"/>
  <c r="F277" i="2"/>
  <c r="S277" i="3" s="1"/>
  <c r="F277" i="3" s="1"/>
  <c r="F269" i="2"/>
  <c r="S269" i="3" s="1"/>
  <c r="F269" i="3" s="1"/>
  <c r="F241" i="2"/>
  <c r="S241" i="3" s="1"/>
  <c r="F241" i="3" s="1"/>
  <c r="F233" i="2"/>
  <c r="S233" i="3" s="1"/>
  <c r="F233" i="3" s="1"/>
  <c r="F213" i="2"/>
  <c r="S213" i="3" s="1"/>
  <c r="F213" i="3" s="1"/>
  <c r="F307" i="2"/>
  <c r="S307" i="3" s="1"/>
  <c r="F307" i="3" s="1"/>
  <c r="F287" i="2"/>
  <c r="S287" i="3" s="1"/>
  <c r="F287" i="3" s="1"/>
  <c r="F267" i="2"/>
  <c r="S267" i="3" s="1"/>
  <c r="F267" i="3" s="1"/>
  <c r="F251" i="2"/>
  <c r="S251" i="3" s="1"/>
  <c r="F251" i="3" s="1"/>
  <c r="F231" i="2"/>
  <c r="S231" i="3" s="1"/>
  <c r="F231" i="3" s="1"/>
  <c r="F219" i="2"/>
  <c r="S219" i="3" s="1"/>
  <c r="F219" i="3" s="1"/>
  <c r="F203" i="2"/>
  <c r="S203" i="3" s="1"/>
  <c r="F203" i="3" s="1"/>
  <c r="F187" i="2"/>
  <c r="S187" i="3" s="1"/>
  <c r="F187" i="3" s="1"/>
  <c r="F318" i="2"/>
  <c r="S318" i="3" s="1"/>
  <c r="F318" i="3" s="1"/>
  <c r="F306" i="2"/>
  <c r="S306" i="3" s="1"/>
  <c r="F306" i="3" s="1"/>
  <c r="F290" i="2"/>
  <c r="S290" i="3" s="1"/>
  <c r="F290" i="3" s="1"/>
  <c r="F274" i="2"/>
  <c r="S274" i="3" s="1"/>
  <c r="F274" i="3" s="1"/>
  <c r="F258" i="2"/>
  <c r="S258" i="3" s="1"/>
  <c r="F258" i="3" s="1"/>
  <c r="F242" i="2"/>
  <c r="S242" i="3" s="1"/>
  <c r="F242" i="3" s="1"/>
  <c r="F323" i="2"/>
  <c r="S323" i="3" s="1"/>
  <c r="F323" i="3" s="1"/>
  <c r="F299" i="2"/>
  <c r="S299" i="3" s="1"/>
  <c r="F299" i="3" s="1"/>
  <c r="F279" i="2"/>
  <c r="S279" i="3" s="1"/>
  <c r="F279" i="3" s="1"/>
  <c r="F263" i="2"/>
  <c r="S263" i="3" s="1"/>
  <c r="F263" i="3" s="1"/>
  <c r="F247" i="2"/>
  <c r="S247" i="3" s="1"/>
  <c r="F247" i="3" s="1"/>
  <c r="F227" i="2"/>
  <c r="S227" i="3" s="1"/>
  <c r="F227" i="3" s="1"/>
  <c r="F215" i="2"/>
  <c r="S215" i="3" s="1"/>
  <c r="F215" i="3" s="1"/>
  <c r="F199" i="2"/>
  <c r="S199" i="3" s="1"/>
  <c r="F199" i="3" s="1"/>
  <c r="F330" i="2"/>
  <c r="F314" i="2"/>
  <c r="S314" i="3" s="1"/>
  <c r="F314" i="3" s="1"/>
  <c r="F302" i="2"/>
  <c r="S302" i="3" s="1"/>
  <c r="F302" i="3" s="1"/>
  <c r="F286" i="2"/>
  <c r="S286" i="3" s="1"/>
  <c r="F286" i="3" s="1"/>
  <c r="F270" i="2"/>
  <c r="S270" i="3" s="1"/>
  <c r="F270" i="3" s="1"/>
  <c r="F254" i="2"/>
  <c r="S254" i="3" s="1"/>
  <c r="F254" i="3" s="1"/>
  <c r="F238" i="2"/>
  <c r="S238" i="3" s="1"/>
  <c r="F238" i="3" s="1"/>
  <c r="F325" i="2"/>
  <c r="S325" i="3" s="1"/>
  <c r="F325" i="3" s="1"/>
  <c r="F289" i="2"/>
  <c r="S289" i="3" s="1"/>
  <c r="F289" i="3" s="1"/>
  <c r="F281" i="2"/>
  <c r="S281" i="3" s="1"/>
  <c r="F281" i="3" s="1"/>
  <c r="F273" i="2"/>
  <c r="S273" i="3" s="1"/>
  <c r="F273" i="3" s="1"/>
  <c r="F265" i="2"/>
  <c r="S265" i="3" s="1"/>
  <c r="F265" i="3" s="1"/>
  <c r="F245" i="2"/>
  <c r="S245" i="3" s="1"/>
  <c r="F245" i="3" s="1"/>
  <c r="F237" i="2"/>
  <c r="S237" i="3" s="1"/>
  <c r="F237" i="3" s="1"/>
  <c r="F217" i="2"/>
  <c r="S217" i="3" s="1"/>
  <c r="F217" i="3" s="1"/>
  <c r="F201" i="2"/>
  <c r="S201" i="3" s="1"/>
  <c r="F201" i="3" s="1"/>
  <c r="F181" i="2"/>
  <c r="F157" i="2"/>
  <c r="S157" i="3" s="1"/>
  <c r="F157" i="3" s="1"/>
  <c r="F149" i="2"/>
  <c r="S149" i="3" s="1"/>
  <c r="F149" i="3" s="1"/>
  <c r="F141" i="2"/>
  <c r="S141" i="3" s="1"/>
  <c r="F141" i="3" s="1"/>
  <c r="F129" i="2"/>
  <c r="S129" i="3" s="1"/>
  <c r="F129" i="3" s="1"/>
  <c r="F113" i="2"/>
  <c r="S113" i="3" s="1"/>
  <c r="F113" i="3" s="1"/>
  <c r="F105" i="2"/>
  <c r="S105" i="3" s="1"/>
  <c r="F105" i="3" s="1"/>
  <c r="F89" i="2"/>
  <c r="S89" i="3" s="1"/>
  <c r="F89" i="3" s="1"/>
  <c r="F73" i="2"/>
  <c r="S73" i="3" s="1"/>
  <c r="F73" i="3" s="1"/>
  <c r="F69" i="2"/>
  <c r="S69" i="3" s="1"/>
  <c r="F69" i="3" s="1"/>
  <c r="F61" i="2"/>
  <c r="S61" i="3" s="1"/>
  <c r="F61" i="3" s="1"/>
  <c r="F53" i="2"/>
  <c r="S53" i="3" s="1"/>
  <c r="F53" i="3" s="1"/>
  <c r="F45" i="2"/>
  <c r="S45" i="3" s="1"/>
  <c r="F45" i="3" s="1"/>
  <c r="F33" i="2"/>
  <c r="S33" i="3" s="1"/>
  <c r="F33" i="3" s="1"/>
  <c r="F25" i="2"/>
  <c r="S25" i="3" s="1"/>
  <c r="F25" i="3" s="1"/>
  <c r="B7" i="5"/>
  <c r="E329" i="5"/>
  <c r="D329" i="5"/>
  <c r="B329" i="5"/>
  <c r="E325" i="5"/>
  <c r="D325" i="5"/>
  <c r="B325" i="5"/>
  <c r="E321" i="5"/>
  <c r="D321" i="5"/>
  <c r="B321" i="5"/>
  <c r="E317" i="5"/>
  <c r="D317" i="5"/>
  <c r="G317" i="5"/>
  <c r="B317" i="5"/>
  <c r="E313" i="5"/>
  <c r="D313" i="5"/>
  <c r="B313" i="5"/>
  <c r="E309" i="5"/>
  <c r="D309" i="5"/>
  <c r="B309" i="5"/>
  <c r="E305" i="5"/>
  <c r="D305" i="5"/>
  <c r="B305" i="5"/>
  <c r="E301" i="5"/>
  <c r="G301" i="5"/>
  <c r="D301" i="5"/>
  <c r="E297" i="5"/>
  <c r="D297" i="5"/>
  <c r="B297" i="5"/>
  <c r="E293" i="5"/>
  <c r="D293" i="5"/>
  <c r="B293" i="5"/>
  <c r="E289" i="5"/>
  <c r="D289" i="5"/>
  <c r="B289" i="5"/>
  <c r="D285" i="5"/>
  <c r="E285" i="5"/>
  <c r="G285" i="5"/>
  <c r="B285" i="5"/>
  <c r="E281" i="5"/>
  <c r="D281" i="5"/>
  <c r="B281" i="5"/>
  <c r="E277" i="5"/>
  <c r="B277" i="5"/>
  <c r="D277" i="5"/>
  <c r="D273" i="5"/>
  <c r="B273" i="5"/>
  <c r="E273" i="5"/>
  <c r="E269" i="5"/>
  <c r="G269" i="5"/>
  <c r="E265" i="5"/>
  <c r="D265" i="5"/>
  <c r="B265" i="5"/>
  <c r="E261" i="5"/>
  <c r="B261" i="5"/>
  <c r="D261" i="5"/>
  <c r="E257" i="5"/>
  <c r="D257" i="5"/>
  <c r="B257" i="5"/>
  <c r="G253" i="5"/>
  <c r="E253" i="5"/>
  <c r="B253" i="5"/>
  <c r="D253" i="5"/>
  <c r="E249" i="5"/>
  <c r="D249" i="5"/>
  <c r="B249" i="5"/>
  <c r="E245" i="5"/>
  <c r="B245" i="5"/>
  <c r="D245" i="5"/>
  <c r="E241" i="5"/>
  <c r="D241" i="5"/>
  <c r="E237" i="5"/>
  <c r="G237" i="5"/>
  <c r="B237" i="5"/>
  <c r="D237" i="5"/>
  <c r="E233" i="5"/>
  <c r="D233" i="5"/>
  <c r="B233" i="5"/>
  <c r="E229" i="5"/>
  <c r="B229" i="5"/>
  <c r="D229" i="5"/>
  <c r="E225" i="5"/>
  <c r="D225" i="5"/>
  <c r="F225" i="5"/>
  <c r="B225" i="5"/>
  <c r="D221" i="5"/>
  <c r="E221" i="5"/>
  <c r="G221" i="5"/>
  <c r="E217" i="5"/>
  <c r="D217" i="5"/>
  <c r="B217" i="5"/>
  <c r="E213" i="5"/>
  <c r="D213" i="5"/>
  <c r="B213" i="5"/>
  <c r="E209" i="5"/>
  <c r="D209" i="5"/>
  <c r="B209" i="5"/>
  <c r="E205" i="5"/>
  <c r="D205" i="5"/>
  <c r="G205" i="5"/>
  <c r="B205" i="5"/>
  <c r="D201" i="5"/>
  <c r="E201" i="5"/>
  <c r="E197" i="5"/>
  <c r="B197" i="5"/>
  <c r="E193" i="5"/>
  <c r="D193" i="5"/>
  <c r="B193" i="5"/>
  <c r="E189" i="5"/>
  <c r="D189" i="5"/>
  <c r="G189" i="5"/>
  <c r="B189" i="5"/>
  <c r="D107" i="5"/>
  <c r="E107" i="5"/>
  <c r="B107" i="5"/>
  <c r="D100" i="5"/>
  <c r="E100" i="5"/>
  <c r="B100" i="5"/>
  <c r="E96" i="5"/>
  <c r="D96" i="5"/>
  <c r="K96" i="5" s="1"/>
  <c r="B96" i="5"/>
  <c r="D92" i="5"/>
  <c r="K92" i="5" s="1"/>
  <c r="E92" i="5"/>
  <c r="B92" i="5"/>
  <c r="E88" i="5"/>
  <c r="D88" i="5"/>
  <c r="K88" i="5" s="1"/>
  <c r="B88" i="5"/>
  <c r="D85" i="5"/>
  <c r="B85" i="5"/>
  <c r="E85" i="5"/>
  <c r="D63" i="5"/>
  <c r="E63" i="5"/>
  <c r="B63" i="5"/>
  <c r="E56" i="5"/>
  <c r="D56" i="5"/>
  <c r="B56" i="5"/>
  <c r="E53" i="5"/>
  <c r="D53" i="5"/>
  <c r="B53" i="5"/>
  <c r="E31" i="5"/>
  <c r="D31" i="5"/>
  <c r="B31" i="5"/>
  <c r="D24" i="5"/>
  <c r="B24" i="5"/>
  <c r="E21" i="5"/>
  <c r="D21" i="5"/>
  <c r="B21" i="5"/>
  <c r="D269" i="5"/>
  <c r="B310" i="1"/>
  <c r="G310" i="1"/>
  <c r="G273" i="1"/>
  <c r="B273" i="1"/>
  <c r="B240" i="2"/>
  <c r="E122" i="5"/>
  <c r="G122" i="5"/>
  <c r="D122" i="5"/>
  <c r="E118" i="5"/>
  <c r="D118" i="5"/>
  <c r="E114" i="5"/>
  <c r="D114" i="5"/>
  <c r="B114" i="5"/>
  <c r="E110" i="5"/>
  <c r="D110" i="5"/>
  <c r="B110" i="5"/>
  <c r="E66" i="5"/>
  <c r="D66" i="5"/>
  <c r="B66" i="5"/>
  <c r="D34" i="5"/>
  <c r="B34" i="5"/>
  <c r="G325" i="1"/>
  <c r="B325" i="1"/>
  <c r="G321" i="1"/>
  <c r="B321" i="1"/>
  <c r="F186" i="1"/>
  <c r="G186" i="1"/>
  <c r="B324" i="2"/>
  <c r="D171" i="5"/>
  <c r="B171" i="5"/>
  <c r="E171" i="5"/>
  <c r="E167" i="5"/>
  <c r="D167" i="5"/>
  <c r="E163" i="5"/>
  <c r="D163" i="5"/>
  <c r="B163" i="5"/>
  <c r="E159" i="5"/>
  <c r="D159" i="5"/>
  <c r="B159" i="5"/>
  <c r="E152" i="5"/>
  <c r="D152" i="5"/>
  <c r="B152" i="5"/>
  <c r="E144" i="5"/>
  <c r="D144" i="5"/>
  <c r="B144" i="5"/>
  <c r="D140" i="5"/>
  <c r="E140" i="5"/>
  <c r="B140" i="5"/>
  <c r="E137" i="5"/>
  <c r="D137" i="5"/>
  <c r="E133" i="5"/>
  <c r="D133" i="5"/>
  <c r="E129" i="5"/>
  <c r="D129" i="5"/>
  <c r="B129" i="5"/>
  <c r="E125" i="5"/>
  <c r="G125" i="5"/>
  <c r="B125" i="5"/>
  <c r="D125" i="5"/>
  <c r="E79" i="5"/>
  <c r="D79" i="5"/>
  <c r="B79" i="5"/>
  <c r="E72" i="5"/>
  <c r="D72" i="5"/>
  <c r="B72" i="5"/>
  <c r="E69" i="5"/>
  <c r="D69" i="5"/>
  <c r="D47" i="5"/>
  <c r="E47" i="5"/>
  <c r="B47" i="5"/>
  <c r="D40" i="5"/>
  <c r="E40" i="5"/>
  <c r="B40" i="5"/>
  <c r="E37" i="5"/>
  <c r="D37" i="5"/>
  <c r="E15" i="5"/>
  <c r="D15" i="5"/>
  <c r="B15" i="5"/>
  <c r="D8" i="5"/>
  <c r="B8" i="5"/>
  <c r="B37" i="5"/>
  <c r="G230" i="1"/>
  <c r="B230" i="1"/>
  <c r="B327" i="2"/>
  <c r="B292" i="2"/>
  <c r="E186" i="5"/>
  <c r="G186" i="5"/>
  <c r="B186" i="5"/>
  <c r="D186" i="5"/>
  <c r="E182" i="5"/>
  <c r="D182" i="5"/>
  <c r="E178" i="5"/>
  <c r="D178" i="5"/>
  <c r="E174" i="5"/>
  <c r="D174" i="5"/>
  <c r="E82" i="5"/>
  <c r="D82" i="5"/>
  <c r="B82" i="5"/>
  <c r="E50" i="5"/>
  <c r="D50" i="5"/>
  <c r="B50" i="5"/>
  <c r="D18" i="5"/>
  <c r="B18" i="5"/>
  <c r="E148" i="5"/>
  <c r="F130" i="1"/>
  <c r="G130" i="1"/>
  <c r="E324" i="5"/>
  <c r="D324" i="5"/>
  <c r="K324" i="5" s="1"/>
  <c r="E308" i="5"/>
  <c r="D308" i="5"/>
  <c r="D304" i="5"/>
  <c r="E304" i="5"/>
  <c r="E300" i="5"/>
  <c r="D300" i="5"/>
  <c r="E296" i="5"/>
  <c r="D296" i="5"/>
  <c r="E292" i="5"/>
  <c r="D292" i="5"/>
  <c r="E288" i="5"/>
  <c r="D288" i="5"/>
  <c r="E280" i="5"/>
  <c r="D280" i="5"/>
  <c r="E272" i="5"/>
  <c r="D272" i="5"/>
  <c r="D264" i="5"/>
  <c r="K264" i="5" s="1"/>
  <c r="E264" i="5"/>
  <c r="E256" i="5"/>
  <c r="D256" i="5"/>
  <c r="E248" i="5"/>
  <c r="D248" i="5"/>
  <c r="E240" i="5"/>
  <c r="D240" i="5"/>
  <c r="E228" i="5"/>
  <c r="D228" i="5"/>
  <c r="E224" i="5"/>
  <c r="D224" i="5"/>
  <c r="D220" i="5"/>
  <c r="K220" i="5" s="1"/>
  <c r="E220" i="5"/>
  <c r="D216" i="5"/>
  <c r="E216" i="5"/>
  <c r="E208" i="5"/>
  <c r="D208" i="5"/>
  <c r="E204" i="5"/>
  <c r="D204" i="5"/>
  <c r="D200" i="5"/>
  <c r="E200" i="5"/>
  <c r="E196" i="5"/>
  <c r="D196" i="5"/>
  <c r="K196" i="5" s="1"/>
  <c r="E192" i="5"/>
  <c r="D192" i="5"/>
  <c r="K192" i="5" s="1"/>
  <c r="E188" i="5"/>
  <c r="D188" i="5"/>
  <c r="E181" i="5"/>
  <c r="D181" i="5"/>
  <c r="E177" i="5"/>
  <c r="D177" i="5"/>
  <c r="E173" i="5"/>
  <c r="D173" i="5"/>
  <c r="G173" i="5"/>
  <c r="D166" i="5"/>
  <c r="E166" i="5"/>
  <c r="E162" i="5"/>
  <c r="D162" i="5"/>
  <c r="E158" i="5"/>
  <c r="D158" i="5"/>
  <c r="D155" i="5"/>
  <c r="E155" i="5"/>
  <c r="E151" i="5"/>
  <c r="D151" i="5"/>
  <c r="E143" i="5"/>
  <c r="D143" i="5"/>
  <c r="E136" i="5"/>
  <c r="D136" i="5"/>
  <c r="D132" i="5"/>
  <c r="E132" i="5"/>
  <c r="E128" i="5"/>
  <c r="D128" i="5"/>
  <c r="D124" i="5"/>
  <c r="E124" i="5"/>
  <c r="E121" i="5"/>
  <c r="D121" i="5"/>
  <c r="E117" i="5"/>
  <c r="D117" i="5"/>
  <c r="E113" i="5"/>
  <c r="D113" i="5"/>
  <c r="E109" i="5"/>
  <c r="G109" i="5"/>
  <c r="E106" i="5"/>
  <c r="D106" i="5"/>
  <c r="E103" i="5"/>
  <c r="D103" i="5"/>
  <c r="E99" i="5"/>
  <c r="D99" i="5"/>
  <c r="C99" i="5"/>
  <c r="E95" i="5"/>
  <c r="D95" i="5"/>
  <c r="E91" i="5"/>
  <c r="D91" i="5"/>
  <c r="E84" i="5"/>
  <c r="D84" i="5"/>
  <c r="E81" i="5"/>
  <c r="D81" i="5"/>
  <c r="E75" i="5"/>
  <c r="D75" i="5"/>
  <c r="E68" i="5"/>
  <c r="D68" i="5"/>
  <c r="E65" i="5"/>
  <c r="D65" i="5"/>
  <c r="D59" i="5"/>
  <c r="E59" i="5"/>
  <c r="E52" i="5"/>
  <c r="D52" i="5"/>
  <c r="E49" i="5"/>
  <c r="D49" i="5"/>
  <c r="D43" i="5"/>
  <c r="E43" i="5"/>
  <c r="E33" i="5"/>
  <c r="D33" i="5"/>
  <c r="D27" i="5"/>
  <c r="E27" i="5"/>
  <c r="D17" i="5"/>
  <c r="E17" i="5"/>
  <c r="I306" i="3"/>
  <c r="B306" i="3"/>
  <c r="B250" i="3"/>
  <c r="I250" i="3"/>
  <c r="I162" i="3"/>
  <c r="B162" i="3"/>
  <c r="B317" i="3"/>
  <c r="B311" i="3"/>
  <c r="G141" i="5"/>
  <c r="D327" i="5"/>
  <c r="D312" i="5"/>
  <c r="D283" i="5"/>
  <c r="D268" i="5"/>
  <c r="D252" i="5"/>
  <c r="D236" i="5"/>
  <c r="D195" i="5"/>
  <c r="D153" i="5"/>
  <c r="D61" i="5"/>
  <c r="E315" i="5"/>
  <c r="E231" i="5"/>
  <c r="E190" i="5"/>
  <c r="E147" i="5"/>
  <c r="E9" i="5"/>
  <c r="B309" i="1"/>
  <c r="F330" i="1"/>
  <c r="G319" i="1"/>
  <c r="G315" i="1"/>
  <c r="G293" i="1"/>
  <c r="G282" i="1"/>
  <c r="G271" i="1"/>
  <c r="G261" i="1"/>
  <c r="G257" i="1"/>
  <c r="F216" i="1"/>
  <c r="G213" i="1"/>
  <c r="G209" i="1"/>
  <c r="F202" i="1"/>
  <c r="G191" i="1"/>
  <c r="G169" i="1"/>
  <c r="G162" i="1"/>
  <c r="F158" i="1"/>
  <c r="G154" i="1"/>
  <c r="G129" i="1"/>
  <c r="G122" i="1"/>
  <c r="G106" i="1"/>
  <c r="F70" i="1"/>
  <c r="F30" i="1"/>
  <c r="E331" i="5"/>
  <c r="D331" i="5"/>
  <c r="E323" i="5"/>
  <c r="D323" i="5"/>
  <c r="E319" i="5"/>
  <c r="D319" i="5"/>
  <c r="E311" i="5"/>
  <c r="D311" i="5"/>
  <c r="E307" i="5"/>
  <c r="D307" i="5"/>
  <c r="E303" i="5"/>
  <c r="D303" i="5"/>
  <c r="E299" i="5"/>
  <c r="D299" i="5"/>
  <c r="E287" i="5"/>
  <c r="D287" i="5"/>
  <c r="E279" i="5"/>
  <c r="D279" i="5"/>
  <c r="E271" i="5"/>
  <c r="D271" i="5"/>
  <c r="K271" i="5" s="1"/>
  <c r="E267" i="5"/>
  <c r="D267" i="5"/>
  <c r="D263" i="5"/>
  <c r="E263" i="5"/>
  <c r="E259" i="5"/>
  <c r="D259" i="5"/>
  <c r="E255" i="5"/>
  <c r="D255" i="5"/>
  <c r="E251" i="5"/>
  <c r="D251" i="5"/>
  <c r="E247" i="5"/>
  <c r="D247" i="5"/>
  <c r="D243" i="5"/>
  <c r="E243" i="5"/>
  <c r="E239" i="5"/>
  <c r="D239" i="5"/>
  <c r="E235" i="5"/>
  <c r="D235" i="5"/>
  <c r="E223" i="5"/>
  <c r="D223" i="5"/>
  <c r="E219" i="5"/>
  <c r="D219" i="5"/>
  <c r="E215" i="5"/>
  <c r="D215" i="5"/>
  <c r="E211" i="5"/>
  <c r="D211" i="5"/>
  <c r="E203" i="5"/>
  <c r="D203" i="5"/>
  <c r="E199" i="5"/>
  <c r="D199" i="5"/>
  <c r="E184" i="5"/>
  <c r="D184" i="5"/>
  <c r="E180" i="5"/>
  <c r="D180" i="5"/>
  <c r="D176" i="5"/>
  <c r="E176" i="5"/>
  <c r="E172" i="5"/>
  <c r="D172" i="5"/>
  <c r="E169" i="5"/>
  <c r="D169" i="5"/>
  <c r="E161" i="5"/>
  <c r="D161" i="5"/>
  <c r="E157" i="5"/>
  <c r="G157" i="5"/>
  <c r="D157" i="5"/>
  <c r="E150" i="5"/>
  <c r="D150" i="5"/>
  <c r="E146" i="5"/>
  <c r="D146" i="5"/>
  <c r="D139" i="5"/>
  <c r="E139" i="5"/>
  <c r="E135" i="5"/>
  <c r="D135" i="5"/>
  <c r="D131" i="5"/>
  <c r="E131" i="5"/>
  <c r="E127" i="5"/>
  <c r="D127" i="5"/>
  <c r="E120" i="5"/>
  <c r="D120" i="5"/>
  <c r="E112" i="5"/>
  <c r="D112" i="5"/>
  <c r="K112" i="5" s="1"/>
  <c r="D108" i="5"/>
  <c r="E108" i="5"/>
  <c r="E105" i="5"/>
  <c r="D105" i="5"/>
  <c r="E102" i="5"/>
  <c r="D102" i="5"/>
  <c r="E98" i="5"/>
  <c r="D98" i="5"/>
  <c r="E90" i="5"/>
  <c r="D90" i="5"/>
  <c r="G90" i="5"/>
  <c r="E87" i="5"/>
  <c r="D87" i="5"/>
  <c r="E80" i="5"/>
  <c r="D80" i="5"/>
  <c r="K80" i="5" s="1"/>
  <c r="E77" i="5"/>
  <c r="G77" i="5"/>
  <c r="E74" i="5"/>
  <c r="D74" i="5"/>
  <c r="E71" i="5"/>
  <c r="D71" i="5"/>
  <c r="E64" i="5"/>
  <c r="D64" i="5"/>
  <c r="E58" i="5"/>
  <c r="D58" i="5"/>
  <c r="E48" i="5"/>
  <c r="D48" i="5"/>
  <c r="E45" i="5"/>
  <c r="G45" i="5"/>
  <c r="E42" i="5"/>
  <c r="D42" i="5"/>
  <c r="D39" i="5"/>
  <c r="E39" i="5"/>
  <c r="E29" i="5"/>
  <c r="G29" i="5"/>
  <c r="D26" i="5"/>
  <c r="K26" i="5" s="1"/>
  <c r="G26" i="5"/>
  <c r="E23" i="5"/>
  <c r="D23" i="5"/>
  <c r="E13" i="5"/>
  <c r="D13" i="5"/>
  <c r="G13" i="5"/>
  <c r="B320" i="3"/>
  <c r="B253" i="3"/>
  <c r="B237" i="3"/>
  <c r="B221" i="3"/>
  <c r="B205" i="3"/>
  <c r="B189" i="3"/>
  <c r="B173" i="3"/>
  <c r="B157" i="3"/>
  <c r="B141" i="3"/>
  <c r="B125" i="3"/>
  <c r="B109" i="3"/>
  <c r="B93" i="3"/>
  <c r="B77" i="3"/>
  <c r="B61" i="3"/>
  <c r="B45" i="3"/>
  <c r="B29" i="3"/>
  <c r="B13" i="3"/>
  <c r="I237" i="3"/>
  <c r="I194" i="3"/>
  <c r="I93" i="3"/>
  <c r="G61" i="5"/>
  <c r="D306" i="5"/>
  <c r="D291" i="5"/>
  <c r="D207" i="5"/>
  <c r="D165" i="5"/>
  <c r="D142" i="5"/>
  <c r="D78" i="5"/>
  <c r="D46" i="5"/>
  <c r="E295" i="5"/>
  <c r="E212" i="5"/>
  <c r="E116" i="5"/>
  <c r="E55" i="5"/>
  <c r="B177" i="1"/>
  <c r="B217" i="1"/>
  <c r="F329" i="1"/>
  <c r="G326" i="1"/>
  <c r="G314" i="1"/>
  <c r="F314" i="1"/>
  <c r="G303" i="1"/>
  <c r="G299" i="1"/>
  <c r="G278" i="1"/>
  <c r="F274" i="1"/>
  <c r="F260" i="1"/>
  <c r="F245" i="1"/>
  <c r="G241" i="1"/>
  <c r="G234" i="1"/>
  <c r="G219" i="1"/>
  <c r="F201" i="1"/>
  <c r="G198" i="1"/>
  <c r="G161" i="1"/>
  <c r="G153" i="1"/>
  <c r="F146" i="1"/>
  <c r="F132" i="1"/>
  <c r="G121" i="1"/>
  <c r="G105" i="1"/>
  <c r="F101" i="1"/>
  <c r="F89" i="1"/>
  <c r="G81" i="1"/>
  <c r="G53" i="1"/>
  <c r="E330" i="5"/>
  <c r="G330" i="5"/>
  <c r="D330" i="5"/>
  <c r="D326" i="5"/>
  <c r="E326" i="5"/>
  <c r="E322" i="5"/>
  <c r="D322" i="5"/>
  <c r="E318" i="5"/>
  <c r="D318" i="5"/>
  <c r="E314" i="5"/>
  <c r="D314" i="5"/>
  <c r="G314" i="5"/>
  <c r="E310" i="5"/>
  <c r="D310" i="5"/>
  <c r="E302" i="5"/>
  <c r="D302" i="5"/>
  <c r="E298" i="5"/>
  <c r="G298" i="5"/>
  <c r="E294" i="5"/>
  <c r="D294" i="5"/>
  <c r="E286" i="5"/>
  <c r="D286" i="5"/>
  <c r="K286" i="5" s="1"/>
  <c r="E282" i="5"/>
  <c r="D282" i="5"/>
  <c r="E278" i="5"/>
  <c r="D278" i="5"/>
  <c r="E274" i="5"/>
  <c r="D274" i="5"/>
  <c r="E270" i="5"/>
  <c r="D270" i="5"/>
  <c r="E266" i="5"/>
  <c r="D266" i="5"/>
  <c r="G266" i="5"/>
  <c r="E262" i="5"/>
  <c r="D262" i="5"/>
  <c r="E258" i="5"/>
  <c r="D258" i="5"/>
  <c r="E254" i="5"/>
  <c r="D254" i="5"/>
  <c r="E250" i="5"/>
  <c r="D250" i="5"/>
  <c r="G250" i="5"/>
  <c r="E246" i="5"/>
  <c r="D246" i="5"/>
  <c r="E242" i="5"/>
  <c r="D242" i="5"/>
  <c r="E238" i="5"/>
  <c r="D238" i="5"/>
  <c r="E234" i="5"/>
  <c r="D234" i="5"/>
  <c r="G234" i="5"/>
  <c r="E230" i="5"/>
  <c r="D230" i="5"/>
  <c r="E226" i="5"/>
  <c r="D226" i="5"/>
  <c r="E222" i="5"/>
  <c r="D222" i="5"/>
  <c r="E214" i="5"/>
  <c r="D214" i="5"/>
  <c r="E202" i="5"/>
  <c r="G202" i="5"/>
  <c r="D202" i="5"/>
  <c r="E198" i="5"/>
  <c r="D198" i="5"/>
  <c r="E194" i="5"/>
  <c r="D194" i="5"/>
  <c r="E187" i="5"/>
  <c r="D187" i="5"/>
  <c r="E183" i="5"/>
  <c r="D183" i="5"/>
  <c r="E179" i="5"/>
  <c r="D179" i="5"/>
  <c r="E168" i="5"/>
  <c r="D168" i="5"/>
  <c r="D164" i="5"/>
  <c r="E164" i="5"/>
  <c r="D160" i="5"/>
  <c r="E160" i="5"/>
  <c r="E156" i="5"/>
  <c r="D156" i="5"/>
  <c r="E149" i="5"/>
  <c r="D149" i="5"/>
  <c r="E145" i="5"/>
  <c r="D145" i="5"/>
  <c r="E138" i="5"/>
  <c r="D138" i="5"/>
  <c r="E134" i="5"/>
  <c r="D134" i="5"/>
  <c r="E130" i="5"/>
  <c r="D130" i="5"/>
  <c r="D123" i="5"/>
  <c r="E123" i="5"/>
  <c r="E119" i="5"/>
  <c r="D119" i="5"/>
  <c r="E111" i="5"/>
  <c r="D111" i="5"/>
  <c r="E104" i="5"/>
  <c r="D104" i="5"/>
  <c r="D101" i="5"/>
  <c r="E101" i="5"/>
  <c r="E97" i="5"/>
  <c r="D97" i="5"/>
  <c r="E93" i="5"/>
  <c r="G93" i="5"/>
  <c r="E89" i="5"/>
  <c r="D89" i="5"/>
  <c r="E83" i="5"/>
  <c r="D83" i="5"/>
  <c r="E76" i="5"/>
  <c r="D76" i="5"/>
  <c r="E73" i="5"/>
  <c r="D73" i="5"/>
  <c r="E70" i="5"/>
  <c r="D70" i="5"/>
  <c r="D67" i="5"/>
  <c r="E67" i="5"/>
  <c r="E60" i="5"/>
  <c r="D60" i="5"/>
  <c r="E57" i="5"/>
  <c r="D57" i="5"/>
  <c r="D51" i="5"/>
  <c r="E51" i="5"/>
  <c r="E44" i="5"/>
  <c r="D44" i="5"/>
  <c r="K44" i="5" s="1"/>
  <c r="E41" i="5"/>
  <c r="D41" i="5"/>
  <c r="E38" i="5"/>
  <c r="D38" i="5"/>
  <c r="D35" i="5"/>
  <c r="E35" i="5"/>
  <c r="D25" i="5"/>
  <c r="E25" i="5"/>
  <c r="E19" i="5"/>
  <c r="D19" i="5"/>
  <c r="I189" i="3"/>
  <c r="G218" i="5"/>
  <c r="G58" i="5"/>
  <c r="F229" i="1"/>
  <c r="D320" i="5"/>
  <c r="D290" i="5"/>
  <c r="D276" i="5"/>
  <c r="D260" i="5"/>
  <c r="D244" i="5"/>
  <c r="K244" i="5" s="1"/>
  <c r="D227" i="5"/>
  <c r="D206" i="5"/>
  <c r="D185" i="5"/>
  <c r="D141" i="5"/>
  <c r="D109" i="5"/>
  <c r="D77" i="5"/>
  <c r="D45" i="5"/>
  <c r="E210" i="5"/>
  <c r="E170" i="5"/>
  <c r="E115" i="5"/>
  <c r="E54" i="5"/>
  <c r="E7" i="5"/>
  <c r="I76" i="2"/>
  <c r="I240" i="2"/>
  <c r="H186" i="2"/>
  <c r="U186" i="3" s="1"/>
  <c r="V186" i="3" s="1"/>
  <c r="W186" i="3" s="1"/>
  <c r="H162" i="2"/>
  <c r="U162" i="3" s="1"/>
  <c r="V162" i="3" s="1"/>
  <c r="W162" i="3" s="1"/>
  <c r="H86" i="2"/>
  <c r="U86" i="3" s="1"/>
  <c r="V86" i="3" s="1"/>
  <c r="W86" i="3" s="1"/>
  <c r="H305" i="2"/>
  <c r="U305" i="3" s="1"/>
  <c r="V305" i="3" s="1"/>
  <c r="W305" i="3" s="1"/>
  <c r="H273" i="2"/>
  <c r="U273" i="3" s="1"/>
  <c r="V273" i="3" s="1"/>
  <c r="W273" i="3" s="1"/>
  <c r="H241" i="2"/>
  <c r="U241" i="3" s="1"/>
  <c r="V241" i="3" s="1"/>
  <c r="W241" i="3" s="1"/>
  <c r="H209" i="2"/>
  <c r="U209" i="3" s="1"/>
  <c r="V209" i="3" s="1"/>
  <c r="W209" i="3" s="1"/>
  <c r="H177" i="2"/>
  <c r="U177" i="3" s="1"/>
  <c r="V177" i="3" s="1"/>
  <c r="W177" i="3" s="1"/>
  <c r="H145" i="2"/>
  <c r="U145" i="3" s="1"/>
  <c r="V145" i="3" s="1"/>
  <c r="W145" i="3" s="1"/>
  <c r="H113" i="2"/>
  <c r="U113" i="3" s="1"/>
  <c r="V113" i="3" s="1"/>
  <c r="W113" i="3" s="1"/>
  <c r="H81" i="2"/>
  <c r="U81" i="3" s="1"/>
  <c r="V81" i="3" s="1"/>
  <c r="W81" i="3" s="1"/>
  <c r="H49" i="2"/>
  <c r="U49" i="3" s="1"/>
  <c r="V49" i="3" s="1"/>
  <c r="W49" i="3" s="1"/>
  <c r="H17" i="2"/>
  <c r="U17" i="3" s="1"/>
  <c r="V17" i="3" s="1"/>
  <c r="W17" i="3" s="1"/>
  <c r="H324" i="2"/>
  <c r="U324" i="3" s="1"/>
  <c r="V324" i="3" s="1"/>
  <c r="W324" i="3" s="1"/>
  <c r="H312" i="2"/>
  <c r="U312" i="3" s="1"/>
  <c r="V312" i="3" s="1"/>
  <c r="W312" i="3" s="1"/>
  <c r="H256" i="2"/>
  <c r="U256" i="3" s="1"/>
  <c r="V256" i="3" s="1"/>
  <c r="W256" i="3" s="1"/>
  <c r="H192" i="2"/>
  <c r="U192" i="3" s="1"/>
  <c r="V192" i="3" s="1"/>
  <c r="W192" i="3" s="1"/>
  <c r="H172" i="2"/>
  <c r="U172" i="3" s="1"/>
  <c r="V172" i="3" s="1"/>
  <c r="W172" i="3" s="1"/>
  <c r="H103" i="2"/>
  <c r="U103" i="3" s="1"/>
  <c r="V103" i="3" s="1"/>
  <c r="W103" i="3" s="1"/>
  <c r="H99" i="2"/>
  <c r="U99" i="3" s="1"/>
  <c r="V99" i="3" s="1"/>
  <c r="W99" i="3" s="1"/>
  <c r="H91" i="2"/>
  <c r="U91" i="3" s="1"/>
  <c r="V91" i="3" s="1"/>
  <c r="W91" i="3" s="1"/>
  <c r="H27" i="2"/>
  <c r="U27" i="3" s="1"/>
  <c r="V27" i="3" s="1"/>
  <c r="W27" i="3" s="1"/>
  <c r="H271" i="2"/>
  <c r="U271" i="3" s="1"/>
  <c r="V271" i="3" s="1"/>
  <c r="W271" i="3" s="1"/>
  <c r="H259" i="2"/>
  <c r="U259" i="3" s="1"/>
  <c r="V259" i="3" s="1"/>
  <c r="W259" i="3" s="1"/>
  <c r="H230" i="2"/>
  <c r="U230" i="3" s="1"/>
  <c r="V230" i="3" s="1"/>
  <c r="W230" i="3" s="1"/>
  <c r="H150" i="2"/>
  <c r="U150" i="3" s="1"/>
  <c r="V150" i="3" s="1"/>
  <c r="W150" i="3" s="1"/>
  <c r="H70" i="2"/>
  <c r="U70" i="3" s="1"/>
  <c r="V70" i="3" s="1"/>
  <c r="W70" i="3" s="1"/>
  <c r="H50" i="2"/>
  <c r="U50" i="3" s="1"/>
  <c r="V50" i="3" s="1"/>
  <c r="W50" i="3" s="1"/>
  <c r="H30" i="2"/>
  <c r="U30" i="3" s="1"/>
  <c r="V30" i="3" s="1"/>
  <c r="W30" i="3" s="1"/>
  <c r="H245" i="2"/>
  <c r="U245" i="3" s="1"/>
  <c r="V245" i="3" s="1"/>
  <c r="W245" i="3" s="1"/>
  <c r="H213" i="2"/>
  <c r="U213" i="3" s="1"/>
  <c r="V213" i="3" s="1"/>
  <c r="W213" i="3" s="1"/>
  <c r="H181" i="2"/>
  <c r="U181" i="3" s="1"/>
  <c r="V181" i="3" s="1"/>
  <c r="W181" i="3" s="1"/>
  <c r="H149" i="2"/>
  <c r="U149" i="3" s="1"/>
  <c r="V149" i="3" s="1"/>
  <c r="W149" i="3" s="1"/>
  <c r="H117" i="2"/>
  <c r="U117" i="3" s="1"/>
  <c r="V117" i="3" s="1"/>
  <c r="W117" i="3" s="1"/>
  <c r="H85" i="2"/>
  <c r="U85" i="3" s="1"/>
  <c r="V85" i="3" s="1"/>
  <c r="W85" i="3" s="1"/>
  <c r="H53" i="2"/>
  <c r="U53" i="3" s="1"/>
  <c r="V53" i="3" s="1"/>
  <c r="W53" i="3" s="1"/>
  <c r="H21" i="2"/>
  <c r="U21" i="3" s="1"/>
  <c r="V21" i="3" s="1"/>
  <c r="W21" i="3" s="1"/>
  <c r="H220" i="2"/>
  <c r="U220" i="3" s="1"/>
  <c r="V220" i="3" s="1"/>
  <c r="W220" i="3" s="1"/>
  <c r="H212" i="2"/>
  <c r="U212" i="3" s="1"/>
  <c r="V212" i="3" s="1"/>
  <c r="W212" i="3" s="1"/>
  <c r="H124" i="2"/>
  <c r="U124" i="3" s="1"/>
  <c r="V124" i="3" s="1"/>
  <c r="W124" i="3" s="1"/>
  <c r="H311" i="2"/>
  <c r="U311" i="3" s="1"/>
  <c r="V311" i="3" s="1"/>
  <c r="W311" i="3" s="1"/>
  <c r="H235" i="2"/>
  <c r="U235" i="3" s="1"/>
  <c r="V235" i="3" s="1"/>
  <c r="W235" i="3" s="1"/>
  <c r="H71" i="2"/>
  <c r="U71" i="3" s="1"/>
  <c r="V71" i="3" s="1"/>
  <c r="W71" i="3" s="1"/>
  <c r="H67" i="2"/>
  <c r="U67" i="3" s="1"/>
  <c r="V67" i="3" s="1"/>
  <c r="W67" i="3" s="1"/>
  <c r="H59" i="2"/>
  <c r="U59" i="3" s="1"/>
  <c r="V59" i="3" s="1"/>
  <c r="W59" i="3" s="1"/>
  <c r="F112" i="5"/>
  <c r="F229" i="5"/>
  <c r="F126" i="5"/>
  <c r="F27" i="5"/>
  <c r="F215" i="5"/>
  <c r="F216" i="5"/>
  <c r="F113" i="5"/>
  <c r="F234" i="5"/>
  <c r="F127" i="5"/>
  <c r="F295" i="5"/>
  <c r="I9" i="3"/>
  <c r="I25" i="3"/>
  <c r="I40" i="3"/>
  <c r="I53" i="3"/>
  <c r="I69" i="3"/>
  <c r="I81" i="3"/>
  <c r="I96" i="3"/>
  <c r="I112" i="3"/>
  <c r="I125" i="3"/>
  <c r="I137" i="3"/>
  <c r="I152" i="3"/>
  <c r="I157" i="3"/>
  <c r="I165" i="3"/>
  <c r="I177" i="3"/>
  <c r="I185" i="3"/>
  <c r="I191" i="3"/>
  <c r="I199" i="3"/>
  <c r="I204" i="3"/>
  <c r="I212" i="3"/>
  <c r="I218" i="3"/>
  <c r="I226" i="3"/>
  <c r="I233" i="3"/>
  <c r="I241" i="3"/>
  <c r="I247" i="3"/>
  <c r="I253" i="3"/>
  <c r="I261" i="3"/>
  <c r="I268" i="3"/>
  <c r="I276" i="3"/>
  <c r="I282" i="3"/>
  <c r="I290" i="3"/>
  <c r="I296" i="3"/>
  <c r="I304" i="3"/>
  <c r="I309" i="3"/>
  <c r="I316" i="3"/>
  <c r="I324" i="3"/>
  <c r="I329" i="3"/>
  <c r="I16" i="3"/>
  <c r="I29" i="3"/>
  <c r="I41" i="3"/>
  <c r="I57" i="3"/>
  <c r="I72" i="3"/>
  <c r="I85" i="3"/>
  <c r="I101" i="3"/>
  <c r="I113" i="3"/>
  <c r="I128" i="3"/>
  <c r="I144" i="3"/>
  <c r="I153" i="3"/>
  <c r="I159" i="3"/>
  <c r="I167" i="3"/>
  <c r="I172" i="3"/>
  <c r="I180" i="3"/>
  <c r="I186" i="3"/>
  <c r="I193" i="3"/>
  <c r="I200" i="3"/>
  <c r="I207" i="3"/>
  <c r="I213" i="3"/>
  <c r="I221" i="3"/>
  <c r="I228" i="3"/>
  <c r="I236" i="3"/>
  <c r="I242" i="3"/>
  <c r="I248" i="3"/>
  <c r="I256" i="3"/>
  <c r="I263" i="3"/>
  <c r="I271" i="3"/>
  <c r="I277" i="3"/>
  <c r="I285" i="3"/>
  <c r="I292" i="3"/>
  <c r="I297" i="3"/>
  <c r="I305" i="3"/>
  <c r="I311" i="3"/>
  <c r="I319" i="3"/>
  <c r="I330" i="3"/>
  <c r="I278" i="2"/>
  <c r="I62" i="2"/>
  <c r="I276" i="2"/>
  <c r="I88" i="2"/>
  <c r="I36" i="2"/>
  <c r="I95" i="2"/>
  <c r="I87" i="2"/>
  <c r="I247" i="2"/>
  <c r="I126" i="2"/>
  <c r="I309" i="2"/>
  <c r="I277" i="2"/>
  <c r="I232" i="2"/>
  <c r="I196" i="2"/>
  <c r="I100" i="2"/>
  <c r="I183" i="2"/>
  <c r="I63" i="2"/>
  <c r="I55" i="2"/>
  <c r="C84" i="5"/>
  <c r="C235" i="5"/>
  <c r="C322" i="5"/>
  <c r="C168" i="5"/>
  <c r="C7" i="5"/>
  <c r="J7" i="5" s="1"/>
  <c r="C148" i="5"/>
  <c r="C289" i="5"/>
  <c r="C246" i="5"/>
  <c r="C280" i="5"/>
  <c r="I119" i="2"/>
  <c r="I127" i="2"/>
  <c r="I180" i="2"/>
  <c r="I151" i="2"/>
  <c r="H155" i="2"/>
  <c r="U155" i="3" s="1"/>
  <c r="V155" i="3" s="1"/>
  <c r="W155" i="3" s="1"/>
  <c r="I159" i="2"/>
  <c r="H163" i="2"/>
  <c r="U163" i="3" s="1"/>
  <c r="V163" i="3" s="1"/>
  <c r="W163" i="3" s="1"/>
  <c r="H167" i="2"/>
  <c r="U167" i="3" s="1"/>
  <c r="V167" i="3" s="1"/>
  <c r="W167" i="3" s="1"/>
  <c r="H6" i="2"/>
  <c r="U6" i="3" s="1"/>
  <c r="I24" i="2"/>
  <c r="H140" i="2"/>
  <c r="U140" i="3" s="1"/>
  <c r="V140" i="3" s="1"/>
  <c r="W140" i="3" s="1"/>
  <c r="H164" i="2"/>
  <c r="U164" i="3" s="1"/>
  <c r="V164" i="3" s="1"/>
  <c r="W164" i="3" s="1"/>
  <c r="H176" i="2"/>
  <c r="U176" i="3" s="1"/>
  <c r="V176" i="3" s="1"/>
  <c r="W176" i="3" s="1"/>
  <c r="I304" i="2"/>
  <c r="H37" i="2"/>
  <c r="U37" i="3" s="1"/>
  <c r="V37" i="3" s="1"/>
  <c r="W37" i="3" s="1"/>
  <c r="H101" i="2"/>
  <c r="U101" i="3" s="1"/>
  <c r="V101" i="3" s="1"/>
  <c r="W101" i="3" s="1"/>
  <c r="H165" i="2"/>
  <c r="U165" i="3" s="1"/>
  <c r="V165" i="3" s="1"/>
  <c r="W165" i="3" s="1"/>
  <c r="H229" i="2"/>
  <c r="U229" i="3" s="1"/>
  <c r="V229" i="3" s="1"/>
  <c r="W229" i="3" s="1"/>
  <c r="I293" i="2"/>
  <c r="H58" i="2"/>
  <c r="U58" i="3" s="1"/>
  <c r="V58" i="3" s="1"/>
  <c r="W58" i="3" s="1"/>
  <c r="H98" i="2"/>
  <c r="U98" i="3" s="1"/>
  <c r="V98" i="3" s="1"/>
  <c r="W98" i="3" s="1"/>
  <c r="H122" i="2"/>
  <c r="U122" i="3" s="1"/>
  <c r="V122" i="3" s="1"/>
  <c r="W122" i="3" s="1"/>
  <c r="H134" i="2"/>
  <c r="U134" i="3" s="1"/>
  <c r="V134" i="3" s="1"/>
  <c r="W134" i="3" s="1"/>
  <c r="H198" i="2"/>
  <c r="U198" i="3" s="1"/>
  <c r="V198" i="3" s="1"/>
  <c r="W198" i="3" s="1"/>
  <c r="H279" i="2"/>
  <c r="U279" i="3" s="1"/>
  <c r="V279" i="3" s="1"/>
  <c r="W279" i="3" s="1"/>
  <c r="F211" i="5"/>
  <c r="F122" i="5"/>
  <c r="F328" i="5"/>
  <c r="I321" i="3"/>
  <c r="I308" i="3"/>
  <c r="I295" i="3"/>
  <c r="I281" i="3"/>
  <c r="I266" i="3"/>
  <c r="I252" i="3"/>
  <c r="I239" i="3"/>
  <c r="I224" i="3"/>
  <c r="I209" i="3"/>
  <c r="I197" i="3"/>
  <c r="I184" i="3"/>
  <c r="I170" i="3"/>
  <c r="I156" i="3"/>
  <c r="I136" i="3"/>
  <c r="I105" i="3"/>
  <c r="I80" i="3"/>
  <c r="I49" i="3"/>
  <c r="I21" i="3"/>
  <c r="F6" i="1"/>
  <c r="F16" i="1"/>
  <c r="F26" i="1"/>
  <c r="F36" i="1"/>
  <c r="F44" i="1"/>
  <c r="F52" i="1"/>
  <c r="F59" i="1"/>
  <c r="F66" i="1"/>
  <c r="F74" i="1"/>
  <c r="F80" i="1"/>
  <c r="F86" i="1"/>
  <c r="F92" i="1"/>
  <c r="F97" i="1"/>
  <c r="F102" i="1"/>
  <c r="F108" i="1"/>
  <c r="F113" i="1"/>
  <c r="F118" i="1"/>
  <c r="F124" i="1"/>
  <c r="F129" i="1"/>
  <c r="F134" i="1"/>
  <c r="F140" i="1"/>
  <c r="F145" i="1"/>
  <c r="F150" i="1"/>
  <c r="F156" i="1"/>
  <c r="F161" i="1"/>
  <c r="F166" i="1"/>
  <c r="F172" i="1"/>
  <c r="F177" i="1"/>
  <c r="F182" i="1"/>
  <c r="F188" i="1"/>
  <c r="F193" i="1"/>
  <c r="F198" i="1"/>
  <c r="F204" i="1"/>
  <c r="F209" i="1"/>
  <c r="F214" i="1"/>
  <c r="F220" i="1"/>
  <c r="F225" i="1"/>
  <c r="F230" i="1"/>
  <c r="F236" i="1"/>
  <c r="F241" i="1"/>
  <c r="F246" i="1"/>
  <c r="F252" i="1"/>
  <c r="F257" i="1"/>
  <c r="F262" i="1"/>
  <c r="F268" i="1"/>
  <c r="F273" i="1"/>
  <c r="F278" i="1"/>
  <c r="F284" i="1"/>
  <c r="F289" i="1"/>
  <c r="F294" i="1"/>
  <c r="F300" i="1"/>
  <c r="F305" i="1"/>
  <c r="F310" i="1"/>
  <c r="F316" i="1"/>
  <c r="F321" i="1"/>
  <c r="F326" i="1"/>
  <c r="G9" i="1"/>
  <c r="G15" i="1"/>
  <c r="G20" i="1"/>
  <c r="G25" i="1"/>
  <c r="G31" i="1"/>
  <c r="G36" i="1"/>
  <c r="G41" i="1"/>
  <c r="G47" i="1"/>
  <c r="G52" i="1"/>
  <c r="G57" i="1"/>
  <c r="G63" i="1"/>
  <c r="G68" i="1"/>
  <c r="G73" i="1"/>
  <c r="G79" i="1"/>
  <c r="G84" i="1"/>
  <c r="G89" i="1"/>
  <c r="G94" i="1"/>
  <c r="G98" i="1"/>
  <c r="G102" i="1"/>
  <c r="F12" i="1"/>
  <c r="F22" i="1"/>
  <c r="F37" i="1"/>
  <c r="F48" i="1"/>
  <c r="F58" i="1"/>
  <c r="F68" i="1"/>
  <c r="F76" i="1"/>
  <c r="F85" i="1"/>
  <c r="F93" i="1"/>
  <c r="F100" i="1"/>
  <c r="F106" i="1"/>
  <c r="F114" i="1"/>
  <c r="F121" i="1"/>
  <c r="F128" i="1"/>
  <c r="F136" i="1"/>
  <c r="F142" i="1"/>
  <c r="F149" i="1"/>
  <c r="F157" i="1"/>
  <c r="F164" i="1"/>
  <c r="F170" i="1"/>
  <c r="F178" i="1"/>
  <c r="F185" i="1"/>
  <c r="F192" i="1"/>
  <c r="F200" i="1"/>
  <c r="F206" i="1"/>
  <c r="F213" i="1"/>
  <c r="F221" i="1"/>
  <c r="F228" i="1"/>
  <c r="F234" i="1"/>
  <c r="F242" i="1"/>
  <c r="F249" i="1"/>
  <c r="F256" i="1"/>
  <c r="F264" i="1"/>
  <c r="F270" i="1"/>
  <c r="F277" i="1"/>
  <c r="F285" i="1"/>
  <c r="F292" i="1"/>
  <c r="F298" i="1"/>
  <c r="F306" i="1"/>
  <c r="F313" i="1"/>
  <c r="F320" i="1"/>
  <c r="F328" i="1"/>
  <c r="G8" i="1"/>
  <c r="G16" i="1"/>
  <c r="G23" i="1"/>
  <c r="G29" i="1"/>
  <c r="G37" i="1"/>
  <c r="G44" i="1"/>
  <c r="G51" i="1"/>
  <c r="G59" i="1"/>
  <c r="G65" i="1"/>
  <c r="G72" i="1"/>
  <c r="G80" i="1"/>
  <c r="G87" i="1"/>
  <c r="G93" i="1"/>
  <c r="G99" i="1"/>
  <c r="G104" i="1"/>
  <c r="G108" i="1"/>
  <c r="G112" i="1"/>
  <c r="G116" i="1"/>
  <c r="G120" i="1"/>
  <c r="G124" i="1"/>
  <c r="G128" i="1"/>
  <c r="G132" i="1"/>
  <c r="G136" i="1"/>
  <c r="G140" i="1"/>
  <c r="G144" i="1"/>
  <c r="G148" i="1"/>
  <c r="G152" i="1"/>
  <c r="G156" i="1"/>
  <c r="G160" i="1"/>
  <c r="G164" i="1"/>
  <c r="G168" i="1"/>
  <c r="G172" i="1"/>
  <c r="G176" i="1"/>
  <c r="G180" i="1"/>
  <c r="G184" i="1"/>
  <c r="G188" i="1"/>
  <c r="G192" i="1"/>
  <c r="G196" i="1"/>
  <c r="G200" i="1"/>
  <c r="G204" i="1"/>
  <c r="G208" i="1"/>
  <c r="G212" i="1"/>
  <c r="G216" i="1"/>
  <c r="G220" i="1"/>
  <c r="G224" i="1"/>
  <c r="G228" i="1"/>
  <c r="G232" i="1"/>
  <c r="G236" i="1"/>
  <c r="G240" i="1"/>
  <c r="G244" i="1"/>
  <c r="G248" i="1"/>
  <c r="G252" i="1"/>
  <c r="G256" i="1"/>
  <c r="G260" i="1"/>
  <c r="G264" i="1"/>
  <c r="G268" i="1"/>
  <c r="G272" i="1"/>
  <c r="G276" i="1"/>
  <c r="G280" i="1"/>
  <c r="G284" i="1"/>
  <c r="G288" i="1"/>
  <c r="G292" i="1"/>
  <c r="G296" i="1"/>
  <c r="G300" i="1"/>
  <c r="G304" i="1"/>
  <c r="G308" i="1"/>
  <c r="G312" i="1"/>
  <c r="G316" i="1"/>
  <c r="G320" i="1"/>
  <c r="G324" i="1"/>
  <c r="G328" i="1"/>
  <c r="F9" i="1"/>
  <c r="F21" i="1"/>
  <c r="F33" i="1"/>
  <c r="F47" i="1"/>
  <c r="F55" i="1"/>
  <c r="F64" i="1"/>
  <c r="F75" i="1"/>
  <c r="F84" i="1"/>
  <c r="F90" i="1"/>
  <c r="F98" i="1"/>
  <c r="F105" i="1"/>
  <c r="F112" i="1"/>
  <c r="F120" i="1"/>
  <c r="F126" i="1"/>
  <c r="F133" i="1"/>
  <c r="F141" i="1"/>
  <c r="F148" i="1"/>
  <c r="F154" i="1"/>
  <c r="F162" i="1"/>
  <c r="F169" i="1"/>
  <c r="F176" i="1"/>
  <c r="F184" i="1"/>
  <c r="F190" i="1"/>
  <c r="F197" i="1"/>
  <c r="F205" i="1"/>
  <c r="F212" i="1"/>
  <c r="F218" i="1"/>
  <c r="F226" i="1"/>
  <c r="F233" i="1"/>
  <c r="F240" i="1"/>
  <c r="F248" i="1"/>
  <c r="F254" i="1"/>
  <c r="F261" i="1"/>
  <c r="F269" i="1"/>
  <c r="F276" i="1"/>
  <c r="F282" i="1"/>
  <c r="F290" i="1"/>
  <c r="F297" i="1"/>
  <c r="F304" i="1"/>
  <c r="F312" i="1"/>
  <c r="F318" i="1"/>
  <c r="F325" i="1"/>
  <c r="G7" i="1"/>
  <c r="G13" i="1"/>
  <c r="G21" i="1"/>
  <c r="G28" i="1"/>
  <c r="G35" i="1"/>
  <c r="G43" i="1"/>
  <c r="G49" i="1"/>
  <c r="G56" i="1"/>
  <c r="G64" i="1"/>
  <c r="G71" i="1"/>
  <c r="G77" i="1"/>
  <c r="G85" i="1"/>
  <c r="G92" i="1"/>
  <c r="G97" i="1"/>
  <c r="G103" i="1"/>
  <c r="G107" i="1"/>
  <c r="G111" i="1"/>
  <c r="G115" i="1"/>
  <c r="G119" i="1"/>
  <c r="G123" i="1"/>
  <c r="G127" i="1"/>
  <c r="G131" i="1"/>
  <c r="G135" i="1"/>
  <c r="G139" i="1"/>
  <c r="G143" i="1"/>
  <c r="G147" i="1"/>
  <c r="G151" i="1"/>
  <c r="G155" i="1"/>
  <c r="G159" i="1"/>
  <c r="G163" i="1"/>
  <c r="G167" i="1"/>
  <c r="G171" i="1"/>
  <c r="G175" i="1"/>
  <c r="G179" i="1"/>
  <c r="G183" i="1"/>
  <c r="G187" i="1"/>
  <c r="F14" i="1"/>
  <c r="F41" i="1"/>
  <c r="F60" i="1"/>
  <c r="F79" i="1"/>
  <c r="F94" i="1"/>
  <c r="F109" i="1"/>
  <c r="F122" i="1"/>
  <c r="F137" i="1"/>
  <c r="F152" i="1"/>
  <c r="F165" i="1"/>
  <c r="F180" i="1"/>
  <c r="F194" i="1"/>
  <c r="F208" i="1"/>
  <c r="F222" i="1"/>
  <c r="F237" i="1"/>
  <c r="F250" i="1"/>
  <c r="F265" i="1"/>
  <c r="F280" i="1"/>
  <c r="F293" i="1"/>
  <c r="F308" i="1"/>
  <c r="F322" i="1"/>
  <c r="G17" i="1"/>
  <c r="G32" i="1"/>
  <c r="G45" i="1"/>
  <c r="G60" i="1"/>
  <c r="G75" i="1"/>
  <c r="G88" i="1"/>
  <c r="G100" i="1"/>
  <c r="G109" i="1"/>
  <c r="G117" i="1"/>
  <c r="G125" i="1"/>
  <c r="G133" i="1"/>
  <c r="G141" i="1"/>
  <c r="G149" i="1"/>
  <c r="G157" i="1"/>
  <c r="G165" i="1"/>
  <c r="G173" i="1"/>
  <c r="G181" i="1"/>
  <c r="G189" i="1"/>
  <c r="G194" i="1"/>
  <c r="G199" i="1"/>
  <c r="G205" i="1"/>
  <c r="G210" i="1"/>
  <c r="G215" i="1"/>
  <c r="G221" i="1"/>
  <c r="G226" i="1"/>
  <c r="G231" i="1"/>
  <c r="G237" i="1"/>
  <c r="G242" i="1"/>
  <c r="G247" i="1"/>
  <c r="G253" i="1"/>
  <c r="G258" i="1"/>
  <c r="G263" i="1"/>
  <c r="G269" i="1"/>
  <c r="G274" i="1"/>
  <c r="G279" i="1"/>
  <c r="G285" i="1"/>
  <c r="G290" i="1"/>
  <c r="G295" i="1"/>
  <c r="G301" i="1"/>
  <c r="G306" i="1"/>
  <c r="G311" i="1"/>
  <c r="G317" i="1"/>
  <c r="G322" i="1"/>
  <c r="G327" i="1"/>
  <c r="F20" i="1"/>
  <c r="F42" i="1"/>
  <c r="F63" i="1"/>
  <c r="F82" i="1"/>
  <c r="F96" i="1"/>
  <c r="F110" i="1"/>
  <c r="F125" i="1"/>
  <c r="F138" i="1"/>
  <c r="F153" i="1"/>
  <c r="F168" i="1"/>
  <c r="F181" i="1"/>
  <c r="F196" i="1"/>
  <c r="F210" i="1"/>
  <c r="F224" i="1"/>
  <c r="F238" i="1"/>
  <c r="F253" i="1"/>
  <c r="F266" i="1"/>
  <c r="F281" i="1"/>
  <c r="F296" i="1"/>
  <c r="F309" i="1"/>
  <c r="F324" i="1"/>
  <c r="G19" i="1"/>
  <c r="G33" i="1"/>
  <c r="G48" i="1"/>
  <c r="G61" i="1"/>
  <c r="G76" i="1"/>
  <c r="G91" i="1"/>
  <c r="G101" i="1"/>
  <c r="G110" i="1"/>
  <c r="G118" i="1"/>
  <c r="G126" i="1"/>
  <c r="G134" i="1"/>
  <c r="G142" i="1"/>
  <c r="G150" i="1"/>
  <c r="G158" i="1"/>
  <c r="G166" i="1"/>
  <c r="G174" i="1"/>
  <c r="G182" i="1"/>
  <c r="G190" i="1"/>
  <c r="G195" i="1"/>
  <c r="G201" i="1"/>
  <c r="G206" i="1"/>
  <c r="G211" i="1"/>
  <c r="G217" i="1"/>
  <c r="G222" i="1"/>
  <c r="G227" i="1"/>
  <c r="G233" i="1"/>
  <c r="G238" i="1"/>
  <c r="G243" i="1"/>
  <c r="G249" i="1"/>
  <c r="G254" i="1"/>
  <c r="G259" i="1"/>
  <c r="G265" i="1"/>
  <c r="G270" i="1"/>
  <c r="G275" i="1"/>
  <c r="G281" i="1"/>
  <c r="G286" i="1"/>
  <c r="G291" i="1"/>
  <c r="G297" i="1"/>
  <c r="G302" i="1"/>
  <c r="G307" i="1"/>
  <c r="G313" i="1"/>
  <c r="G318" i="1"/>
  <c r="G323" i="1"/>
  <c r="G329" i="1"/>
  <c r="H4" i="1"/>
  <c r="H223" i="1" s="1"/>
  <c r="H6" i="5"/>
  <c r="G10" i="5"/>
  <c r="G42" i="5"/>
  <c r="G74" i="5"/>
  <c r="G106" i="5"/>
  <c r="G138" i="5"/>
  <c r="G170" i="5"/>
  <c r="I23" i="2"/>
  <c r="I31" i="2"/>
  <c r="I35" i="2"/>
  <c r="I131" i="2"/>
  <c r="I8" i="2"/>
  <c r="I20" i="2"/>
  <c r="I72" i="2"/>
  <c r="I84" i="2"/>
  <c r="I200" i="2"/>
  <c r="I248" i="2"/>
  <c r="I284" i="2"/>
  <c r="I312" i="2"/>
  <c r="I70" i="2"/>
  <c r="I134" i="2"/>
  <c r="I198" i="2"/>
  <c r="I250" i="2"/>
  <c r="I302" i="2"/>
  <c r="I330" i="2"/>
  <c r="I207" i="2"/>
  <c r="I279" i="2"/>
  <c r="H299" i="2"/>
  <c r="U299" i="3" s="1"/>
  <c r="V299" i="3" s="1"/>
  <c r="W299" i="3" s="1"/>
  <c r="H247" i="2"/>
  <c r="U247" i="3" s="1"/>
  <c r="V247" i="3" s="1"/>
  <c r="W247" i="3" s="1"/>
  <c r="H239" i="2"/>
  <c r="U239" i="3" s="1"/>
  <c r="V239" i="3" s="1"/>
  <c r="W239" i="3" s="1"/>
  <c r="H191" i="2"/>
  <c r="U191" i="3" s="1"/>
  <c r="V191" i="3" s="1"/>
  <c r="W191" i="3" s="1"/>
  <c r="H314" i="2"/>
  <c r="U314" i="3" s="1"/>
  <c r="V314" i="3" s="1"/>
  <c r="W314" i="3" s="1"/>
  <c r="H290" i="2"/>
  <c r="U290" i="3" s="1"/>
  <c r="V290" i="3" s="1"/>
  <c r="W290" i="3" s="1"/>
  <c r="H282" i="2"/>
  <c r="U282" i="3" s="1"/>
  <c r="V282" i="3" s="1"/>
  <c r="W282" i="3" s="1"/>
  <c r="H278" i="2"/>
  <c r="U278" i="3" s="1"/>
  <c r="V278" i="3" s="1"/>
  <c r="W278" i="3" s="1"/>
  <c r="H234" i="2"/>
  <c r="U234" i="3" s="1"/>
  <c r="V234" i="3" s="1"/>
  <c r="W234" i="3" s="1"/>
  <c r="H202" i="2"/>
  <c r="U202" i="3" s="1"/>
  <c r="V202" i="3" s="1"/>
  <c r="W202" i="3" s="1"/>
  <c r="H170" i="2"/>
  <c r="U170" i="3" s="1"/>
  <c r="V170" i="3" s="1"/>
  <c r="W170" i="3" s="1"/>
  <c r="H138" i="2"/>
  <c r="U138" i="3" s="1"/>
  <c r="V138" i="3" s="1"/>
  <c r="W138" i="3" s="1"/>
  <c r="H106" i="2"/>
  <c r="U106" i="3" s="1"/>
  <c r="V106" i="3" s="1"/>
  <c r="W106" i="3" s="1"/>
  <c r="H74" i="2"/>
  <c r="U74" i="3" s="1"/>
  <c r="V74" i="3" s="1"/>
  <c r="W74" i="3" s="1"/>
  <c r="H42" i="2"/>
  <c r="U42" i="3" s="1"/>
  <c r="V42" i="3" s="1"/>
  <c r="W42" i="3" s="1"/>
  <c r="H329" i="2"/>
  <c r="U329" i="3" s="1"/>
  <c r="V329" i="3" s="1"/>
  <c r="W329" i="3" s="1"/>
  <c r="H325" i="2"/>
  <c r="U325" i="3" s="1"/>
  <c r="V325" i="3" s="1"/>
  <c r="W325" i="3" s="1"/>
  <c r="H317" i="2"/>
  <c r="U317" i="3" s="1"/>
  <c r="V317" i="3" s="1"/>
  <c r="W317" i="3" s="1"/>
  <c r="H313" i="2"/>
  <c r="U313" i="3" s="1"/>
  <c r="V313" i="3" s="1"/>
  <c r="W313" i="3" s="1"/>
  <c r="H309" i="2"/>
  <c r="U309" i="3" s="1"/>
  <c r="V309" i="3" s="1"/>
  <c r="W309" i="3" s="1"/>
  <c r="H301" i="2"/>
  <c r="U301" i="3" s="1"/>
  <c r="V301" i="3" s="1"/>
  <c r="W301" i="3" s="1"/>
  <c r="H297" i="2"/>
  <c r="U297" i="3" s="1"/>
  <c r="V297" i="3" s="1"/>
  <c r="W297" i="3" s="1"/>
  <c r="H293" i="2"/>
  <c r="U293" i="3" s="1"/>
  <c r="V293" i="3" s="1"/>
  <c r="W293" i="3" s="1"/>
  <c r="H285" i="2"/>
  <c r="U285" i="3" s="1"/>
  <c r="V285" i="3" s="1"/>
  <c r="W285" i="3" s="1"/>
  <c r="H281" i="2"/>
  <c r="U281" i="3" s="1"/>
  <c r="V281" i="3" s="1"/>
  <c r="W281" i="3" s="1"/>
  <c r="H277" i="2"/>
  <c r="U277" i="3" s="1"/>
  <c r="V277" i="3" s="1"/>
  <c r="W277" i="3" s="1"/>
  <c r="H269" i="2"/>
  <c r="U269" i="3" s="1"/>
  <c r="V269" i="3" s="1"/>
  <c r="W269" i="3" s="1"/>
  <c r="H265" i="2"/>
  <c r="U265" i="3" s="1"/>
  <c r="V265" i="3" s="1"/>
  <c r="W265" i="3" s="1"/>
  <c r="H328" i="2"/>
  <c r="U328" i="3" s="1"/>
  <c r="V328" i="3" s="1"/>
  <c r="W328" i="3" s="1"/>
  <c r="H296" i="2"/>
  <c r="U296" i="3" s="1"/>
  <c r="V296" i="3" s="1"/>
  <c r="W296" i="3" s="1"/>
  <c r="H276" i="2"/>
  <c r="U276" i="3" s="1"/>
  <c r="V276" i="3" s="1"/>
  <c r="W276" i="3" s="1"/>
  <c r="H264" i="2"/>
  <c r="U264" i="3" s="1"/>
  <c r="V264" i="3" s="1"/>
  <c r="W264" i="3" s="1"/>
  <c r="H232" i="2"/>
  <c r="U232" i="3" s="1"/>
  <c r="V232" i="3" s="1"/>
  <c r="W232" i="3" s="1"/>
  <c r="H196" i="2"/>
  <c r="U196" i="3" s="1"/>
  <c r="V196" i="3" s="1"/>
  <c r="W196" i="3" s="1"/>
  <c r="H160" i="2"/>
  <c r="U160" i="3" s="1"/>
  <c r="V160" i="3" s="1"/>
  <c r="W160" i="3" s="1"/>
  <c r="H148" i="2"/>
  <c r="U148" i="3" s="1"/>
  <c r="V148" i="3" s="1"/>
  <c r="W148" i="3" s="1"/>
  <c r="H128" i="2"/>
  <c r="U128" i="3" s="1"/>
  <c r="V128" i="3" s="1"/>
  <c r="W128" i="3" s="1"/>
  <c r="H116" i="2"/>
  <c r="U116" i="3" s="1"/>
  <c r="V116" i="3" s="1"/>
  <c r="W116" i="3" s="1"/>
  <c r="H283" i="2"/>
  <c r="U283" i="3" s="1"/>
  <c r="V283" i="3" s="1"/>
  <c r="W283" i="3" s="1"/>
  <c r="H179" i="2"/>
  <c r="U179" i="3" s="1"/>
  <c r="V179" i="3" s="1"/>
  <c r="W179" i="3" s="1"/>
  <c r="H171" i="2"/>
  <c r="U171" i="3" s="1"/>
  <c r="V171" i="3" s="1"/>
  <c r="W171" i="3" s="1"/>
  <c r="H147" i="2"/>
  <c r="U147" i="3" s="1"/>
  <c r="V147" i="3" s="1"/>
  <c r="W147" i="3" s="1"/>
  <c r="H139" i="2"/>
  <c r="U139" i="3" s="1"/>
  <c r="V139" i="3" s="1"/>
  <c r="W139" i="3" s="1"/>
  <c r="H115" i="2"/>
  <c r="U115" i="3" s="1"/>
  <c r="V115" i="3" s="1"/>
  <c r="W115" i="3" s="1"/>
  <c r="H107" i="2"/>
  <c r="U107" i="3" s="1"/>
  <c r="V107" i="3" s="1"/>
  <c r="W107" i="3" s="1"/>
  <c r="H83" i="2"/>
  <c r="U83" i="3" s="1"/>
  <c r="V83" i="3" s="1"/>
  <c r="W83" i="3" s="1"/>
  <c r="H75" i="2"/>
  <c r="U75" i="3" s="1"/>
  <c r="V75" i="3" s="1"/>
  <c r="W75" i="3" s="1"/>
  <c r="H51" i="2"/>
  <c r="U51" i="3" s="1"/>
  <c r="V51" i="3" s="1"/>
  <c r="W51" i="3" s="1"/>
  <c r="H43" i="2"/>
  <c r="U43" i="3" s="1"/>
  <c r="V43" i="3" s="1"/>
  <c r="W43" i="3" s="1"/>
  <c r="H295" i="2"/>
  <c r="U295" i="3" s="1"/>
  <c r="V295" i="3" s="1"/>
  <c r="W295" i="3" s="1"/>
  <c r="H211" i="2"/>
  <c r="U211" i="3" s="1"/>
  <c r="V211" i="3" s="1"/>
  <c r="W211" i="3" s="1"/>
  <c r="H203" i="2"/>
  <c r="U203" i="3" s="1"/>
  <c r="V203" i="3" s="1"/>
  <c r="W203" i="3" s="1"/>
  <c r="H258" i="2"/>
  <c r="U258" i="3" s="1"/>
  <c r="V258" i="3" s="1"/>
  <c r="W258" i="3" s="1"/>
  <c r="H250" i="2"/>
  <c r="U250" i="3" s="1"/>
  <c r="V250" i="3" s="1"/>
  <c r="W250" i="3" s="1"/>
  <c r="H246" i="2"/>
  <c r="U246" i="3" s="1"/>
  <c r="V246" i="3" s="1"/>
  <c r="W246" i="3" s="1"/>
  <c r="H226" i="2"/>
  <c r="U226" i="3" s="1"/>
  <c r="V226" i="3" s="1"/>
  <c r="W226" i="3" s="1"/>
  <c r="H218" i="2"/>
  <c r="U218" i="3" s="1"/>
  <c r="V218" i="3" s="1"/>
  <c r="W218" i="3" s="1"/>
  <c r="F32" i="5"/>
  <c r="F20" i="5"/>
  <c r="F72" i="5"/>
  <c r="F132" i="5"/>
  <c r="F192" i="5"/>
  <c r="F244" i="5"/>
  <c r="F304" i="5"/>
  <c r="F25" i="5"/>
  <c r="F81" i="5"/>
  <c r="F137" i="5"/>
  <c r="F197" i="5"/>
  <c r="F249" i="5"/>
  <c r="F309" i="5"/>
  <c r="F38" i="5"/>
  <c r="F90" i="5"/>
  <c r="F150" i="5"/>
  <c r="F206" i="5"/>
  <c r="F262" i="5"/>
  <c r="F318" i="5"/>
  <c r="F47" i="5"/>
  <c r="F99" i="5"/>
  <c r="F147" i="5"/>
  <c r="F191" i="5"/>
  <c r="F231" i="5"/>
  <c r="F275" i="5"/>
  <c r="F319" i="5"/>
  <c r="F24" i="5"/>
  <c r="F84" i="5"/>
  <c r="F136" i="5"/>
  <c r="F196" i="5"/>
  <c r="F256" i="5"/>
  <c r="F308" i="5"/>
  <c r="F33" i="5"/>
  <c r="F89" i="5"/>
  <c r="F145" i="5"/>
  <c r="F201" i="5"/>
  <c r="F261" i="5"/>
  <c r="F313" i="5"/>
  <c r="F42" i="5"/>
  <c r="F102" i="5"/>
  <c r="F154" i="5"/>
  <c r="F214" i="5"/>
  <c r="F270" i="5"/>
  <c r="F326" i="5"/>
  <c r="F51" i="5"/>
  <c r="F111" i="5"/>
  <c r="F151" i="5"/>
  <c r="F195" i="5"/>
  <c r="F239" i="5"/>
  <c r="F279" i="5"/>
  <c r="F323" i="5"/>
  <c r="G7" i="5"/>
  <c r="G11" i="5"/>
  <c r="G15" i="5"/>
  <c r="G19" i="5"/>
  <c r="G23" i="5"/>
  <c r="G27" i="5"/>
  <c r="G31" i="5"/>
  <c r="G35" i="5"/>
  <c r="G39" i="5"/>
  <c r="G43" i="5"/>
  <c r="G47" i="5"/>
  <c r="G51" i="5"/>
  <c r="G55" i="5"/>
  <c r="G59" i="5"/>
  <c r="G63" i="5"/>
  <c r="G67" i="5"/>
  <c r="G71" i="5"/>
  <c r="G75" i="5"/>
  <c r="G79" i="5"/>
  <c r="G83" i="5"/>
  <c r="G87" i="5"/>
  <c r="G91" i="5"/>
  <c r="G95" i="5"/>
  <c r="G99" i="5"/>
  <c r="G103" i="5"/>
  <c r="G107" i="5"/>
  <c r="G111" i="5"/>
  <c r="G115" i="5"/>
  <c r="G119" i="5"/>
  <c r="G123" i="5"/>
  <c r="G127" i="5"/>
  <c r="G131" i="5"/>
  <c r="G135" i="5"/>
  <c r="G139" i="5"/>
  <c r="G143" i="5"/>
  <c r="G147" i="5"/>
  <c r="G151" i="5"/>
  <c r="G155" i="5"/>
  <c r="G159" i="5"/>
  <c r="G163" i="5"/>
  <c r="G167" i="5"/>
  <c r="G171" i="5"/>
  <c r="G175" i="5"/>
  <c r="G179" i="5"/>
  <c r="G183" i="5"/>
  <c r="G187" i="5"/>
  <c r="G191" i="5"/>
  <c r="G195" i="5"/>
  <c r="G199" i="5"/>
  <c r="G203" i="5"/>
  <c r="G207" i="5"/>
  <c r="G211" i="5"/>
  <c r="G215" i="5"/>
  <c r="G219" i="5"/>
  <c r="G223" i="5"/>
  <c r="G227" i="5"/>
  <c r="G231" i="5"/>
  <c r="G235" i="5"/>
  <c r="G239" i="5"/>
  <c r="G243" i="5"/>
  <c r="G247" i="5"/>
  <c r="G251" i="5"/>
  <c r="G255" i="5"/>
  <c r="G259" i="5"/>
  <c r="G263" i="5"/>
  <c r="G267" i="5"/>
  <c r="G271" i="5"/>
  <c r="G275" i="5"/>
  <c r="G279" i="5"/>
  <c r="G283" i="5"/>
  <c r="G287" i="5"/>
  <c r="G291" i="5"/>
  <c r="G295" i="5"/>
  <c r="G299" i="5"/>
  <c r="G303" i="5"/>
  <c r="G307" i="5"/>
  <c r="G311" i="5"/>
  <c r="G315" i="5"/>
  <c r="G319" i="5"/>
  <c r="G323" i="5"/>
  <c r="G327" i="5"/>
  <c r="G331" i="5"/>
  <c r="G8" i="5"/>
  <c r="G12" i="5"/>
  <c r="G16" i="5"/>
  <c r="G20" i="5"/>
  <c r="G24" i="5"/>
  <c r="G28" i="5"/>
  <c r="G32" i="5"/>
  <c r="G36" i="5"/>
  <c r="G40" i="5"/>
  <c r="G44" i="5"/>
  <c r="G48" i="5"/>
  <c r="G52" i="5"/>
  <c r="G56" i="5"/>
  <c r="G60" i="5"/>
  <c r="G64" i="5"/>
  <c r="G68" i="5"/>
  <c r="G72" i="5"/>
  <c r="G76" i="5"/>
  <c r="G80" i="5"/>
  <c r="G84" i="5"/>
  <c r="G88" i="5"/>
  <c r="G92" i="5"/>
  <c r="G96" i="5"/>
  <c r="G100" i="5"/>
  <c r="G104" i="5"/>
  <c r="G108" i="5"/>
  <c r="G112" i="5"/>
  <c r="G116" i="5"/>
  <c r="G120" i="5"/>
  <c r="G124" i="5"/>
  <c r="G128" i="5"/>
  <c r="G132" i="5"/>
  <c r="G136" i="5"/>
  <c r="G140" i="5"/>
  <c r="G144" i="5"/>
  <c r="G148" i="5"/>
  <c r="G152" i="5"/>
  <c r="G156" i="5"/>
  <c r="G160" i="5"/>
  <c r="G164" i="5"/>
  <c r="G168" i="5"/>
  <c r="G172" i="5"/>
  <c r="G176" i="5"/>
  <c r="G180" i="5"/>
  <c r="G184" i="5"/>
  <c r="G188" i="5"/>
  <c r="G192" i="5"/>
  <c r="G196" i="5"/>
  <c r="G200" i="5"/>
  <c r="G204" i="5"/>
  <c r="G208" i="5"/>
  <c r="G212" i="5"/>
  <c r="G216" i="5"/>
  <c r="G220" i="5"/>
  <c r="G224" i="5"/>
  <c r="G228" i="5"/>
  <c r="G232" i="5"/>
  <c r="G236" i="5"/>
  <c r="G240" i="5"/>
  <c r="G244" i="5"/>
  <c r="G248" i="5"/>
  <c r="G252" i="5"/>
  <c r="G256" i="5"/>
  <c r="G260" i="5"/>
  <c r="G264" i="5"/>
  <c r="G268" i="5"/>
  <c r="G272" i="5"/>
  <c r="G276" i="5"/>
  <c r="G280" i="5"/>
  <c r="G284" i="5"/>
  <c r="G288" i="5"/>
  <c r="G292" i="5"/>
  <c r="G296" i="5"/>
  <c r="G300" i="5"/>
  <c r="G304" i="5"/>
  <c r="G308" i="5"/>
  <c r="G312" i="5"/>
  <c r="G316" i="5"/>
  <c r="G320" i="5"/>
  <c r="G324" i="5"/>
  <c r="G328" i="5"/>
  <c r="G14" i="5"/>
  <c r="G22" i="5"/>
  <c r="G30" i="5"/>
  <c r="G38" i="5"/>
  <c r="G46" i="5"/>
  <c r="G54" i="5"/>
  <c r="G62" i="5"/>
  <c r="G70" i="5"/>
  <c r="G78" i="5"/>
  <c r="G86" i="5"/>
  <c r="G94" i="5"/>
  <c r="G102" i="5"/>
  <c r="G110" i="5"/>
  <c r="G118" i="5"/>
  <c r="G126" i="5"/>
  <c r="G134" i="5"/>
  <c r="G142" i="5"/>
  <c r="G150" i="5"/>
  <c r="G158" i="5"/>
  <c r="G166" i="5"/>
  <c r="G174" i="5"/>
  <c r="G182" i="5"/>
  <c r="G190" i="5"/>
  <c r="G198" i="5"/>
  <c r="G206" i="5"/>
  <c r="G214" i="5"/>
  <c r="G222" i="5"/>
  <c r="G230" i="5"/>
  <c r="G238" i="5"/>
  <c r="G246" i="5"/>
  <c r="G254" i="5"/>
  <c r="G262" i="5"/>
  <c r="G270" i="5"/>
  <c r="G278" i="5"/>
  <c r="G286" i="5"/>
  <c r="G294" i="5"/>
  <c r="G302" i="5"/>
  <c r="G310" i="5"/>
  <c r="G318" i="5"/>
  <c r="G326" i="5"/>
  <c r="G9" i="5"/>
  <c r="G17" i="5"/>
  <c r="G25" i="5"/>
  <c r="G33" i="5"/>
  <c r="G41" i="5"/>
  <c r="G49" i="5"/>
  <c r="G57" i="5"/>
  <c r="G65" i="5"/>
  <c r="G73" i="5"/>
  <c r="G81" i="5"/>
  <c r="G89" i="5"/>
  <c r="G97" i="5"/>
  <c r="G105" i="5"/>
  <c r="G113" i="5"/>
  <c r="G121" i="5"/>
  <c r="G129" i="5"/>
  <c r="G137" i="5"/>
  <c r="G145" i="5"/>
  <c r="G153" i="5"/>
  <c r="G161" i="5"/>
  <c r="G169" i="5"/>
  <c r="G177" i="5"/>
  <c r="G185" i="5"/>
  <c r="G193" i="5"/>
  <c r="G201" i="5"/>
  <c r="G209" i="5"/>
  <c r="G217" i="5"/>
  <c r="G225" i="5"/>
  <c r="G233" i="5"/>
  <c r="G241" i="5"/>
  <c r="G249" i="5"/>
  <c r="G257" i="5"/>
  <c r="G265" i="5"/>
  <c r="G273" i="5"/>
  <c r="G281" i="5"/>
  <c r="G289" i="5"/>
  <c r="G297" i="5"/>
  <c r="G305" i="5"/>
  <c r="G313" i="5"/>
  <c r="G321" i="5"/>
  <c r="G329" i="5"/>
  <c r="C24" i="5"/>
  <c r="C27" i="5"/>
  <c r="C33" i="5"/>
  <c r="C37" i="5"/>
  <c r="C40" i="5"/>
  <c r="C43" i="5"/>
  <c r="C49" i="5"/>
  <c r="C53" i="5"/>
  <c r="C56" i="5"/>
  <c r="C59" i="5"/>
  <c r="C65" i="5"/>
  <c r="C69" i="5"/>
  <c r="C72" i="5"/>
  <c r="C75" i="5"/>
  <c r="C81" i="5"/>
  <c r="C85" i="5"/>
  <c r="C88" i="5"/>
  <c r="C91" i="5"/>
  <c r="C97" i="5"/>
  <c r="C101" i="5"/>
  <c r="C104" i="5"/>
  <c r="C107" i="5"/>
  <c r="C113" i="5"/>
  <c r="C117" i="5"/>
  <c r="C120" i="5"/>
  <c r="C123" i="5"/>
  <c r="C129" i="5"/>
  <c r="C132" i="5"/>
  <c r="C137" i="5"/>
  <c r="C140" i="5"/>
  <c r="C145" i="5"/>
  <c r="C149" i="5"/>
  <c r="C153" i="5"/>
  <c r="C157" i="5"/>
  <c r="C161" i="5"/>
  <c r="C165" i="5"/>
  <c r="C169" i="5"/>
  <c r="C173" i="5"/>
  <c r="C177" i="5"/>
  <c r="C181" i="5"/>
  <c r="C185" i="5"/>
  <c r="C189" i="5"/>
  <c r="C193" i="5"/>
  <c r="C197" i="5"/>
  <c r="C201" i="5"/>
  <c r="C205" i="5"/>
  <c r="C209" i="5"/>
  <c r="C213" i="5"/>
  <c r="C217" i="5"/>
  <c r="C221" i="5"/>
  <c r="C225" i="5"/>
  <c r="C229" i="5"/>
  <c r="C233" i="5"/>
  <c r="C237" i="5"/>
  <c r="C28" i="5"/>
  <c r="C31" i="5"/>
  <c r="C34" i="5"/>
  <c r="C38" i="5"/>
  <c r="C44" i="5"/>
  <c r="C47" i="5"/>
  <c r="C50" i="5"/>
  <c r="C54" i="5"/>
  <c r="C60" i="5"/>
  <c r="C63" i="5"/>
  <c r="C66" i="5"/>
  <c r="C70" i="5"/>
  <c r="C76" i="5"/>
  <c r="C79" i="5"/>
  <c r="C82" i="5"/>
  <c r="C86" i="5"/>
  <c r="C92" i="5"/>
  <c r="C95" i="5"/>
  <c r="C98" i="5"/>
  <c r="C102" i="5"/>
  <c r="C108" i="5"/>
  <c r="C111" i="5"/>
  <c r="C114" i="5"/>
  <c r="C118" i="5"/>
  <c r="C124" i="5"/>
  <c r="C127" i="5"/>
  <c r="C130" i="5"/>
  <c r="C135" i="5"/>
  <c r="C138" i="5"/>
  <c r="C143" i="5"/>
  <c r="C146" i="5"/>
  <c r="C150" i="5"/>
  <c r="C154" i="5"/>
  <c r="C158" i="5"/>
  <c r="C162" i="5"/>
  <c r="C166" i="5"/>
  <c r="C170" i="5"/>
  <c r="C174" i="5"/>
  <c r="C178" i="5"/>
  <c r="C182" i="5"/>
  <c r="C186" i="5"/>
  <c r="C190" i="5"/>
  <c r="C194" i="5"/>
  <c r="C198" i="5"/>
  <c r="C202" i="5"/>
  <c r="C206" i="5"/>
  <c r="C210" i="5"/>
  <c r="C214" i="5"/>
  <c r="C218" i="5"/>
  <c r="C222" i="5"/>
  <c r="C226" i="5"/>
  <c r="C230" i="5"/>
  <c r="C234" i="5"/>
  <c r="C238" i="5"/>
  <c r="C25" i="5"/>
  <c r="C32" i="5"/>
  <c r="C45" i="5"/>
  <c r="C51" i="5"/>
  <c r="C57" i="5"/>
  <c r="C64" i="5"/>
  <c r="C77" i="5"/>
  <c r="C83" i="5"/>
  <c r="C89" i="5"/>
  <c r="C96" i="5"/>
  <c r="C109" i="5"/>
  <c r="C115" i="5"/>
  <c r="C121" i="5"/>
  <c r="C128" i="5"/>
  <c r="C133" i="5"/>
  <c r="C144" i="5"/>
  <c r="C151" i="5"/>
  <c r="C159" i="5"/>
  <c r="C167" i="5"/>
  <c r="C175" i="5"/>
  <c r="C183" i="5"/>
  <c r="C191" i="5"/>
  <c r="C199" i="5"/>
  <c r="C207" i="5"/>
  <c r="C215" i="5"/>
  <c r="C223" i="5"/>
  <c r="C231" i="5"/>
  <c r="C239" i="5"/>
  <c r="C243" i="5"/>
  <c r="C247" i="5"/>
  <c r="C251" i="5"/>
  <c r="C255" i="5"/>
  <c r="C259" i="5"/>
  <c r="C263" i="5"/>
  <c r="C267" i="5"/>
  <c r="C271" i="5"/>
  <c r="C275" i="5"/>
  <c r="C279" i="5"/>
  <c r="C283" i="5"/>
  <c r="C287" i="5"/>
  <c r="C291" i="5"/>
  <c r="C295" i="5"/>
  <c r="C299" i="5"/>
  <c r="C303" i="5"/>
  <c r="C307" i="5"/>
  <c r="C311" i="5"/>
  <c r="C315" i="5"/>
  <c r="C319" i="5"/>
  <c r="C323" i="5"/>
  <c r="C327" i="5"/>
  <c r="C331" i="5"/>
  <c r="C11" i="5"/>
  <c r="C15" i="5"/>
  <c r="C19" i="5"/>
  <c r="C23" i="5"/>
  <c r="C26" i="5"/>
  <c r="C35" i="5"/>
  <c r="C42" i="5"/>
  <c r="C52" i="5"/>
  <c r="C61" i="5"/>
  <c r="C68" i="5"/>
  <c r="C78" i="5"/>
  <c r="C94" i="5"/>
  <c r="C103" i="5"/>
  <c r="C112" i="5"/>
  <c r="C119" i="5"/>
  <c r="C136" i="5"/>
  <c r="C142" i="5"/>
  <c r="C152" i="5"/>
  <c r="C163" i="5"/>
  <c r="C172" i="5"/>
  <c r="C184" i="5"/>
  <c r="C195" i="5"/>
  <c r="C204" i="5"/>
  <c r="C216" i="5"/>
  <c r="C227" i="5"/>
  <c r="C236" i="5"/>
  <c r="C244" i="5"/>
  <c r="C249" i="5"/>
  <c r="C254" i="5"/>
  <c r="C260" i="5"/>
  <c r="C265" i="5"/>
  <c r="C270" i="5"/>
  <c r="C276" i="5"/>
  <c r="C281" i="5"/>
  <c r="C286" i="5"/>
  <c r="C292" i="5"/>
  <c r="C297" i="5"/>
  <c r="C302" i="5"/>
  <c r="C308" i="5"/>
  <c r="C313" i="5"/>
  <c r="C318" i="5"/>
  <c r="C324" i="5"/>
  <c r="C329" i="5"/>
  <c r="C8" i="5"/>
  <c r="C13" i="5"/>
  <c r="C18" i="5"/>
  <c r="C29" i="5"/>
  <c r="C36" i="5"/>
  <c r="C46" i="5"/>
  <c r="C62" i="5"/>
  <c r="C71" i="5"/>
  <c r="C80" i="5"/>
  <c r="C87" i="5"/>
  <c r="C105" i="5"/>
  <c r="C122" i="5"/>
  <c r="C155" i="5"/>
  <c r="C164" i="5"/>
  <c r="C176" i="5"/>
  <c r="C187" i="5"/>
  <c r="C196" i="5"/>
  <c r="C208" i="5"/>
  <c r="C219" i="5"/>
  <c r="C228" i="5"/>
  <c r="C240" i="5"/>
  <c r="C245" i="5"/>
  <c r="C250" i="5"/>
  <c r="C256" i="5"/>
  <c r="C261" i="5"/>
  <c r="C266" i="5"/>
  <c r="C272" i="5"/>
  <c r="C277" i="5"/>
  <c r="C282" i="5"/>
  <c r="C288" i="5"/>
  <c r="C293" i="5"/>
  <c r="C298" i="5"/>
  <c r="C304" i="5"/>
  <c r="C309" i="5"/>
  <c r="C314" i="5"/>
  <c r="C320" i="5"/>
  <c r="C325" i="5"/>
  <c r="C330" i="5"/>
  <c r="C9" i="5"/>
  <c r="C14" i="5"/>
  <c r="C20" i="5"/>
  <c r="C39" i="5"/>
  <c r="C55" i="5"/>
  <c r="C73" i="5"/>
  <c r="C90" i="5"/>
  <c r="C106" i="5"/>
  <c r="C125" i="5"/>
  <c r="C139" i="5"/>
  <c r="C156" i="5"/>
  <c r="C179" i="5"/>
  <c r="C200" i="5"/>
  <c r="C220" i="5"/>
  <c r="C241" i="5"/>
  <c r="C252" i="5"/>
  <c r="C262" i="5"/>
  <c r="C273" i="5"/>
  <c r="C284" i="5"/>
  <c r="C294" i="5"/>
  <c r="C305" i="5"/>
  <c r="C316" i="5"/>
  <c r="C326" i="5"/>
  <c r="C16" i="5"/>
  <c r="C41" i="5"/>
  <c r="C58" i="5"/>
  <c r="C74" i="5"/>
  <c r="C93" i="5"/>
  <c r="C110" i="5"/>
  <c r="C126" i="5"/>
  <c r="C141" i="5"/>
  <c r="C160" i="5"/>
  <c r="C180" i="5"/>
  <c r="C203" i="5"/>
  <c r="C224" i="5"/>
  <c r="C242" i="5"/>
  <c r="C253" i="5"/>
  <c r="C264" i="5"/>
  <c r="C274" i="5"/>
  <c r="C285" i="5"/>
  <c r="C296" i="5"/>
  <c r="C306" i="5"/>
  <c r="C317" i="5"/>
  <c r="C328" i="5"/>
  <c r="C17" i="5"/>
  <c r="C67" i="5"/>
  <c r="C100" i="5"/>
  <c r="C134" i="5"/>
  <c r="C171" i="5"/>
  <c r="C212" i="5"/>
  <c r="C248" i="5"/>
  <c r="C269" i="5"/>
  <c r="C290" i="5"/>
  <c r="C312" i="5"/>
  <c r="C22" i="5"/>
  <c r="C48" i="5"/>
  <c r="C116" i="5"/>
  <c r="C147" i="5"/>
  <c r="C188" i="5"/>
  <c r="C232" i="5"/>
  <c r="C257" i="5"/>
  <c r="C278" i="5"/>
  <c r="C300" i="5"/>
  <c r="C321" i="5"/>
  <c r="C10" i="5"/>
  <c r="I283" i="2"/>
  <c r="H327" i="2"/>
  <c r="U327" i="3" s="1"/>
  <c r="V327" i="3" s="1"/>
  <c r="W327" i="3" s="1"/>
  <c r="I6" i="2"/>
  <c r="I44" i="2"/>
  <c r="I56" i="2"/>
  <c r="I68" i="2"/>
  <c r="I108" i="2"/>
  <c r="I116" i="2"/>
  <c r="I124" i="2"/>
  <c r="I140" i="2"/>
  <c r="I148" i="2"/>
  <c r="I156" i="2"/>
  <c r="I168" i="2"/>
  <c r="I172" i="2"/>
  <c r="H180" i="2"/>
  <c r="U180" i="3" s="1"/>
  <c r="V180" i="3" s="1"/>
  <c r="W180" i="3" s="1"/>
  <c r="H188" i="2"/>
  <c r="U188" i="3" s="1"/>
  <c r="V188" i="3" s="1"/>
  <c r="W188" i="3" s="1"/>
  <c r="H208" i="2"/>
  <c r="U208" i="3" s="1"/>
  <c r="V208" i="3" s="1"/>
  <c r="W208" i="3" s="1"/>
  <c r="I216" i="2"/>
  <c r="H228" i="2"/>
  <c r="U228" i="3" s="1"/>
  <c r="V228" i="3" s="1"/>
  <c r="W228" i="3" s="1"/>
  <c r="I236" i="2"/>
  <c r="H244" i="2"/>
  <c r="U244" i="3" s="1"/>
  <c r="V244" i="3" s="1"/>
  <c r="W244" i="3" s="1"/>
  <c r="I264" i="2"/>
  <c r="H272" i="2"/>
  <c r="U272" i="3" s="1"/>
  <c r="V272" i="3" s="1"/>
  <c r="W272" i="3" s="1"/>
  <c r="H280" i="2"/>
  <c r="U280" i="3" s="1"/>
  <c r="V280" i="3" s="1"/>
  <c r="W280" i="3" s="1"/>
  <c r="H292" i="2"/>
  <c r="U292" i="3" s="1"/>
  <c r="V292" i="3" s="1"/>
  <c r="W292" i="3" s="1"/>
  <c r="I300" i="2"/>
  <c r="H308" i="2"/>
  <c r="U308" i="3" s="1"/>
  <c r="V308" i="3" s="1"/>
  <c r="W308" i="3" s="1"/>
  <c r="I328" i="2"/>
  <c r="H13" i="2"/>
  <c r="U13" i="3" s="1"/>
  <c r="V13" i="3" s="1"/>
  <c r="W13" i="3" s="1"/>
  <c r="H29" i="2"/>
  <c r="U29" i="3" s="1"/>
  <c r="V29" i="3" s="1"/>
  <c r="W29" i="3" s="1"/>
  <c r="H45" i="2"/>
  <c r="U45" i="3" s="1"/>
  <c r="V45" i="3" s="1"/>
  <c r="W45" i="3" s="1"/>
  <c r="H61" i="2"/>
  <c r="U61" i="3" s="1"/>
  <c r="V61" i="3" s="1"/>
  <c r="W61" i="3" s="1"/>
  <c r="H77" i="2"/>
  <c r="U77" i="3" s="1"/>
  <c r="V77" i="3" s="1"/>
  <c r="W77" i="3" s="1"/>
  <c r="H93" i="2"/>
  <c r="U93" i="3" s="1"/>
  <c r="V93" i="3" s="1"/>
  <c r="W93" i="3" s="1"/>
  <c r="H109" i="2"/>
  <c r="U109" i="3" s="1"/>
  <c r="V109" i="3" s="1"/>
  <c r="W109" i="3" s="1"/>
  <c r="H125" i="2"/>
  <c r="U125" i="3" s="1"/>
  <c r="V125" i="3" s="1"/>
  <c r="W125" i="3" s="1"/>
  <c r="H141" i="2"/>
  <c r="U141" i="3" s="1"/>
  <c r="V141" i="3" s="1"/>
  <c r="W141" i="3" s="1"/>
  <c r="H157" i="2"/>
  <c r="U157" i="3" s="1"/>
  <c r="V157" i="3" s="1"/>
  <c r="W157" i="3" s="1"/>
  <c r="H173" i="2"/>
  <c r="U173" i="3" s="1"/>
  <c r="V173" i="3" s="1"/>
  <c r="W173" i="3" s="1"/>
  <c r="H189" i="2"/>
  <c r="U189" i="3" s="1"/>
  <c r="V189" i="3" s="1"/>
  <c r="W189" i="3" s="1"/>
  <c r="H205" i="2"/>
  <c r="U205" i="3" s="1"/>
  <c r="V205" i="3" s="1"/>
  <c r="W205" i="3" s="1"/>
  <c r="H221" i="2"/>
  <c r="U221" i="3" s="1"/>
  <c r="V221" i="3" s="1"/>
  <c r="W221" i="3" s="1"/>
  <c r="H237" i="2"/>
  <c r="U237" i="3" s="1"/>
  <c r="V237" i="3" s="1"/>
  <c r="W237" i="3" s="1"/>
  <c r="H253" i="2"/>
  <c r="U253" i="3" s="1"/>
  <c r="V253" i="3" s="1"/>
  <c r="W253" i="3" s="1"/>
  <c r="I269" i="2"/>
  <c r="I285" i="2"/>
  <c r="I301" i="2"/>
  <c r="I317" i="2"/>
  <c r="H10" i="2"/>
  <c r="U10" i="3" s="1"/>
  <c r="V10" i="3" s="1"/>
  <c r="W10" i="3" s="1"/>
  <c r="H26" i="2"/>
  <c r="U26" i="3" s="1"/>
  <c r="V26" i="3" s="1"/>
  <c r="W26" i="3" s="1"/>
  <c r="H38" i="2"/>
  <c r="U38" i="3" s="1"/>
  <c r="V38" i="3" s="1"/>
  <c r="W38" i="3" s="1"/>
  <c r="I58" i="2"/>
  <c r="H66" i="2"/>
  <c r="U66" i="3" s="1"/>
  <c r="V66" i="3" s="1"/>
  <c r="W66" i="3" s="1"/>
  <c r="I94" i="2"/>
  <c r="H102" i="2"/>
  <c r="U102" i="3" s="1"/>
  <c r="V102" i="3" s="1"/>
  <c r="W102" i="3" s="1"/>
  <c r="I122" i="2"/>
  <c r="H130" i="2"/>
  <c r="U130" i="3" s="1"/>
  <c r="V130" i="3" s="1"/>
  <c r="W130" i="3" s="1"/>
  <c r="I158" i="2"/>
  <c r="H166" i="2"/>
  <c r="U166" i="3" s="1"/>
  <c r="V166" i="3" s="1"/>
  <c r="W166" i="3" s="1"/>
  <c r="I186" i="2"/>
  <c r="H194" i="2"/>
  <c r="U194" i="3" s="1"/>
  <c r="V194" i="3" s="1"/>
  <c r="W194" i="3" s="1"/>
  <c r="I242" i="2"/>
  <c r="I262" i="2"/>
  <c r="I294" i="2"/>
  <c r="H322" i="2"/>
  <c r="U322" i="3" s="1"/>
  <c r="V322" i="3" s="1"/>
  <c r="W322" i="3" s="1"/>
  <c r="I199" i="2"/>
  <c r="I243" i="2"/>
  <c r="I263" i="2"/>
  <c r="I299" i="2"/>
  <c r="F259" i="5"/>
  <c r="F175" i="5"/>
  <c r="F79" i="5"/>
  <c r="F298" i="5"/>
  <c r="F186" i="5"/>
  <c r="F70" i="5"/>
  <c r="F289" i="5"/>
  <c r="F177" i="5"/>
  <c r="F57" i="5"/>
  <c r="F280" i="5"/>
  <c r="F168" i="5"/>
  <c r="F52" i="5"/>
  <c r="G325" i="5"/>
  <c r="G309" i="5"/>
  <c r="G293" i="5"/>
  <c r="G277" i="5"/>
  <c r="G261" i="5"/>
  <c r="G245" i="5"/>
  <c r="G229" i="5"/>
  <c r="G213" i="5"/>
  <c r="G197" i="5"/>
  <c r="G181" i="5"/>
  <c r="G165" i="5"/>
  <c r="G149" i="5"/>
  <c r="G133" i="5"/>
  <c r="G117" i="5"/>
  <c r="G101" i="5"/>
  <c r="G85" i="5"/>
  <c r="G69" i="5"/>
  <c r="G53" i="5"/>
  <c r="G37" i="5"/>
  <c r="G21" i="5"/>
  <c r="C21" i="5"/>
  <c r="C310" i="5"/>
  <c r="C268" i="5"/>
  <c r="C211" i="5"/>
  <c r="C131" i="5"/>
  <c r="I323" i="2"/>
  <c r="I307" i="2"/>
  <c r="I295" i="2"/>
  <c r="I287" i="2"/>
  <c r="I227" i="2"/>
  <c r="I211" i="2"/>
  <c r="I298" i="2"/>
  <c r="I246" i="2"/>
  <c r="I214" i="2"/>
  <c r="I182" i="2"/>
  <c r="I150" i="2"/>
  <c r="I118" i="2"/>
  <c r="I86" i="2"/>
  <c r="I54" i="2"/>
  <c r="I321" i="2"/>
  <c r="I305" i="2"/>
  <c r="I289" i="2"/>
  <c r="I273" i="2"/>
  <c r="I261" i="2"/>
  <c r="I257" i="2"/>
  <c r="I253" i="2"/>
  <c r="I249" i="2"/>
  <c r="I245" i="2"/>
  <c r="I241" i="2"/>
  <c r="I237" i="2"/>
  <c r="I233" i="2"/>
  <c r="I229" i="2"/>
  <c r="I225" i="2"/>
  <c r="I221" i="2"/>
  <c r="I217" i="2"/>
  <c r="I213" i="2"/>
  <c r="I209" i="2"/>
  <c r="I205" i="2"/>
  <c r="I201" i="2"/>
  <c r="I197" i="2"/>
  <c r="I193" i="2"/>
  <c r="I189" i="2"/>
  <c r="I185" i="2"/>
  <c r="I181" i="2"/>
  <c r="I177" i="2"/>
  <c r="I173" i="2"/>
  <c r="I169" i="2"/>
  <c r="I165" i="2"/>
  <c r="I161" i="2"/>
  <c r="I157" i="2"/>
  <c r="I153" i="2"/>
  <c r="I149" i="2"/>
  <c r="I145" i="2"/>
  <c r="I141" i="2"/>
  <c r="I137" i="2"/>
  <c r="I133" i="2"/>
  <c r="I129" i="2"/>
  <c r="I125" i="2"/>
  <c r="I121" i="2"/>
  <c r="I117" i="2"/>
  <c r="I113" i="2"/>
  <c r="I109" i="2"/>
  <c r="I105" i="2"/>
  <c r="I101" i="2"/>
  <c r="I97" i="2"/>
  <c r="I93" i="2"/>
  <c r="I89" i="2"/>
  <c r="I85" i="2"/>
  <c r="I81" i="2"/>
  <c r="I77" i="2"/>
  <c r="I73" i="2"/>
  <c r="I69" i="2"/>
  <c r="I65" i="2"/>
  <c r="I61" i="2"/>
  <c r="I57" i="2"/>
  <c r="I53" i="2"/>
  <c r="I49" i="2"/>
  <c r="I45" i="2"/>
  <c r="I41" i="2"/>
  <c r="I37" i="2"/>
  <c r="I33" i="2"/>
  <c r="I29" i="2"/>
  <c r="I25" i="2"/>
  <c r="I21" i="2"/>
  <c r="I17" i="2"/>
  <c r="I13" i="2"/>
  <c r="I9" i="2"/>
  <c r="I308" i="2"/>
  <c r="I244" i="2"/>
  <c r="I212" i="2"/>
  <c r="I208" i="2"/>
  <c r="I188" i="2"/>
  <c r="I184" i="2"/>
  <c r="I164" i="2"/>
  <c r="I152" i="2"/>
  <c r="I132" i="2"/>
  <c r="I120" i="2"/>
  <c r="I96" i="2"/>
  <c r="I80" i="2"/>
  <c r="I64" i="2"/>
  <c r="I48" i="2"/>
  <c r="I32" i="2"/>
  <c r="I16" i="2"/>
  <c r="I327" i="2"/>
  <c r="I303" i="2"/>
  <c r="I175" i="2"/>
  <c r="I167" i="2"/>
  <c r="I143" i="2"/>
  <c r="I135" i="2"/>
  <c r="I111" i="2"/>
  <c r="I103" i="2"/>
  <c r="I79" i="2"/>
  <c r="I71" i="2"/>
  <c r="I47" i="2"/>
  <c r="I39" i="2"/>
  <c r="I275" i="2"/>
  <c r="I267" i="2"/>
  <c r="I259" i="2"/>
  <c r="I251" i="2"/>
  <c r="I195" i="2"/>
  <c r="I326" i="2"/>
  <c r="I318" i="2"/>
  <c r="I282" i="2"/>
  <c r="I266" i="2"/>
  <c r="I238" i="2"/>
  <c r="I67" i="2"/>
  <c r="I99" i="2"/>
  <c r="I163" i="2"/>
  <c r="I60" i="2"/>
  <c r="I192" i="2"/>
  <c r="I204" i="2"/>
  <c r="I228" i="2"/>
  <c r="I292" i="2"/>
  <c r="I320" i="2"/>
  <c r="I42" i="2"/>
  <c r="I78" i="2"/>
  <c r="I106" i="2"/>
  <c r="I142" i="2"/>
  <c r="I170" i="2"/>
  <c r="I206" i="2"/>
  <c r="I222" i="2"/>
  <c r="I230" i="2"/>
  <c r="I270" i="2"/>
  <c r="I310" i="2"/>
  <c r="I7" i="2"/>
  <c r="H23" i="2"/>
  <c r="U23" i="3" s="1"/>
  <c r="V23" i="3" s="1"/>
  <c r="W23" i="3" s="1"/>
  <c r="I51" i="2"/>
  <c r="H55" i="2"/>
  <c r="U55" i="3" s="1"/>
  <c r="V55" i="3" s="1"/>
  <c r="W55" i="3" s="1"/>
  <c r="I83" i="2"/>
  <c r="H87" i="2"/>
  <c r="U87" i="3" s="1"/>
  <c r="V87" i="3" s="1"/>
  <c r="W87" i="3" s="1"/>
  <c r="I115" i="2"/>
  <c r="H119" i="2"/>
  <c r="U119" i="3" s="1"/>
  <c r="V119" i="3" s="1"/>
  <c r="W119" i="3" s="1"/>
  <c r="I147" i="2"/>
  <c r="H151" i="2"/>
  <c r="U151" i="3" s="1"/>
  <c r="V151" i="3" s="1"/>
  <c r="W151" i="3" s="1"/>
  <c r="I179" i="2"/>
  <c r="H183" i="2"/>
  <c r="U183" i="3" s="1"/>
  <c r="V183" i="3" s="1"/>
  <c r="W183" i="3" s="1"/>
  <c r="I311" i="2"/>
  <c r="I28" i="2"/>
  <c r="I40" i="2"/>
  <c r="I52" i="2"/>
  <c r="I92" i="2"/>
  <c r="I104" i="2"/>
  <c r="H112" i="2"/>
  <c r="U112" i="3" s="1"/>
  <c r="V112" i="3" s="1"/>
  <c r="W112" i="3" s="1"/>
  <c r="I136" i="2"/>
  <c r="H144" i="2"/>
  <c r="U144" i="3" s="1"/>
  <c r="V144" i="3" s="1"/>
  <c r="W144" i="3" s="1"/>
  <c r="I176" i="2"/>
  <c r="H204" i="2"/>
  <c r="U204" i="3" s="1"/>
  <c r="V204" i="3" s="1"/>
  <c r="W204" i="3" s="1"/>
  <c r="H224" i="2"/>
  <c r="U224" i="3" s="1"/>
  <c r="V224" i="3" s="1"/>
  <c r="W224" i="3" s="1"/>
  <c r="H252" i="2"/>
  <c r="U252" i="3" s="1"/>
  <c r="V252" i="3" s="1"/>
  <c r="W252" i="3" s="1"/>
  <c r="I260" i="2"/>
  <c r="I280" i="2"/>
  <c r="H288" i="2"/>
  <c r="U288" i="3" s="1"/>
  <c r="V288" i="3" s="1"/>
  <c r="W288" i="3" s="1"/>
  <c r="I316" i="2"/>
  <c r="I324" i="2"/>
  <c r="H9" i="2"/>
  <c r="U9" i="3" s="1"/>
  <c r="V9" i="3" s="1"/>
  <c r="W9" i="3" s="1"/>
  <c r="H25" i="2"/>
  <c r="U25" i="3" s="1"/>
  <c r="V25" i="3" s="1"/>
  <c r="W25" i="3" s="1"/>
  <c r="H41" i="2"/>
  <c r="U41" i="3" s="1"/>
  <c r="V41" i="3" s="1"/>
  <c r="W41" i="3" s="1"/>
  <c r="H57" i="2"/>
  <c r="U57" i="3" s="1"/>
  <c r="V57" i="3" s="1"/>
  <c r="W57" i="3" s="1"/>
  <c r="H73" i="2"/>
  <c r="U73" i="3" s="1"/>
  <c r="V73" i="3" s="1"/>
  <c r="W73" i="3" s="1"/>
  <c r="H89" i="2"/>
  <c r="U89" i="3" s="1"/>
  <c r="V89" i="3" s="1"/>
  <c r="W89" i="3" s="1"/>
  <c r="H105" i="2"/>
  <c r="U105" i="3" s="1"/>
  <c r="V105" i="3" s="1"/>
  <c r="W105" i="3" s="1"/>
  <c r="H121" i="2"/>
  <c r="U121" i="3" s="1"/>
  <c r="V121" i="3" s="1"/>
  <c r="W121" i="3" s="1"/>
  <c r="H137" i="2"/>
  <c r="U137" i="3" s="1"/>
  <c r="V137" i="3" s="1"/>
  <c r="W137" i="3" s="1"/>
  <c r="H153" i="2"/>
  <c r="U153" i="3" s="1"/>
  <c r="V153" i="3" s="1"/>
  <c r="W153" i="3" s="1"/>
  <c r="H169" i="2"/>
  <c r="U169" i="3" s="1"/>
  <c r="V169" i="3" s="1"/>
  <c r="W169" i="3" s="1"/>
  <c r="H185" i="2"/>
  <c r="U185" i="3" s="1"/>
  <c r="V185" i="3" s="1"/>
  <c r="W185" i="3" s="1"/>
  <c r="H201" i="2"/>
  <c r="U201" i="3" s="1"/>
  <c r="V201" i="3" s="1"/>
  <c r="W201" i="3" s="1"/>
  <c r="H217" i="2"/>
  <c r="U217" i="3" s="1"/>
  <c r="V217" i="3" s="1"/>
  <c r="W217" i="3" s="1"/>
  <c r="H233" i="2"/>
  <c r="U233" i="3" s="1"/>
  <c r="V233" i="3" s="1"/>
  <c r="W233" i="3" s="1"/>
  <c r="H249" i="2"/>
  <c r="U249" i="3" s="1"/>
  <c r="V249" i="3" s="1"/>
  <c r="W249" i="3" s="1"/>
  <c r="I265" i="2"/>
  <c r="I281" i="2"/>
  <c r="I297" i="2"/>
  <c r="I313" i="2"/>
  <c r="I329" i="2"/>
  <c r="H18" i="2"/>
  <c r="U18" i="3" s="1"/>
  <c r="V18" i="3" s="1"/>
  <c r="W18" i="3" s="1"/>
  <c r="H22" i="2"/>
  <c r="U22" i="3" s="1"/>
  <c r="V22" i="3" s="1"/>
  <c r="W22" i="3" s="1"/>
  <c r="H34" i="2"/>
  <c r="U34" i="3" s="1"/>
  <c r="V34" i="3" s="1"/>
  <c r="W34" i="3" s="1"/>
  <c r="I38" i="2"/>
  <c r="I46" i="2"/>
  <c r="H54" i="2"/>
  <c r="U54" i="3" s="1"/>
  <c r="V54" i="3" s="1"/>
  <c r="W54" i="3" s="1"/>
  <c r="I74" i="2"/>
  <c r="H82" i="2"/>
  <c r="U82" i="3" s="1"/>
  <c r="V82" i="3" s="1"/>
  <c r="W82" i="3" s="1"/>
  <c r="H90" i="2"/>
  <c r="U90" i="3" s="1"/>
  <c r="V90" i="3" s="1"/>
  <c r="W90" i="3" s="1"/>
  <c r="I102" i="2"/>
  <c r="I110" i="2"/>
  <c r="H118" i="2"/>
  <c r="U118" i="3" s="1"/>
  <c r="V118" i="3" s="1"/>
  <c r="W118" i="3" s="1"/>
  <c r="I138" i="2"/>
  <c r="H146" i="2"/>
  <c r="U146" i="3" s="1"/>
  <c r="V146" i="3" s="1"/>
  <c r="W146" i="3" s="1"/>
  <c r="H154" i="2"/>
  <c r="U154" i="3" s="1"/>
  <c r="V154" i="3" s="1"/>
  <c r="W154" i="3" s="1"/>
  <c r="I166" i="2"/>
  <c r="I174" i="2"/>
  <c r="H182" i="2"/>
  <c r="U182" i="3" s="1"/>
  <c r="V182" i="3" s="1"/>
  <c r="W182" i="3" s="1"/>
  <c r="I202" i="2"/>
  <c r="H210" i="2"/>
  <c r="U210" i="3" s="1"/>
  <c r="V210" i="3" s="1"/>
  <c r="W210" i="3" s="1"/>
  <c r="I218" i="2"/>
  <c r="I234" i="2"/>
  <c r="I254" i="2"/>
  <c r="I286" i="2"/>
  <c r="I314" i="2"/>
  <c r="I191" i="2"/>
  <c r="H223" i="2"/>
  <c r="U223" i="3" s="1"/>
  <c r="V223" i="3" s="1"/>
  <c r="W223" i="3" s="1"/>
  <c r="I231" i="2"/>
  <c r="F255" i="5"/>
  <c r="F167" i="5"/>
  <c r="F75" i="5"/>
  <c r="F294" i="5"/>
  <c r="F174" i="5"/>
  <c r="F62" i="5"/>
  <c r="F281" i="5"/>
  <c r="F165" i="5"/>
  <c r="F53" i="5"/>
  <c r="F276" i="5"/>
  <c r="F160" i="5"/>
  <c r="F48" i="5"/>
  <c r="G322" i="5"/>
  <c r="G306" i="5"/>
  <c r="G290" i="5"/>
  <c r="G274" i="5"/>
  <c r="G258" i="5"/>
  <c r="G242" i="5"/>
  <c r="G226" i="5"/>
  <c r="G210" i="5"/>
  <c r="G194" i="5"/>
  <c r="G178" i="5"/>
  <c r="G162" i="5"/>
  <c r="G146" i="5"/>
  <c r="G130" i="5"/>
  <c r="G114" i="5"/>
  <c r="G98" i="5"/>
  <c r="G82" i="5"/>
  <c r="G66" i="5"/>
  <c r="G50" i="5"/>
  <c r="G34" i="5"/>
  <c r="G18" i="5"/>
  <c r="C12" i="5"/>
  <c r="C301" i="5"/>
  <c r="C258" i="5"/>
  <c r="C192" i="5"/>
  <c r="I11" i="3"/>
  <c r="I12" i="3"/>
  <c r="I20" i="3"/>
  <c r="I28" i="3"/>
  <c r="I36" i="3"/>
  <c r="I44" i="3"/>
  <c r="I52" i="3"/>
  <c r="I60" i="3"/>
  <c r="I68" i="3"/>
  <c r="I76" i="3"/>
  <c r="I84" i="3"/>
  <c r="I92" i="3"/>
  <c r="I100" i="3"/>
  <c r="I108" i="3"/>
  <c r="I116" i="3"/>
  <c r="I124" i="3"/>
  <c r="I132" i="3"/>
  <c r="I140" i="3"/>
  <c r="I148" i="3"/>
  <c r="H275" i="1"/>
  <c r="I327" i="3"/>
  <c r="I322" i="3"/>
  <c r="I317" i="3"/>
  <c r="I312" i="3"/>
  <c r="I303" i="3"/>
  <c r="I298" i="3"/>
  <c r="I293" i="3"/>
  <c r="I289" i="3"/>
  <c r="I284" i="3"/>
  <c r="I279" i="3"/>
  <c r="I274" i="3"/>
  <c r="I269" i="3"/>
  <c r="I264" i="3"/>
  <c r="I260" i="3"/>
  <c r="I255" i="3"/>
  <c r="I249" i="3"/>
  <c r="I244" i="3"/>
  <c r="I240" i="3"/>
  <c r="I234" i="3"/>
  <c r="I229" i="3"/>
  <c r="I225" i="3"/>
  <c r="I220" i="3"/>
  <c r="I215" i="3"/>
  <c r="I210" i="3"/>
  <c r="I205" i="3"/>
  <c r="I201" i="3"/>
  <c r="I196" i="3"/>
  <c r="I192" i="3"/>
  <c r="I183" i="3"/>
  <c r="I178" i="3"/>
  <c r="I173" i="3"/>
  <c r="I169" i="3"/>
  <c r="I164" i="3"/>
  <c r="I160" i="3"/>
  <c r="I151" i="3"/>
  <c r="I141" i="3"/>
  <c r="I129" i="3"/>
  <c r="I120" i="3"/>
  <c r="I109" i="3"/>
  <c r="I97" i="3"/>
  <c r="I88" i="3"/>
  <c r="I77" i="3"/>
  <c r="I65" i="3"/>
  <c r="I56" i="3"/>
  <c r="I45" i="3"/>
  <c r="I33" i="3"/>
  <c r="I24" i="3"/>
  <c r="I13" i="3"/>
  <c r="F7" i="1"/>
  <c r="F8" i="1"/>
  <c r="F13" i="1"/>
  <c r="F18" i="1"/>
  <c r="F24" i="1"/>
  <c r="F29" i="1"/>
  <c r="F34" i="1"/>
  <c r="F40" i="1"/>
  <c r="F45" i="1"/>
  <c r="F49" i="1"/>
  <c r="F53" i="1"/>
  <c r="F57" i="1"/>
  <c r="F61" i="1"/>
  <c r="F65" i="1"/>
  <c r="F69" i="1"/>
  <c r="F73" i="1"/>
  <c r="F77" i="1"/>
  <c r="F81" i="1"/>
  <c r="G90" i="1"/>
  <c r="G86" i="1"/>
  <c r="G82" i="1"/>
  <c r="G78" i="1"/>
  <c r="G74" i="1"/>
  <c r="G70" i="1"/>
  <c r="G66" i="1"/>
  <c r="G62" i="1"/>
  <c r="G58" i="1"/>
  <c r="G54" i="1"/>
  <c r="G50" i="1"/>
  <c r="G46" i="1"/>
  <c r="G42" i="1"/>
  <c r="G38" i="1"/>
  <c r="G34" i="1"/>
  <c r="G30" i="1"/>
  <c r="G26" i="1"/>
  <c r="G22" i="1"/>
  <c r="G18" i="1"/>
  <c r="G14" i="1"/>
  <c r="G10" i="1"/>
  <c r="G6" i="1"/>
  <c r="F327" i="1"/>
  <c r="F323" i="1"/>
  <c r="F319" i="1"/>
  <c r="F315" i="1"/>
  <c r="F311" i="1"/>
  <c r="F307" i="1"/>
  <c r="F303" i="1"/>
  <c r="F299" i="1"/>
  <c r="F295" i="1"/>
  <c r="F291" i="1"/>
  <c r="F287" i="1"/>
  <c r="F283" i="1"/>
  <c r="F279" i="1"/>
  <c r="F275" i="1"/>
  <c r="F271" i="1"/>
  <c r="F267" i="1"/>
  <c r="F263" i="1"/>
  <c r="F259" i="1"/>
  <c r="F255" i="1"/>
  <c r="F251" i="1"/>
  <c r="F247" i="1"/>
  <c r="F243" i="1"/>
  <c r="F239" i="1"/>
  <c r="F235" i="1"/>
  <c r="F231" i="1"/>
  <c r="F227" i="1"/>
  <c r="F223" i="1"/>
  <c r="F219" i="1"/>
  <c r="F215" i="1"/>
  <c r="F211" i="1"/>
  <c r="F207" i="1"/>
  <c r="F203" i="1"/>
  <c r="F199" i="1"/>
  <c r="F195" i="1"/>
  <c r="F191" i="1"/>
  <c r="F187" i="1"/>
  <c r="F183" i="1"/>
  <c r="F179" i="1"/>
  <c r="F175" i="1"/>
  <c r="F171" i="1"/>
  <c r="F167" i="1"/>
  <c r="F163" i="1"/>
  <c r="F159" i="1"/>
  <c r="F155" i="1"/>
  <c r="F151" i="1"/>
  <c r="F147" i="1"/>
  <c r="F143" i="1"/>
  <c r="F139" i="1"/>
  <c r="F135" i="1"/>
  <c r="F131" i="1"/>
  <c r="F127" i="1"/>
  <c r="F123" i="1"/>
  <c r="F119" i="1"/>
  <c r="F115" i="1"/>
  <c r="F111" i="1"/>
  <c r="F107" i="1"/>
  <c r="F103" i="1"/>
  <c r="F99" i="1"/>
  <c r="F95" i="1"/>
  <c r="F91" i="1"/>
  <c r="F87" i="1"/>
  <c r="F83" i="1"/>
  <c r="F78" i="1"/>
  <c r="F72" i="1"/>
  <c r="F67" i="1"/>
  <c r="F62" i="1"/>
  <c r="F56" i="1"/>
  <c r="F51" i="1"/>
  <c r="F46" i="1"/>
  <c r="F38" i="1"/>
  <c r="F32" i="1"/>
  <c r="F25" i="1"/>
  <c r="F17" i="1"/>
  <c r="F10" i="1"/>
  <c r="H187" i="2"/>
  <c r="U187" i="3" s="1"/>
  <c r="V187" i="3" s="1"/>
  <c r="W187" i="3" s="1"/>
  <c r="H207" i="2"/>
  <c r="U207" i="3" s="1"/>
  <c r="V207" i="3" s="1"/>
  <c r="W207" i="3" s="1"/>
  <c r="H219" i="2"/>
  <c r="U219" i="3" s="1"/>
  <c r="V219" i="3" s="1"/>
  <c r="W219" i="3" s="1"/>
  <c r="H243" i="2"/>
  <c r="U243" i="3" s="1"/>
  <c r="V243" i="3" s="1"/>
  <c r="W243" i="3" s="1"/>
  <c r="H255" i="2"/>
  <c r="U255" i="3" s="1"/>
  <c r="V255" i="3" s="1"/>
  <c r="W255" i="3" s="1"/>
  <c r="H275" i="2"/>
  <c r="U275" i="3" s="1"/>
  <c r="V275" i="3" s="1"/>
  <c r="W275" i="3" s="1"/>
  <c r="H291" i="2"/>
  <c r="U291" i="3" s="1"/>
  <c r="V291" i="3" s="1"/>
  <c r="W291" i="3" s="1"/>
  <c r="H323" i="2"/>
  <c r="U323" i="3" s="1"/>
  <c r="V323" i="3" s="1"/>
  <c r="W323" i="3" s="1"/>
  <c r="F311" i="5"/>
  <c r="F291" i="5"/>
  <c r="F271" i="5"/>
  <c r="F247" i="5"/>
  <c r="F227" i="5"/>
  <c r="F207" i="5"/>
  <c r="F183" i="5"/>
  <c r="F163" i="5"/>
  <c r="F143" i="5"/>
  <c r="F119" i="5"/>
  <c r="F95" i="5"/>
  <c r="F67" i="5"/>
  <c r="F35" i="5"/>
  <c r="F11" i="5"/>
  <c r="F314" i="5"/>
  <c r="F282" i="5"/>
  <c r="F254" i="5"/>
  <c r="F230" i="5"/>
  <c r="F198" i="5"/>
  <c r="F170" i="5"/>
  <c r="F142" i="5"/>
  <c r="F110" i="5"/>
  <c r="F86" i="5"/>
  <c r="F58" i="5"/>
  <c r="F26" i="5"/>
  <c r="F329" i="5"/>
  <c r="F305" i="5"/>
  <c r="F273" i="5"/>
  <c r="F245" i="5"/>
  <c r="F217" i="5"/>
  <c r="F185" i="5"/>
  <c r="F161" i="5"/>
  <c r="F133" i="5"/>
  <c r="F101" i="5"/>
  <c r="F73" i="5"/>
  <c r="F49" i="5"/>
  <c r="F17" i="5"/>
  <c r="F324" i="5"/>
  <c r="F296" i="5"/>
  <c r="F264" i="5"/>
  <c r="F240" i="5"/>
  <c r="F212" i="5"/>
  <c r="F180" i="5"/>
  <c r="F152" i="5"/>
  <c r="F128" i="5"/>
  <c r="F96" i="5"/>
  <c r="F68" i="5"/>
  <c r="F40" i="5"/>
  <c r="F8" i="5"/>
  <c r="H262" i="2"/>
  <c r="U262" i="3" s="1"/>
  <c r="V262" i="3" s="1"/>
  <c r="W262" i="3" s="1"/>
  <c r="H266" i="2"/>
  <c r="U266" i="3" s="1"/>
  <c r="V266" i="3" s="1"/>
  <c r="W266" i="3" s="1"/>
  <c r="H274" i="2"/>
  <c r="U274" i="3" s="1"/>
  <c r="V274" i="3" s="1"/>
  <c r="W274" i="3" s="1"/>
  <c r="H294" i="2"/>
  <c r="U294" i="3" s="1"/>
  <c r="V294" i="3" s="1"/>
  <c r="W294" i="3" s="1"/>
  <c r="H298" i="2"/>
  <c r="U298" i="3" s="1"/>
  <c r="V298" i="3" s="1"/>
  <c r="W298" i="3" s="1"/>
  <c r="H306" i="2"/>
  <c r="U306" i="3" s="1"/>
  <c r="V306" i="3" s="1"/>
  <c r="W306" i="3" s="1"/>
  <c r="H326" i="2"/>
  <c r="U326" i="3" s="1"/>
  <c r="V326" i="3" s="1"/>
  <c r="W326" i="3" s="1"/>
  <c r="H330" i="2"/>
  <c r="U330" i="3" s="1"/>
  <c r="V330" i="3" s="1"/>
  <c r="W330" i="3" s="1"/>
  <c r="H195" i="2"/>
  <c r="U195" i="3" s="1"/>
  <c r="V195" i="3" s="1"/>
  <c r="W195" i="3" s="1"/>
  <c r="H227" i="2"/>
  <c r="U227" i="3" s="1"/>
  <c r="V227" i="3" s="1"/>
  <c r="W227" i="3" s="1"/>
  <c r="H263" i="2"/>
  <c r="U263" i="3" s="1"/>
  <c r="V263" i="3" s="1"/>
  <c r="W263" i="3" s="1"/>
  <c r="F327" i="5"/>
  <c r="F307" i="5"/>
  <c r="F287" i="5"/>
  <c r="F263" i="5"/>
  <c r="F243" i="5"/>
  <c r="F223" i="5"/>
  <c r="F199" i="5"/>
  <c r="F179" i="5"/>
  <c r="F159" i="5"/>
  <c r="F135" i="5"/>
  <c r="F115" i="5"/>
  <c r="F91" i="5"/>
  <c r="F59" i="5"/>
  <c r="F31" i="5"/>
  <c r="F302" i="5"/>
  <c r="F278" i="5"/>
  <c r="F250" i="5"/>
  <c r="F218" i="5"/>
  <c r="F190" i="5"/>
  <c r="F166" i="5"/>
  <c r="F134" i="5"/>
  <c r="F106" i="5"/>
  <c r="F78" i="5"/>
  <c r="F46" i="5"/>
  <c r="F22" i="5"/>
  <c r="F325" i="5"/>
  <c r="F293" i="5"/>
  <c r="F265" i="5"/>
  <c r="F241" i="5"/>
  <c r="F209" i="5"/>
  <c r="F181" i="5"/>
  <c r="F153" i="5"/>
  <c r="F121" i="5"/>
  <c r="F97" i="5"/>
  <c r="F69" i="5"/>
  <c r="F37" i="5"/>
  <c r="F9" i="5"/>
  <c r="F320" i="5"/>
  <c r="F288" i="5"/>
  <c r="F260" i="5"/>
  <c r="F232" i="5"/>
  <c r="F200" i="5"/>
  <c r="F176" i="5"/>
  <c r="F148" i="5"/>
  <c r="F116" i="5"/>
  <c r="F88" i="5"/>
  <c r="F64" i="5"/>
  <c r="I315" i="2"/>
  <c r="I291" i="2"/>
  <c r="I271" i="2"/>
  <c r="I255" i="2"/>
  <c r="I239" i="2"/>
  <c r="I219" i="2"/>
  <c r="I203" i="2"/>
  <c r="I187" i="2"/>
  <c r="I322" i="2"/>
  <c r="I306" i="2"/>
  <c r="I290" i="2"/>
  <c r="I274" i="2"/>
  <c r="I258" i="2"/>
  <c r="I226" i="2"/>
  <c r="I210" i="2"/>
  <c r="I194" i="2"/>
  <c r="I178" i="2"/>
  <c r="I162" i="2"/>
  <c r="I146" i="2"/>
  <c r="I130" i="2"/>
  <c r="I114" i="2"/>
  <c r="I98" i="2"/>
  <c r="I82" i="2"/>
  <c r="I66" i="2"/>
  <c r="I50" i="2"/>
  <c r="I34" i="2"/>
  <c r="I30" i="2"/>
  <c r="I26" i="2"/>
  <c r="I22" i="2"/>
  <c r="I18" i="2"/>
  <c r="I14" i="2"/>
  <c r="I10" i="2"/>
  <c r="I288" i="2"/>
  <c r="I272" i="2"/>
  <c r="I256" i="2"/>
  <c r="I252" i="2"/>
  <c r="I224" i="2"/>
  <c r="I220" i="2"/>
  <c r="I160" i="2"/>
  <c r="I144" i="2"/>
  <c r="I128" i="2"/>
  <c r="I112" i="2"/>
  <c r="I319" i="2"/>
  <c r="I235" i="2"/>
  <c r="I171" i="2"/>
  <c r="I155" i="2"/>
  <c r="I139" i="2"/>
  <c r="I123" i="2"/>
  <c r="I107" i="2"/>
  <c r="I91" i="2"/>
  <c r="I75" i="2"/>
  <c r="I59" i="2"/>
  <c r="I43" i="2"/>
  <c r="I27" i="2"/>
  <c r="I11" i="2"/>
  <c r="H307" i="2"/>
  <c r="U307" i="3" s="1"/>
  <c r="V307" i="3" s="1"/>
  <c r="W307" i="3" s="1"/>
  <c r="H287" i="2"/>
  <c r="U287" i="3" s="1"/>
  <c r="V287" i="3" s="1"/>
  <c r="W287" i="3" s="1"/>
  <c r="H267" i="2"/>
  <c r="U267" i="3" s="1"/>
  <c r="V267" i="3" s="1"/>
  <c r="W267" i="3" s="1"/>
  <c r="H251" i="2"/>
  <c r="U251" i="3" s="1"/>
  <c r="V251" i="3" s="1"/>
  <c r="W251" i="3" s="1"/>
  <c r="H231" i="2"/>
  <c r="U231" i="3" s="1"/>
  <c r="V231" i="3" s="1"/>
  <c r="W231" i="3" s="1"/>
  <c r="H215" i="2"/>
  <c r="U215" i="3" s="1"/>
  <c r="V215" i="3" s="1"/>
  <c r="W215" i="3" s="1"/>
  <c r="H199" i="2"/>
  <c r="U199" i="3" s="1"/>
  <c r="V199" i="3" s="1"/>
  <c r="W199" i="3" s="1"/>
  <c r="H318" i="2"/>
  <c r="U318" i="3" s="1"/>
  <c r="V318" i="3" s="1"/>
  <c r="W318" i="3" s="1"/>
  <c r="H302" i="2"/>
  <c r="U302" i="3" s="1"/>
  <c r="V302" i="3" s="1"/>
  <c r="W302" i="3" s="1"/>
  <c r="H286" i="2"/>
  <c r="U286" i="3" s="1"/>
  <c r="V286" i="3" s="1"/>
  <c r="W286" i="3" s="1"/>
  <c r="H270" i="2"/>
  <c r="U270" i="3" s="1"/>
  <c r="V270" i="3" s="1"/>
  <c r="W270" i="3" s="1"/>
  <c r="H254" i="2"/>
  <c r="U254" i="3" s="1"/>
  <c r="V254" i="3" s="1"/>
  <c r="W254" i="3" s="1"/>
  <c r="H242" i="2"/>
  <c r="U242" i="3" s="1"/>
  <c r="V242" i="3" s="1"/>
  <c r="W242" i="3" s="1"/>
  <c r="H238" i="2"/>
  <c r="U238" i="3" s="1"/>
  <c r="V238" i="3" s="1"/>
  <c r="W238" i="3" s="1"/>
  <c r="H222" i="2"/>
  <c r="U222" i="3" s="1"/>
  <c r="V222" i="3" s="1"/>
  <c r="W222" i="3" s="1"/>
  <c r="H206" i="2"/>
  <c r="U206" i="3" s="1"/>
  <c r="V206" i="3" s="1"/>
  <c r="W206" i="3" s="1"/>
  <c r="H190" i="2"/>
  <c r="U190" i="3" s="1"/>
  <c r="V190" i="3" s="1"/>
  <c r="W190" i="3" s="1"/>
  <c r="H174" i="2"/>
  <c r="U174" i="3" s="1"/>
  <c r="V174" i="3" s="1"/>
  <c r="W174" i="3" s="1"/>
  <c r="H158" i="2"/>
  <c r="U158" i="3" s="1"/>
  <c r="V158" i="3" s="1"/>
  <c r="W158" i="3" s="1"/>
  <c r="H142" i="2"/>
  <c r="U142" i="3" s="1"/>
  <c r="V142" i="3" s="1"/>
  <c r="W142" i="3" s="1"/>
  <c r="H126" i="2"/>
  <c r="U126" i="3" s="1"/>
  <c r="V126" i="3" s="1"/>
  <c r="W126" i="3" s="1"/>
  <c r="H110" i="2"/>
  <c r="U110" i="3" s="1"/>
  <c r="V110" i="3" s="1"/>
  <c r="W110" i="3" s="1"/>
  <c r="H94" i="2"/>
  <c r="U94" i="3" s="1"/>
  <c r="V94" i="3" s="1"/>
  <c r="W94" i="3" s="1"/>
  <c r="H78" i="2"/>
  <c r="U78" i="3" s="1"/>
  <c r="V78" i="3" s="1"/>
  <c r="W78" i="3" s="1"/>
  <c r="H62" i="2"/>
  <c r="U62" i="3" s="1"/>
  <c r="V62" i="3" s="1"/>
  <c r="W62" i="3" s="1"/>
  <c r="H46" i="2"/>
  <c r="U46" i="3" s="1"/>
  <c r="V46" i="3" s="1"/>
  <c r="W46" i="3" s="1"/>
  <c r="H320" i="2"/>
  <c r="U320" i="3" s="1"/>
  <c r="V320" i="3" s="1"/>
  <c r="W320" i="3" s="1"/>
  <c r="H316" i="2"/>
  <c r="U316" i="3" s="1"/>
  <c r="V316" i="3" s="1"/>
  <c r="W316" i="3" s="1"/>
  <c r="H304" i="2"/>
  <c r="U304" i="3" s="1"/>
  <c r="V304" i="3" s="1"/>
  <c r="W304" i="3" s="1"/>
  <c r="H300" i="2"/>
  <c r="U300" i="3" s="1"/>
  <c r="V300" i="3" s="1"/>
  <c r="W300" i="3" s="1"/>
  <c r="H284" i="2"/>
  <c r="U284" i="3" s="1"/>
  <c r="V284" i="3" s="1"/>
  <c r="W284" i="3" s="1"/>
  <c r="H268" i="2"/>
  <c r="U268" i="3" s="1"/>
  <c r="V268" i="3" s="1"/>
  <c r="W268" i="3" s="1"/>
  <c r="H240" i="2"/>
  <c r="U240" i="3" s="1"/>
  <c r="V240" i="3" s="1"/>
  <c r="W240" i="3" s="1"/>
  <c r="H236" i="2"/>
  <c r="U236" i="3" s="1"/>
  <c r="V236" i="3" s="1"/>
  <c r="W236" i="3" s="1"/>
  <c r="H216" i="2"/>
  <c r="U216" i="3" s="1"/>
  <c r="V216" i="3" s="1"/>
  <c r="W216" i="3" s="1"/>
  <c r="H200" i="2"/>
  <c r="U200" i="3" s="1"/>
  <c r="V200" i="3" s="1"/>
  <c r="W200" i="3" s="1"/>
  <c r="H184" i="2"/>
  <c r="U184" i="3" s="1"/>
  <c r="V184" i="3" s="1"/>
  <c r="W184" i="3" s="1"/>
  <c r="H168" i="2"/>
  <c r="U168" i="3" s="1"/>
  <c r="V168" i="3" s="1"/>
  <c r="W168" i="3" s="1"/>
  <c r="H152" i="2"/>
  <c r="U152" i="3" s="1"/>
  <c r="V152" i="3" s="1"/>
  <c r="W152" i="3" s="1"/>
  <c r="H136" i="2"/>
  <c r="U136" i="3" s="1"/>
  <c r="V136" i="3" s="1"/>
  <c r="W136" i="3" s="1"/>
  <c r="H120" i="2"/>
  <c r="U120" i="3" s="1"/>
  <c r="V120" i="3" s="1"/>
  <c r="W120" i="3" s="1"/>
  <c r="H104" i="2"/>
  <c r="U104" i="3" s="1"/>
  <c r="V104" i="3" s="1"/>
  <c r="W104" i="3" s="1"/>
  <c r="H100" i="2"/>
  <c r="U100" i="3" s="1"/>
  <c r="V100" i="3" s="1"/>
  <c r="W100" i="3" s="1"/>
  <c r="H96" i="2"/>
  <c r="U96" i="3" s="1"/>
  <c r="V96" i="3" s="1"/>
  <c r="W96" i="3" s="1"/>
  <c r="H92" i="2"/>
  <c r="U92" i="3" s="1"/>
  <c r="V92" i="3" s="1"/>
  <c r="W92" i="3" s="1"/>
  <c r="H88" i="2"/>
  <c r="U88" i="3" s="1"/>
  <c r="V88" i="3" s="1"/>
  <c r="W88" i="3" s="1"/>
  <c r="H84" i="2"/>
  <c r="U84" i="3" s="1"/>
  <c r="V84" i="3" s="1"/>
  <c r="W84" i="3" s="1"/>
  <c r="H80" i="2"/>
  <c r="U80" i="3" s="1"/>
  <c r="V80" i="3" s="1"/>
  <c r="W80" i="3" s="1"/>
  <c r="H76" i="2"/>
  <c r="U76" i="3" s="1"/>
  <c r="V76" i="3" s="1"/>
  <c r="W76" i="3" s="1"/>
  <c r="H72" i="2"/>
  <c r="U72" i="3" s="1"/>
  <c r="V72" i="3" s="1"/>
  <c r="W72" i="3" s="1"/>
  <c r="H68" i="2"/>
  <c r="U68" i="3" s="1"/>
  <c r="V68" i="3" s="1"/>
  <c r="W68" i="3" s="1"/>
  <c r="H64" i="2"/>
  <c r="U64" i="3" s="1"/>
  <c r="V64" i="3" s="1"/>
  <c r="W64" i="3" s="1"/>
  <c r="H60" i="2"/>
  <c r="U60" i="3" s="1"/>
  <c r="V60" i="3" s="1"/>
  <c r="W60" i="3" s="1"/>
  <c r="H56" i="2"/>
  <c r="U56" i="3" s="1"/>
  <c r="V56" i="3" s="1"/>
  <c r="W56" i="3" s="1"/>
  <c r="H52" i="2"/>
  <c r="U52" i="3" s="1"/>
  <c r="V52" i="3" s="1"/>
  <c r="W52" i="3" s="1"/>
  <c r="H48" i="2"/>
  <c r="U48" i="3" s="1"/>
  <c r="V48" i="3" s="1"/>
  <c r="W48" i="3" s="1"/>
  <c r="H44" i="2"/>
  <c r="U44" i="3" s="1"/>
  <c r="V44" i="3" s="1"/>
  <c r="W44" i="3" s="1"/>
  <c r="H40" i="2"/>
  <c r="U40" i="3" s="1"/>
  <c r="V40" i="3" s="1"/>
  <c r="W40" i="3" s="1"/>
  <c r="H36" i="2"/>
  <c r="U36" i="3" s="1"/>
  <c r="V36" i="3" s="1"/>
  <c r="W36" i="3" s="1"/>
  <c r="H32" i="2"/>
  <c r="U32" i="3" s="1"/>
  <c r="V32" i="3" s="1"/>
  <c r="W32" i="3" s="1"/>
  <c r="H28" i="2"/>
  <c r="U28" i="3" s="1"/>
  <c r="V28" i="3" s="1"/>
  <c r="W28" i="3" s="1"/>
  <c r="H24" i="2"/>
  <c r="U24" i="3" s="1"/>
  <c r="V24" i="3" s="1"/>
  <c r="W24" i="3" s="1"/>
  <c r="H20" i="2"/>
  <c r="U20" i="3" s="1"/>
  <c r="V20" i="3" s="1"/>
  <c r="W20" i="3" s="1"/>
  <c r="H16" i="2"/>
  <c r="U16" i="3" s="1"/>
  <c r="V16" i="3" s="1"/>
  <c r="W16" i="3" s="1"/>
  <c r="H12" i="2"/>
  <c r="U12" i="3" s="1"/>
  <c r="V12" i="3" s="1"/>
  <c r="W12" i="3" s="1"/>
  <c r="H175" i="2"/>
  <c r="U175" i="3" s="1"/>
  <c r="V175" i="3" s="1"/>
  <c r="W175" i="3" s="1"/>
  <c r="H159" i="2"/>
  <c r="U159" i="3" s="1"/>
  <c r="V159" i="3" s="1"/>
  <c r="W159" i="3" s="1"/>
  <c r="H143" i="2"/>
  <c r="U143" i="3" s="1"/>
  <c r="V143" i="3" s="1"/>
  <c r="W143" i="3" s="1"/>
  <c r="H127" i="2"/>
  <c r="U127" i="3" s="1"/>
  <c r="V127" i="3" s="1"/>
  <c r="W127" i="3" s="1"/>
  <c r="H111" i="2"/>
  <c r="U111" i="3" s="1"/>
  <c r="V111" i="3" s="1"/>
  <c r="W111" i="3" s="1"/>
  <c r="H95" i="2"/>
  <c r="U95" i="3" s="1"/>
  <c r="V95" i="3" s="1"/>
  <c r="W95" i="3" s="1"/>
  <c r="H79" i="2"/>
  <c r="U79" i="3" s="1"/>
  <c r="V79" i="3" s="1"/>
  <c r="W79" i="3" s="1"/>
  <c r="H63" i="2"/>
  <c r="U63" i="3" s="1"/>
  <c r="V63" i="3" s="1"/>
  <c r="W63" i="3" s="1"/>
  <c r="H47" i="2"/>
  <c r="U47" i="3" s="1"/>
  <c r="V47" i="3" s="1"/>
  <c r="W47" i="3" s="1"/>
  <c r="H35" i="2"/>
  <c r="U35" i="3" s="1"/>
  <c r="V35" i="3" s="1"/>
  <c r="W35" i="3" s="1"/>
  <c r="H31" i="2"/>
  <c r="U31" i="3" s="1"/>
  <c r="V31" i="3" s="1"/>
  <c r="W31" i="3" s="1"/>
  <c r="H19" i="2"/>
  <c r="U19" i="3" s="1"/>
  <c r="V19" i="3" s="1"/>
  <c r="W19" i="3" s="1"/>
  <c r="H15" i="2"/>
  <c r="U15" i="3" s="1"/>
  <c r="V15" i="3" s="1"/>
  <c r="W15" i="3" s="1"/>
  <c r="H7" i="2"/>
  <c r="U7" i="3" s="1"/>
  <c r="V7" i="3" s="1"/>
  <c r="W7" i="3" s="1"/>
  <c r="F12" i="5"/>
  <c r="F28" i="5"/>
  <c r="F44" i="5"/>
  <c r="F60" i="5"/>
  <c r="F76" i="5"/>
  <c r="F92" i="5"/>
  <c r="F108" i="5"/>
  <c r="F124" i="5"/>
  <c r="F140" i="5"/>
  <c r="F156" i="5"/>
  <c r="F172" i="5"/>
  <c r="F188" i="5"/>
  <c r="F204" i="5"/>
  <c r="F220" i="5"/>
  <c r="F236" i="5"/>
  <c r="F252" i="5"/>
  <c r="F268" i="5"/>
  <c r="F284" i="5"/>
  <c r="F300" i="5"/>
  <c r="F316" i="5"/>
  <c r="F13" i="5"/>
  <c r="F29" i="5"/>
  <c r="F45" i="5"/>
  <c r="F61" i="5"/>
  <c r="F77" i="5"/>
  <c r="F93" i="5"/>
  <c r="F109" i="5"/>
  <c r="F125" i="5"/>
  <c r="F141" i="5"/>
  <c r="F157" i="5"/>
  <c r="F173" i="5"/>
  <c r="F189" i="5"/>
  <c r="F205" i="5"/>
  <c r="F221" i="5"/>
  <c r="F237" i="5"/>
  <c r="F253" i="5"/>
  <c r="F269" i="5"/>
  <c r="F285" i="5"/>
  <c r="F301" i="5"/>
  <c r="F317" i="5"/>
  <c r="F18" i="5"/>
  <c r="F34" i="5"/>
  <c r="F50" i="5"/>
  <c r="F66" i="5"/>
  <c r="F82" i="5"/>
  <c r="F98" i="5"/>
  <c r="F114" i="5"/>
  <c r="F130" i="5"/>
  <c r="F146" i="5"/>
  <c r="F162" i="5"/>
  <c r="F178" i="5"/>
  <c r="F194" i="5"/>
  <c r="F210" i="5"/>
  <c r="F226" i="5"/>
  <c r="F242" i="5"/>
  <c r="F258" i="5"/>
  <c r="F274" i="5"/>
  <c r="F290" i="5"/>
  <c r="F306" i="5"/>
  <c r="F322" i="5"/>
  <c r="F23" i="5"/>
  <c r="F39" i="5"/>
  <c r="F55" i="5"/>
  <c r="F71" i="5"/>
  <c r="F87" i="5"/>
  <c r="F103" i="5"/>
  <c r="F16" i="5"/>
  <c r="F36" i="5"/>
  <c r="F56" i="5"/>
  <c r="F80" i="5"/>
  <c r="F100" i="5"/>
  <c r="F120" i="5"/>
  <c r="F144" i="5"/>
  <c r="F164" i="5"/>
  <c r="F184" i="5"/>
  <c r="F208" i="5"/>
  <c r="F228" i="5"/>
  <c r="F248" i="5"/>
  <c r="F272" i="5"/>
  <c r="F292" i="5"/>
  <c r="F312" i="5"/>
  <c r="F21" i="5"/>
  <c r="F41" i="5"/>
  <c r="F65" i="5"/>
  <c r="F85" i="5"/>
  <c r="F105" i="5"/>
  <c r="F129" i="5"/>
  <c r="F149" i="5"/>
  <c r="F169" i="5"/>
  <c r="F193" i="5"/>
  <c r="F213" i="5"/>
  <c r="F233" i="5"/>
  <c r="F257" i="5"/>
  <c r="F277" i="5"/>
  <c r="F297" i="5"/>
  <c r="F321" i="5"/>
  <c r="F10" i="5"/>
  <c r="F30" i="5"/>
  <c r="F54" i="5"/>
  <c r="F74" i="5"/>
  <c r="F94" i="5"/>
  <c r="F118" i="5"/>
  <c r="F138" i="5"/>
  <c r="F158" i="5"/>
  <c r="F182" i="5"/>
  <c r="F202" i="5"/>
  <c r="F222" i="5"/>
  <c r="F246" i="5"/>
  <c r="F266" i="5"/>
  <c r="F286" i="5"/>
  <c r="F310" i="5"/>
  <c r="F330" i="5"/>
  <c r="F19" i="5"/>
  <c r="F43" i="5"/>
  <c r="F63" i="5"/>
  <c r="F83" i="5"/>
  <c r="F107" i="5"/>
  <c r="F123" i="5"/>
  <c r="F139" i="5"/>
  <c r="F155" i="5"/>
  <c r="F171" i="5"/>
  <c r="F187" i="5"/>
  <c r="F203" i="5"/>
  <c r="F219" i="5"/>
  <c r="F235" i="5"/>
  <c r="F251" i="5"/>
  <c r="F267" i="5"/>
  <c r="F283" i="5"/>
  <c r="F299" i="5"/>
  <c r="F315" i="5"/>
  <c r="F331" i="5"/>
  <c r="I146" i="3"/>
  <c r="I143" i="3"/>
  <c r="I138" i="3"/>
  <c r="I135" i="3"/>
  <c r="I130" i="3"/>
  <c r="I127" i="3"/>
  <c r="I122" i="3"/>
  <c r="I119" i="3"/>
  <c r="I114" i="3"/>
  <c r="I111" i="3"/>
  <c r="I106" i="3"/>
  <c r="I103" i="3"/>
  <c r="I98" i="3"/>
  <c r="I95" i="3"/>
  <c r="I90" i="3"/>
  <c r="I87" i="3"/>
  <c r="I82" i="3"/>
  <c r="I79" i="3"/>
  <c r="I74" i="3"/>
  <c r="I71" i="3"/>
  <c r="I66" i="3"/>
  <c r="I63" i="3"/>
  <c r="I58" i="3"/>
  <c r="I55" i="3"/>
  <c r="I50" i="3"/>
  <c r="I47" i="3"/>
  <c r="I42" i="3"/>
  <c r="I39" i="3"/>
  <c r="I34" i="3"/>
  <c r="I31" i="3"/>
  <c r="I26" i="3"/>
  <c r="I23" i="3"/>
  <c r="I18" i="3"/>
  <c r="I15" i="3"/>
  <c r="I10" i="3"/>
  <c r="I7" i="3"/>
  <c r="I6" i="3"/>
  <c r="I326" i="3"/>
  <c r="I323" i="3"/>
  <c r="I318" i="3"/>
  <c r="I315" i="3"/>
  <c r="I310" i="3"/>
  <c r="I307" i="3"/>
  <c r="I302" i="3"/>
  <c r="I299" i="3"/>
  <c r="I294" i="3"/>
  <c r="I291" i="3"/>
  <c r="I286" i="3"/>
  <c r="I283" i="3"/>
  <c r="I278" i="3"/>
  <c r="I275" i="3"/>
  <c r="I270" i="3"/>
  <c r="I267" i="3"/>
  <c r="I262" i="3"/>
  <c r="I259" i="3"/>
  <c r="I254" i="3"/>
  <c r="I251" i="3"/>
  <c r="I246" i="3"/>
  <c r="I243" i="3"/>
  <c r="I238" i="3"/>
  <c r="I235" i="3"/>
  <c r="I230" i="3"/>
  <c r="I227" i="3"/>
  <c r="I222" i="3"/>
  <c r="I219" i="3"/>
  <c r="I214" i="3"/>
  <c r="I211" i="3"/>
  <c r="I206" i="3"/>
  <c r="I203" i="3"/>
  <c r="I198" i="3"/>
  <c r="I195" i="3"/>
  <c r="I190" i="3"/>
  <c r="I187" i="3"/>
  <c r="I182" i="3"/>
  <c r="I179" i="3"/>
  <c r="I174" i="3"/>
  <c r="I171" i="3"/>
  <c r="I166" i="3"/>
  <c r="I163" i="3"/>
  <c r="I158" i="3"/>
  <c r="I155" i="3"/>
  <c r="I150" i="3"/>
  <c r="I147" i="3"/>
  <c r="I142" i="3"/>
  <c r="I139" i="3"/>
  <c r="I134" i="3"/>
  <c r="I131" i="3"/>
  <c r="I126" i="3"/>
  <c r="I123" i="3"/>
  <c r="I118" i="3"/>
  <c r="I115" i="3"/>
  <c r="I110" i="3"/>
  <c r="I107" i="3"/>
  <c r="I102" i="3"/>
  <c r="I99" i="3"/>
  <c r="I94" i="3"/>
  <c r="I91" i="3"/>
  <c r="I86" i="3"/>
  <c r="I83" i="3"/>
  <c r="I78" i="3"/>
  <c r="I75" i="3"/>
  <c r="I70" i="3"/>
  <c r="I67" i="3"/>
  <c r="I62" i="3"/>
  <c r="I59" i="3"/>
  <c r="I54" i="3"/>
  <c r="I51" i="3"/>
  <c r="I46" i="3"/>
  <c r="I43" i="3"/>
  <c r="I38" i="3"/>
  <c r="I35" i="3"/>
  <c r="I30" i="3"/>
  <c r="I27" i="3"/>
  <c r="I22" i="3"/>
  <c r="I19" i="3"/>
  <c r="I14" i="3"/>
  <c r="F43" i="1"/>
  <c r="F39" i="1"/>
  <c r="F35" i="1"/>
  <c r="F31" i="1"/>
  <c r="F27" i="1"/>
  <c r="F23" i="1"/>
  <c r="F19" i="1"/>
  <c r="F15" i="1"/>
  <c r="F11" i="1"/>
  <c r="E36" i="5"/>
  <c r="E34" i="5"/>
  <c r="E32" i="5"/>
  <c r="E30" i="5"/>
  <c r="E28" i="5"/>
  <c r="E26" i="5"/>
  <c r="E24" i="5"/>
  <c r="E22" i="5"/>
  <c r="E20" i="5"/>
  <c r="E18" i="5"/>
  <c r="E16" i="5"/>
  <c r="E14" i="5"/>
  <c r="E12" i="5"/>
  <c r="E10" i="5"/>
  <c r="E8" i="5"/>
  <c r="H293" i="1" l="1"/>
  <c r="H34" i="1"/>
  <c r="H41" i="1"/>
  <c r="H296" i="1"/>
  <c r="H57" i="1"/>
  <c r="H26" i="1"/>
  <c r="H129" i="1"/>
  <c r="H51" i="1"/>
  <c r="H202" i="1"/>
  <c r="H132" i="1"/>
  <c r="H137" i="1"/>
  <c r="H59" i="1"/>
  <c r="H198" i="1"/>
  <c r="H128" i="1"/>
  <c r="H300" i="1"/>
  <c r="H297" i="1"/>
  <c r="H199" i="1"/>
  <c r="H168" i="1"/>
  <c r="H146" i="1"/>
  <c r="H68" i="1"/>
  <c r="H204" i="1"/>
  <c r="H173" i="1"/>
  <c r="H138" i="1"/>
  <c r="H56" i="1"/>
  <c r="H244" i="1"/>
  <c r="H233" i="1"/>
  <c r="H90" i="1"/>
  <c r="H252" i="1"/>
  <c r="H245" i="1"/>
  <c r="H82" i="1"/>
  <c r="E331" i="1"/>
  <c r="B26" i="10" s="1"/>
  <c r="T6" i="3"/>
  <c r="G6" i="3" s="1"/>
  <c r="H6" i="3" s="1"/>
  <c r="H256" i="1"/>
  <c r="H83" i="1"/>
  <c r="H134" i="1"/>
  <c r="H73" i="1"/>
  <c r="H313" i="1"/>
  <c r="H10" i="1"/>
  <c r="H65" i="1"/>
  <c r="H249" i="1"/>
  <c r="H120" i="1"/>
  <c r="H260" i="1"/>
  <c r="H91" i="1"/>
  <c r="H122" i="1"/>
  <c r="H167" i="1"/>
  <c r="H265" i="1"/>
  <c r="H100" i="1"/>
  <c r="H209" i="1"/>
  <c r="H179" i="1"/>
  <c r="H74" i="1"/>
  <c r="H161" i="1"/>
  <c r="H195" i="1"/>
  <c r="H70" i="1"/>
  <c r="H324" i="1"/>
  <c r="H200" i="1"/>
  <c r="H118" i="1"/>
  <c r="H36" i="1"/>
  <c r="H9" i="1"/>
  <c r="H97" i="1"/>
  <c r="H177" i="1"/>
  <c r="H228" i="1"/>
  <c r="H276" i="1"/>
  <c r="H11" i="1"/>
  <c r="H123" i="1"/>
  <c r="H211" i="1"/>
  <c r="H269" i="1"/>
  <c r="H329" i="1"/>
  <c r="H166" i="1"/>
  <c r="H114" i="1"/>
  <c r="H54" i="1"/>
  <c r="H152" i="1"/>
  <c r="H88" i="1"/>
  <c r="H24" i="1"/>
  <c r="H312" i="1"/>
  <c r="H186" i="1"/>
  <c r="H48" i="1"/>
  <c r="H316" i="1"/>
  <c r="H182" i="1"/>
  <c r="H40" i="1"/>
  <c r="H224" i="1"/>
  <c r="H317" i="1"/>
  <c r="H58" i="1"/>
  <c r="H25" i="1"/>
  <c r="H105" i="1"/>
  <c r="H183" i="1"/>
  <c r="H236" i="1"/>
  <c r="H280" i="1"/>
  <c r="H19" i="1"/>
  <c r="H139" i="1"/>
  <c r="H221" i="1"/>
  <c r="H277" i="1"/>
  <c r="H218" i="1"/>
  <c r="H162" i="1"/>
  <c r="H102" i="1"/>
  <c r="H50" i="1"/>
  <c r="H148" i="1"/>
  <c r="H84" i="1"/>
  <c r="H16" i="1"/>
  <c r="H153" i="1"/>
  <c r="H309" i="1"/>
  <c r="H18" i="1"/>
  <c r="H220" i="1"/>
  <c r="H253" i="1"/>
  <c r="H112" i="1"/>
  <c r="H89" i="1"/>
  <c r="H268" i="1"/>
  <c r="H107" i="1"/>
  <c r="H178" i="1"/>
  <c r="H6" i="1"/>
  <c r="H33" i="1"/>
  <c r="H121" i="1"/>
  <c r="H188" i="1"/>
  <c r="H240" i="1"/>
  <c r="H292" i="1"/>
  <c r="H43" i="1"/>
  <c r="H147" i="1"/>
  <c r="H229" i="1"/>
  <c r="H285" i="1"/>
  <c r="H210" i="1"/>
  <c r="H154" i="1"/>
  <c r="H98" i="1"/>
  <c r="H38" i="1"/>
  <c r="H144" i="1"/>
  <c r="H80" i="1"/>
  <c r="J320" i="5"/>
  <c r="J30" i="5"/>
  <c r="H270" i="1"/>
  <c r="H217" i="1"/>
  <c r="M7" i="5"/>
  <c r="M224" i="5"/>
  <c r="M15" i="5"/>
  <c r="M104" i="5"/>
  <c r="M238" i="5"/>
  <c r="T9" i="3"/>
  <c r="G9" i="3" s="1"/>
  <c r="H9" i="3" s="1"/>
  <c r="L7" i="5"/>
  <c r="H244" i="5"/>
  <c r="H254" i="5"/>
  <c r="H284" i="5"/>
  <c r="H164" i="1"/>
  <c r="H47" i="1"/>
  <c r="H7" i="1"/>
  <c r="H202" i="5"/>
  <c r="H291" i="1"/>
  <c r="H247" i="1"/>
  <c r="H66" i="5"/>
  <c r="H153" i="5"/>
  <c r="H104" i="1"/>
  <c r="H64" i="1"/>
  <c r="H20" i="1"/>
  <c r="H262" i="1"/>
  <c r="C331" i="1"/>
  <c r="B20" i="10" s="1"/>
  <c r="D331" i="1"/>
  <c r="B25" i="10" s="1"/>
  <c r="H93" i="5"/>
  <c r="H29" i="5"/>
  <c r="H48" i="3"/>
  <c r="H168" i="3"/>
  <c r="B28" i="10"/>
  <c r="C28" i="10" s="1"/>
  <c r="H272" i="3"/>
  <c r="H216" i="3"/>
  <c r="H288" i="3"/>
  <c r="H204" i="3"/>
  <c r="H61" i="3"/>
  <c r="K171" i="5"/>
  <c r="K236" i="5"/>
  <c r="H314" i="3"/>
  <c r="H17" i="3"/>
  <c r="K9" i="5"/>
  <c r="K22" i="5"/>
  <c r="K154" i="5"/>
  <c r="K76" i="5"/>
  <c r="K152" i="5"/>
  <c r="H89" i="3"/>
  <c r="K119" i="5"/>
  <c r="H26" i="5"/>
  <c r="H273" i="3"/>
  <c r="H176" i="3"/>
  <c r="H282" i="3"/>
  <c r="H245" i="3"/>
  <c r="H231" i="3"/>
  <c r="H145" i="3"/>
  <c r="H117" i="3"/>
  <c r="H300" i="3"/>
  <c r="H250" i="3"/>
  <c r="S330" i="3"/>
  <c r="F330" i="3" s="1"/>
  <c r="Q330" i="3"/>
  <c r="D330" i="3" s="1"/>
  <c r="D331" i="3" s="1"/>
  <c r="K141" i="5"/>
  <c r="K320" i="5"/>
  <c r="K57" i="5"/>
  <c r="K73" i="5"/>
  <c r="K83" i="5"/>
  <c r="K111" i="5"/>
  <c r="K134" i="5"/>
  <c r="K145" i="5"/>
  <c r="K156" i="5"/>
  <c r="K179" i="5"/>
  <c r="K187" i="5"/>
  <c r="K198" i="5"/>
  <c r="K238" i="5"/>
  <c r="K246" i="5"/>
  <c r="K266" i="5"/>
  <c r="K274" i="5"/>
  <c r="K282" i="5"/>
  <c r="K294" i="5"/>
  <c r="K302" i="5"/>
  <c r="K326" i="5"/>
  <c r="K142" i="5"/>
  <c r="K306" i="5"/>
  <c r="K13" i="5"/>
  <c r="K58" i="5"/>
  <c r="K87" i="5"/>
  <c r="K139" i="5"/>
  <c r="K161" i="5"/>
  <c r="K172" i="5"/>
  <c r="K180" i="5"/>
  <c r="K211" i="5"/>
  <c r="K219" i="5"/>
  <c r="K251" i="5"/>
  <c r="K267" i="5"/>
  <c r="K279" i="5"/>
  <c r="K299" i="5"/>
  <c r="K307" i="5"/>
  <c r="K319" i="5"/>
  <c r="K331" i="5"/>
  <c r="K195" i="5"/>
  <c r="K283" i="5"/>
  <c r="K52" i="5"/>
  <c r="K65" i="5"/>
  <c r="K75" i="5"/>
  <c r="K84" i="5"/>
  <c r="K95" i="5"/>
  <c r="K166" i="5"/>
  <c r="K177" i="5"/>
  <c r="K188" i="5"/>
  <c r="K204" i="5"/>
  <c r="K224" i="5"/>
  <c r="K240" i="5"/>
  <c r="K256" i="5"/>
  <c r="K272" i="5"/>
  <c r="K288" i="5"/>
  <c r="K296" i="5"/>
  <c r="K18" i="5"/>
  <c r="K129" i="5"/>
  <c r="K137" i="5"/>
  <c r="K140" i="5"/>
  <c r="K159" i="5"/>
  <c r="K66" i="5"/>
  <c r="K21" i="5"/>
  <c r="K53" i="5"/>
  <c r="K189" i="5"/>
  <c r="K201" i="5"/>
  <c r="K217" i="5"/>
  <c r="K221" i="5"/>
  <c r="K257" i="5"/>
  <c r="K273" i="5"/>
  <c r="K289" i="5"/>
  <c r="K301" i="5"/>
  <c r="K305" i="5"/>
  <c r="K325" i="5"/>
  <c r="K29" i="5"/>
  <c r="K148" i="5"/>
  <c r="K16" i="5"/>
  <c r="K316" i="5"/>
  <c r="K10" i="5"/>
  <c r="K126" i="5"/>
  <c r="K32" i="5"/>
  <c r="K93" i="5"/>
  <c r="K45" i="5"/>
  <c r="K185" i="5"/>
  <c r="K260" i="5"/>
  <c r="K25" i="5"/>
  <c r="K67" i="5"/>
  <c r="K101" i="5"/>
  <c r="K123" i="5"/>
  <c r="K164" i="5"/>
  <c r="K214" i="5"/>
  <c r="K226" i="5"/>
  <c r="K254" i="5"/>
  <c r="K262" i="5"/>
  <c r="K314" i="5"/>
  <c r="K322" i="5"/>
  <c r="K330" i="5"/>
  <c r="K165" i="5"/>
  <c r="K39" i="5"/>
  <c r="K98" i="5"/>
  <c r="K105" i="5"/>
  <c r="K127" i="5"/>
  <c r="K135" i="5"/>
  <c r="K146" i="5"/>
  <c r="K157" i="5"/>
  <c r="K243" i="5"/>
  <c r="K312" i="5"/>
  <c r="K27" i="5"/>
  <c r="K43" i="5"/>
  <c r="K103" i="5"/>
  <c r="K117" i="5"/>
  <c r="K143" i="5"/>
  <c r="K162" i="5"/>
  <c r="K216" i="5"/>
  <c r="K304" i="5"/>
  <c r="K82" i="5"/>
  <c r="K178" i="5"/>
  <c r="K186" i="5"/>
  <c r="K15" i="5"/>
  <c r="K79" i="5"/>
  <c r="K167" i="5"/>
  <c r="K31" i="5"/>
  <c r="K107" i="5"/>
  <c r="K213" i="5"/>
  <c r="K229" i="5"/>
  <c r="K233" i="5"/>
  <c r="K245" i="5"/>
  <c r="K249" i="5"/>
  <c r="K277" i="5"/>
  <c r="K281" i="5"/>
  <c r="K321" i="5"/>
  <c r="K62" i="5"/>
  <c r="K11" i="5"/>
  <c r="K115" i="5"/>
  <c r="K14" i="5"/>
  <c r="K36" i="5"/>
  <c r="K116" i="5"/>
  <c r="K210" i="5"/>
  <c r="K77" i="5"/>
  <c r="K276" i="5"/>
  <c r="K19" i="5"/>
  <c r="K41" i="5"/>
  <c r="K60" i="5"/>
  <c r="K70" i="5"/>
  <c r="K89" i="5"/>
  <c r="K97" i="5"/>
  <c r="K104" i="5"/>
  <c r="K130" i="5"/>
  <c r="K138" i="5"/>
  <c r="K149" i="5"/>
  <c r="K168" i="5"/>
  <c r="K183" i="5"/>
  <c r="K194" i="5"/>
  <c r="K242" i="5"/>
  <c r="K270" i="5"/>
  <c r="K310" i="5"/>
  <c r="K46" i="5"/>
  <c r="K207" i="5"/>
  <c r="K23" i="5"/>
  <c r="K42" i="5"/>
  <c r="K48" i="5"/>
  <c r="K64" i="5"/>
  <c r="K74" i="5"/>
  <c r="K169" i="5"/>
  <c r="K184" i="5"/>
  <c r="K203" i="5"/>
  <c r="K215" i="5"/>
  <c r="K223" i="5"/>
  <c r="K239" i="5"/>
  <c r="K247" i="5"/>
  <c r="K255" i="5"/>
  <c r="K287" i="5"/>
  <c r="K303" i="5"/>
  <c r="K311" i="5"/>
  <c r="K323" i="5"/>
  <c r="K61" i="5"/>
  <c r="K327" i="5"/>
  <c r="K33" i="5"/>
  <c r="K49" i="5"/>
  <c r="K68" i="5"/>
  <c r="K81" i="5"/>
  <c r="K91" i="5"/>
  <c r="K124" i="5"/>
  <c r="K132" i="5"/>
  <c r="K155" i="5"/>
  <c r="K173" i="5"/>
  <c r="K181" i="5"/>
  <c r="K208" i="5"/>
  <c r="K228" i="5"/>
  <c r="K248" i="5"/>
  <c r="K280" i="5"/>
  <c r="K292" i="5"/>
  <c r="K308" i="5"/>
  <c r="K50" i="5"/>
  <c r="K47" i="5"/>
  <c r="K72" i="5"/>
  <c r="K133" i="5"/>
  <c r="K144" i="5"/>
  <c r="K34" i="5"/>
  <c r="K114" i="5"/>
  <c r="K122" i="5"/>
  <c r="K269" i="5"/>
  <c r="K85" i="5"/>
  <c r="K100" i="5"/>
  <c r="K209" i="5"/>
  <c r="K261" i="5"/>
  <c r="K265" i="5"/>
  <c r="K285" i="5"/>
  <c r="K297" i="5"/>
  <c r="K313" i="5"/>
  <c r="K317" i="5"/>
  <c r="K175" i="5"/>
  <c r="K191" i="5"/>
  <c r="K231" i="5"/>
  <c r="K295" i="5"/>
  <c r="K284" i="5"/>
  <c r="K197" i="5"/>
  <c r="K30" i="5"/>
  <c r="K54" i="5"/>
  <c r="K147" i="5"/>
  <c r="K109" i="5"/>
  <c r="K227" i="5"/>
  <c r="K290" i="5"/>
  <c r="K35" i="5"/>
  <c r="K51" i="5"/>
  <c r="K222" i="5"/>
  <c r="K230" i="5"/>
  <c r="K250" i="5"/>
  <c r="K258" i="5"/>
  <c r="K318" i="5"/>
  <c r="K78" i="5"/>
  <c r="K291" i="5"/>
  <c r="K90" i="5"/>
  <c r="K102" i="5"/>
  <c r="K120" i="5"/>
  <c r="K150" i="5"/>
  <c r="K176" i="5"/>
  <c r="K263" i="5"/>
  <c r="K153" i="5"/>
  <c r="K268" i="5"/>
  <c r="K17" i="5"/>
  <c r="K59" i="5"/>
  <c r="K99" i="5"/>
  <c r="K106" i="5"/>
  <c r="K113" i="5"/>
  <c r="K121" i="5"/>
  <c r="K128" i="5"/>
  <c r="K136" i="5"/>
  <c r="K151" i="5"/>
  <c r="K174" i="5"/>
  <c r="K182" i="5"/>
  <c r="K8" i="5"/>
  <c r="K37" i="5"/>
  <c r="K69" i="5"/>
  <c r="K125" i="5"/>
  <c r="K163" i="5"/>
  <c r="K110" i="5"/>
  <c r="K24" i="5"/>
  <c r="K56" i="5"/>
  <c r="K193" i="5"/>
  <c r="K205" i="5"/>
  <c r="K225" i="5"/>
  <c r="K237" i="5"/>
  <c r="K241" i="5"/>
  <c r="K253" i="5"/>
  <c r="K293" i="5"/>
  <c r="K309" i="5"/>
  <c r="K329" i="5"/>
  <c r="K328" i="5"/>
  <c r="K315" i="5"/>
  <c r="K94" i="5"/>
  <c r="K12" i="5"/>
  <c r="K232" i="5"/>
  <c r="K298" i="5"/>
  <c r="K28" i="5"/>
  <c r="K86" i="5"/>
  <c r="K170" i="5"/>
  <c r="H11" i="3"/>
  <c r="J12" i="5"/>
  <c r="J310" i="5"/>
  <c r="J321" i="5"/>
  <c r="J232" i="5"/>
  <c r="J48" i="5"/>
  <c r="J290" i="5"/>
  <c r="J171" i="5"/>
  <c r="J17" i="5"/>
  <c r="J296" i="5"/>
  <c r="J253" i="5"/>
  <c r="J180" i="5"/>
  <c r="J110" i="5"/>
  <c r="J41" i="5"/>
  <c r="J305" i="5"/>
  <c r="J262" i="5"/>
  <c r="J200" i="5"/>
  <c r="J125" i="5"/>
  <c r="J55" i="5"/>
  <c r="J9" i="5"/>
  <c r="J298" i="5"/>
  <c r="J277" i="5"/>
  <c r="J256" i="5"/>
  <c r="J228" i="5"/>
  <c r="J187" i="5"/>
  <c r="J122" i="5"/>
  <c r="J71" i="5"/>
  <c r="J29" i="5"/>
  <c r="J313" i="5"/>
  <c r="J292" i="5"/>
  <c r="J270" i="5"/>
  <c r="J249" i="5"/>
  <c r="J216" i="5"/>
  <c r="J172" i="5"/>
  <c r="J136" i="5"/>
  <c r="J94" i="5"/>
  <c r="J52" i="5"/>
  <c r="J23" i="5"/>
  <c r="J319" i="5"/>
  <c r="J303" i="5"/>
  <c r="J287" i="5"/>
  <c r="J271" i="5"/>
  <c r="J255" i="5"/>
  <c r="J239" i="5"/>
  <c r="J207" i="5"/>
  <c r="J175" i="5"/>
  <c r="J144" i="5"/>
  <c r="J115" i="5"/>
  <c r="J83" i="5"/>
  <c r="J51" i="5"/>
  <c r="J238" i="5"/>
  <c r="J222" i="5"/>
  <c r="J206" i="5"/>
  <c r="J190" i="5"/>
  <c r="J174" i="5"/>
  <c r="J158" i="5"/>
  <c r="J143" i="5"/>
  <c r="J127" i="5"/>
  <c r="J111" i="5"/>
  <c r="J95" i="5"/>
  <c r="J79" i="5"/>
  <c r="J63" i="5"/>
  <c r="J47" i="5"/>
  <c r="J31" i="5"/>
  <c r="J229" i="5"/>
  <c r="J213" i="5"/>
  <c r="J197" i="5"/>
  <c r="J181" i="5"/>
  <c r="J165" i="5"/>
  <c r="J149" i="5"/>
  <c r="J132" i="5"/>
  <c r="J117" i="5"/>
  <c r="J101" i="5"/>
  <c r="J85" i="5"/>
  <c r="J69" i="5"/>
  <c r="J53" i="5"/>
  <c r="J37" i="5"/>
  <c r="J246" i="5"/>
  <c r="J84" i="5"/>
  <c r="H232" i="3"/>
  <c r="J192" i="5"/>
  <c r="J131" i="5"/>
  <c r="J21" i="5"/>
  <c r="J300" i="5"/>
  <c r="J188" i="5"/>
  <c r="J22" i="5"/>
  <c r="J269" i="5"/>
  <c r="J134" i="5"/>
  <c r="J328" i="5"/>
  <c r="J285" i="5"/>
  <c r="J242" i="5"/>
  <c r="J160" i="5"/>
  <c r="J93" i="5"/>
  <c r="J16" i="5"/>
  <c r="J294" i="5"/>
  <c r="J252" i="5"/>
  <c r="J179" i="5"/>
  <c r="J106" i="5"/>
  <c r="J39" i="5"/>
  <c r="J314" i="5"/>
  <c r="J293" i="5"/>
  <c r="J272" i="5"/>
  <c r="J250" i="5"/>
  <c r="J219" i="5"/>
  <c r="J176" i="5"/>
  <c r="J105" i="5"/>
  <c r="J62" i="5"/>
  <c r="J18" i="5"/>
  <c r="J329" i="5"/>
  <c r="J308" i="5"/>
  <c r="J286" i="5"/>
  <c r="J265" i="5"/>
  <c r="J244" i="5"/>
  <c r="J204" i="5"/>
  <c r="J163" i="5"/>
  <c r="J119" i="5"/>
  <c r="J78" i="5"/>
  <c r="J42" i="5"/>
  <c r="J19" i="5"/>
  <c r="J331" i="5"/>
  <c r="J315" i="5"/>
  <c r="J299" i="5"/>
  <c r="J283" i="5"/>
  <c r="J267" i="5"/>
  <c r="J251" i="5"/>
  <c r="J231" i="5"/>
  <c r="J199" i="5"/>
  <c r="J167" i="5"/>
  <c r="J133" i="5"/>
  <c r="J109" i="5"/>
  <c r="J77" i="5"/>
  <c r="J45" i="5"/>
  <c r="J234" i="5"/>
  <c r="J218" i="5"/>
  <c r="J202" i="5"/>
  <c r="J186" i="5"/>
  <c r="J170" i="5"/>
  <c r="J154" i="5"/>
  <c r="J138" i="5"/>
  <c r="J124" i="5"/>
  <c r="J108" i="5"/>
  <c r="J92" i="5"/>
  <c r="J76" i="5"/>
  <c r="J60" i="5"/>
  <c r="J44" i="5"/>
  <c r="J28" i="5"/>
  <c r="J225" i="5"/>
  <c r="J209" i="5"/>
  <c r="J193" i="5"/>
  <c r="J177" i="5"/>
  <c r="J161" i="5"/>
  <c r="J145" i="5"/>
  <c r="J129" i="5"/>
  <c r="J113" i="5"/>
  <c r="J97" i="5"/>
  <c r="J81" i="5"/>
  <c r="J65" i="5"/>
  <c r="J49" i="5"/>
  <c r="J33" i="5"/>
  <c r="J289" i="5"/>
  <c r="J168" i="5"/>
  <c r="H186" i="3"/>
  <c r="J258" i="5"/>
  <c r="J211" i="5"/>
  <c r="J278" i="5"/>
  <c r="J147" i="5"/>
  <c r="J248" i="5"/>
  <c r="J100" i="5"/>
  <c r="J317" i="5"/>
  <c r="J274" i="5"/>
  <c r="J224" i="5"/>
  <c r="J141" i="5"/>
  <c r="J74" i="5"/>
  <c r="J326" i="5"/>
  <c r="J284" i="5"/>
  <c r="J241" i="5"/>
  <c r="J156" i="5"/>
  <c r="J90" i="5"/>
  <c r="J20" i="5"/>
  <c r="J330" i="5"/>
  <c r="J309" i="5"/>
  <c r="J288" i="5"/>
  <c r="J266" i="5"/>
  <c r="J245" i="5"/>
  <c r="J208" i="5"/>
  <c r="J164" i="5"/>
  <c r="J87" i="5"/>
  <c r="J46" i="5"/>
  <c r="J13" i="5"/>
  <c r="J324" i="5"/>
  <c r="J302" i="5"/>
  <c r="J281" i="5"/>
  <c r="J260" i="5"/>
  <c r="J236" i="5"/>
  <c r="J195" i="5"/>
  <c r="J152" i="5"/>
  <c r="J112" i="5"/>
  <c r="J68" i="5"/>
  <c r="J35" i="5"/>
  <c r="J15" i="5"/>
  <c r="J327" i="5"/>
  <c r="J311" i="5"/>
  <c r="J295" i="5"/>
  <c r="J279" i="5"/>
  <c r="J263" i="5"/>
  <c r="J247" i="5"/>
  <c r="J223" i="5"/>
  <c r="J191" i="5"/>
  <c r="J159" i="5"/>
  <c r="J128" i="5"/>
  <c r="J96" i="5"/>
  <c r="J64" i="5"/>
  <c r="J32" i="5"/>
  <c r="J230" i="5"/>
  <c r="J214" i="5"/>
  <c r="J198" i="5"/>
  <c r="J182" i="5"/>
  <c r="J166" i="5"/>
  <c r="J150" i="5"/>
  <c r="J135" i="5"/>
  <c r="J118" i="5"/>
  <c r="J102" i="5"/>
  <c r="J86" i="5"/>
  <c r="J70" i="5"/>
  <c r="J54" i="5"/>
  <c r="J38" i="5"/>
  <c r="J237" i="5"/>
  <c r="J221" i="5"/>
  <c r="J205" i="5"/>
  <c r="J189" i="5"/>
  <c r="J173" i="5"/>
  <c r="J157" i="5"/>
  <c r="J140" i="5"/>
  <c r="J123" i="5"/>
  <c r="J107" i="5"/>
  <c r="J91" i="5"/>
  <c r="J75" i="5"/>
  <c r="J59" i="5"/>
  <c r="J43" i="5"/>
  <c r="J27" i="5"/>
  <c r="J148" i="5"/>
  <c r="J322" i="5"/>
  <c r="J99" i="5"/>
  <c r="H69" i="3"/>
  <c r="H104" i="3"/>
  <c r="H328" i="3"/>
  <c r="H301" i="3"/>
  <c r="H133" i="3"/>
  <c r="H121" i="3"/>
  <c r="J301" i="5"/>
  <c r="J268" i="5"/>
  <c r="J10" i="5"/>
  <c r="J257" i="5"/>
  <c r="J116" i="5"/>
  <c r="J312" i="5"/>
  <c r="J212" i="5"/>
  <c r="J67" i="5"/>
  <c r="J306" i="5"/>
  <c r="J264" i="5"/>
  <c r="J203" i="5"/>
  <c r="J126" i="5"/>
  <c r="J58" i="5"/>
  <c r="J316" i="5"/>
  <c r="J273" i="5"/>
  <c r="J220" i="5"/>
  <c r="J139" i="5"/>
  <c r="J73" i="5"/>
  <c r="J14" i="5"/>
  <c r="J325" i="5"/>
  <c r="J304" i="5"/>
  <c r="J282" i="5"/>
  <c r="J261" i="5"/>
  <c r="J240" i="5"/>
  <c r="J196" i="5"/>
  <c r="J155" i="5"/>
  <c r="J80" i="5"/>
  <c r="J36" i="5"/>
  <c r="J8" i="5"/>
  <c r="J318" i="5"/>
  <c r="J297" i="5"/>
  <c r="J276" i="5"/>
  <c r="J254" i="5"/>
  <c r="J227" i="5"/>
  <c r="J184" i="5"/>
  <c r="J142" i="5"/>
  <c r="J103" i="5"/>
  <c r="J61" i="5"/>
  <c r="J26" i="5"/>
  <c r="J11" i="5"/>
  <c r="J323" i="5"/>
  <c r="J307" i="5"/>
  <c r="J291" i="5"/>
  <c r="J275" i="5"/>
  <c r="J259" i="5"/>
  <c r="J243" i="5"/>
  <c r="J215" i="5"/>
  <c r="J183" i="5"/>
  <c r="J151" i="5"/>
  <c r="J121" i="5"/>
  <c r="J89" i="5"/>
  <c r="J57" i="5"/>
  <c r="J25" i="5"/>
  <c r="J226" i="5"/>
  <c r="J210" i="5"/>
  <c r="J194" i="5"/>
  <c r="J178" i="5"/>
  <c r="J162" i="5"/>
  <c r="J146" i="5"/>
  <c r="J130" i="5"/>
  <c r="J114" i="5"/>
  <c r="J98" i="5"/>
  <c r="J82" i="5"/>
  <c r="J66" i="5"/>
  <c r="J50" i="5"/>
  <c r="J34" i="5"/>
  <c r="J233" i="5"/>
  <c r="J217" i="5"/>
  <c r="J201" i="5"/>
  <c r="J185" i="5"/>
  <c r="J169" i="5"/>
  <c r="J153" i="5"/>
  <c r="J137" i="5"/>
  <c r="J120" i="5"/>
  <c r="J104" i="5"/>
  <c r="J88" i="5"/>
  <c r="J72" i="5"/>
  <c r="J56" i="5"/>
  <c r="J40" i="5"/>
  <c r="J24" i="5"/>
  <c r="J280" i="5"/>
  <c r="J235" i="5"/>
  <c r="H152" i="3"/>
  <c r="T26" i="3"/>
  <c r="G26" i="3" s="1"/>
  <c r="B3" i="12"/>
  <c r="V6" i="3"/>
  <c r="W6" i="3" s="1"/>
  <c r="S181" i="3"/>
  <c r="F181" i="3" s="1"/>
  <c r="H181" i="3" s="1"/>
  <c r="H154" i="3"/>
  <c r="H223" i="3"/>
  <c r="M235" i="5"/>
  <c r="M182" i="5"/>
  <c r="M80" i="5"/>
  <c r="M178" i="5"/>
  <c r="M331" i="5"/>
  <c r="M203" i="5"/>
  <c r="M139" i="5"/>
  <c r="M63" i="5"/>
  <c r="M315" i="5"/>
  <c r="M251" i="5"/>
  <c r="M187" i="5"/>
  <c r="M123" i="5"/>
  <c r="M43" i="5"/>
  <c r="M286" i="5"/>
  <c r="M202" i="5"/>
  <c r="M118" i="5"/>
  <c r="M30" i="5"/>
  <c r="M277" i="5"/>
  <c r="M193" i="5"/>
  <c r="M105" i="5"/>
  <c r="M21" i="5"/>
  <c r="M272" i="5"/>
  <c r="M184" i="5"/>
  <c r="M100" i="5"/>
  <c r="M16" i="5"/>
  <c r="M55" i="5"/>
  <c r="M322" i="5"/>
  <c r="M258" i="5"/>
  <c r="M194" i="5"/>
  <c r="M130" i="5"/>
  <c r="M66" i="5"/>
  <c r="M269" i="5"/>
  <c r="M205" i="5"/>
  <c r="M141" i="5"/>
  <c r="M77" i="5"/>
  <c r="M13" i="5"/>
  <c r="M284" i="5"/>
  <c r="M220" i="5"/>
  <c r="M156" i="5"/>
  <c r="M92" i="5"/>
  <c r="M28" i="5"/>
  <c r="M116" i="5"/>
  <c r="M232" i="5"/>
  <c r="M9" i="5"/>
  <c r="M121" i="5"/>
  <c r="M241" i="5"/>
  <c r="M22" i="5"/>
  <c r="M134" i="5"/>
  <c r="M250" i="5"/>
  <c r="M31" i="5"/>
  <c r="M135" i="5"/>
  <c r="M223" i="5"/>
  <c r="M307" i="5"/>
  <c r="M68" i="5"/>
  <c r="M180" i="5"/>
  <c r="M296" i="5"/>
  <c r="M73" i="5"/>
  <c r="M185" i="5"/>
  <c r="M305" i="5"/>
  <c r="M86" i="5"/>
  <c r="M198" i="5"/>
  <c r="M314" i="5"/>
  <c r="M95" i="5"/>
  <c r="M183" i="5"/>
  <c r="M271" i="5"/>
  <c r="M276" i="5"/>
  <c r="M62" i="5"/>
  <c r="M167" i="5"/>
  <c r="M57" i="5"/>
  <c r="M186" i="5"/>
  <c r="M259" i="5"/>
  <c r="M195" i="5"/>
  <c r="M326" i="5"/>
  <c r="M102" i="5"/>
  <c r="M201" i="5"/>
  <c r="M308" i="5"/>
  <c r="M84" i="5"/>
  <c r="M231" i="5"/>
  <c r="M47" i="5"/>
  <c r="M150" i="5"/>
  <c r="M249" i="5"/>
  <c r="M25" i="5"/>
  <c r="M132" i="5"/>
  <c r="M122" i="5"/>
  <c r="M295" i="5"/>
  <c r="M113" i="5"/>
  <c r="M126" i="5"/>
  <c r="M107" i="5"/>
  <c r="M94" i="5"/>
  <c r="M10" i="5"/>
  <c r="M248" i="5"/>
  <c r="M103" i="5"/>
  <c r="M39" i="5"/>
  <c r="M114" i="5"/>
  <c r="M50" i="5"/>
  <c r="M317" i="5"/>
  <c r="M253" i="5"/>
  <c r="M189" i="5"/>
  <c r="M125" i="5"/>
  <c r="M61" i="5"/>
  <c r="M268" i="5"/>
  <c r="M204" i="5"/>
  <c r="M140" i="5"/>
  <c r="M76" i="5"/>
  <c r="M12" i="5"/>
  <c r="M148" i="5"/>
  <c r="M260" i="5"/>
  <c r="M37" i="5"/>
  <c r="M153" i="5"/>
  <c r="M265" i="5"/>
  <c r="M46" i="5"/>
  <c r="M166" i="5"/>
  <c r="M278" i="5"/>
  <c r="M59" i="5"/>
  <c r="M159" i="5"/>
  <c r="M243" i="5"/>
  <c r="M327" i="5"/>
  <c r="M96" i="5"/>
  <c r="M212" i="5"/>
  <c r="M324" i="5"/>
  <c r="M101" i="5"/>
  <c r="M217" i="5"/>
  <c r="M329" i="5"/>
  <c r="M110" i="5"/>
  <c r="M230" i="5"/>
  <c r="M11" i="5"/>
  <c r="M119" i="5"/>
  <c r="M207" i="5"/>
  <c r="M291" i="5"/>
  <c r="M53" i="5"/>
  <c r="M174" i="5"/>
  <c r="M255" i="5"/>
  <c r="M52" i="5"/>
  <c r="M177" i="5"/>
  <c r="M298" i="5"/>
  <c r="M323" i="5"/>
  <c r="M151" i="5"/>
  <c r="M270" i="5"/>
  <c r="M42" i="5"/>
  <c r="M145" i="5"/>
  <c r="M256" i="5"/>
  <c r="M24" i="5"/>
  <c r="M191" i="5"/>
  <c r="M318" i="5"/>
  <c r="M90" i="5"/>
  <c r="M197" i="5"/>
  <c r="M304" i="5"/>
  <c r="M72" i="5"/>
  <c r="M211" i="5"/>
  <c r="M127" i="5"/>
  <c r="M216" i="5"/>
  <c r="M229" i="5"/>
  <c r="M171" i="5"/>
  <c r="M19" i="5"/>
  <c r="M257" i="5"/>
  <c r="M85" i="5"/>
  <c r="M306" i="5"/>
  <c r="M283" i="5"/>
  <c r="M219" i="5"/>
  <c r="M155" i="5"/>
  <c r="M83" i="5"/>
  <c r="M330" i="5"/>
  <c r="M246" i="5"/>
  <c r="M158" i="5"/>
  <c r="M74" i="5"/>
  <c r="M321" i="5"/>
  <c r="M233" i="5"/>
  <c r="M149" i="5"/>
  <c r="M65" i="5"/>
  <c r="M312" i="5"/>
  <c r="M228" i="5"/>
  <c r="M144" i="5"/>
  <c r="M56" i="5"/>
  <c r="M87" i="5"/>
  <c r="M23" i="5"/>
  <c r="M290" i="5"/>
  <c r="M226" i="5"/>
  <c r="M162" i="5"/>
  <c r="M98" i="5"/>
  <c r="M34" i="5"/>
  <c r="M301" i="5"/>
  <c r="M237" i="5"/>
  <c r="M173" i="5"/>
  <c r="M109" i="5"/>
  <c r="M45" i="5"/>
  <c r="M316" i="5"/>
  <c r="M252" i="5"/>
  <c r="M188" i="5"/>
  <c r="M124" i="5"/>
  <c r="M60" i="5"/>
  <c r="M64" i="5"/>
  <c r="M176" i="5"/>
  <c r="M288" i="5"/>
  <c r="M69" i="5"/>
  <c r="M181" i="5"/>
  <c r="M293" i="5"/>
  <c r="M78" i="5"/>
  <c r="M190" i="5"/>
  <c r="M302" i="5"/>
  <c r="M91" i="5"/>
  <c r="M179" i="5"/>
  <c r="M263" i="5"/>
  <c r="M8" i="5"/>
  <c r="M128" i="5"/>
  <c r="M240" i="5"/>
  <c r="M17" i="5"/>
  <c r="M133" i="5"/>
  <c r="M245" i="5"/>
  <c r="M26" i="5"/>
  <c r="M142" i="5"/>
  <c r="M254" i="5"/>
  <c r="M35" i="5"/>
  <c r="M143" i="5"/>
  <c r="M227" i="5"/>
  <c r="M311" i="5"/>
  <c r="M48" i="5"/>
  <c r="M165" i="5"/>
  <c r="M294" i="5"/>
  <c r="M168" i="5"/>
  <c r="M289" i="5"/>
  <c r="M79" i="5"/>
  <c r="M279" i="5"/>
  <c r="M111" i="5"/>
  <c r="M214" i="5"/>
  <c r="M313" i="5"/>
  <c r="M89" i="5"/>
  <c r="M196" i="5"/>
  <c r="M319" i="5"/>
  <c r="M147" i="5"/>
  <c r="M262" i="5"/>
  <c r="M38" i="5"/>
  <c r="M137" i="5"/>
  <c r="M244" i="5"/>
  <c r="M20" i="5"/>
  <c r="M234" i="5"/>
  <c r="M215" i="5"/>
  <c r="M112" i="5"/>
  <c r="M299" i="5"/>
  <c r="M266" i="5"/>
  <c r="M169" i="5"/>
  <c r="M164" i="5"/>
  <c r="M242" i="5"/>
  <c r="M267" i="5"/>
  <c r="M310" i="5"/>
  <c r="M222" i="5"/>
  <c r="M138" i="5"/>
  <c r="M54" i="5"/>
  <c r="M297" i="5"/>
  <c r="M213" i="5"/>
  <c r="M129" i="5"/>
  <c r="M41" i="5"/>
  <c r="M292" i="5"/>
  <c r="M208" i="5"/>
  <c r="M120" i="5"/>
  <c r="M36" i="5"/>
  <c r="M71" i="5"/>
  <c r="M274" i="5"/>
  <c r="M210" i="5"/>
  <c r="M146" i="5"/>
  <c r="M82" i="5"/>
  <c r="M18" i="5"/>
  <c r="M285" i="5"/>
  <c r="M221" i="5"/>
  <c r="M157" i="5"/>
  <c r="M93" i="5"/>
  <c r="M29" i="5"/>
  <c r="M300" i="5"/>
  <c r="M236" i="5"/>
  <c r="M172" i="5"/>
  <c r="M108" i="5"/>
  <c r="M44" i="5"/>
  <c r="M88" i="5"/>
  <c r="M200" i="5"/>
  <c r="M320" i="5"/>
  <c r="M97" i="5"/>
  <c r="M209" i="5"/>
  <c r="M325" i="5"/>
  <c r="M106" i="5"/>
  <c r="M218" i="5"/>
  <c r="M115" i="5"/>
  <c r="M199" i="5"/>
  <c r="M287" i="5"/>
  <c r="M40" i="5"/>
  <c r="M152" i="5"/>
  <c r="M264" i="5"/>
  <c r="M49" i="5"/>
  <c r="M161" i="5"/>
  <c r="M273" i="5"/>
  <c r="M58" i="5"/>
  <c r="M170" i="5"/>
  <c r="M282" i="5"/>
  <c r="M67" i="5"/>
  <c r="M163" i="5"/>
  <c r="M247" i="5"/>
  <c r="H178" i="5"/>
  <c r="H242" i="5"/>
  <c r="M160" i="5"/>
  <c r="M281" i="5"/>
  <c r="M75" i="5"/>
  <c r="M280" i="5"/>
  <c r="M70" i="5"/>
  <c r="M175" i="5"/>
  <c r="M239" i="5"/>
  <c r="M51" i="5"/>
  <c r="M154" i="5"/>
  <c r="M261" i="5"/>
  <c r="M33" i="5"/>
  <c r="M136" i="5"/>
  <c r="M275" i="5"/>
  <c r="M99" i="5"/>
  <c r="M206" i="5"/>
  <c r="M309" i="5"/>
  <c r="M81" i="5"/>
  <c r="M192" i="5"/>
  <c r="M32" i="5"/>
  <c r="M328" i="5"/>
  <c r="M27" i="5"/>
  <c r="M131" i="5"/>
  <c r="M225" i="5"/>
  <c r="M117" i="5"/>
  <c r="M303" i="5"/>
  <c r="M14" i="5"/>
  <c r="L294" i="5"/>
  <c r="H154" i="5"/>
  <c r="H158" i="5"/>
  <c r="H321" i="5"/>
  <c r="H25" i="5"/>
  <c r="H328" i="5"/>
  <c r="H200" i="5"/>
  <c r="H72" i="5"/>
  <c r="H215" i="5"/>
  <c r="H106" i="5"/>
  <c r="H46" i="5"/>
  <c r="H205" i="5"/>
  <c r="H269" i="5"/>
  <c r="H180" i="3"/>
  <c r="H101" i="3"/>
  <c r="H325" i="3"/>
  <c r="H180" i="1"/>
  <c r="H63" i="1"/>
  <c r="H181" i="1"/>
  <c r="H255" i="1"/>
  <c r="H93" i="1"/>
  <c r="H227" i="1"/>
  <c r="H306" i="1"/>
  <c r="H77" i="1"/>
  <c r="H219" i="1"/>
  <c r="H299" i="1"/>
  <c r="H294" i="1"/>
  <c r="H61" i="1"/>
  <c r="H111" i="1"/>
  <c r="H213" i="1"/>
  <c r="H279" i="1"/>
  <c r="H157" i="1"/>
  <c r="H259" i="1"/>
  <c r="H330" i="1"/>
  <c r="H141" i="1"/>
  <c r="H251" i="1"/>
  <c r="H323" i="1"/>
  <c r="H208" i="1"/>
  <c r="H171" i="1"/>
  <c r="H71" i="1"/>
  <c r="H298" i="1"/>
  <c r="H207" i="1"/>
  <c r="H12" i="1"/>
  <c r="H28" i="1"/>
  <c r="H44" i="1"/>
  <c r="H60" i="1"/>
  <c r="H76" i="1"/>
  <c r="H92" i="1"/>
  <c r="H108" i="1"/>
  <c r="H124" i="1"/>
  <c r="H140" i="1"/>
  <c r="H156" i="1"/>
  <c r="H14" i="1"/>
  <c r="H30" i="1"/>
  <c r="H46" i="1"/>
  <c r="H62" i="1"/>
  <c r="H78" i="1"/>
  <c r="H94" i="1"/>
  <c r="H110" i="1"/>
  <c r="H126" i="1"/>
  <c r="H142" i="1"/>
  <c r="H158" i="1"/>
  <c r="H174" i="1"/>
  <c r="H190" i="1"/>
  <c r="H206" i="1"/>
  <c r="H321" i="1"/>
  <c r="H305" i="1"/>
  <c r="H289" i="1"/>
  <c r="H273" i="1"/>
  <c r="H257" i="1"/>
  <c r="H241" i="1"/>
  <c r="H225" i="1"/>
  <c r="H205" i="1"/>
  <c r="H184" i="1"/>
  <c r="H163" i="1"/>
  <c r="H131" i="1"/>
  <c r="H99" i="1"/>
  <c r="H67" i="1"/>
  <c r="H35" i="1"/>
  <c r="H320" i="1"/>
  <c r="H304" i="1"/>
  <c r="H288" i="1"/>
  <c r="H272" i="1"/>
  <c r="H93" i="3"/>
  <c r="H37" i="3"/>
  <c r="H257" i="3"/>
  <c r="H17" i="1"/>
  <c r="H49" i="1"/>
  <c r="H81" i="1"/>
  <c r="H113" i="1"/>
  <c r="H145" i="1"/>
  <c r="H172" i="1"/>
  <c r="H193" i="1"/>
  <c r="H215" i="1"/>
  <c r="H232" i="1"/>
  <c r="H248" i="1"/>
  <c r="H264" i="1"/>
  <c r="H284" i="1"/>
  <c r="H308" i="1"/>
  <c r="H328" i="1"/>
  <c r="H27" i="1"/>
  <c r="H75" i="1"/>
  <c r="H115" i="1"/>
  <c r="H155" i="1"/>
  <c r="H189" i="1"/>
  <c r="H216" i="1"/>
  <c r="H237" i="1"/>
  <c r="H261" i="1"/>
  <c r="H281" i="1"/>
  <c r="H301" i="1"/>
  <c r="H325" i="1"/>
  <c r="H214" i="1"/>
  <c r="H194" i="1"/>
  <c r="H170" i="1"/>
  <c r="H150" i="1"/>
  <c r="H130" i="1"/>
  <c r="H106" i="1"/>
  <c r="H86" i="1"/>
  <c r="H66" i="1"/>
  <c r="H42" i="1"/>
  <c r="H22" i="1"/>
  <c r="H160" i="1"/>
  <c r="H136" i="1"/>
  <c r="H116" i="1"/>
  <c r="H96" i="1"/>
  <c r="H72" i="1"/>
  <c r="H52" i="1"/>
  <c r="H32" i="1"/>
  <c r="H8" i="1"/>
  <c r="H55" i="1"/>
  <c r="H175" i="1"/>
  <c r="H127" i="1"/>
  <c r="H73" i="3"/>
  <c r="H64" i="3"/>
  <c r="H132" i="3"/>
  <c r="L20" i="5"/>
  <c r="L36" i="5"/>
  <c r="H183" i="3"/>
  <c r="L19" i="5"/>
  <c r="L60" i="5"/>
  <c r="L76" i="5"/>
  <c r="L97" i="5"/>
  <c r="L130" i="5"/>
  <c r="L149" i="5"/>
  <c r="L183" i="5"/>
  <c r="L270" i="5"/>
  <c r="L286" i="5"/>
  <c r="L330" i="5"/>
  <c r="L105" i="5"/>
  <c r="L127" i="5"/>
  <c r="L146" i="5"/>
  <c r="L43" i="5"/>
  <c r="L99" i="5"/>
  <c r="L113" i="5"/>
  <c r="L128" i="5"/>
  <c r="L151" i="5"/>
  <c r="L304" i="5"/>
  <c r="L178" i="5"/>
  <c r="L15" i="5"/>
  <c r="L79" i="5"/>
  <c r="L152" i="5"/>
  <c r="L167" i="5"/>
  <c r="L213" i="5"/>
  <c r="L237" i="5"/>
  <c r="L249" i="5"/>
  <c r="L273" i="5"/>
  <c r="L321" i="5"/>
  <c r="L207" i="5"/>
  <c r="L283" i="5"/>
  <c r="L290" i="5"/>
  <c r="L14" i="5"/>
  <c r="L30" i="5"/>
  <c r="H234" i="5"/>
  <c r="H143" i="5"/>
  <c r="H100" i="5"/>
  <c r="H243" i="5"/>
  <c r="H279" i="5"/>
  <c r="H60" i="5"/>
  <c r="H305" i="5"/>
  <c r="H193" i="5"/>
  <c r="H141" i="5"/>
  <c r="H65" i="5"/>
  <c r="H13" i="5"/>
  <c r="H208" i="3"/>
  <c r="L175" i="5"/>
  <c r="L227" i="5"/>
  <c r="L291" i="5"/>
  <c r="L78" i="5"/>
  <c r="L306" i="5"/>
  <c r="L275" i="5"/>
  <c r="L16" i="5"/>
  <c r="L24" i="5"/>
  <c r="L32" i="5"/>
  <c r="H308" i="5"/>
  <c r="H228" i="5"/>
  <c r="H175" i="5"/>
  <c r="H122" i="5"/>
  <c r="H74" i="5"/>
  <c r="H302" i="5"/>
  <c r="H195" i="5"/>
  <c r="H115" i="5"/>
  <c r="H322" i="5"/>
  <c r="H252" i="5"/>
  <c r="H130" i="5"/>
  <c r="H28" i="5"/>
  <c r="H285" i="5"/>
  <c r="H237" i="5"/>
  <c r="H177" i="5"/>
  <c r="H113" i="5"/>
  <c r="H49" i="5"/>
  <c r="H184" i="3"/>
  <c r="H32" i="3"/>
  <c r="H151" i="3"/>
  <c r="H255" i="3"/>
  <c r="H326" i="5"/>
  <c r="H294" i="5"/>
  <c r="H262" i="5"/>
  <c r="H230" i="5"/>
  <c r="H198" i="5"/>
  <c r="H166" i="5"/>
  <c r="H134" i="5"/>
  <c r="H102" i="5"/>
  <c r="H70" i="5"/>
  <c r="H38" i="5"/>
  <c r="H320" i="5"/>
  <c r="H304" i="5"/>
  <c r="H288" i="5"/>
  <c r="H272" i="5"/>
  <c r="H256" i="5"/>
  <c r="H240" i="5"/>
  <c r="H224" i="5"/>
  <c r="H208" i="5"/>
  <c r="H192" i="5"/>
  <c r="H176" i="5"/>
  <c r="H160" i="5"/>
  <c r="L126" i="5"/>
  <c r="L260" i="5"/>
  <c r="L312" i="5"/>
  <c r="H175" i="3"/>
  <c r="L206" i="5"/>
  <c r="L11" i="5"/>
  <c r="L12" i="5"/>
  <c r="L28" i="5"/>
  <c r="H247" i="3"/>
  <c r="H191" i="3"/>
  <c r="L210" i="5"/>
  <c r="L41" i="5"/>
  <c r="L70" i="5"/>
  <c r="L89" i="5"/>
  <c r="L104" i="5"/>
  <c r="L119" i="5"/>
  <c r="L138" i="5"/>
  <c r="L168" i="5"/>
  <c r="L194" i="5"/>
  <c r="L234" i="5"/>
  <c r="L242" i="5"/>
  <c r="L278" i="5"/>
  <c r="L298" i="5"/>
  <c r="L310" i="5"/>
  <c r="L326" i="5"/>
  <c r="L116" i="5"/>
  <c r="L98" i="5"/>
  <c r="L112" i="5"/>
  <c r="L135" i="5"/>
  <c r="L176" i="5"/>
  <c r="L263" i="5"/>
  <c r="L231" i="5"/>
  <c r="L27" i="5"/>
  <c r="L106" i="5"/>
  <c r="L121" i="5"/>
  <c r="L136" i="5"/>
  <c r="L158" i="5"/>
  <c r="L216" i="5"/>
  <c r="L82" i="5"/>
  <c r="L40" i="5"/>
  <c r="L125" i="5"/>
  <c r="L31" i="5"/>
  <c r="L63" i="5"/>
  <c r="L197" i="5"/>
  <c r="L233" i="5"/>
  <c r="L281" i="5"/>
  <c r="L301" i="5"/>
  <c r="L327" i="5"/>
  <c r="H258" i="3"/>
  <c r="L165" i="5"/>
  <c r="L22" i="5"/>
  <c r="H180" i="5"/>
  <c r="H323" i="5"/>
  <c r="H126" i="5"/>
  <c r="H30" i="5"/>
  <c r="H140" i="5"/>
  <c r="H241" i="5"/>
  <c r="L10" i="5"/>
  <c r="L18" i="5"/>
  <c r="L26" i="5"/>
  <c r="L34" i="5"/>
  <c r="H282" i="5"/>
  <c r="H207" i="5"/>
  <c r="H170" i="5"/>
  <c r="H116" i="5"/>
  <c r="H52" i="5"/>
  <c r="H286" i="5"/>
  <c r="H174" i="5"/>
  <c r="H67" i="5"/>
  <c r="H316" i="5"/>
  <c r="H204" i="5"/>
  <c r="H108" i="5"/>
  <c r="H281" i="5"/>
  <c r="H221" i="5"/>
  <c r="H157" i="5"/>
  <c r="H109" i="5"/>
  <c r="H218" i="3"/>
  <c r="H188" i="3"/>
  <c r="H236" i="3"/>
  <c r="H320" i="3"/>
  <c r="H217" i="3"/>
  <c r="H280" i="3"/>
  <c r="L170" i="5"/>
  <c r="L35" i="5"/>
  <c r="L51" i="5"/>
  <c r="L160" i="5"/>
  <c r="L214" i="5"/>
  <c r="L226" i="5"/>
  <c r="H250" i="5"/>
  <c r="L254" i="5"/>
  <c r="L262" i="5"/>
  <c r="H298" i="5"/>
  <c r="L314" i="5"/>
  <c r="L322" i="5"/>
  <c r="H330" i="5"/>
  <c r="L55" i="5"/>
  <c r="L13" i="5"/>
  <c r="L45" i="5"/>
  <c r="L58" i="5"/>
  <c r="L71" i="5"/>
  <c r="L77" i="5"/>
  <c r="L87" i="5"/>
  <c r="L161" i="5"/>
  <c r="L172" i="5"/>
  <c r="L180" i="5"/>
  <c r="L199" i="5"/>
  <c r="L211" i="5"/>
  <c r="L219" i="5"/>
  <c r="L235" i="5"/>
  <c r="L251" i="5"/>
  <c r="L259" i="5"/>
  <c r="L267" i="5"/>
  <c r="L279" i="5"/>
  <c r="L299" i="5"/>
  <c r="L307" i="5"/>
  <c r="L319" i="5"/>
  <c r="L331" i="5"/>
  <c r="L190" i="5"/>
  <c r="L33" i="5"/>
  <c r="L49" i="5"/>
  <c r="L68" i="5"/>
  <c r="L81" i="5"/>
  <c r="L91" i="5"/>
  <c r="L166" i="5"/>
  <c r="L173" i="5"/>
  <c r="L181" i="5"/>
  <c r="L192" i="5"/>
  <c r="L208" i="5"/>
  <c r="L228" i="5"/>
  <c r="L248" i="5"/>
  <c r="L280" i="5"/>
  <c r="L292" i="5"/>
  <c r="L300" i="5"/>
  <c r="L308" i="5"/>
  <c r="L47" i="5"/>
  <c r="L129" i="5"/>
  <c r="L137" i="5"/>
  <c r="L159" i="5"/>
  <c r="L66" i="5"/>
  <c r="L118" i="5"/>
  <c r="L21" i="5"/>
  <c r="L53" i="5"/>
  <c r="L88" i="5"/>
  <c r="L100" i="5"/>
  <c r="L189" i="5"/>
  <c r="L217" i="5"/>
  <c r="L253" i="5"/>
  <c r="L257" i="5"/>
  <c r="L269" i="5"/>
  <c r="L285" i="5"/>
  <c r="L289" i="5"/>
  <c r="L305" i="5"/>
  <c r="L325" i="5"/>
  <c r="H161" i="3"/>
  <c r="L141" i="5"/>
  <c r="L236" i="5"/>
  <c r="L268" i="5"/>
  <c r="H313" i="3"/>
  <c r="L154" i="5"/>
  <c r="H8" i="3"/>
  <c r="L191" i="5"/>
  <c r="H167" i="3"/>
  <c r="L54" i="5"/>
  <c r="L25" i="5"/>
  <c r="L67" i="5"/>
  <c r="L101" i="5"/>
  <c r="L123" i="5"/>
  <c r="L164" i="5"/>
  <c r="L202" i="5"/>
  <c r="L222" i="5"/>
  <c r="L230" i="5"/>
  <c r="L250" i="5"/>
  <c r="L258" i="5"/>
  <c r="L318" i="5"/>
  <c r="L212" i="5"/>
  <c r="L23" i="5"/>
  <c r="L29" i="5"/>
  <c r="L42" i="5"/>
  <c r="L48" i="5"/>
  <c r="L64" i="5"/>
  <c r="L74" i="5"/>
  <c r="L80" i="5"/>
  <c r="L108" i="5"/>
  <c r="L131" i="5"/>
  <c r="L139" i="5"/>
  <c r="L157" i="5"/>
  <c r="L169" i="5"/>
  <c r="L184" i="5"/>
  <c r="L203" i="5"/>
  <c r="L215" i="5"/>
  <c r="L223" i="5"/>
  <c r="L239" i="5"/>
  <c r="L247" i="5"/>
  <c r="L255" i="5"/>
  <c r="L271" i="5"/>
  <c r="L287" i="5"/>
  <c r="L303" i="5"/>
  <c r="L311" i="5"/>
  <c r="L323" i="5"/>
  <c r="L9" i="5"/>
  <c r="L315" i="5"/>
  <c r="L52" i="5"/>
  <c r="L65" i="5"/>
  <c r="L75" i="5"/>
  <c r="L84" i="5"/>
  <c r="L95" i="5"/>
  <c r="L124" i="5"/>
  <c r="L132" i="5"/>
  <c r="L155" i="5"/>
  <c r="L177" i="5"/>
  <c r="L188" i="5"/>
  <c r="L196" i="5"/>
  <c r="L204" i="5"/>
  <c r="L224" i="5"/>
  <c r="L240" i="5"/>
  <c r="L256" i="5"/>
  <c r="L272" i="5"/>
  <c r="L288" i="5"/>
  <c r="L296" i="5"/>
  <c r="L324" i="5"/>
  <c r="L50" i="5"/>
  <c r="L72" i="5"/>
  <c r="L133" i="5"/>
  <c r="L140" i="5"/>
  <c r="L144" i="5"/>
  <c r="L171" i="5"/>
  <c r="L114" i="5"/>
  <c r="L92" i="5"/>
  <c r="L96" i="5"/>
  <c r="L201" i="5"/>
  <c r="L209" i="5"/>
  <c r="L221" i="5"/>
  <c r="L229" i="5"/>
  <c r="L245" i="5"/>
  <c r="L265" i="5"/>
  <c r="L277" i="5"/>
  <c r="L297" i="5"/>
  <c r="L313" i="5"/>
  <c r="L317" i="5"/>
  <c r="H265" i="3"/>
  <c r="H306" i="3"/>
  <c r="H239" i="3"/>
  <c r="H194" i="3"/>
  <c r="L61" i="5"/>
  <c r="L153" i="5"/>
  <c r="L244" i="5"/>
  <c r="L276" i="5"/>
  <c r="L320" i="5"/>
  <c r="L185" i="5"/>
  <c r="L218" i="5"/>
  <c r="L316" i="5"/>
  <c r="L232" i="5"/>
  <c r="H144" i="5"/>
  <c r="H128" i="5"/>
  <c r="H112" i="5"/>
  <c r="H96" i="5"/>
  <c r="H80" i="5"/>
  <c r="H64" i="5"/>
  <c r="H48" i="5"/>
  <c r="H32" i="5"/>
  <c r="H16" i="5"/>
  <c r="H319" i="5"/>
  <c r="H303" i="5"/>
  <c r="H287" i="5"/>
  <c r="H271" i="5"/>
  <c r="H255" i="5"/>
  <c r="H223" i="5"/>
  <c r="H191" i="5"/>
  <c r="H159" i="5"/>
  <c r="H127" i="5"/>
  <c r="H95" i="5"/>
  <c r="H79" i="5"/>
  <c r="H47" i="5"/>
  <c r="H31" i="5"/>
  <c r="H159" i="3"/>
  <c r="L115" i="5"/>
  <c r="L38" i="5"/>
  <c r="L44" i="5"/>
  <c r="L57" i="5"/>
  <c r="L73" i="5"/>
  <c r="L83" i="5"/>
  <c r="L93" i="5"/>
  <c r="L111" i="5"/>
  <c r="L134" i="5"/>
  <c r="L145" i="5"/>
  <c r="L156" i="5"/>
  <c r="L179" i="5"/>
  <c r="L187" i="5"/>
  <c r="L198" i="5"/>
  <c r="L238" i="5"/>
  <c r="L246" i="5"/>
  <c r="L266" i="5"/>
  <c r="L274" i="5"/>
  <c r="L282" i="5"/>
  <c r="L302" i="5"/>
  <c r="L295" i="5"/>
  <c r="L39" i="5"/>
  <c r="H77" i="5"/>
  <c r="L90" i="5"/>
  <c r="L102" i="5"/>
  <c r="L120" i="5"/>
  <c r="L150" i="5"/>
  <c r="L243" i="5"/>
  <c r="L147" i="5"/>
  <c r="L17" i="5"/>
  <c r="L59" i="5"/>
  <c r="L103" i="5"/>
  <c r="L109" i="5"/>
  <c r="L117" i="5"/>
  <c r="L143" i="5"/>
  <c r="L162" i="5"/>
  <c r="L200" i="5"/>
  <c r="L220" i="5"/>
  <c r="L264" i="5"/>
  <c r="L148" i="5"/>
  <c r="L174" i="5"/>
  <c r="L182" i="5"/>
  <c r="L186" i="5"/>
  <c r="L37" i="5"/>
  <c r="L69" i="5"/>
  <c r="L163" i="5"/>
  <c r="L110" i="5"/>
  <c r="L122" i="5"/>
  <c r="L56" i="5"/>
  <c r="L85" i="5"/>
  <c r="L107" i="5"/>
  <c r="L193" i="5"/>
  <c r="L205" i="5"/>
  <c r="L225" i="5"/>
  <c r="L241" i="5"/>
  <c r="L261" i="5"/>
  <c r="L293" i="5"/>
  <c r="L309" i="5"/>
  <c r="L329" i="5"/>
  <c r="H149" i="3"/>
  <c r="H287" i="3"/>
  <c r="L94" i="5"/>
  <c r="L195" i="5"/>
  <c r="L62" i="5"/>
  <c r="L252" i="5"/>
  <c r="L284" i="5"/>
  <c r="L328" i="5"/>
  <c r="L142" i="5"/>
  <c r="L46" i="5"/>
  <c r="L86" i="5"/>
  <c r="K108" i="5"/>
  <c r="K252" i="5"/>
  <c r="H160" i="3"/>
  <c r="K40" i="5"/>
  <c r="K160" i="5"/>
  <c r="K200" i="5"/>
  <c r="H45" i="5"/>
  <c r="H237" i="3"/>
  <c r="K206" i="5"/>
  <c r="K71" i="5"/>
  <c r="K199" i="5"/>
  <c r="K202" i="5"/>
  <c r="K131" i="5"/>
  <c r="H162" i="3"/>
  <c r="F331" i="2"/>
  <c r="G331" i="2"/>
  <c r="K278" i="5"/>
  <c r="C331" i="2"/>
  <c r="H156" i="3"/>
  <c r="H268" i="3"/>
  <c r="D332" i="5"/>
  <c r="H266" i="3"/>
  <c r="K38" i="5"/>
  <c r="K118" i="5"/>
  <c r="K63" i="5"/>
  <c r="K235" i="5"/>
  <c r="K259" i="5"/>
  <c r="H242" i="3"/>
  <c r="H199" i="3"/>
  <c r="K234" i="5"/>
  <c r="E331" i="3"/>
  <c r="K158" i="5"/>
  <c r="E331" i="2"/>
  <c r="H321" i="3"/>
  <c r="H189" i="3"/>
  <c r="H263" i="3"/>
  <c r="H202" i="3"/>
  <c r="D331" i="2"/>
  <c r="H215" i="3"/>
  <c r="H331" i="5"/>
  <c r="H315" i="5"/>
  <c r="H299" i="5"/>
  <c r="H283" i="5"/>
  <c r="H267" i="5"/>
  <c r="H251" i="5"/>
  <c r="H235" i="5"/>
  <c r="H219" i="5"/>
  <c r="H203" i="5"/>
  <c r="H187" i="5"/>
  <c r="H171" i="5"/>
  <c r="H155" i="5"/>
  <c r="H139" i="5"/>
  <c r="H123" i="5"/>
  <c r="H196" i="3"/>
  <c r="H172" i="5"/>
  <c r="H92" i="5"/>
  <c r="H23" i="5"/>
  <c r="H301" i="5"/>
  <c r="H257" i="5"/>
  <c r="H217" i="5"/>
  <c r="H173" i="5"/>
  <c r="H129" i="5"/>
  <c r="H89" i="5"/>
  <c r="H192" i="3"/>
  <c r="H34" i="5"/>
  <c r="H98" i="5"/>
  <c r="H162" i="5"/>
  <c r="H226" i="5"/>
  <c r="H290" i="5"/>
  <c r="H311" i="3"/>
  <c r="H285" i="3"/>
  <c r="H256" i="3"/>
  <c r="H228" i="3"/>
  <c r="H200" i="3"/>
  <c r="H172" i="3"/>
  <c r="H144" i="3"/>
  <c r="H85" i="3"/>
  <c r="H29" i="3"/>
  <c r="H324" i="3"/>
  <c r="H296" i="3"/>
  <c r="H241" i="3"/>
  <c r="H212" i="3"/>
  <c r="H185" i="3"/>
  <c r="H96" i="3"/>
  <c r="H40" i="3"/>
  <c r="F331" i="1"/>
  <c r="C10" i="12" s="1"/>
  <c r="H17" i="5"/>
  <c r="H33" i="5"/>
  <c r="H57" i="5"/>
  <c r="H81" i="5"/>
  <c r="H97" i="5"/>
  <c r="H121" i="5"/>
  <c r="H145" i="5"/>
  <c r="H161" i="5"/>
  <c r="H185" i="5"/>
  <c r="H209" i="5"/>
  <c r="H225" i="5"/>
  <c r="H249" i="5"/>
  <c r="H273" i="5"/>
  <c r="H289" i="5"/>
  <c r="H313" i="5"/>
  <c r="H44" i="5"/>
  <c r="H76" i="5"/>
  <c r="H114" i="5"/>
  <c r="H151" i="5"/>
  <c r="H188" i="5"/>
  <c r="H220" i="5"/>
  <c r="H258" i="5"/>
  <c r="H300" i="5"/>
  <c r="H51" i="5"/>
  <c r="H94" i="5"/>
  <c r="H131" i="5"/>
  <c r="H179" i="5"/>
  <c r="H222" i="5"/>
  <c r="H259" i="5"/>
  <c r="H307" i="5"/>
  <c r="H10" i="5"/>
  <c r="H36" i="5"/>
  <c r="H58" i="5"/>
  <c r="H90" i="5"/>
  <c r="H111" i="5"/>
  <c r="H138" i="5"/>
  <c r="H164" i="5"/>
  <c r="H186" i="5"/>
  <c r="H218" i="5"/>
  <c r="H239" i="5"/>
  <c r="H266" i="5"/>
  <c r="H292" i="5"/>
  <c r="H314" i="5"/>
  <c r="H21" i="5"/>
  <c r="H37" i="5"/>
  <c r="H61" i="5"/>
  <c r="H85" i="5"/>
  <c r="H101" i="5"/>
  <c r="H125" i="5"/>
  <c r="H149" i="5"/>
  <c r="H165" i="5"/>
  <c r="H189" i="5"/>
  <c r="H213" i="5"/>
  <c r="H229" i="5"/>
  <c r="H253" i="5"/>
  <c r="H277" i="5"/>
  <c r="H293" i="5"/>
  <c r="H317" i="5"/>
  <c r="H12" i="5"/>
  <c r="H50" i="5"/>
  <c r="H87" i="5"/>
  <c r="H124" i="5"/>
  <c r="H156" i="5"/>
  <c r="H194" i="5"/>
  <c r="H236" i="5"/>
  <c r="H268" i="5"/>
  <c r="H306" i="5"/>
  <c r="H8" i="5"/>
  <c r="H62" i="5"/>
  <c r="H110" i="5"/>
  <c r="H136" i="5"/>
  <c r="H190" i="5"/>
  <c r="H238" i="5"/>
  <c r="H264" i="5"/>
  <c r="H318" i="5"/>
  <c r="H15" i="5"/>
  <c r="H42" i="5"/>
  <c r="H63" i="5"/>
  <c r="H80" i="3"/>
  <c r="H170" i="3"/>
  <c r="H224" i="3"/>
  <c r="H281" i="3"/>
  <c r="H107" i="5"/>
  <c r="H91" i="5"/>
  <c r="H75" i="5"/>
  <c r="H59" i="5"/>
  <c r="H43" i="5"/>
  <c r="H27" i="5"/>
  <c r="H11" i="5"/>
  <c r="H21" i="1"/>
  <c r="H23" i="1"/>
  <c r="H85" i="1"/>
  <c r="H133" i="1"/>
  <c r="H185" i="1"/>
  <c r="H222" i="1"/>
  <c r="H246" i="1"/>
  <c r="H278" i="1"/>
  <c r="H302" i="1"/>
  <c r="H319" i="1"/>
  <c r="H69" i="1"/>
  <c r="H151" i="1"/>
  <c r="H197" i="1"/>
  <c r="H243" i="1"/>
  <c r="H286" i="1"/>
  <c r="H311" i="1"/>
  <c r="H87" i="1"/>
  <c r="H165" i="1"/>
  <c r="H212" i="1"/>
  <c r="H258" i="1"/>
  <c r="H287" i="1"/>
  <c r="H318" i="1"/>
  <c r="H39" i="1"/>
  <c r="H169" i="1"/>
  <c r="H266" i="1"/>
  <c r="H327" i="1"/>
  <c r="H45" i="1"/>
  <c r="H196" i="1"/>
  <c r="H267" i="1"/>
  <c r="H109" i="1"/>
  <c r="H295" i="1"/>
  <c r="H125" i="1"/>
  <c r="H303" i="1"/>
  <c r="H226" i="1"/>
  <c r="H235" i="1"/>
  <c r="H105" i="3"/>
  <c r="H295" i="3"/>
  <c r="H305" i="3"/>
  <c r="H277" i="3"/>
  <c r="H248" i="3"/>
  <c r="H221" i="3"/>
  <c r="H193" i="3"/>
  <c r="H128" i="3"/>
  <c r="H72" i="3"/>
  <c r="H16" i="3"/>
  <c r="H316" i="3"/>
  <c r="H290" i="3"/>
  <c r="H261" i="3"/>
  <c r="H233" i="3"/>
  <c r="H177" i="3"/>
  <c r="H137" i="3"/>
  <c r="H81" i="3"/>
  <c r="H25" i="3"/>
  <c r="H315" i="1"/>
  <c r="H283" i="1"/>
  <c r="H242" i="1"/>
  <c r="H191" i="1"/>
  <c r="H119" i="1"/>
  <c r="H37" i="1"/>
  <c r="H322" i="1"/>
  <c r="H290" i="1"/>
  <c r="H250" i="1"/>
  <c r="H201" i="1"/>
  <c r="H135" i="1"/>
  <c r="H53" i="1"/>
  <c r="H271" i="1"/>
  <c r="H239" i="1"/>
  <c r="H203" i="1"/>
  <c r="H159" i="1"/>
  <c r="H95" i="1"/>
  <c r="H31" i="1"/>
  <c r="H103" i="1"/>
  <c r="H234" i="1"/>
  <c r="H310" i="1"/>
  <c r="H53" i="5"/>
  <c r="H117" i="5"/>
  <c r="H181" i="5"/>
  <c r="H245" i="5"/>
  <c r="H309" i="5"/>
  <c r="H329" i="5"/>
  <c r="H297" i="5"/>
  <c r="H265" i="5"/>
  <c r="H233" i="5"/>
  <c r="H201" i="5"/>
  <c r="H169" i="5"/>
  <c r="H137" i="5"/>
  <c r="H105" i="5"/>
  <c r="H73" i="5"/>
  <c r="H41" i="5"/>
  <c r="H9" i="5"/>
  <c r="H310" i="5"/>
  <c r="H278" i="5"/>
  <c r="H246" i="5"/>
  <c r="H214" i="5"/>
  <c r="H182" i="5"/>
  <c r="H150" i="5"/>
  <c r="H118" i="5"/>
  <c r="H86" i="5"/>
  <c r="H54" i="5"/>
  <c r="H22" i="5"/>
  <c r="H312" i="5"/>
  <c r="H296" i="5"/>
  <c r="H248" i="5"/>
  <c r="H232" i="5"/>
  <c r="H216" i="5"/>
  <c r="H184" i="5"/>
  <c r="H168" i="5"/>
  <c r="H152" i="5"/>
  <c r="H120" i="5"/>
  <c r="H104" i="5"/>
  <c r="H88" i="5"/>
  <c r="H56" i="5"/>
  <c r="H40" i="5"/>
  <c r="H24" i="5"/>
  <c r="H327" i="5"/>
  <c r="H311" i="5"/>
  <c r="H295" i="5"/>
  <c r="H263" i="5"/>
  <c r="H247" i="5"/>
  <c r="H231" i="5"/>
  <c r="H199" i="5"/>
  <c r="H167" i="5"/>
  <c r="H135" i="5"/>
  <c r="H119" i="5"/>
  <c r="H103" i="5"/>
  <c r="H71" i="5"/>
  <c r="H55" i="5"/>
  <c r="H39" i="5"/>
  <c r="H7" i="5"/>
  <c r="H21" i="3"/>
  <c r="H136" i="3"/>
  <c r="H197" i="3"/>
  <c r="H252" i="3"/>
  <c r="H308" i="3"/>
  <c r="H297" i="3"/>
  <c r="H271" i="3"/>
  <c r="H213" i="3"/>
  <c r="H113" i="3"/>
  <c r="H57" i="3"/>
  <c r="H309" i="3"/>
  <c r="H253" i="3"/>
  <c r="H226" i="3"/>
  <c r="H165" i="3"/>
  <c r="H125" i="3"/>
  <c r="G331" i="1"/>
  <c r="C11" i="12" s="1"/>
  <c r="H307" i="1"/>
  <c r="H274" i="1"/>
  <c r="H230" i="1"/>
  <c r="H176" i="1"/>
  <c r="H101" i="1"/>
  <c r="H13" i="1"/>
  <c r="H314" i="1"/>
  <c r="H282" i="1"/>
  <c r="H238" i="1"/>
  <c r="H187" i="1"/>
  <c r="H117" i="1"/>
  <c r="H29" i="1"/>
  <c r="H263" i="1"/>
  <c r="H231" i="1"/>
  <c r="H192" i="1"/>
  <c r="H143" i="1"/>
  <c r="H79" i="1"/>
  <c r="H15" i="1"/>
  <c r="H149" i="1"/>
  <c r="H254" i="1"/>
  <c r="H326" i="1"/>
  <c r="H18" i="5"/>
  <c r="H82" i="5"/>
  <c r="H146" i="5"/>
  <c r="H210" i="5"/>
  <c r="H274" i="5"/>
  <c r="H69" i="5"/>
  <c r="H133" i="5"/>
  <c r="H197" i="5"/>
  <c r="H261" i="5"/>
  <c r="H325" i="5"/>
  <c r="H270" i="5"/>
  <c r="H206" i="5"/>
  <c r="H142" i="5"/>
  <c r="H78" i="5"/>
  <c r="H14" i="5"/>
  <c r="H324" i="5"/>
  <c r="H276" i="5"/>
  <c r="H260" i="5"/>
  <c r="H212" i="5"/>
  <c r="H196" i="5"/>
  <c r="H148" i="5"/>
  <c r="H132" i="5"/>
  <c r="H84" i="5"/>
  <c r="H68" i="5"/>
  <c r="H20" i="5"/>
  <c r="H291" i="5"/>
  <c r="H275" i="5"/>
  <c r="H227" i="5"/>
  <c r="H211" i="5"/>
  <c r="H163" i="5"/>
  <c r="H147" i="5"/>
  <c r="H83" i="5"/>
  <c r="H35" i="5"/>
  <c r="H19" i="5"/>
  <c r="H49" i="3"/>
  <c r="H209" i="3"/>
  <c r="H319" i="3"/>
  <c r="H292" i="3"/>
  <c r="H207" i="3"/>
  <c r="H153" i="3"/>
  <c r="H41" i="3"/>
  <c r="H329" i="3"/>
  <c r="H304" i="3"/>
  <c r="H276" i="3"/>
  <c r="H157" i="3"/>
  <c r="H112" i="3"/>
  <c r="H53" i="3"/>
  <c r="H45" i="3"/>
  <c r="H88" i="3"/>
  <c r="H129" i="3"/>
  <c r="H205" i="3"/>
  <c r="H284" i="3"/>
  <c r="H327" i="3"/>
  <c r="H124" i="3"/>
  <c r="G332" i="5"/>
  <c r="H225" i="3"/>
  <c r="H13" i="3"/>
  <c r="H56" i="3"/>
  <c r="H141" i="3"/>
  <c r="H169" i="3"/>
  <c r="H210" i="3"/>
  <c r="H148" i="3"/>
  <c r="H84" i="3"/>
  <c r="H52" i="3"/>
  <c r="H20" i="3"/>
  <c r="H183" i="5"/>
  <c r="H24" i="3"/>
  <c r="H65" i="3"/>
  <c r="H109" i="3"/>
  <c r="H173" i="3"/>
  <c r="H234" i="3"/>
  <c r="H274" i="3"/>
  <c r="H293" i="3"/>
  <c r="H317" i="3"/>
  <c r="H140" i="3"/>
  <c r="H108" i="3"/>
  <c r="H76" i="3"/>
  <c r="H44" i="3"/>
  <c r="H12" i="3"/>
  <c r="C332" i="5"/>
  <c r="H244" i="3"/>
  <c r="H92" i="3"/>
  <c r="H60" i="3"/>
  <c r="H28" i="3"/>
  <c r="H280" i="5"/>
  <c r="H264" i="3"/>
  <c r="H97" i="3"/>
  <c r="H229" i="3"/>
  <c r="H249" i="3"/>
  <c r="H269" i="3"/>
  <c r="H312" i="3"/>
  <c r="H116" i="3"/>
  <c r="H99" i="5"/>
  <c r="H331" i="2"/>
  <c r="H289" i="3"/>
  <c r="I331" i="2"/>
  <c r="H164" i="3"/>
  <c r="H303" i="3"/>
  <c r="H33" i="3"/>
  <c r="H77" i="3"/>
  <c r="H120" i="3"/>
  <c r="H178" i="3"/>
  <c r="H201" i="3"/>
  <c r="H220" i="3"/>
  <c r="H240" i="3"/>
  <c r="H260" i="3"/>
  <c r="H279" i="3"/>
  <c r="H298" i="3"/>
  <c r="H322" i="3"/>
  <c r="H100" i="3"/>
  <c r="H68" i="3"/>
  <c r="H36" i="3"/>
  <c r="H35" i="3"/>
  <c r="H51" i="3"/>
  <c r="H115" i="3"/>
  <c r="H163" i="3"/>
  <c r="H211" i="3"/>
  <c r="H259" i="3"/>
  <c r="H307" i="3"/>
  <c r="H39" i="3"/>
  <c r="H87" i="3"/>
  <c r="H119" i="3"/>
  <c r="L8" i="5"/>
  <c r="E332" i="5"/>
  <c r="H22" i="3"/>
  <c r="H38" i="3"/>
  <c r="H54" i="3"/>
  <c r="H70" i="3"/>
  <c r="H86" i="3"/>
  <c r="H102" i="3"/>
  <c r="H118" i="3"/>
  <c r="H134" i="3"/>
  <c r="H150" i="3"/>
  <c r="H166" i="3"/>
  <c r="H182" i="3"/>
  <c r="H198" i="3"/>
  <c r="H214" i="3"/>
  <c r="H230" i="3"/>
  <c r="H246" i="3"/>
  <c r="H262" i="3"/>
  <c r="H278" i="3"/>
  <c r="H294" i="3"/>
  <c r="H310" i="3"/>
  <c r="H326" i="3"/>
  <c r="H10" i="3"/>
  <c r="H42" i="3"/>
  <c r="H58" i="3"/>
  <c r="H74" i="3"/>
  <c r="H90" i="3"/>
  <c r="H106" i="3"/>
  <c r="H122" i="3"/>
  <c r="H138" i="3"/>
  <c r="F332" i="5"/>
  <c r="H83" i="3"/>
  <c r="H131" i="3"/>
  <c r="H179" i="3"/>
  <c r="H227" i="3"/>
  <c r="H275" i="3"/>
  <c r="H323" i="3"/>
  <c r="I331" i="3"/>
  <c r="H55" i="3"/>
  <c r="H71" i="3"/>
  <c r="H135" i="3"/>
  <c r="H27" i="3"/>
  <c r="H43" i="3"/>
  <c r="H59" i="3"/>
  <c r="H75" i="3"/>
  <c r="H91" i="3"/>
  <c r="H107" i="3"/>
  <c r="H123" i="3"/>
  <c r="H139" i="3"/>
  <c r="H155" i="3"/>
  <c r="H171" i="3"/>
  <c r="H187" i="3"/>
  <c r="H203" i="3"/>
  <c r="H219" i="3"/>
  <c r="H235" i="3"/>
  <c r="H251" i="3"/>
  <c r="H267" i="3"/>
  <c r="H283" i="3"/>
  <c r="H299" i="3"/>
  <c r="H315" i="3"/>
  <c r="H15" i="3"/>
  <c r="H31" i="3"/>
  <c r="H47" i="3"/>
  <c r="H63" i="3"/>
  <c r="H79" i="3"/>
  <c r="H95" i="3"/>
  <c r="H111" i="3"/>
  <c r="H127" i="3"/>
  <c r="H143" i="3"/>
  <c r="H19" i="3"/>
  <c r="H67" i="3"/>
  <c r="H99" i="3"/>
  <c r="H147" i="3"/>
  <c r="H195" i="3"/>
  <c r="H243" i="3"/>
  <c r="H291" i="3"/>
  <c r="H7" i="3"/>
  <c r="H23" i="3"/>
  <c r="H103" i="3"/>
  <c r="H14" i="3"/>
  <c r="H30" i="3"/>
  <c r="H46" i="3"/>
  <c r="H62" i="3"/>
  <c r="H78" i="3"/>
  <c r="H94" i="3"/>
  <c r="H110" i="3"/>
  <c r="H126" i="3"/>
  <c r="H142" i="3"/>
  <c r="H158" i="3"/>
  <c r="H174" i="3"/>
  <c r="H190" i="3"/>
  <c r="H206" i="3"/>
  <c r="H222" i="3"/>
  <c r="H238" i="3"/>
  <c r="H254" i="3"/>
  <c r="H270" i="3"/>
  <c r="H286" i="3"/>
  <c r="H302" i="3"/>
  <c r="H318" i="3"/>
  <c r="H18" i="3"/>
  <c r="H34" i="3"/>
  <c r="H50" i="3"/>
  <c r="H66" i="3"/>
  <c r="H82" i="3"/>
  <c r="H98" i="3"/>
  <c r="H114" i="3"/>
  <c r="H130" i="3"/>
  <c r="H146" i="3"/>
  <c r="C9" i="12" l="1"/>
  <c r="C8" i="12"/>
  <c r="G331" i="3"/>
  <c r="N303" i="5"/>
  <c r="H330" i="3"/>
  <c r="H26" i="3"/>
  <c r="N187" i="5"/>
  <c r="N269" i="5"/>
  <c r="D6" i="12"/>
  <c r="N152" i="5"/>
  <c r="D43" i="12"/>
  <c r="K38" i="12"/>
  <c r="J38" i="12"/>
  <c r="K37" i="12"/>
  <c r="J37" i="12"/>
  <c r="C38" i="12"/>
  <c r="C37" i="12"/>
  <c r="N254" i="5"/>
  <c r="N238" i="5"/>
  <c r="N204" i="5"/>
  <c r="B29" i="10"/>
  <c r="N87" i="5"/>
  <c r="N324" i="5"/>
  <c r="N107" i="5"/>
  <c r="N230" i="5"/>
  <c r="N190" i="5"/>
  <c r="N226" i="5"/>
  <c r="N298" i="5"/>
  <c r="N110" i="5"/>
  <c r="N141" i="5"/>
  <c r="N55" i="5"/>
  <c r="N12" i="5"/>
  <c r="N329" i="5"/>
  <c r="N61" i="5"/>
  <c r="N155" i="5"/>
  <c r="N191" i="5"/>
  <c r="N181" i="5"/>
  <c r="N263" i="5"/>
  <c r="N326" i="5"/>
  <c r="N194" i="5"/>
  <c r="N78" i="5"/>
  <c r="N186" i="5"/>
  <c r="N272" i="5"/>
  <c r="N8" i="5"/>
  <c r="N205" i="5"/>
  <c r="N143" i="5"/>
  <c r="N147" i="5"/>
  <c r="N73" i="5"/>
  <c r="N229" i="5"/>
  <c r="N50" i="5"/>
  <c r="N240" i="5"/>
  <c r="N139" i="5"/>
  <c r="N258" i="5"/>
  <c r="N313" i="5"/>
  <c r="N171" i="5"/>
  <c r="N195" i="5"/>
  <c r="N109" i="5"/>
  <c r="N134" i="5"/>
  <c r="N144" i="5"/>
  <c r="N203" i="5"/>
  <c r="N248" i="5"/>
  <c r="N207" i="5"/>
  <c r="B27" i="10"/>
  <c r="N94" i="5"/>
  <c r="N130" i="5"/>
  <c r="N150" i="5"/>
  <c r="N296" i="5"/>
  <c r="N21" i="5"/>
  <c r="N315" i="5"/>
  <c r="N121" i="5"/>
  <c r="N37" i="5"/>
  <c r="N220" i="5"/>
  <c r="N302" i="5"/>
  <c r="N198" i="5"/>
  <c r="N276" i="5"/>
  <c r="N140" i="5"/>
  <c r="N288" i="5"/>
  <c r="N9" i="5"/>
  <c r="N255" i="5"/>
  <c r="N80" i="5"/>
  <c r="N23" i="5"/>
  <c r="N91" i="5"/>
  <c r="N16" i="5"/>
  <c r="N128" i="5"/>
  <c r="N253" i="5"/>
  <c r="N241" i="5"/>
  <c r="N56" i="5"/>
  <c r="N59" i="5"/>
  <c r="N282" i="5"/>
  <c r="N232" i="5"/>
  <c r="N244" i="5"/>
  <c r="N96" i="5"/>
  <c r="N133" i="5"/>
  <c r="N84" i="5"/>
  <c r="N74" i="5"/>
  <c r="N212" i="5"/>
  <c r="N268" i="5"/>
  <c r="N189" i="5"/>
  <c r="N66" i="5"/>
  <c r="N308" i="5"/>
  <c r="N319" i="5"/>
  <c r="N251" i="5"/>
  <c r="N45" i="5"/>
  <c r="N22" i="5"/>
  <c r="N233" i="5"/>
  <c r="N27" i="5"/>
  <c r="N98" i="5"/>
  <c r="N104" i="5"/>
  <c r="N79" i="5"/>
  <c r="N113" i="5"/>
  <c r="N44" i="5"/>
  <c r="N322" i="5"/>
  <c r="N301" i="5"/>
  <c r="N122" i="5"/>
  <c r="N182" i="5"/>
  <c r="N90" i="5"/>
  <c r="N179" i="5"/>
  <c r="N83" i="5"/>
  <c r="N153" i="5"/>
  <c r="N245" i="5"/>
  <c r="N92" i="5"/>
  <c r="N256" i="5"/>
  <c r="N311" i="5"/>
  <c r="N64" i="5"/>
  <c r="N159" i="5"/>
  <c r="N68" i="5"/>
  <c r="N307" i="5"/>
  <c r="N13" i="5"/>
  <c r="N216" i="5"/>
  <c r="N28" i="5"/>
  <c r="N260" i="5"/>
  <c r="N249" i="5"/>
  <c r="N15" i="5"/>
  <c r="N286" i="5"/>
  <c r="N193" i="5"/>
  <c r="N243" i="5"/>
  <c r="N39" i="5"/>
  <c r="N246" i="5"/>
  <c r="N57" i="5"/>
  <c r="N185" i="5"/>
  <c r="N221" i="5"/>
  <c r="N52" i="5"/>
  <c r="N42" i="5"/>
  <c r="N250" i="5"/>
  <c r="N101" i="5"/>
  <c r="N257" i="5"/>
  <c r="N26" i="5"/>
  <c r="N31" i="5"/>
  <c r="N176" i="5"/>
  <c r="N168" i="5"/>
  <c r="N291" i="5"/>
  <c r="N304" i="5"/>
  <c r="N290" i="5"/>
  <c r="N283" i="5"/>
  <c r="N105" i="5"/>
  <c r="N183" i="5"/>
  <c r="N76" i="5"/>
  <c r="N24" i="5"/>
  <c r="N317" i="5"/>
  <c r="C12" i="12"/>
  <c r="D27" i="12" s="1"/>
  <c r="N46" i="5"/>
  <c r="N293" i="5"/>
  <c r="N69" i="5"/>
  <c r="N174" i="5"/>
  <c r="N102" i="5"/>
  <c r="N295" i="5"/>
  <c r="N145" i="5"/>
  <c r="N265" i="5"/>
  <c r="N114" i="5"/>
  <c r="N188" i="5"/>
  <c r="N124" i="5"/>
  <c r="N65" i="5"/>
  <c r="N323" i="5"/>
  <c r="N271" i="5"/>
  <c r="N223" i="5"/>
  <c r="N48" i="5"/>
  <c r="N123" i="5"/>
  <c r="N289" i="5"/>
  <c r="N47" i="5"/>
  <c r="N166" i="5"/>
  <c r="N219" i="5"/>
  <c r="N35" i="5"/>
  <c r="N34" i="5"/>
  <c r="N125" i="5"/>
  <c r="N135" i="5"/>
  <c r="N321" i="5"/>
  <c r="N19" i="5"/>
  <c r="N142" i="5"/>
  <c r="N62" i="5"/>
  <c r="N148" i="5"/>
  <c r="N162" i="5"/>
  <c r="N103" i="5"/>
  <c r="N201" i="5"/>
  <c r="N72" i="5"/>
  <c r="N224" i="5"/>
  <c r="N177" i="5"/>
  <c r="N95" i="5"/>
  <c r="N318" i="5"/>
  <c r="N217" i="5"/>
  <c r="N53" i="5"/>
  <c r="N211" i="5"/>
  <c r="N262" i="5"/>
  <c r="N214" i="5"/>
  <c r="N327" i="5"/>
  <c r="N197" i="5"/>
  <c r="N231" i="5"/>
  <c r="N119" i="5"/>
  <c r="N126" i="5"/>
  <c r="N306" i="5"/>
  <c r="N227" i="5"/>
  <c r="N167" i="5"/>
  <c r="N178" i="5"/>
  <c r="N127" i="5"/>
  <c r="N270" i="5"/>
  <c r="N40" i="5"/>
  <c r="N86" i="5"/>
  <c r="N284" i="5"/>
  <c r="N85" i="5"/>
  <c r="N163" i="5"/>
  <c r="N17" i="5"/>
  <c r="N120" i="5"/>
  <c r="N156" i="5"/>
  <c r="N93" i="5"/>
  <c r="N316" i="5"/>
  <c r="N277" i="5"/>
  <c r="N196" i="5"/>
  <c r="N132" i="5"/>
  <c r="N184" i="5"/>
  <c r="N25" i="5"/>
  <c r="N305" i="5"/>
  <c r="N100" i="5"/>
  <c r="N228" i="5"/>
  <c r="N173" i="5"/>
  <c r="N331" i="5"/>
  <c r="N279" i="5"/>
  <c r="N180" i="5"/>
  <c r="N77" i="5"/>
  <c r="N314" i="5"/>
  <c r="N10" i="5"/>
  <c r="N165" i="5"/>
  <c r="N116" i="5"/>
  <c r="N89" i="5"/>
  <c r="N11" i="5"/>
  <c r="N312" i="5"/>
  <c r="N30" i="5"/>
  <c r="N237" i="5"/>
  <c r="N151" i="5"/>
  <c r="N43" i="5"/>
  <c r="N330" i="5"/>
  <c r="N149" i="5"/>
  <c r="N60" i="5"/>
  <c r="N202" i="5"/>
  <c r="N294" i="5"/>
  <c r="N170" i="5"/>
  <c r="N328" i="5"/>
  <c r="N247" i="5"/>
  <c r="N29" i="5"/>
  <c r="N67" i="5"/>
  <c r="N325" i="5"/>
  <c r="N137" i="5"/>
  <c r="N299" i="5"/>
  <c r="N118" i="5"/>
  <c r="K26" i="12"/>
  <c r="L26" i="12"/>
  <c r="J27" i="12"/>
  <c r="N26" i="12"/>
  <c r="J25" i="12"/>
  <c r="N21" i="12"/>
  <c r="N24" i="12"/>
  <c r="N20" i="12"/>
  <c r="M25" i="12"/>
  <c r="M21" i="12"/>
  <c r="M17" i="12"/>
  <c r="L22" i="12"/>
  <c r="L18" i="12"/>
  <c r="K23" i="12"/>
  <c r="K19" i="12"/>
  <c r="J19" i="12"/>
  <c r="J23" i="12"/>
  <c r="N27" i="12"/>
  <c r="N17" i="12"/>
  <c r="M18" i="12"/>
  <c r="L19" i="12"/>
  <c r="K20" i="12"/>
  <c r="J18" i="12"/>
  <c r="N23" i="12"/>
  <c r="N19" i="12"/>
  <c r="M24" i="12"/>
  <c r="M20" i="12"/>
  <c r="L25" i="12"/>
  <c r="L21" i="12"/>
  <c r="L17" i="12"/>
  <c r="K22" i="12"/>
  <c r="K18" i="12"/>
  <c r="J20" i="12"/>
  <c r="J24" i="12"/>
  <c r="M27" i="12"/>
  <c r="N22" i="12"/>
  <c r="N18" i="12"/>
  <c r="M23" i="12"/>
  <c r="M19" i="12"/>
  <c r="L24" i="12"/>
  <c r="L20" i="12"/>
  <c r="K25" i="12"/>
  <c r="K21" i="12"/>
  <c r="K17" i="12"/>
  <c r="J21" i="12"/>
  <c r="L27" i="12"/>
  <c r="K27" i="12"/>
  <c r="N25" i="12"/>
  <c r="M22" i="12"/>
  <c r="L23" i="12"/>
  <c r="K24" i="12"/>
  <c r="J22" i="12"/>
  <c r="J17" i="12"/>
  <c r="F331" i="3"/>
  <c r="M26" i="12" s="1"/>
  <c r="D20" i="12"/>
  <c r="P20" i="12" s="1"/>
  <c r="D24" i="12"/>
  <c r="P24" i="12" s="1"/>
  <c r="D22" i="12"/>
  <c r="P22" i="12" s="1"/>
  <c r="D26" i="12"/>
  <c r="P26" i="12" s="1"/>
  <c r="D21" i="12"/>
  <c r="P21" i="12" s="1"/>
  <c r="D25" i="12"/>
  <c r="P25" i="12" s="1"/>
  <c r="D18" i="12"/>
  <c r="P18" i="12" s="1"/>
  <c r="D19" i="12"/>
  <c r="P19" i="12" s="1"/>
  <c r="D23" i="12"/>
  <c r="P23" i="12" s="1"/>
  <c r="N278" i="5"/>
  <c r="N274" i="5"/>
  <c r="N218" i="5"/>
  <c r="N209" i="5"/>
  <c r="N287" i="5"/>
  <c r="N164" i="5"/>
  <c r="N236" i="5"/>
  <c r="N129" i="5"/>
  <c r="N300" i="5"/>
  <c r="N18" i="5"/>
  <c r="N82" i="5"/>
  <c r="N210" i="5"/>
  <c r="N273" i="5"/>
  <c r="N97" i="5"/>
  <c r="N199" i="5"/>
  <c r="N239" i="5"/>
  <c r="N175" i="5"/>
  <c r="N259" i="5"/>
  <c r="N71" i="5"/>
  <c r="N261" i="5"/>
  <c r="N266" i="5"/>
  <c r="N115" i="5"/>
  <c r="N169" i="5"/>
  <c r="N54" i="5"/>
  <c r="N154" i="5"/>
  <c r="N88" i="5"/>
  <c r="N292" i="5"/>
  <c r="N208" i="5"/>
  <c r="N49" i="5"/>
  <c r="N267" i="5"/>
  <c r="N172" i="5"/>
  <c r="N51" i="5"/>
  <c r="N106" i="5"/>
  <c r="N99" i="5"/>
  <c r="N36" i="5"/>
  <c r="N158" i="5"/>
  <c r="N309" i="5"/>
  <c r="N117" i="5"/>
  <c r="N75" i="5"/>
  <c r="N81" i="5"/>
  <c r="N136" i="5"/>
  <c r="N112" i="5"/>
  <c r="N310" i="5"/>
  <c r="N41" i="5"/>
  <c r="N32" i="5"/>
  <c r="N213" i="5"/>
  <c r="N146" i="5"/>
  <c r="D17" i="12"/>
  <c r="P17" i="12" s="1"/>
  <c r="N200" i="5"/>
  <c r="N252" i="5"/>
  <c r="N281" i="5"/>
  <c r="N38" i="5"/>
  <c r="N234" i="5"/>
  <c r="N235" i="5"/>
  <c r="N131" i="5"/>
  <c r="N206" i="5"/>
  <c r="N160" i="5"/>
  <c r="N108" i="5"/>
  <c r="N264" i="5"/>
  <c r="N111" i="5"/>
  <c r="N320" i="5"/>
  <c r="N297" i="5"/>
  <c r="N215" i="5"/>
  <c r="N157" i="5"/>
  <c r="N222" i="5"/>
  <c r="N285" i="5"/>
  <c r="N280" i="5"/>
  <c r="N192" i="5"/>
  <c r="N33" i="5"/>
  <c r="N161" i="5"/>
  <c r="N58" i="5"/>
  <c r="N242" i="5"/>
  <c r="N138" i="5"/>
  <c r="N70" i="5"/>
  <c r="N275" i="5"/>
  <c r="N14" i="5"/>
  <c r="N20" i="5"/>
  <c r="N63" i="5"/>
  <c r="N225" i="5"/>
  <c r="B22" i="10"/>
  <c r="H331" i="1"/>
  <c r="B16" i="10" s="1"/>
  <c r="B17" i="10"/>
  <c r="H332" i="5"/>
  <c r="B23" i="10"/>
  <c r="D12" i="12" l="1"/>
  <c r="D39" i="12"/>
  <c r="B15" i="10"/>
  <c r="O18" i="12"/>
  <c r="J39" i="12"/>
  <c r="K39" i="12"/>
  <c r="O22" i="12"/>
  <c r="O23" i="12"/>
  <c r="O21" i="12"/>
  <c r="O20" i="12"/>
  <c r="O24" i="12"/>
  <c r="P27" i="12"/>
  <c r="O17" i="12"/>
  <c r="O19" i="12"/>
  <c r="O25" i="12"/>
  <c r="D13" i="12"/>
  <c r="D28" i="12"/>
  <c r="B21" i="10"/>
  <c r="B24" i="10"/>
  <c r="C331" i="3" l="1"/>
  <c r="J26" i="12" s="1"/>
  <c r="H331" i="3"/>
  <c r="O26" i="12" s="1"/>
  <c r="O27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Department of Management</author>
  </authors>
  <commentList>
    <comment ref="B2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Select a School District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<sst xmlns="http://schemas.openxmlformats.org/spreadsheetml/2006/main" count="4467" uniqueCount="1156">
  <si>
    <t>AGWSR</t>
  </si>
  <si>
    <t>BCLUW</t>
  </si>
  <si>
    <t>CAM</t>
  </si>
  <si>
    <t>CAL</t>
  </si>
  <si>
    <t>GMG</t>
  </si>
  <si>
    <t>HLV</t>
  </si>
  <si>
    <t>PCM</t>
  </si>
  <si>
    <t>A</t>
  </si>
  <si>
    <t>B</t>
  </si>
  <si>
    <t xml:space="preserve">C </t>
  </si>
  <si>
    <t>D</t>
  </si>
  <si>
    <t>C</t>
  </si>
  <si>
    <t xml:space="preserve">REGULAR STATE PAYMENT </t>
  </si>
  <si>
    <t>F</t>
  </si>
  <si>
    <t>G</t>
  </si>
  <si>
    <t>H</t>
  </si>
  <si>
    <t>(A+B+C+D+E+F+G)</t>
  </si>
  <si>
    <t>Includes Preschool, Teacher Salary, Early Intervention, Professional Development and Teacher Leadership</t>
  </si>
  <si>
    <t>AHSTW</t>
  </si>
  <si>
    <t>0009</t>
  </si>
  <si>
    <t>0018</t>
  </si>
  <si>
    <t>0027</t>
  </si>
  <si>
    <t>0063</t>
  </si>
  <si>
    <t>0072</t>
  </si>
  <si>
    <t>0081</t>
  </si>
  <si>
    <t>0099</t>
  </si>
  <si>
    <t>0108</t>
  </si>
  <si>
    <t>0126</t>
  </si>
  <si>
    <t>0135</t>
  </si>
  <si>
    <t>0153</t>
  </si>
  <si>
    <t>0171</t>
  </si>
  <si>
    <t>0225</t>
  </si>
  <si>
    <t>0234</t>
  </si>
  <si>
    <t>0243</t>
  </si>
  <si>
    <t>0261</t>
  </si>
  <si>
    <t>0279</t>
  </si>
  <si>
    <t>0333</t>
  </si>
  <si>
    <t>0355</t>
  </si>
  <si>
    <t>0387</t>
  </si>
  <si>
    <t>0414</t>
  </si>
  <si>
    <t>0441</t>
  </si>
  <si>
    <t>0472</t>
  </si>
  <si>
    <t>0513</t>
  </si>
  <si>
    <t>0540</t>
  </si>
  <si>
    <t>0549</t>
  </si>
  <si>
    <t>0576</t>
  </si>
  <si>
    <t>0585</t>
  </si>
  <si>
    <t>0594</t>
  </si>
  <si>
    <t>0603</t>
  </si>
  <si>
    <t>0609</t>
  </si>
  <si>
    <t>0621</t>
  </si>
  <si>
    <t>0657</t>
  </si>
  <si>
    <t>0720</t>
  </si>
  <si>
    <t>0729</t>
  </si>
  <si>
    <t>0747</t>
  </si>
  <si>
    <t>0819</t>
  </si>
  <si>
    <t>0846</t>
  </si>
  <si>
    <t>0873</t>
  </si>
  <si>
    <t>0882</t>
  </si>
  <si>
    <t>0914</t>
  </si>
  <si>
    <t>0916</t>
  </si>
  <si>
    <t>0918</t>
  </si>
  <si>
    <t>0936</t>
  </si>
  <si>
    <t>0977</t>
  </si>
  <si>
    <t>0981</t>
  </si>
  <si>
    <t>0999</t>
  </si>
  <si>
    <t>1044</t>
  </si>
  <si>
    <t>1053</t>
  </si>
  <si>
    <t>1062</t>
  </si>
  <si>
    <t>1071</t>
  </si>
  <si>
    <t>1079</t>
  </si>
  <si>
    <t>1080</t>
  </si>
  <si>
    <t>1082</t>
  </si>
  <si>
    <t>1089</t>
  </si>
  <si>
    <t>1093</t>
  </si>
  <si>
    <t>1095</t>
  </si>
  <si>
    <t>1107</t>
  </si>
  <si>
    <t>1116</t>
  </si>
  <si>
    <t>1134</t>
  </si>
  <si>
    <t>1152</t>
  </si>
  <si>
    <t>1197</t>
  </si>
  <si>
    <t>1206</t>
  </si>
  <si>
    <t>1211</t>
  </si>
  <si>
    <t>1215</t>
  </si>
  <si>
    <t>1218</t>
  </si>
  <si>
    <t>1221</t>
  </si>
  <si>
    <t>1233</t>
  </si>
  <si>
    <t>1278</t>
  </si>
  <si>
    <t>1332</t>
  </si>
  <si>
    <t>1337</t>
  </si>
  <si>
    <t>1350</t>
  </si>
  <si>
    <t>1359</t>
  </si>
  <si>
    <t>1368</t>
  </si>
  <si>
    <t>1413</t>
  </si>
  <si>
    <t>1431</t>
  </si>
  <si>
    <t>1476</t>
  </si>
  <si>
    <t>1503</t>
  </si>
  <si>
    <t>1576</t>
  </si>
  <si>
    <t>1602</t>
  </si>
  <si>
    <t>1611</t>
  </si>
  <si>
    <t>1619</t>
  </si>
  <si>
    <t>1638</t>
  </si>
  <si>
    <t>1675</t>
  </si>
  <si>
    <t>1701</t>
  </si>
  <si>
    <t>1719</t>
  </si>
  <si>
    <t>1737</t>
  </si>
  <si>
    <t>1782</t>
  </si>
  <si>
    <t>1791</t>
  </si>
  <si>
    <t>1863</t>
  </si>
  <si>
    <t>1908</t>
  </si>
  <si>
    <t>1917</t>
  </si>
  <si>
    <t>1926</t>
  </si>
  <si>
    <t>1935</t>
  </si>
  <si>
    <t>1944</t>
  </si>
  <si>
    <t>1953</t>
  </si>
  <si>
    <t>1963</t>
  </si>
  <si>
    <t>1965</t>
  </si>
  <si>
    <t>1970</t>
  </si>
  <si>
    <t>1972</t>
  </si>
  <si>
    <t>1975</t>
  </si>
  <si>
    <t>1989</t>
  </si>
  <si>
    <t>2007</t>
  </si>
  <si>
    <t>2088</t>
  </si>
  <si>
    <t>2097</t>
  </si>
  <si>
    <t>2113</t>
  </si>
  <si>
    <t>2124</t>
  </si>
  <si>
    <t>2151</t>
  </si>
  <si>
    <t>2169</t>
  </si>
  <si>
    <t>2295</t>
  </si>
  <si>
    <t>2313</t>
  </si>
  <si>
    <t>2322</t>
  </si>
  <si>
    <t>2369</t>
  </si>
  <si>
    <t>2376</t>
  </si>
  <si>
    <t>2403</t>
  </si>
  <si>
    <t>2457</t>
  </si>
  <si>
    <t>2466</t>
  </si>
  <si>
    <t>2493</t>
  </si>
  <si>
    <t>2502</t>
  </si>
  <si>
    <t>2511</t>
  </si>
  <si>
    <t>2520</t>
  </si>
  <si>
    <t>2556</t>
  </si>
  <si>
    <t>2673</t>
  </si>
  <si>
    <t>2682</t>
  </si>
  <si>
    <t>2709</t>
  </si>
  <si>
    <t>2718</t>
  </si>
  <si>
    <t>2727</t>
  </si>
  <si>
    <t>2754</t>
  </si>
  <si>
    <t>2763</t>
  </si>
  <si>
    <t>2766</t>
  </si>
  <si>
    <t>2772</t>
  </si>
  <si>
    <t>2781</t>
  </si>
  <si>
    <t>2826</t>
  </si>
  <si>
    <t>2846</t>
  </si>
  <si>
    <t>2862</t>
  </si>
  <si>
    <t>2977</t>
  </si>
  <si>
    <t>2988</t>
  </si>
  <si>
    <t>3029</t>
  </si>
  <si>
    <t>3033</t>
  </si>
  <si>
    <t>3042</t>
  </si>
  <si>
    <t>3060</t>
  </si>
  <si>
    <t>3105</t>
  </si>
  <si>
    <t>3114</t>
  </si>
  <si>
    <t>3119</t>
  </si>
  <si>
    <t>3141</t>
  </si>
  <si>
    <t>3150</t>
  </si>
  <si>
    <t>3154</t>
  </si>
  <si>
    <t>3168</t>
  </si>
  <si>
    <t>3186</t>
  </si>
  <si>
    <t>3195</t>
  </si>
  <si>
    <t>3204</t>
  </si>
  <si>
    <t>3231</t>
  </si>
  <si>
    <t>3312</t>
  </si>
  <si>
    <t>3330</t>
  </si>
  <si>
    <t>3348</t>
  </si>
  <si>
    <t>3375</t>
  </si>
  <si>
    <t>3420</t>
  </si>
  <si>
    <t>3465</t>
  </si>
  <si>
    <t>3537</t>
  </si>
  <si>
    <t>3555</t>
  </si>
  <si>
    <t>3582</t>
  </si>
  <si>
    <t>3600</t>
  </si>
  <si>
    <t>3609</t>
  </si>
  <si>
    <t>3645</t>
  </si>
  <si>
    <t>3691</t>
  </si>
  <si>
    <t>3715</t>
  </si>
  <si>
    <t>3744</t>
  </si>
  <si>
    <t>3798</t>
  </si>
  <si>
    <t>3816</t>
  </si>
  <si>
    <t>3841</t>
  </si>
  <si>
    <t>3897</t>
  </si>
  <si>
    <t>3906</t>
  </si>
  <si>
    <t>3942</t>
  </si>
  <si>
    <t>3978</t>
  </si>
  <si>
    <t>4023</t>
  </si>
  <si>
    <t>4033</t>
  </si>
  <si>
    <t>4041</t>
  </si>
  <si>
    <t>4043</t>
  </si>
  <si>
    <t>4068</t>
  </si>
  <si>
    <t>4086</t>
  </si>
  <si>
    <t>4104</t>
  </si>
  <si>
    <t>4122</t>
  </si>
  <si>
    <t>4131</t>
  </si>
  <si>
    <t>4149</t>
  </si>
  <si>
    <t>4203</t>
  </si>
  <si>
    <t>4212</t>
  </si>
  <si>
    <t>4269</t>
  </si>
  <si>
    <t>4271</t>
  </si>
  <si>
    <t>4356</t>
  </si>
  <si>
    <t>4419</t>
  </si>
  <si>
    <t>4437</t>
  </si>
  <si>
    <t>4446</t>
  </si>
  <si>
    <t>4491</t>
  </si>
  <si>
    <t>4505</t>
  </si>
  <si>
    <t>4509</t>
  </si>
  <si>
    <t>4518</t>
  </si>
  <si>
    <t>4527</t>
  </si>
  <si>
    <t>4536</t>
  </si>
  <si>
    <t>4554</t>
  </si>
  <si>
    <t>4572</t>
  </si>
  <si>
    <t>4581</t>
  </si>
  <si>
    <t>4599</t>
  </si>
  <si>
    <t>4617</t>
  </si>
  <si>
    <t>4644</t>
  </si>
  <si>
    <t>4662</t>
  </si>
  <si>
    <t>4689</t>
  </si>
  <si>
    <t>4725</t>
  </si>
  <si>
    <t>4772</t>
  </si>
  <si>
    <t>4773</t>
  </si>
  <si>
    <t>4774</t>
  </si>
  <si>
    <t>4775</t>
  </si>
  <si>
    <t>4776</t>
  </si>
  <si>
    <t>4777</t>
  </si>
  <si>
    <t>4778</t>
  </si>
  <si>
    <t>4779</t>
  </si>
  <si>
    <t>4784</t>
  </si>
  <si>
    <t>4785</t>
  </si>
  <si>
    <t>4788</t>
  </si>
  <si>
    <t>4797</t>
  </si>
  <si>
    <t>4824</t>
  </si>
  <si>
    <t>4860</t>
  </si>
  <si>
    <t>4869</t>
  </si>
  <si>
    <t>4878</t>
  </si>
  <si>
    <t>4890</t>
  </si>
  <si>
    <t>4905</t>
  </si>
  <si>
    <t>4978</t>
  </si>
  <si>
    <t>4995</t>
  </si>
  <si>
    <t>5013</t>
  </si>
  <si>
    <t>5049</t>
  </si>
  <si>
    <t>5121</t>
  </si>
  <si>
    <t>5139</t>
  </si>
  <si>
    <t>5157</t>
  </si>
  <si>
    <t>5163</t>
  </si>
  <si>
    <t>5166</t>
  </si>
  <si>
    <t>5184</t>
  </si>
  <si>
    <t>5250</t>
  </si>
  <si>
    <t>5256</t>
  </si>
  <si>
    <t>5283</t>
  </si>
  <si>
    <t>5310</t>
  </si>
  <si>
    <t>5319</t>
  </si>
  <si>
    <t>5323</t>
  </si>
  <si>
    <t>5463</t>
  </si>
  <si>
    <t>5486</t>
  </si>
  <si>
    <t>5508</t>
  </si>
  <si>
    <t>5607</t>
  </si>
  <si>
    <t>5643</t>
  </si>
  <si>
    <t>5697</t>
  </si>
  <si>
    <t>5724</t>
  </si>
  <si>
    <t>5751</t>
  </si>
  <si>
    <t>5805</t>
  </si>
  <si>
    <t>5823</t>
  </si>
  <si>
    <t>5832</t>
  </si>
  <si>
    <t>5877</t>
  </si>
  <si>
    <t>5895</t>
  </si>
  <si>
    <t>5922</t>
  </si>
  <si>
    <t>5949</t>
  </si>
  <si>
    <t>5976</t>
  </si>
  <si>
    <t>5994</t>
  </si>
  <si>
    <t>6003</t>
  </si>
  <si>
    <t>6012</t>
  </si>
  <si>
    <t>6030</t>
  </si>
  <si>
    <t>6039</t>
  </si>
  <si>
    <t>6048</t>
  </si>
  <si>
    <t>6091</t>
  </si>
  <si>
    <t>6093</t>
  </si>
  <si>
    <t>6094</t>
  </si>
  <si>
    <t>6095</t>
  </si>
  <si>
    <t>6096</t>
  </si>
  <si>
    <t>6097</t>
  </si>
  <si>
    <t>6098</t>
  </si>
  <si>
    <t>6100</t>
  </si>
  <si>
    <t>6101</t>
  </si>
  <si>
    <t>6102</t>
  </si>
  <si>
    <t>6120</t>
  </si>
  <si>
    <t>6138</t>
  </si>
  <si>
    <t>6165</t>
  </si>
  <si>
    <t>6175</t>
  </si>
  <si>
    <t>6219</t>
  </si>
  <si>
    <t>6246</t>
  </si>
  <si>
    <t>6264</t>
  </si>
  <si>
    <t>6273</t>
  </si>
  <si>
    <t>6408</t>
  </si>
  <si>
    <t>6453</t>
  </si>
  <si>
    <t>6460</t>
  </si>
  <si>
    <t>6462</t>
  </si>
  <si>
    <t>6471</t>
  </si>
  <si>
    <t>6509</t>
  </si>
  <si>
    <t>6512</t>
  </si>
  <si>
    <t>6516</t>
  </si>
  <si>
    <t>6534</t>
  </si>
  <si>
    <t>6561</t>
  </si>
  <si>
    <t>6579</t>
  </si>
  <si>
    <t>6592</t>
  </si>
  <si>
    <t>6615</t>
  </si>
  <si>
    <t>6651</t>
  </si>
  <si>
    <t>6660</t>
  </si>
  <si>
    <t>6700</t>
  </si>
  <si>
    <t>6741</t>
  </si>
  <si>
    <t>6759</t>
  </si>
  <si>
    <t>6762</t>
  </si>
  <si>
    <t>6768</t>
  </si>
  <si>
    <t>6795</t>
  </si>
  <si>
    <t>6822</t>
  </si>
  <si>
    <t>6840</t>
  </si>
  <si>
    <t>6854</t>
  </si>
  <si>
    <t>6867</t>
  </si>
  <si>
    <t>6921</t>
  </si>
  <si>
    <t>6930</t>
  </si>
  <si>
    <t>6937</t>
  </si>
  <si>
    <t>6943</t>
  </si>
  <si>
    <t>6950</t>
  </si>
  <si>
    <t>6957</t>
  </si>
  <si>
    <t>6961</t>
  </si>
  <si>
    <t>6969</t>
  </si>
  <si>
    <t>6975</t>
  </si>
  <si>
    <t>6983</t>
  </si>
  <si>
    <t>6985</t>
  </si>
  <si>
    <t>6987</t>
  </si>
  <si>
    <t>6990</t>
  </si>
  <si>
    <t>6992</t>
  </si>
  <si>
    <t>7002</t>
  </si>
  <si>
    <t>7029</t>
  </si>
  <si>
    <t>7038</t>
  </si>
  <si>
    <t>7047</t>
  </si>
  <si>
    <t>7056</t>
  </si>
  <si>
    <t>7092</t>
  </si>
  <si>
    <t>7098</t>
  </si>
  <si>
    <t>7110</t>
  </si>
  <si>
    <t>FiscalYear</t>
  </si>
  <si>
    <t>DistrictNumber</t>
  </si>
  <si>
    <t>Label</t>
  </si>
  <si>
    <t>Original Budget (Aid and Levy 16.12)</t>
  </si>
  <si>
    <t>Preschool State Admin Reduction</t>
  </si>
  <si>
    <t>Juvenile Home Reduction (Starts in January)</t>
  </si>
  <si>
    <t>Spec Ed Excess Pos Balance Reduction</t>
  </si>
  <si>
    <t>Regular State Payment</t>
  </si>
  <si>
    <t>Preschool State Aid (Code 3117)</t>
  </si>
  <si>
    <t>Early Intervention (Code 3216)</t>
  </si>
  <si>
    <t>Professional Development (Code 3376)</t>
  </si>
  <si>
    <t>Teacher Leadership (Code 3116)</t>
  </si>
  <si>
    <t>Pay 1 State Foundation Aid (Code 3111)</t>
  </si>
  <si>
    <t>Pay 2 State Foundation Aid (Code 3111)</t>
  </si>
  <si>
    <t>Pay 3 State Foundation Aid (Code 3111)</t>
  </si>
  <si>
    <t>Pay 1 Regular State Payment Budget</t>
  </si>
  <si>
    <t>Pay 2 Regular State Payment Budget</t>
  </si>
  <si>
    <t>Pay 3 Regular State Payment Budget</t>
  </si>
  <si>
    <t>September Payment</t>
  </si>
  <si>
    <t>October Payment</t>
  </si>
  <si>
    <t>November Payment</t>
  </si>
  <si>
    <t>December Payment</t>
  </si>
  <si>
    <t>January Payment</t>
  </si>
  <si>
    <t>February Payment</t>
  </si>
  <si>
    <t>March Payment</t>
  </si>
  <si>
    <t>April Payment</t>
  </si>
  <si>
    <t>May Payment</t>
  </si>
  <si>
    <t>June Payment</t>
  </si>
  <si>
    <t>Adair-Casey</t>
  </si>
  <si>
    <t>Adel-Desoto-Minburn</t>
  </si>
  <si>
    <t>Akron-Westfield</t>
  </si>
  <si>
    <t>Albert City-Truesdale</t>
  </si>
  <si>
    <t>Albia</t>
  </si>
  <si>
    <t>Alburnett</t>
  </si>
  <si>
    <t>Alden</t>
  </si>
  <si>
    <t>Algona</t>
  </si>
  <si>
    <t>Allamakee</t>
  </si>
  <si>
    <t>North Butler</t>
  </si>
  <si>
    <t>Ames</t>
  </si>
  <si>
    <t>Anamosa</t>
  </si>
  <si>
    <t>Andrew</t>
  </si>
  <si>
    <t>Ankeny</t>
  </si>
  <si>
    <t>Aplington-Parkersburg</t>
  </si>
  <si>
    <t>North Union</t>
  </si>
  <si>
    <t>Ar-We-Va</t>
  </si>
  <si>
    <t>Atlantic</t>
  </si>
  <si>
    <t>Audubon</t>
  </si>
  <si>
    <t>Ballard</t>
  </si>
  <si>
    <t>Baxter</t>
  </si>
  <si>
    <t>Bedford</t>
  </si>
  <si>
    <t>Belle Plaine</t>
  </si>
  <si>
    <t>Bellevue</t>
  </si>
  <si>
    <t>Belmond-Klemme</t>
  </si>
  <si>
    <t>Bennett</t>
  </si>
  <si>
    <t>Benton</t>
  </si>
  <si>
    <t>Bettendorf</t>
  </si>
  <si>
    <t>Eddyville-Blakesburg-Fremont</t>
  </si>
  <si>
    <t>Bondurant-Farrar</t>
  </si>
  <si>
    <t>Boone</t>
  </si>
  <si>
    <t>Boyden-Hull</t>
  </si>
  <si>
    <t>West Hancock</t>
  </si>
  <si>
    <t>Brooklyn-Guernsey-Malcom</t>
  </si>
  <si>
    <t>North Iowa</t>
  </si>
  <si>
    <t>Burlington</t>
  </si>
  <si>
    <t>Calamus-Wheatland</t>
  </si>
  <si>
    <t>Camanche</t>
  </si>
  <si>
    <t>Cardinal</t>
  </si>
  <si>
    <t>Carlisle</t>
  </si>
  <si>
    <t>Carroll</t>
  </si>
  <si>
    <t>Cedar Falls</t>
  </si>
  <si>
    <t>Cedar Rapids</t>
  </si>
  <si>
    <t>Center Point-Urbana</t>
  </si>
  <si>
    <t>Centerville</t>
  </si>
  <si>
    <t>Central Lee</t>
  </si>
  <si>
    <t>Central Clayton</t>
  </si>
  <si>
    <t>Central De Witt</t>
  </si>
  <si>
    <t>Central City</t>
  </si>
  <si>
    <t>Central Decatur</t>
  </si>
  <si>
    <t>Central Lyon</t>
  </si>
  <si>
    <t>Chariton</t>
  </si>
  <si>
    <t>Charles City</t>
  </si>
  <si>
    <t>Charter Oak-Ute</t>
  </si>
  <si>
    <t>Cherokee</t>
  </si>
  <si>
    <t>Clarinda</t>
  </si>
  <si>
    <t>Clarion-Goldfield-Dows</t>
  </si>
  <si>
    <t>Clarke</t>
  </si>
  <si>
    <t>Clarksville</t>
  </si>
  <si>
    <t>Clay Central-Everly</t>
  </si>
  <si>
    <t>Clear Creek-Amana</t>
  </si>
  <si>
    <t>Clear Lake</t>
  </si>
  <si>
    <t>Clinton</t>
  </si>
  <si>
    <t>Colfax-Mingo</t>
  </si>
  <si>
    <t>College Community</t>
  </si>
  <si>
    <t>Collins-Maxwell</t>
  </si>
  <si>
    <t>Colo-Nesco</t>
  </si>
  <si>
    <t>Columbus</t>
  </si>
  <si>
    <t>Coon Rapids-Bayard</t>
  </si>
  <si>
    <t>Corning</t>
  </si>
  <si>
    <t>Council Bluffs</t>
  </si>
  <si>
    <t>Creston</t>
  </si>
  <si>
    <t>Dallas Center-Grimes</t>
  </si>
  <si>
    <t>Danville</t>
  </si>
  <si>
    <t>Davenport</t>
  </si>
  <si>
    <t>Davis County</t>
  </si>
  <si>
    <t>Decorah</t>
  </si>
  <si>
    <t>Delwood</t>
  </si>
  <si>
    <t>Denison</t>
  </si>
  <si>
    <t>Denver</t>
  </si>
  <si>
    <t>Des Moines</t>
  </si>
  <si>
    <t>Diagonal</t>
  </si>
  <si>
    <t>Dike-New Hartford</t>
  </si>
  <si>
    <t>Dubuque</t>
  </si>
  <si>
    <t>Dunkerton</t>
  </si>
  <si>
    <t>Boyer Valley</t>
  </si>
  <si>
    <t>Durant</t>
  </si>
  <si>
    <t>Union</t>
  </si>
  <si>
    <t>Eagle Grove</t>
  </si>
  <si>
    <t>Earlham</t>
  </si>
  <si>
    <t>East Buchanan</t>
  </si>
  <si>
    <t>Easton Valley</t>
  </si>
  <si>
    <t>East Union</t>
  </si>
  <si>
    <t>Eastern Allamakee</t>
  </si>
  <si>
    <t>River Valley</t>
  </si>
  <si>
    <t>Edgewood-Colesburg</t>
  </si>
  <si>
    <t>Eldora-New Providence</t>
  </si>
  <si>
    <t>Emmetsburg</t>
  </si>
  <si>
    <t>English Valleys</t>
  </si>
  <si>
    <t>Essex</t>
  </si>
  <si>
    <t>Estherville-Lincoln Central</t>
  </si>
  <si>
    <t>Exira-Elk Horn-Kimballton</t>
  </si>
  <si>
    <t>Fairfield</t>
  </si>
  <si>
    <t>Forest City</t>
  </si>
  <si>
    <t>Fort Dodge</t>
  </si>
  <si>
    <t>Fort Madison</t>
  </si>
  <si>
    <t>Fremont-Mills</t>
  </si>
  <si>
    <t>Galva-Holstein</t>
  </si>
  <si>
    <t>Garner-Hayfield-Ventura</t>
  </si>
  <si>
    <t>George-Little Rock</t>
  </si>
  <si>
    <t>Gilbert</t>
  </si>
  <si>
    <t>Gilmore City-Bradgate</t>
  </si>
  <si>
    <t>Gladbrook-Reinbeck</t>
  </si>
  <si>
    <t>Glenwood</t>
  </si>
  <si>
    <t>Glidden-Ralston</t>
  </si>
  <si>
    <t>Graettinger-Terril</t>
  </si>
  <si>
    <t>Nodaway Valley</t>
  </si>
  <si>
    <t>Grinnell-Newburg</t>
  </si>
  <si>
    <t>Griswold</t>
  </si>
  <si>
    <t>Grundy Center</t>
  </si>
  <si>
    <t>Guthrie Center</t>
  </si>
  <si>
    <t>Clayton Ridge</t>
  </si>
  <si>
    <t>Hamburg</t>
  </si>
  <si>
    <t>Hampton-Dumont</t>
  </si>
  <si>
    <t>Harlan</t>
  </si>
  <si>
    <t>Harris-Lake Park</t>
  </si>
  <si>
    <t>Hartley-Melvin-Sanborn</t>
  </si>
  <si>
    <t>Highland</t>
  </si>
  <si>
    <t>Hinton</t>
  </si>
  <si>
    <t>Howard-Winneshiek</t>
  </si>
  <si>
    <t>Hubbard-Radcliffe</t>
  </si>
  <si>
    <t>Hudson</t>
  </si>
  <si>
    <t>Humboldt</t>
  </si>
  <si>
    <t>Independence</t>
  </si>
  <si>
    <t>Indianola</t>
  </si>
  <si>
    <t>Interstate 35</t>
  </si>
  <si>
    <t>Iowa City</t>
  </si>
  <si>
    <t>Iowa Falls</t>
  </si>
  <si>
    <t>Iowa Valley</t>
  </si>
  <si>
    <t>IKM-Manning</t>
  </si>
  <si>
    <t>Janesville</t>
  </si>
  <si>
    <t>Greene County</t>
  </si>
  <si>
    <t>Jesup</t>
  </si>
  <si>
    <t>Johnston</t>
  </si>
  <si>
    <t>Keokuk</t>
  </si>
  <si>
    <t>Keota</t>
  </si>
  <si>
    <t>Kingsley-Pierson</t>
  </si>
  <si>
    <t>Knoxville</t>
  </si>
  <si>
    <t>Lake Mills</t>
  </si>
  <si>
    <t>Lamoni</t>
  </si>
  <si>
    <t>Laurens-Marathon</t>
  </si>
  <si>
    <t>Lawton-Bronson</t>
  </si>
  <si>
    <t>East Marshall</t>
  </si>
  <si>
    <t>Le Mars</t>
  </si>
  <si>
    <t>Lenox</t>
  </si>
  <si>
    <t>Lewis Central</t>
  </si>
  <si>
    <t>North Cedar</t>
  </si>
  <si>
    <t>Linn-Mar</t>
  </si>
  <si>
    <t>Lisbon</t>
  </si>
  <si>
    <t>Logan-Magnolia</t>
  </si>
  <si>
    <t>Lone Tree</t>
  </si>
  <si>
    <t>Louisa-Muscatine</t>
  </si>
  <si>
    <t>Lynnville-Sully</t>
  </si>
  <si>
    <t>Madrid</t>
  </si>
  <si>
    <t>East Mills</t>
  </si>
  <si>
    <t>Manson-Northwest Webster</t>
  </si>
  <si>
    <t>Maple Valley-Anthon Oto</t>
  </si>
  <si>
    <t>Maquoketa</t>
  </si>
  <si>
    <t>Maquoketa Valley</t>
  </si>
  <si>
    <t>Marcus-Meriden Cleghorn</t>
  </si>
  <si>
    <t>Marion</t>
  </si>
  <si>
    <t>Marshalltown</t>
  </si>
  <si>
    <t>Martensdale-St Marys</t>
  </si>
  <si>
    <t>Mason City</t>
  </si>
  <si>
    <t>Moc-Floyd Valley</t>
  </si>
  <si>
    <t>Mediapolis</t>
  </si>
  <si>
    <t>Melcher-Dallas</t>
  </si>
  <si>
    <t>Midland</t>
  </si>
  <si>
    <t>Mid-Prairie</t>
  </si>
  <si>
    <t>Missouri Valley</t>
  </si>
  <si>
    <t>MFL Mar Mac</t>
  </si>
  <si>
    <t>Montezuma</t>
  </si>
  <si>
    <t>Monticello</t>
  </si>
  <si>
    <t>Moravia</t>
  </si>
  <si>
    <t>Mormon Trail</t>
  </si>
  <si>
    <t>Morning Sun</t>
  </si>
  <si>
    <t>Moulton-Udell</t>
  </si>
  <si>
    <t>Mount Ayr</t>
  </si>
  <si>
    <t>Mount Pleasant</t>
  </si>
  <si>
    <t>Mount Vernon</t>
  </si>
  <si>
    <t>Murray</t>
  </si>
  <si>
    <t>Muscatine</t>
  </si>
  <si>
    <t>Nashua-Plainfield</t>
  </si>
  <si>
    <t>Nevada</t>
  </si>
  <si>
    <t>Newell-Fonda</t>
  </si>
  <si>
    <t>New Hampton</t>
  </si>
  <si>
    <t>New London</t>
  </si>
  <si>
    <t>Newton</t>
  </si>
  <si>
    <t>Central Springs</t>
  </si>
  <si>
    <t>Northeast</t>
  </si>
  <si>
    <t>North Mahaska</t>
  </si>
  <si>
    <t>North Linn</t>
  </si>
  <si>
    <t>North Kossuth</t>
  </si>
  <si>
    <t>North Polk</t>
  </si>
  <si>
    <t>North Scott</t>
  </si>
  <si>
    <t>North Tama</t>
  </si>
  <si>
    <t>Northwood-Kensett</t>
  </si>
  <si>
    <t>Norwalk</t>
  </si>
  <si>
    <t>Riverside</t>
  </si>
  <si>
    <t>Oelwein</t>
  </si>
  <si>
    <t>Ogden</t>
  </si>
  <si>
    <t>Okoboji</t>
  </si>
  <si>
    <t>Olin</t>
  </si>
  <si>
    <t>Orient-Macksburg</t>
  </si>
  <si>
    <t>Osage</t>
  </si>
  <si>
    <t>Oskaloosa</t>
  </si>
  <si>
    <t>Ottumwa</t>
  </si>
  <si>
    <t>Panorama</t>
  </si>
  <si>
    <t>Paton-Churdan</t>
  </si>
  <si>
    <t>South O'Brien</t>
  </si>
  <si>
    <t>Pekin</t>
  </si>
  <si>
    <t>Pella</t>
  </si>
  <si>
    <t>Perry</t>
  </si>
  <si>
    <t>Pleasant Valley</t>
  </si>
  <si>
    <t>Pleasantville</t>
  </si>
  <si>
    <t>Pocahontas Area</t>
  </si>
  <si>
    <t>Postville</t>
  </si>
  <si>
    <t>Red Oak</t>
  </si>
  <si>
    <t>Remsen-Union</t>
  </si>
  <si>
    <t>Riceville</t>
  </si>
  <si>
    <t>Rock Valley</t>
  </si>
  <si>
    <t>Roland-Story</t>
  </si>
  <si>
    <t>Rudd-Rockford-Marble Rock</t>
  </si>
  <si>
    <t>Ruthven-Ayrshire</t>
  </si>
  <si>
    <t>St Ansgar</t>
  </si>
  <si>
    <t>Saydel</t>
  </si>
  <si>
    <t>Schaller-Crestland</t>
  </si>
  <si>
    <t>Schleswig</t>
  </si>
  <si>
    <t>Sergeant Bluff-Luton</t>
  </si>
  <si>
    <t>Seymour</t>
  </si>
  <si>
    <t>West Fork</t>
  </si>
  <si>
    <t>Sheldon</t>
  </si>
  <si>
    <t>Shenandoah</t>
  </si>
  <si>
    <t>Sibley-Ocheyedan</t>
  </si>
  <si>
    <t>Sidney</t>
  </si>
  <si>
    <t>Sigourney</t>
  </si>
  <si>
    <t>Sioux Center</t>
  </si>
  <si>
    <t>Sioux City</t>
  </si>
  <si>
    <t>Sioux Central</t>
  </si>
  <si>
    <t>South Central Calhoun</t>
  </si>
  <si>
    <t>Solon</t>
  </si>
  <si>
    <t>Southeast Warren</t>
  </si>
  <si>
    <t>South Hamilton</t>
  </si>
  <si>
    <t>South Page</t>
  </si>
  <si>
    <t>South Tama</t>
  </si>
  <si>
    <t>South Winneshiek</t>
  </si>
  <si>
    <t>Southeast Polk</t>
  </si>
  <si>
    <t>Spencer</t>
  </si>
  <si>
    <t>Spirit Lake</t>
  </si>
  <si>
    <t>Springville</t>
  </si>
  <si>
    <t>Stanton</t>
  </si>
  <si>
    <t>Starmont</t>
  </si>
  <si>
    <t>Storm Lake</t>
  </si>
  <si>
    <t>Stratford</t>
  </si>
  <si>
    <t>West Central Valley</t>
  </si>
  <si>
    <t>Sumner-Fredericksburg</t>
  </si>
  <si>
    <t>Tipton</t>
  </si>
  <si>
    <t>Treynor</t>
  </si>
  <si>
    <t>Tri-Center</t>
  </si>
  <si>
    <t>Tri-County</t>
  </si>
  <si>
    <t>Tripoli</t>
  </si>
  <si>
    <t>Turkey Valley</t>
  </si>
  <si>
    <t>Twin Cedars</t>
  </si>
  <si>
    <t>Twin Rivers</t>
  </si>
  <si>
    <t>Underwood</t>
  </si>
  <si>
    <t>United</t>
  </si>
  <si>
    <t>Urbandale</t>
  </si>
  <si>
    <t>Van Meter</t>
  </si>
  <si>
    <t>Villisca</t>
  </si>
  <si>
    <t>Vinton-Shellsburg</t>
  </si>
  <si>
    <t>Waco</t>
  </si>
  <si>
    <t>East Sac County</t>
  </si>
  <si>
    <t>Wapello</t>
  </si>
  <si>
    <t>Wapsie Valley</t>
  </si>
  <si>
    <t>Washington</t>
  </si>
  <si>
    <t>Waterloo</t>
  </si>
  <si>
    <t>Waukee</t>
  </si>
  <si>
    <t>Waverly-Shell Rock</t>
  </si>
  <si>
    <t>Wayne</t>
  </si>
  <si>
    <t>Webster City</t>
  </si>
  <si>
    <t>West Bend-Mallard</t>
  </si>
  <si>
    <t>West Branch</t>
  </si>
  <si>
    <t>West Burlington</t>
  </si>
  <si>
    <t>West Central</t>
  </si>
  <si>
    <t>West Delaware Co</t>
  </si>
  <si>
    <t>West Des Moines</t>
  </si>
  <si>
    <t>Western Dubuque Co</t>
  </si>
  <si>
    <t>West Harrison</t>
  </si>
  <si>
    <t>West Liberty</t>
  </si>
  <si>
    <t>West Lyon</t>
  </si>
  <si>
    <t>West Marshall</t>
  </si>
  <si>
    <t>West Monona</t>
  </si>
  <si>
    <t>West Sioux</t>
  </si>
  <si>
    <t>Westwood</t>
  </si>
  <si>
    <t>Whiting</t>
  </si>
  <si>
    <t>Williamsburg</t>
  </si>
  <si>
    <t>Wilton</t>
  </si>
  <si>
    <t>Winfield-Mt Union</t>
  </si>
  <si>
    <t>Winterset</t>
  </si>
  <si>
    <t>Woodbine</t>
  </si>
  <si>
    <t>Woodbury Central</t>
  </si>
  <si>
    <t>Woodward-Granger</t>
  </si>
  <si>
    <t>6536</t>
  </si>
  <si>
    <t>1968</t>
  </si>
  <si>
    <t>5510</t>
  </si>
  <si>
    <t>6099</t>
  </si>
  <si>
    <t>5160</t>
  </si>
  <si>
    <t>6035</t>
  </si>
  <si>
    <t>Fiscal Year</t>
  </si>
  <si>
    <t>Original Budget 
(Aid and Levy 16.12)</t>
  </si>
  <si>
    <t>Preschool State 
Admin Reduction</t>
  </si>
  <si>
    <t>Juvenile Home 
Reduction 
(Starts in January)</t>
  </si>
  <si>
    <t>Spec Ed Excess Pos 
Balance Reduction
(Starts in March)</t>
  </si>
  <si>
    <t>Teacher Salary (Code 3204)</t>
  </si>
  <si>
    <t>Payment Month</t>
  </si>
  <si>
    <t>September</t>
  </si>
  <si>
    <t>Pay Type - Regular State Payment Budget</t>
  </si>
  <si>
    <t>Pay Type - State Foundation Aid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</si>
  <si>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</si>
  <si>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</si>
  <si>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</si>
  <si>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</si>
  <si>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</si>
  <si>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</si>
  <si>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</si>
  <si>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</si>
  <si>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</si>
  <si>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Pick List for Payment Month</t>
  </si>
  <si>
    <t>Pay 1</t>
  </si>
  <si>
    <t>Pay 2</t>
  </si>
  <si>
    <t>Pay 3</t>
  </si>
  <si>
    <t>Pay 4</t>
  </si>
  <si>
    <t>Payment</t>
  </si>
  <si>
    <t>Paid Thru</t>
  </si>
  <si>
    <t>Paid Thru September</t>
  </si>
  <si>
    <t>Paid Thru October</t>
  </si>
  <si>
    <t>Paid Thru November</t>
  </si>
  <si>
    <t>Paid Thru December</t>
  </si>
  <si>
    <t>Paid Thru January</t>
  </si>
  <si>
    <t>Paid Thru February</t>
  </si>
  <si>
    <t>Paid Thru March</t>
  </si>
  <si>
    <t>Paid Thru April</t>
  </si>
  <si>
    <t>Paid Thru May</t>
  </si>
  <si>
    <t>Paid Thru June</t>
  </si>
  <si>
    <t>Checks</t>
  </si>
  <si>
    <t>Budget minus all reductions</t>
  </si>
  <si>
    <t>Should Equal zero</t>
  </si>
  <si>
    <t>Budget by source minus Budget Total</t>
  </si>
  <si>
    <t>Budget by source minus Individual comp.</t>
  </si>
  <si>
    <t>Payment Total Vs. Payment Source</t>
  </si>
  <si>
    <t>Should = zero</t>
  </si>
  <si>
    <t>Payment by Source minus Payment total</t>
  </si>
  <si>
    <t>Amount</t>
  </si>
  <si>
    <t>Remaining</t>
  </si>
  <si>
    <t>Paste Here</t>
  </si>
  <si>
    <t>Change DE Number to DoM Number</t>
  </si>
  <si>
    <t>Should Equal 0</t>
  </si>
  <si>
    <t>DE Payment vs. This Worksheet</t>
  </si>
  <si>
    <t>Check against DE File - SAS</t>
  </si>
  <si>
    <t>Paste in new data everytime a payment changes to  get juvenile home and special ed added in.</t>
  </si>
  <si>
    <t>Teacher Leadership 
(Code 3116)</t>
  </si>
  <si>
    <t>Preschool State Aid 
(Code 3117)</t>
  </si>
  <si>
    <t>State Foundation Aid 
(Code 3111)</t>
  </si>
  <si>
    <t>Paid totals Paid though Pay 1</t>
  </si>
  <si>
    <t>Paid totals Paid though Pay 2</t>
  </si>
  <si>
    <t>Paid totals Paid though Pay 3</t>
  </si>
  <si>
    <t>Difference</t>
  </si>
  <si>
    <t>Paid Though equals payment times number of Payments</t>
  </si>
  <si>
    <t>Sum of Differences equal Zero</t>
  </si>
  <si>
    <t xml:space="preserve">Payment by Source Sum </t>
  </si>
  <si>
    <t>Budget Total minus Paid through + Amount Remaining</t>
  </si>
  <si>
    <t>Must change payment totals based on month</t>
  </si>
  <si>
    <t>Payment in Series</t>
  </si>
  <si>
    <t>Have to change this reference of the calculation in Payyment by source when payment changes</t>
  </si>
  <si>
    <t>Change index column when payment changes</t>
  </si>
  <si>
    <t>Paid totals Paid though Pay 4</t>
  </si>
  <si>
    <t>Have to change the Payment Total reference from Column C to Column D when you get to Pay 2, and from Column D to Column E when get to pay 3 and from Column E to Column F when get to pay 4</t>
  </si>
  <si>
    <t>June Trueup to Budget</t>
  </si>
  <si>
    <t>Total Unadjusted State Aid (Aid and Levy line 16.12)</t>
  </si>
  <si>
    <t>Plus or Minus: Adjustments</t>
  </si>
  <si>
    <t xml:space="preserve">  Preschool State Administration Reduction</t>
  </si>
  <si>
    <t xml:space="preserve">  Juvenile Home Reduction</t>
  </si>
  <si>
    <t xml:space="preserve">  Special Ed Positive Balance Reduction</t>
  </si>
  <si>
    <t xml:space="preserve">  Special Ed Deficit State Aid</t>
  </si>
  <si>
    <t xml:space="preserve">Equals: Final State Aid </t>
  </si>
  <si>
    <t>REGULAR</t>
  </si>
  <si>
    <t>STATE AID</t>
  </si>
  <si>
    <t xml:space="preserve">Total State Aid </t>
  </si>
  <si>
    <t>Total Instructional Support State Aid</t>
  </si>
  <si>
    <t xml:space="preserve">Income Surtax </t>
  </si>
  <si>
    <t>Total Income Surtax</t>
  </si>
  <si>
    <t>Add in Electronic Funds Transfer Date</t>
  </si>
  <si>
    <t>https://www.educateiowa.gov/pk-12/school-business-and-finance/financial-management/state-payment-information/state-payment</t>
  </si>
  <si>
    <t>Statewide</t>
  </si>
  <si>
    <t>9999</t>
  </si>
  <si>
    <t>Total</t>
  </si>
  <si>
    <t>State Payments to AEA (AEA Flowthrough)</t>
  </si>
  <si>
    <t>Total Payment</t>
  </si>
  <si>
    <t>VPPEL Surtax Rate</t>
  </si>
  <si>
    <t>General Fund Surtax Rate</t>
  </si>
  <si>
    <t>VPPEL Portion</t>
  </si>
  <si>
    <t>General Fund Portion</t>
  </si>
  <si>
    <t>Add statewide and 9999 to data</t>
  </si>
  <si>
    <t>Dist</t>
  </si>
  <si>
    <t>Alta-Aurelia</t>
  </si>
  <si>
    <t>North Fayette Valley</t>
  </si>
  <si>
    <t>Odebolt Arthur Battle Creek Ida Gr</t>
  </si>
  <si>
    <t xml:space="preserve">Must change the reference in Column K once payment changes - Pay 1 to Pay 2 (Column 3 to Column 4) and Pay 2 to Pay 3 (Column 4 to Column 5) and Pay 3 to Pay 4 (Column 5 to Column 6) </t>
  </si>
  <si>
    <t>NAME</t>
  </si>
  <si>
    <t>Special Education Deficit Payment</t>
  </si>
  <si>
    <t>Van Buren County</t>
  </si>
  <si>
    <t xml:space="preserve">Must change the reference in Column T and Column S once payment changes - Pay 1 to Pay 2 (Column 3 to Column 4) and Pay 2 to Pay 3 (Column 4 to Column 5) and Pay 3 to Pay 4 (Column 5 to Column 6) </t>
  </si>
  <si>
    <t>Line 16.12 from Aid And Levy vs Budget Total</t>
  </si>
  <si>
    <t>Control/Notes</t>
  </si>
  <si>
    <t>Preschool Reduction vs. Budget Total</t>
  </si>
  <si>
    <t>Juvenile Home Reduction vs. Budget Total</t>
  </si>
  <si>
    <t>- Will Never Equal Zero because of rounding but should be within a few dollars</t>
  </si>
  <si>
    <t>Check for Negative Payments</t>
  </si>
  <si>
    <t>Should be positive</t>
  </si>
  <si>
    <t>Special Education Excess - Check in March</t>
  </si>
  <si>
    <t>Odebolt Arthur Battle Creek Ida Grove</t>
  </si>
  <si>
    <t>AEA</t>
  </si>
  <si>
    <t>DistSub1</t>
  </si>
  <si>
    <t>DistSub2</t>
  </si>
  <si>
    <t>11</t>
  </si>
  <si>
    <t/>
  </si>
  <si>
    <t>07</t>
  </si>
  <si>
    <t>13</t>
  </si>
  <si>
    <t>12</t>
  </si>
  <si>
    <t>05</t>
  </si>
  <si>
    <t>15</t>
  </si>
  <si>
    <t>10</t>
  </si>
  <si>
    <t>6417</t>
  </si>
  <si>
    <t>01</t>
  </si>
  <si>
    <t>09</t>
  </si>
  <si>
    <t>1854</t>
  </si>
  <si>
    <t>0216</t>
  </si>
  <si>
    <t>June Check - Number of Special Ed Deficit Payments</t>
  </si>
  <si>
    <t>Control is from the DE Payment file or the count of payments</t>
  </si>
  <si>
    <t>Southeast Valley</t>
  </si>
  <si>
    <t>E</t>
  </si>
  <si>
    <t>F = A-B-C-D-E</t>
  </si>
  <si>
    <t>F
Regular 
State Payment</t>
  </si>
  <si>
    <t>Resident Charter School Student Reduction</t>
  </si>
  <si>
    <t>Charter School Reduction vs. Budget Total</t>
  </si>
  <si>
    <t>00090000</t>
  </si>
  <si>
    <t>00180000</t>
  </si>
  <si>
    <t>00270000</t>
  </si>
  <si>
    <t>00630000</t>
  </si>
  <si>
    <t>00720000</t>
  </si>
  <si>
    <t>00810000</t>
  </si>
  <si>
    <t>00990000</t>
  </si>
  <si>
    <t>01080000</t>
  </si>
  <si>
    <t>01260000</t>
  </si>
  <si>
    <t>01350000</t>
  </si>
  <si>
    <t>01530000</t>
  </si>
  <si>
    <t>01710000</t>
  </si>
  <si>
    <t>02250000</t>
  </si>
  <si>
    <t>02340000</t>
  </si>
  <si>
    <t>02430000</t>
  </si>
  <si>
    <t>02610000</t>
  </si>
  <si>
    <t>02790000</t>
  </si>
  <si>
    <t>03330000</t>
  </si>
  <si>
    <t>03550000</t>
  </si>
  <si>
    <t>03870000</t>
  </si>
  <si>
    <t>04140000</t>
  </si>
  <si>
    <t>04410000</t>
  </si>
  <si>
    <t>04720000</t>
  </si>
  <si>
    <t>05130000</t>
  </si>
  <si>
    <t>05400000</t>
  </si>
  <si>
    <t>05490000</t>
  </si>
  <si>
    <t>05760000</t>
  </si>
  <si>
    <t>05850000</t>
  </si>
  <si>
    <t>05940000</t>
  </si>
  <si>
    <t>06030000</t>
  </si>
  <si>
    <t>06090000</t>
  </si>
  <si>
    <t>06210000</t>
  </si>
  <si>
    <t>06570000</t>
  </si>
  <si>
    <t>07200000</t>
  </si>
  <si>
    <t>07290000</t>
  </si>
  <si>
    <t>07470000</t>
  </si>
  <si>
    <t>08190000</t>
  </si>
  <si>
    <t>08460000</t>
  </si>
  <si>
    <t>08730000</t>
  </si>
  <si>
    <t>08820000</t>
  </si>
  <si>
    <t>09140000</t>
  </si>
  <si>
    <t>09160000</t>
  </si>
  <si>
    <t>09180000</t>
  </si>
  <si>
    <t>09360000</t>
  </si>
  <si>
    <t>09770000</t>
  </si>
  <si>
    <t>09810000</t>
  </si>
  <si>
    <t>09990000</t>
  </si>
  <si>
    <t>10440000</t>
  </si>
  <si>
    <t>10530000</t>
  </si>
  <si>
    <t>10620000</t>
  </si>
  <si>
    <t>10710000</t>
  </si>
  <si>
    <t>10790000</t>
  </si>
  <si>
    <t>10800000</t>
  </si>
  <si>
    <t>10820000</t>
  </si>
  <si>
    <t>10890000</t>
  </si>
  <si>
    <t>10930000</t>
  </si>
  <si>
    <t>10950000</t>
  </si>
  <si>
    <t>11070000</t>
  </si>
  <si>
    <t>11160000</t>
  </si>
  <si>
    <t>11340000</t>
  </si>
  <si>
    <t>11520000</t>
  </si>
  <si>
    <t>11970000</t>
  </si>
  <si>
    <t>12060000</t>
  </si>
  <si>
    <t>12110000</t>
  </si>
  <si>
    <t>12150000</t>
  </si>
  <si>
    <t>12180000</t>
  </si>
  <si>
    <t>12210000</t>
  </si>
  <si>
    <t>12330000</t>
  </si>
  <si>
    <t>12780000</t>
  </si>
  <si>
    <t>13320000</t>
  </si>
  <si>
    <t>13370000</t>
  </si>
  <si>
    <t>13500000</t>
  </si>
  <si>
    <t>13590000</t>
  </si>
  <si>
    <t>13680000</t>
  </si>
  <si>
    <t>14130000</t>
  </si>
  <si>
    <t>14310000</t>
  </si>
  <si>
    <t>14760000</t>
  </si>
  <si>
    <t>15030000</t>
  </si>
  <si>
    <t>15760000</t>
  </si>
  <si>
    <t>16020000</t>
  </si>
  <si>
    <t>16110000</t>
  </si>
  <si>
    <t>16190000</t>
  </si>
  <si>
    <t>16380000</t>
  </si>
  <si>
    <t>16750000</t>
  </si>
  <si>
    <t>17010000</t>
  </si>
  <si>
    <t>17190000</t>
  </si>
  <si>
    <t>17370000</t>
  </si>
  <si>
    <t>17820000</t>
  </si>
  <si>
    <t>17910000</t>
  </si>
  <si>
    <t>18630000</t>
  </si>
  <si>
    <t>19080000</t>
  </si>
  <si>
    <t>19170000</t>
  </si>
  <si>
    <t>19260000</t>
  </si>
  <si>
    <t>65360000</t>
  </si>
  <si>
    <t>19440000</t>
  </si>
  <si>
    <t>19530000</t>
  </si>
  <si>
    <t>19630000</t>
  </si>
  <si>
    <t>19650000</t>
  </si>
  <si>
    <t>19700000</t>
  </si>
  <si>
    <t>19720000</t>
  </si>
  <si>
    <t>19750000</t>
  </si>
  <si>
    <t>19890000</t>
  </si>
  <si>
    <t>20070000</t>
  </si>
  <si>
    <t>20880000</t>
  </si>
  <si>
    <t>20970000</t>
  </si>
  <si>
    <t>21130000</t>
  </si>
  <si>
    <t>21240000</t>
  </si>
  <si>
    <t>21510000</t>
  </si>
  <si>
    <t>21690000</t>
  </si>
  <si>
    <t>22950000</t>
  </si>
  <si>
    <t>23130000</t>
  </si>
  <si>
    <t>23220000</t>
  </si>
  <si>
    <t>23690000</t>
  </si>
  <si>
    <t>23760000</t>
  </si>
  <si>
    <t>24030000</t>
  </si>
  <si>
    <t>24570000</t>
  </si>
  <si>
    <t>24660000</t>
  </si>
  <si>
    <t>24930000</t>
  </si>
  <si>
    <t>25020000</t>
  </si>
  <si>
    <t>25110000</t>
  </si>
  <si>
    <t>25200000</t>
  </si>
  <si>
    <t>25560000</t>
  </si>
  <si>
    <t>26730000</t>
  </si>
  <si>
    <t>26820000</t>
  </si>
  <si>
    <t>27090000</t>
  </si>
  <si>
    <t>27180000</t>
  </si>
  <si>
    <t>27270000</t>
  </si>
  <si>
    <t>27540000</t>
  </si>
  <si>
    <t>27630000</t>
  </si>
  <si>
    <t>27660000</t>
  </si>
  <si>
    <t>27720000</t>
  </si>
  <si>
    <t>27810000</t>
  </si>
  <si>
    <t>28260000</t>
  </si>
  <si>
    <t>28460000</t>
  </si>
  <si>
    <t>28620000</t>
  </si>
  <si>
    <t>29770000</t>
  </si>
  <si>
    <t>29880000</t>
  </si>
  <si>
    <t>30290000</t>
  </si>
  <si>
    <t>30330000</t>
  </si>
  <si>
    <t>30420000</t>
  </si>
  <si>
    <t>30600000</t>
  </si>
  <si>
    <t>31050000</t>
  </si>
  <si>
    <t>31140000</t>
  </si>
  <si>
    <t>31190000</t>
  </si>
  <si>
    <t>31410000</t>
  </si>
  <si>
    <t>31500000</t>
  </si>
  <si>
    <t>31540000</t>
  </si>
  <si>
    <t>31680000</t>
  </si>
  <si>
    <t>31860000</t>
  </si>
  <si>
    <t>31950000</t>
  </si>
  <si>
    <t>32040000</t>
  </si>
  <si>
    <t>32310000</t>
  </si>
  <si>
    <t>33120000</t>
  </si>
  <si>
    <t>33300000</t>
  </si>
  <si>
    <t>33480000</t>
  </si>
  <si>
    <t>33750000</t>
  </si>
  <si>
    <t>34200000</t>
  </si>
  <si>
    <t>34650000</t>
  </si>
  <si>
    <t>35370000</t>
  </si>
  <si>
    <t>35550000</t>
  </si>
  <si>
    <t>19680000</t>
  </si>
  <si>
    <t>36000000</t>
  </si>
  <si>
    <t>36090000</t>
  </si>
  <si>
    <t>36450000</t>
  </si>
  <si>
    <t>36910000</t>
  </si>
  <si>
    <t>37150000</t>
  </si>
  <si>
    <t>37440000</t>
  </si>
  <si>
    <t>37980000</t>
  </si>
  <si>
    <t>38160000</t>
  </si>
  <si>
    <t>38410000</t>
  </si>
  <si>
    <t>39060000</t>
  </si>
  <si>
    <t>39420000</t>
  </si>
  <si>
    <t>39780000</t>
  </si>
  <si>
    <t>40230000</t>
  </si>
  <si>
    <t>40330000</t>
  </si>
  <si>
    <t>40410000</t>
  </si>
  <si>
    <t>40430000</t>
  </si>
  <si>
    <t>40680000</t>
  </si>
  <si>
    <t>40860000</t>
  </si>
  <si>
    <t>41040000</t>
  </si>
  <si>
    <t>41220000</t>
  </si>
  <si>
    <t>41310000</t>
  </si>
  <si>
    <t>41490000</t>
  </si>
  <si>
    <t>42030000</t>
  </si>
  <si>
    <t>42120000</t>
  </si>
  <si>
    <t>42690000</t>
  </si>
  <si>
    <t>42710000</t>
  </si>
  <si>
    <t>43560000</t>
  </si>
  <si>
    <t>44190000</t>
  </si>
  <si>
    <t>44370000</t>
  </si>
  <si>
    <t>44460000</t>
  </si>
  <si>
    <t>44910000</t>
  </si>
  <si>
    <t>45050000</t>
  </si>
  <si>
    <t>45090000</t>
  </si>
  <si>
    <t>45180000</t>
  </si>
  <si>
    <t>45270000</t>
  </si>
  <si>
    <t>45360000</t>
  </si>
  <si>
    <t>45540000</t>
  </si>
  <si>
    <t>45720000</t>
  </si>
  <si>
    <t>45810000</t>
  </si>
  <si>
    <t>45990000</t>
  </si>
  <si>
    <t>46170000</t>
  </si>
  <si>
    <t>46440000</t>
  </si>
  <si>
    <t>46620000</t>
  </si>
  <si>
    <t>46890000</t>
  </si>
  <si>
    <t>47250000</t>
  </si>
  <si>
    <t>47720000</t>
  </si>
  <si>
    <t>47730000</t>
  </si>
  <si>
    <t>47740000</t>
  </si>
  <si>
    <t>47760000</t>
  </si>
  <si>
    <t>47770000</t>
  </si>
  <si>
    <t>47780000</t>
  </si>
  <si>
    <t>47790000</t>
  </si>
  <si>
    <t>47840000</t>
  </si>
  <si>
    <t>47850000</t>
  </si>
  <si>
    <t>47880000</t>
  </si>
  <si>
    <t>47970000</t>
  </si>
  <si>
    <t>55100000</t>
  </si>
  <si>
    <t>48600000</t>
  </si>
  <si>
    <t>48690000</t>
  </si>
  <si>
    <t>48780000</t>
  </si>
  <si>
    <t>48900000</t>
  </si>
  <si>
    <t>49050000</t>
  </si>
  <si>
    <t>49780000</t>
  </si>
  <si>
    <t>49950000</t>
  </si>
  <si>
    <t>50130000</t>
  </si>
  <si>
    <t>50490000</t>
  </si>
  <si>
    <t>51210000</t>
  </si>
  <si>
    <t>51390000</t>
  </si>
  <si>
    <t>60990000</t>
  </si>
  <si>
    <t>51630000</t>
  </si>
  <si>
    <t>51660000</t>
  </si>
  <si>
    <t>51840000</t>
  </si>
  <si>
    <t>52500000</t>
  </si>
  <si>
    <t>52560000</t>
  </si>
  <si>
    <t>52830000</t>
  </si>
  <si>
    <t>53100000</t>
  </si>
  <si>
    <t>51600000</t>
  </si>
  <si>
    <t>54630000</t>
  </si>
  <si>
    <t>54860000</t>
  </si>
  <si>
    <t>55080000</t>
  </si>
  <si>
    <t>56070000</t>
  </si>
  <si>
    <t>56430000</t>
  </si>
  <si>
    <t>56970000</t>
  </si>
  <si>
    <t>57240000</t>
  </si>
  <si>
    <t>57510000</t>
  </si>
  <si>
    <t>58050000</t>
  </si>
  <si>
    <t>58230000</t>
  </si>
  <si>
    <t>58320000</t>
  </si>
  <si>
    <t>58770000</t>
  </si>
  <si>
    <t>58950000</t>
  </si>
  <si>
    <t>59220000</t>
  </si>
  <si>
    <t>59490000</t>
  </si>
  <si>
    <t>59760000</t>
  </si>
  <si>
    <t>59940000</t>
  </si>
  <si>
    <t>60030000</t>
  </si>
  <si>
    <t>60120000</t>
  </si>
  <si>
    <t>60300000</t>
  </si>
  <si>
    <t>60390000</t>
  </si>
  <si>
    <t>60350000</t>
  </si>
  <si>
    <t>60910000</t>
  </si>
  <si>
    <t>60930000</t>
  </si>
  <si>
    <t>60940000</t>
  </si>
  <si>
    <t>60950000</t>
  </si>
  <si>
    <t>60960000</t>
  </si>
  <si>
    <t>60970000</t>
  </si>
  <si>
    <t>60980000</t>
  </si>
  <si>
    <t>61000000</t>
  </si>
  <si>
    <t>61010000</t>
  </si>
  <si>
    <t>61020000</t>
  </si>
  <si>
    <t>61200000</t>
  </si>
  <si>
    <t>61380000</t>
  </si>
  <si>
    <t>61650000</t>
  </si>
  <si>
    <t>61750000</t>
  </si>
  <si>
    <t>62190000</t>
  </si>
  <si>
    <t>62460000</t>
  </si>
  <si>
    <t>62640000</t>
  </si>
  <si>
    <t>62730000</t>
  </si>
  <si>
    <t>64080000</t>
  </si>
  <si>
    <t>64530000</t>
  </si>
  <si>
    <t>64600000</t>
  </si>
  <si>
    <t>64620000</t>
  </si>
  <si>
    <t>64710000</t>
  </si>
  <si>
    <t>65090000</t>
  </si>
  <si>
    <t>65120000</t>
  </si>
  <si>
    <t>65160000</t>
  </si>
  <si>
    <t>65340000</t>
  </si>
  <si>
    <t>65610000</t>
  </si>
  <si>
    <t>65790000</t>
  </si>
  <si>
    <t>65920000</t>
  </si>
  <si>
    <t>66150000</t>
  </si>
  <si>
    <t>66510000</t>
  </si>
  <si>
    <t>66600000</t>
  </si>
  <si>
    <t>67000000</t>
  </si>
  <si>
    <t>67410000</t>
  </si>
  <si>
    <t>67590000</t>
  </si>
  <si>
    <t>67620000</t>
  </si>
  <si>
    <t>67680000</t>
  </si>
  <si>
    <t>67950000</t>
  </si>
  <si>
    <t>68220000</t>
  </si>
  <si>
    <t>68400000</t>
  </si>
  <si>
    <t>68540000</t>
  </si>
  <si>
    <t>68670000</t>
  </si>
  <si>
    <t>69210000</t>
  </si>
  <si>
    <t>69300000</t>
  </si>
  <si>
    <t>69370000</t>
  </si>
  <si>
    <t>69430000</t>
  </si>
  <si>
    <t>69500000</t>
  </si>
  <si>
    <t>69570000</t>
  </si>
  <si>
    <t>69610000</t>
  </si>
  <si>
    <t>69690000</t>
  </si>
  <si>
    <t>69750000</t>
  </si>
  <si>
    <t>69830000</t>
  </si>
  <si>
    <t>69850000</t>
  </si>
  <si>
    <t>69870000</t>
  </si>
  <si>
    <t>69900000</t>
  </si>
  <si>
    <t>69920000</t>
  </si>
  <si>
    <t>70020000</t>
  </si>
  <si>
    <t>70290000</t>
  </si>
  <si>
    <t>70380000</t>
  </si>
  <si>
    <t>70470000</t>
  </si>
  <si>
    <t>70560000</t>
  </si>
  <si>
    <t>70920000</t>
  </si>
  <si>
    <t>70980000</t>
  </si>
  <si>
    <t>71100000</t>
  </si>
  <si>
    <t xml:space="preserve">  Resident Charter School Student Reduction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</si>
</sst>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164" formatCode="0000"/>
    <numFmt numFmtId="165" formatCode="mmmm\ d\,\ yyyy"/>
    <numFmt numFmtId="166" formatCode="\ \ \ mm/dd/yyyy;@"/>
    <numFmt numFmtId="167" formatCode="m/d/yy;@"/>
    <numFmt numFmtId="168" formatCode="mm/dd/yyyy;@"/>
  </numFmts>
  <fonts count="44" x14ac:knownFonts="1">
    <font>
      <sz val="8"/>
      <color theme="1"/>
      <name val="Courier New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ourier New"/>
      <family val="2"/>
    </font>
    <font>
      <sz val="8"/>
      <color theme="0"/>
      <name val="Courier New"/>
      <family val="2"/>
    </font>
    <font>
      <sz val="8"/>
      <color rgb="FF9C0006"/>
      <name val="Courier New"/>
      <family val="2"/>
    </font>
    <font>
      <b/>
      <sz val="8"/>
      <color rgb="FFFA7D00"/>
      <name val="Courier New"/>
      <family val="2"/>
    </font>
    <font>
      <b/>
      <sz val="8"/>
      <color theme="0"/>
      <name val="Courier New"/>
      <family val="2"/>
    </font>
    <font>
      <i/>
      <sz val="8"/>
      <color rgb="FF7F7F7F"/>
      <name val="Courier New"/>
      <family val="2"/>
    </font>
    <font>
      <sz val="8"/>
      <color rgb="FF006100"/>
      <name val="Courier New"/>
      <family val="2"/>
    </font>
    <font>
      <b/>
      <sz val="15"/>
      <color theme="3"/>
      <name val="Courier New"/>
      <family val="2"/>
    </font>
    <font>
      <b/>
      <sz val="13"/>
      <color theme="3"/>
      <name val="Courier New"/>
      <family val="2"/>
    </font>
    <font>
      <b/>
      <sz val="11"/>
      <color theme="3"/>
      <name val="Courier New"/>
      <family val="2"/>
    </font>
    <font>
      <sz val="8"/>
      <color rgb="FF3F3F76"/>
      <name val="Courier New"/>
      <family val="2"/>
    </font>
    <font>
      <sz val="8"/>
      <color rgb="FFFA7D00"/>
      <name val="Courier New"/>
      <family val="2"/>
    </font>
    <font>
      <sz val="8"/>
      <color rgb="FF9C6500"/>
      <name val="Courier New"/>
      <family val="2"/>
    </font>
    <font>
      <b/>
      <sz val="8"/>
      <color rgb="FF3F3F3F"/>
      <name val="Courier New"/>
      <family val="2"/>
    </font>
    <font>
      <b/>
      <sz val="18"/>
      <color theme="3"/>
      <name val="Cambria"/>
      <family val="2"/>
      <scheme val="major"/>
    </font>
    <font>
      <b/>
      <sz val="8"/>
      <color theme="1"/>
      <name val="Courier New"/>
      <family val="2"/>
    </font>
    <font>
      <sz val="8"/>
      <color rgb="FFFF0000"/>
      <name val="Courier New"/>
      <family val="2"/>
    </font>
    <font>
      <sz val="8"/>
      <color theme="1"/>
      <name val="Times New Roman"/>
      <family val="1"/>
    </font>
    <font>
      <sz val="10"/>
      <color theme="1"/>
      <name val="Times New Roman"/>
      <family val="1"/>
    </font>
    <font>
      <b/>
      <sz val="14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0"/>
      <color theme="1"/>
      <name val="Times New Roman"/>
      <family val="1"/>
    </font>
    <font>
      <sz val="10"/>
      <name val="MS Sans Serif"/>
      <family val="2"/>
    </font>
    <font>
      <sz val="16"/>
      <name val="Times New Roman"/>
      <family val="1"/>
    </font>
    <font>
      <sz val="20"/>
      <name val="Times New Roman"/>
      <family val="1"/>
    </font>
    <font>
      <sz val="9.5"/>
      <name val="MS Sans Serif"/>
      <family val="2"/>
    </font>
    <font>
      <sz val="9.5"/>
      <name val="Times New Roman"/>
      <family val="1"/>
    </font>
    <font>
      <sz val="1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5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10" applyNumberFormat="0" applyAlignment="0" applyProtection="0"/>
    <xf numFmtId="0" fontId="9" fillId="28" borderId="11" applyNumberFormat="0" applyAlignment="0" applyProtection="0"/>
    <xf numFmtId="0" fontId="10" fillId="0" borderId="0" applyNumberFormat="0" applyFill="0" applyBorder="0" applyAlignment="0" applyProtection="0"/>
    <xf numFmtId="0" fontId="11" fillId="29" borderId="0" applyNumberFormat="0" applyBorder="0" applyAlignment="0" applyProtection="0"/>
    <xf numFmtId="0" fontId="12" fillId="0" borderId="12" applyNumberFormat="0" applyFill="0" applyAlignment="0" applyProtection="0"/>
    <xf numFmtId="0" fontId="13" fillId="0" borderId="13" applyNumberFormat="0" applyFill="0" applyAlignment="0" applyProtection="0"/>
    <xf numFmtId="0" fontId="14" fillId="0" borderId="14" applyNumberFormat="0" applyFill="0" applyAlignment="0" applyProtection="0"/>
    <xf numFmtId="0" fontId="14" fillId="0" borderId="0" applyNumberFormat="0" applyFill="0" applyBorder="0" applyAlignment="0" applyProtection="0"/>
    <xf numFmtId="0" fontId="15" fillId="30" borderId="10" applyNumberFormat="0" applyAlignment="0" applyProtection="0"/>
    <xf numFmtId="0" fontId="16" fillId="0" borderId="15" applyNumberFormat="0" applyFill="0" applyAlignment="0" applyProtection="0"/>
    <xf numFmtId="0" fontId="17" fillId="31" borderId="0" applyNumberFormat="0" applyBorder="0" applyAlignment="0" applyProtection="0"/>
    <xf numFmtId="0" fontId="5" fillId="32" borderId="16" applyNumberFormat="0" applyFont="0" applyAlignment="0" applyProtection="0"/>
    <xf numFmtId="0" fontId="18" fillId="27" borderId="17" applyNumberFormat="0" applyAlignment="0" applyProtection="0"/>
    <xf numFmtId="0" fontId="19" fillId="0" borderId="0" applyNumberFormat="0" applyFill="0" applyBorder="0" applyAlignment="0" applyProtection="0"/>
    <xf numFmtId="0" fontId="20" fillId="0" borderId="18" applyNumberFormat="0" applyFill="0" applyAlignment="0" applyProtection="0"/>
    <xf numFmtId="0" fontId="21" fillId="0" borderId="0" applyNumberFormat="0" applyFill="0" applyBorder="0" applyAlignment="0" applyProtection="0"/>
    <xf numFmtId="0" fontId="30" fillId="0" borderId="0"/>
    <xf numFmtId="0" fontId="4" fillId="0" borderId="0"/>
    <xf numFmtId="0" fontId="3" fillId="0" borderId="0"/>
  </cellStyleXfs>
  <cellXfs count="218">
    <xf numFmtId="0" fontId="0" fillId="0" borderId="0" xfId="0"/>
    <xf numFmtId="0" fontId="23" fillId="0" borderId="0" xfId="0" applyFont="1"/>
    <xf numFmtId="49" fontId="23" fillId="0" borderId="0" xfId="0" applyNumberFormat="1" applyFont="1"/>
    <xf numFmtId="3" fontId="23" fillId="0" borderId="0" xfId="0" applyNumberFormat="1" applyFont="1"/>
    <xf numFmtId="3" fontId="29" fillId="0" borderId="0" xfId="0" applyNumberFormat="1" applyFont="1"/>
    <xf numFmtId="0" fontId="29" fillId="0" borderId="0" xfId="0" applyFont="1"/>
    <xf numFmtId="0" fontId="27" fillId="0" borderId="0" xfId="0" applyFont="1"/>
    <xf numFmtId="49" fontId="27" fillId="0" borderId="0" xfId="0" applyNumberFormat="1" applyFont="1"/>
    <xf numFmtId="0" fontId="23" fillId="33" borderId="0" xfId="0" applyFont="1" applyFill="1"/>
    <xf numFmtId="0" fontId="23" fillId="0" borderId="0" xfId="0" applyFont="1" applyAlignment="1">
      <alignment horizontal="center"/>
    </xf>
    <xf numFmtId="164" fontId="24" fillId="0" borderId="0" xfId="0" applyNumberFormat="1" applyFont="1" applyProtection="1">
      <protection hidden="1"/>
    </xf>
    <xf numFmtId="0" fontId="25" fillId="0" borderId="0" xfId="0" applyFont="1" applyProtection="1">
      <protection hidden="1"/>
    </xf>
    <xf numFmtId="164" fontId="28" fillId="0" borderId="0" xfId="0" applyNumberFormat="1" applyFont="1" applyProtection="1">
      <protection hidden="1"/>
    </xf>
    <xf numFmtId="164" fontId="27" fillId="0" borderId="0" xfId="0" applyNumberFormat="1" applyFont="1" applyProtection="1">
      <protection hidden="1"/>
    </xf>
    <xf numFmtId="0" fontId="27" fillId="0" borderId="0" xfId="0" applyFont="1" applyProtection="1">
      <protection hidden="1"/>
    </xf>
    <xf numFmtId="3" fontId="27" fillId="0" borderId="3" xfId="0" applyNumberFormat="1" applyFont="1" applyBorder="1" applyAlignment="1" applyProtection="1">
      <alignment horizontal="center"/>
      <protection hidden="1"/>
    </xf>
    <xf numFmtId="164" fontId="27" fillId="34" borderId="0" xfId="0" applyNumberFormat="1" applyFont="1" applyFill="1" applyProtection="1">
      <protection hidden="1"/>
    </xf>
    <xf numFmtId="3" fontId="27" fillId="34" borderId="4" xfId="0" applyNumberFormat="1" applyFont="1" applyFill="1" applyBorder="1" applyAlignment="1" applyProtection="1">
      <alignment horizontal="center" wrapText="1"/>
      <protection hidden="1"/>
    </xf>
    <xf numFmtId="0" fontId="27" fillId="0" borderId="6" xfId="0" applyFont="1" applyBorder="1" applyProtection="1">
      <protection hidden="1"/>
    </xf>
    <xf numFmtId="49" fontId="23" fillId="0" borderId="0" xfId="0" applyNumberFormat="1" applyFont="1" applyProtection="1">
      <protection hidden="1"/>
    </xf>
    <xf numFmtId="0" fontId="23" fillId="0" borderId="0" xfId="0" applyFont="1" applyProtection="1">
      <protection hidden="1"/>
    </xf>
    <xf numFmtId="3" fontId="23" fillId="0" borderId="0" xfId="0" applyNumberFormat="1" applyFont="1" applyProtection="1">
      <protection hidden="1"/>
    </xf>
    <xf numFmtId="164" fontId="23" fillId="0" borderId="0" xfId="0" applyNumberFormat="1" applyFont="1" applyProtection="1">
      <protection hidden="1"/>
    </xf>
    <xf numFmtId="3" fontId="23" fillId="0" borderId="1" xfId="0" applyNumberFormat="1" applyFont="1" applyBorder="1" applyProtection="1">
      <protection hidden="1"/>
    </xf>
    <xf numFmtId="164" fontId="22" fillId="0" borderId="0" xfId="0" applyNumberFormat="1" applyFont="1" applyProtection="1">
      <protection hidden="1"/>
    </xf>
    <xf numFmtId="0" fontId="22" fillId="0" borderId="0" xfId="0" applyFont="1" applyProtection="1">
      <protection hidden="1"/>
    </xf>
    <xf numFmtId="3" fontId="22" fillId="0" borderId="0" xfId="0" applyNumberFormat="1" applyFont="1" applyProtection="1">
      <protection hidden="1"/>
    </xf>
    <xf numFmtId="164" fontId="26" fillId="0" borderId="0" xfId="0" applyNumberFormat="1" applyFont="1" applyProtection="1">
      <protection hidden="1"/>
    </xf>
    <xf numFmtId="3" fontId="26" fillId="0" borderId="2" xfId="0" applyNumberFormat="1" applyFont="1" applyBorder="1" applyAlignment="1" applyProtection="1">
      <alignment horizontal="center" vertical="center"/>
      <protection hidden="1"/>
    </xf>
    <xf numFmtId="3" fontId="26" fillId="0" borderId="3" xfId="0" applyNumberFormat="1" applyFont="1" applyBorder="1" applyAlignment="1" applyProtection="1">
      <alignment horizontal="center" vertical="center"/>
      <protection hidden="1"/>
    </xf>
    <xf numFmtId="3" fontId="26" fillId="0" borderId="4" xfId="0" applyNumberFormat="1" applyFont="1" applyBorder="1" applyAlignment="1" applyProtection="1">
      <alignment horizontal="center"/>
      <protection hidden="1"/>
    </xf>
    <xf numFmtId="3" fontId="26" fillId="0" borderId="4" xfId="0" applyNumberFormat="1" applyFont="1" applyBorder="1" applyAlignment="1" applyProtection="1">
      <alignment horizontal="center" wrapText="1"/>
      <protection hidden="1"/>
    </xf>
    <xf numFmtId="164" fontId="24" fillId="34" borderId="0" xfId="0" applyNumberFormat="1" applyFont="1" applyFill="1" applyProtection="1">
      <protection hidden="1"/>
    </xf>
    <xf numFmtId="0" fontId="25" fillId="34" borderId="0" xfId="0" applyFont="1" applyFill="1" applyProtection="1">
      <protection hidden="1"/>
    </xf>
    <xf numFmtId="164" fontId="26" fillId="34" borderId="0" xfId="0" applyNumberFormat="1" applyFont="1" applyFill="1" applyProtection="1">
      <protection hidden="1"/>
    </xf>
    <xf numFmtId="0" fontId="27" fillId="34" borderId="0" xfId="0" applyFont="1" applyFill="1" applyProtection="1">
      <protection hidden="1"/>
    </xf>
    <xf numFmtId="0" fontId="26" fillId="0" borderId="3" xfId="0" applyFont="1" applyBorder="1" applyAlignment="1" applyProtection="1">
      <alignment horizontal="center"/>
      <protection hidden="1"/>
    </xf>
    <xf numFmtId="3" fontId="26" fillId="0" borderId="5" xfId="0" applyNumberFormat="1" applyFont="1" applyBorder="1" applyAlignment="1" applyProtection="1">
      <alignment horizontal="center"/>
      <protection hidden="1"/>
    </xf>
    <xf numFmtId="0" fontId="26" fillId="0" borderId="5" xfId="0" applyFont="1" applyBorder="1" applyAlignment="1" applyProtection="1">
      <alignment horizontal="center"/>
      <protection hidden="1"/>
    </xf>
    <xf numFmtId="3" fontId="26" fillId="34" borderId="0" xfId="0" applyNumberFormat="1" applyFont="1" applyFill="1" applyAlignment="1" applyProtection="1">
      <alignment horizontal="center"/>
      <protection hidden="1"/>
    </xf>
    <xf numFmtId="0" fontId="26" fillId="34" borderId="0" xfId="0" applyFont="1" applyFill="1" applyAlignment="1" applyProtection="1">
      <alignment horizontal="center"/>
      <protection hidden="1"/>
    </xf>
    <xf numFmtId="2" fontId="23" fillId="0" borderId="0" xfId="0" applyNumberFormat="1" applyFont="1" applyProtection="1">
      <protection hidden="1"/>
    </xf>
    <xf numFmtId="164" fontId="0" fillId="0" borderId="0" xfId="0" applyNumberFormat="1" applyProtection="1">
      <protection hidden="1"/>
    </xf>
    <xf numFmtId="0" fontId="0" fillId="0" borderId="0" xfId="0" applyProtection="1">
      <protection hidden="1"/>
    </xf>
    <xf numFmtId="3" fontId="0" fillId="0" borderId="0" xfId="0" applyNumberFormat="1" applyProtection="1">
      <protection hidden="1"/>
    </xf>
    <xf numFmtId="3" fontId="27" fillId="0" borderId="2" xfId="0" applyNumberFormat="1" applyFont="1" applyBorder="1" applyAlignment="1" applyProtection="1">
      <alignment horizontal="center" vertical="center"/>
      <protection hidden="1"/>
    </xf>
    <xf numFmtId="3" fontId="27" fillId="0" borderId="3" xfId="0" applyNumberFormat="1" applyFont="1" applyBorder="1" applyAlignment="1" applyProtection="1">
      <alignment horizontal="center" vertical="center"/>
      <protection hidden="1"/>
    </xf>
    <xf numFmtId="4" fontId="27" fillId="0" borderId="3" xfId="0" applyNumberFormat="1" applyFont="1" applyBorder="1" applyAlignment="1" applyProtection="1">
      <alignment horizontal="center" vertical="center"/>
      <protection hidden="1"/>
    </xf>
    <xf numFmtId="3" fontId="27" fillId="0" borderId="4" xfId="0" applyNumberFormat="1" applyFont="1" applyBorder="1" applyAlignment="1" applyProtection="1">
      <alignment horizontal="center"/>
      <protection hidden="1"/>
    </xf>
    <xf numFmtId="4" fontId="27" fillId="0" borderId="4" xfId="0" applyNumberFormat="1" applyFont="1" applyBorder="1" applyAlignment="1" applyProtection="1">
      <alignment horizontal="center"/>
      <protection hidden="1"/>
    </xf>
    <xf numFmtId="3" fontId="27" fillId="34" borderId="0" xfId="0" applyNumberFormat="1" applyFont="1" applyFill="1" applyAlignment="1" applyProtection="1">
      <alignment horizontal="center"/>
      <protection hidden="1"/>
    </xf>
    <xf numFmtId="4" fontId="26" fillId="34" borderId="0" xfId="0" applyNumberFormat="1" applyFont="1" applyFill="1" applyAlignment="1" applyProtection="1">
      <alignment horizontal="center"/>
      <protection hidden="1"/>
    </xf>
    <xf numFmtId="0" fontId="23" fillId="34" borderId="0" xfId="0" applyFont="1" applyFill="1" applyProtection="1">
      <protection hidden="1"/>
    </xf>
    <xf numFmtId="4" fontId="23" fillId="0" borderId="0" xfId="0" applyNumberFormat="1" applyFont="1" applyProtection="1">
      <protection hidden="1"/>
    </xf>
    <xf numFmtId="3" fontId="26" fillId="0" borderId="3" xfId="0" applyNumberFormat="1" applyFont="1" applyBorder="1" applyAlignment="1" applyProtection="1">
      <alignment horizontal="center"/>
      <protection hidden="1"/>
    </xf>
    <xf numFmtId="3" fontId="26" fillId="0" borderId="5" xfId="0" applyNumberFormat="1" applyFont="1" applyBorder="1" applyAlignment="1" applyProtection="1">
      <alignment horizontal="center" wrapText="1"/>
      <protection hidden="1"/>
    </xf>
    <xf numFmtId="2" fontId="23" fillId="0" borderId="0" xfId="0" applyNumberFormat="1" applyFont="1"/>
    <xf numFmtId="2" fontId="27" fillId="34" borderId="0" xfId="0" applyNumberFormat="1" applyFont="1" applyFill="1" applyProtection="1">
      <protection hidden="1"/>
    </xf>
    <xf numFmtId="2" fontId="27" fillId="34" borderId="0" xfId="0" applyNumberFormat="1" applyFont="1" applyFill="1" applyAlignment="1" applyProtection="1">
      <alignment wrapText="1"/>
      <protection hidden="1"/>
    </xf>
    <xf numFmtId="2" fontId="23" fillId="34" borderId="0" xfId="0" applyNumberFormat="1" applyFont="1" applyFill="1" applyProtection="1">
      <protection hidden="1"/>
    </xf>
    <xf numFmtId="3" fontId="32" fillId="0" borderId="0" xfId="42" applyNumberFormat="1" applyFont="1" applyAlignment="1">
      <alignment wrapText="1"/>
    </xf>
    <xf numFmtId="0" fontId="30" fillId="0" borderId="0" xfId="42"/>
    <xf numFmtId="0" fontId="33" fillId="0" borderId="19" xfId="42" applyFont="1" applyBorder="1"/>
    <xf numFmtId="0" fontId="33" fillId="0" borderId="0" xfId="42" applyFont="1" applyProtection="1">
      <protection locked="0"/>
    </xf>
    <xf numFmtId="165" fontId="34" fillId="0" borderId="0" xfId="42" applyNumberFormat="1" applyFont="1" applyAlignment="1">
      <alignment horizontal="center"/>
    </xf>
    <xf numFmtId="0" fontId="33" fillId="0" borderId="20" xfId="42" applyFont="1" applyBorder="1"/>
    <xf numFmtId="164" fontId="34" fillId="0" borderId="21" xfId="42" applyNumberFormat="1" applyFont="1" applyBorder="1" applyAlignment="1" applyProtection="1">
      <alignment horizontal="left"/>
      <protection hidden="1"/>
    </xf>
    <xf numFmtId="3" fontId="32" fillId="0" borderId="21" xfId="42" applyNumberFormat="1" applyFont="1" applyBorder="1" applyAlignment="1" applyProtection="1">
      <alignment horizontal="center"/>
      <protection hidden="1"/>
    </xf>
    <xf numFmtId="3" fontId="32" fillId="0" borderId="22" xfId="42" applyNumberFormat="1" applyFont="1" applyBorder="1" applyAlignment="1">
      <alignment horizontal="center"/>
    </xf>
    <xf numFmtId="3" fontId="34" fillId="0" borderId="0" xfId="42" applyNumberFormat="1" applyFont="1" applyAlignment="1">
      <alignment horizontal="center"/>
    </xf>
    <xf numFmtId="0" fontId="33" fillId="0" borderId="0" xfId="42" applyFont="1"/>
    <xf numFmtId="164" fontId="34" fillId="0" borderId="0" xfId="42" applyNumberFormat="1" applyFont="1" applyAlignment="1" applyProtection="1">
      <alignment horizontal="left"/>
      <protection hidden="1"/>
    </xf>
    <xf numFmtId="3" fontId="32" fillId="0" borderId="0" xfId="42" applyNumberFormat="1" applyFont="1" applyAlignment="1" applyProtection="1">
      <alignment horizontal="center"/>
      <protection hidden="1"/>
    </xf>
    <xf numFmtId="3" fontId="32" fillId="0" borderId="0" xfId="42" applyNumberFormat="1" applyFont="1" applyAlignment="1">
      <alignment horizontal="center"/>
    </xf>
    <xf numFmtId="0" fontId="33" fillId="0" borderId="2" xfId="42" applyFont="1" applyBorder="1"/>
    <xf numFmtId="0" fontId="33" fillId="0" borderId="23" xfId="42" applyFont="1" applyBorder="1" applyProtection="1">
      <protection hidden="1"/>
    </xf>
    <xf numFmtId="3" fontId="27" fillId="0" borderId="23" xfId="42" applyNumberFormat="1" applyFont="1" applyBorder="1" applyAlignment="1" applyProtection="1">
      <alignment horizontal="center"/>
      <protection hidden="1"/>
    </xf>
    <xf numFmtId="3" fontId="27" fillId="0" borderId="24" xfId="42" applyNumberFormat="1" applyFont="1" applyBorder="1" applyAlignment="1">
      <alignment horizontal="center"/>
    </xf>
    <xf numFmtId="3" fontId="27" fillId="0" borderId="0" xfId="42" applyNumberFormat="1" applyFont="1" applyAlignment="1">
      <alignment horizontal="center"/>
    </xf>
    <xf numFmtId="0" fontId="27" fillId="0" borderId="19" xfId="42" applyFont="1" applyBorder="1"/>
    <xf numFmtId="0" fontId="35" fillId="0" borderId="0" xfId="42" applyFont="1" applyProtection="1">
      <protection hidden="1"/>
    </xf>
    <xf numFmtId="5" fontId="35" fillId="0" borderId="0" xfId="42" applyNumberFormat="1" applyFont="1" applyProtection="1">
      <protection hidden="1"/>
    </xf>
    <xf numFmtId="3" fontId="34" fillId="0" borderId="6" xfId="42" applyNumberFormat="1" applyFont="1" applyBorder="1"/>
    <xf numFmtId="5" fontId="35" fillId="0" borderId="0" xfId="42" applyNumberFormat="1" applyFont="1"/>
    <xf numFmtId="3" fontId="34" fillId="0" borderId="0" xfId="42" applyNumberFormat="1" applyFont="1"/>
    <xf numFmtId="5" fontId="35" fillId="0" borderId="1" xfId="42" applyNumberFormat="1" applyFont="1" applyBorder="1" applyProtection="1">
      <protection hidden="1"/>
    </xf>
    <xf numFmtId="0" fontId="35" fillId="0" borderId="0" xfId="42" applyFont="1" applyAlignment="1" applyProtection="1">
      <alignment horizontal="center"/>
      <protection hidden="1"/>
    </xf>
    <xf numFmtId="3" fontId="34" fillId="0" borderId="0" xfId="42" applyNumberFormat="1" applyFont="1" applyProtection="1">
      <protection hidden="1"/>
    </xf>
    <xf numFmtId="5" fontId="35" fillId="0" borderId="0" xfId="42" applyNumberFormat="1" applyFont="1" applyAlignment="1" applyProtection="1">
      <alignment horizontal="center"/>
      <protection hidden="1"/>
    </xf>
    <xf numFmtId="0" fontId="35" fillId="0" borderId="21" xfId="42" applyFont="1" applyBorder="1" applyAlignment="1" applyProtection="1">
      <alignment horizontal="center"/>
      <protection hidden="1"/>
    </xf>
    <xf numFmtId="3" fontId="27" fillId="0" borderId="6" xfId="42" applyNumberFormat="1" applyFont="1" applyBorder="1" applyAlignment="1">
      <alignment horizontal="center"/>
    </xf>
    <xf numFmtId="167" fontId="35" fillId="0" borderId="0" xfId="42" applyNumberFormat="1" applyFont="1" applyAlignment="1" applyProtection="1">
      <alignment horizontal="left"/>
      <protection hidden="1"/>
    </xf>
    <xf numFmtId="14" fontId="35" fillId="0" borderId="0" xfId="42" applyNumberFormat="1" applyFont="1" applyAlignment="1" applyProtection="1">
      <alignment horizontal="left"/>
      <protection hidden="1"/>
    </xf>
    <xf numFmtId="0" fontId="27" fillId="0" borderId="20" xfId="42" applyFont="1" applyBorder="1"/>
    <xf numFmtId="14" fontId="35" fillId="0" borderId="21" xfId="42" applyNumberFormat="1" applyFont="1" applyBorder="1" applyAlignment="1" applyProtection="1">
      <alignment horizontal="left"/>
      <protection hidden="1"/>
    </xf>
    <xf numFmtId="5" fontId="35" fillId="0" borderId="21" xfId="42" applyNumberFormat="1" applyFont="1" applyBorder="1" applyProtection="1">
      <protection hidden="1"/>
    </xf>
    <xf numFmtId="3" fontId="34" fillId="0" borderId="22" xfId="42" applyNumberFormat="1" applyFont="1" applyBorder="1"/>
    <xf numFmtId="0" fontId="27" fillId="0" borderId="0" xfId="42" applyFont="1"/>
    <xf numFmtId="0" fontId="27" fillId="0" borderId="2" xfId="42" applyFont="1" applyBorder="1"/>
    <xf numFmtId="14" fontId="35" fillId="0" borderId="23" xfId="42" applyNumberFormat="1" applyFont="1" applyBorder="1" applyAlignment="1" applyProtection="1">
      <alignment horizontal="left"/>
      <protection hidden="1"/>
    </xf>
    <xf numFmtId="5" fontId="35" fillId="0" borderId="23" xfId="42" applyNumberFormat="1" applyFont="1" applyBorder="1" applyProtection="1">
      <protection hidden="1"/>
    </xf>
    <xf numFmtId="3" fontId="34" fillId="0" borderId="24" xfId="42" applyNumberFormat="1" applyFont="1" applyBorder="1"/>
    <xf numFmtId="3" fontId="35" fillId="0" borderId="0" xfId="42" applyNumberFormat="1" applyFont="1" applyProtection="1">
      <protection hidden="1"/>
    </xf>
    <xf numFmtId="0" fontId="35" fillId="0" borderId="23" xfId="42" applyFont="1" applyBorder="1" applyProtection="1">
      <protection hidden="1"/>
    </xf>
    <xf numFmtId="3" fontId="35" fillId="0" borderId="23" xfId="42" applyNumberFormat="1" applyFont="1" applyBorder="1" applyProtection="1">
      <protection hidden="1"/>
    </xf>
    <xf numFmtId="7" fontId="35" fillId="0" borderId="0" xfId="42" applyNumberFormat="1" applyFont="1" applyProtection="1">
      <protection hidden="1"/>
    </xf>
    <xf numFmtId="7" fontId="35" fillId="0" borderId="1" xfId="42" applyNumberFormat="1" applyFont="1" applyBorder="1" applyProtection="1">
      <protection hidden="1"/>
    </xf>
    <xf numFmtId="0" fontId="33" fillId="0" borderId="21" xfId="42" applyFont="1" applyBorder="1" applyProtection="1">
      <protection hidden="1"/>
    </xf>
    <xf numFmtId="3" fontId="34" fillId="0" borderId="21" xfId="42" applyNumberFormat="1" applyFont="1" applyBorder="1" applyProtection="1">
      <protection hidden="1"/>
    </xf>
    <xf numFmtId="164" fontId="23" fillId="0" borderId="0" xfId="0" quotePrefix="1" applyNumberFormat="1" applyFont="1" applyProtection="1">
      <protection hidden="1"/>
    </xf>
    <xf numFmtId="0" fontId="4" fillId="0" borderId="0" xfId="43"/>
    <xf numFmtId="49" fontId="23" fillId="0" borderId="0" xfId="0" quotePrefix="1" applyNumberFormat="1" applyFont="1"/>
    <xf numFmtId="3" fontId="26" fillId="0" borderId="0" xfId="0" applyNumberFormat="1" applyFont="1" applyAlignment="1" applyProtection="1">
      <alignment wrapText="1"/>
      <protection hidden="1"/>
    </xf>
    <xf numFmtId="0" fontId="4" fillId="0" borderId="0" xfId="43" applyAlignment="1" applyProtection="1">
      <alignment horizontal="center" wrapText="1"/>
      <protection hidden="1"/>
    </xf>
    <xf numFmtId="0" fontId="38" fillId="0" borderId="0" xfId="43" applyFont="1" applyProtection="1">
      <protection hidden="1"/>
    </xf>
    <xf numFmtId="0" fontId="35" fillId="0" borderId="0" xfId="42" applyFont="1" applyAlignment="1" applyProtection="1">
      <alignment horizontal="right"/>
      <protection hidden="1"/>
    </xf>
    <xf numFmtId="14" fontId="35" fillId="0" borderId="0" xfId="42" applyNumberFormat="1" applyFont="1" applyAlignment="1" applyProtection="1">
      <alignment horizontal="right"/>
      <protection hidden="1"/>
    </xf>
    <xf numFmtId="7" fontId="35" fillId="0" borderId="1" xfId="42" applyNumberFormat="1" applyFont="1" applyBorder="1" applyAlignment="1" applyProtection="1">
      <alignment horizontal="right"/>
      <protection hidden="1"/>
    </xf>
    <xf numFmtId="0" fontId="30" fillId="34" borderId="0" xfId="42" applyFill="1"/>
    <xf numFmtId="3" fontId="34" fillId="34" borderId="0" xfId="42" applyNumberFormat="1" applyFont="1" applyFill="1"/>
    <xf numFmtId="5" fontId="35" fillId="34" borderId="0" xfId="42" applyNumberFormat="1" applyFont="1" applyFill="1"/>
    <xf numFmtId="3" fontId="26" fillId="34" borderId="3" xfId="0" applyNumberFormat="1" applyFont="1" applyFill="1" applyBorder="1" applyAlignment="1" applyProtection="1">
      <alignment wrapText="1"/>
      <protection hidden="1"/>
    </xf>
    <xf numFmtId="0" fontId="30" fillId="0" borderId="2" xfId="42" applyBorder="1"/>
    <xf numFmtId="0" fontId="30" fillId="0" borderId="23" xfId="42" applyBorder="1"/>
    <xf numFmtId="0" fontId="30" fillId="0" borderId="24" xfId="42" applyBorder="1"/>
    <xf numFmtId="0" fontId="30" fillId="0" borderId="19" xfId="42" applyBorder="1"/>
    <xf numFmtId="0" fontId="38" fillId="0" borderId="6" xfId="43" applyFont="1" applyBorder="1" applyAlignment="1" applyProtection="1">
      <alignment horizontal="center"/>
      <protection hidden="1"/>
    </xf>
    <xf numFmtId="0" fontId="38" fillId="0" borderId="6" xfId="43" applyFont="1" applyBorder="1" applyAlignment="1" applyProtection="1">
      <alignment horizontal="center" wrapText="1"/>
      <protection hidden="1"/>
    </xf>
    <xf numFmtId="0" fontId="30" fillId="0" borderId="6" xfId="42" applyBorder="1"/>
    <xf numFmtId="0" fontId="30" fillId="0" borderId="20" xfId="42" applyBorder="1"/>
    <xf numFmtId="0" fontId="30" fillId="0" borderId="21" xfId="42" applyBorder="1"/>
    <xf numFmtId="0" fontId="30" fillId="0" borderId="22" xfId="42" applyBorder="1"/>
    <xf numFmtId="3" fontId="26" fillId="34" borderId="24" xfId="0" applyNumberFormat="1" applyFont="1" applyFill="1" applyBorder="1" applyAlignment="1" applyProtection="1">
      <alignment wrapText="1"/>
      <protection hidden="1"/>
    </xf>
    <xf numFmtId="5" fontId="30" fillId="0" borderId="0" xfId="42" applyNumberFormat="1"/>
    <xf numFmtId="3" fontId="39" fillId="0" borderId="0" xfId="0" applyNumberFormat="1" applyFont="1"/>
    <xf numFmtId="0" fontId="39" fillId="0" borderId="0" xfId="0" applyFont="1"/>
    <xf numFmtId="3" fontId="23" fillId="37" borderId="0" xfId="0" applyNumberFormat="1" applyFont="1" applyFill="1" applyProtection="1">
      <protection hidden="1"/>
    </xf>
    <xf numFmtId="0" fontId="27" fillId="37" borderId="0" xfId="0" applyFont="1" applyFill="1" applyProtection="1">
      <protection hidden="1"/>
    </xf>
    <xf numFmtId="2" fontId="23" fillId="37" borderId="0" xfId="0" applyNumberFormat="1" applyFont="1" applyFill="1" applyAlignment="1" applyProtection="1">
      <alignment horizontal="right"/>
      <protection hidden="1"/>
    </xf>
    <xf numFmtId="3" fontId="23" fillId="37" borderId="0" xfId="0" applyNumberFormat="1" applyFont="1" applyFill="1" applyAlignment="1" applyProtection="1">
      <alignment horizontal="right"/>
      <protection hidden="1"/>
    </xf>
    <xf numFmtId="0" fontId="23" fillId="37" borderId="0" xfId="0" applyFont="1" applyFill="1" applyProtection="1">
      <protection hidden="1"/>
    </xf>
    <xf numFmtId="3" fontId="26" fillId="0" borderId="0" xfId="0" applyNumberFormat="1" applyFont="1" applyAlignment="1" applyProtection="1">
      <alignment horizontal="center"/>
      <protection hidden="1"/>
    </xf>
    <xf numFmtId="0" fontId="4" fillId="0" borderId="0" xfId="43" applyAlignment="1">
      <alignment vertical="center" wrapText="1"/>
    </xf>
    <xf numFmtId="0" fontId="4" fillId="34" borderId="0" xfId="43" applyFill="1"/>
    <xf numFmtId="49" fontId="4" fillId="34" borderId="0" xfId="43" applyNumberFormat="1" applyFill="1"/>
    <xf numFmtId="0" fontId="38" fillId="0" borderId="0" xfId="43" applyFont="1" applyAlignment="1">
      <alignment vertical="center" wrapText="1"/>
    </xf>
    <xf numFmtId="0" fontId="38" fillId="0" borderId="0" xfId="43" applyFont="1"/>
    <xf numFmtId="4" fontId="23" fillId="0" borderId="0" xfId="0" applyNumberFormat="1" applyFont="1"/>
    <xf numFmtId="0" fontId="23" fillId="0" borderId="0" xfId="0" quotePrefix="1" applyFont="1"/>
    <xf numFmtId="0" fontId="41" fillId="0" borderId="0" xfId="43" applyFont="1" applyProtection="1">
      <protection hidden="1"/>
    </xf>
    <xf numFmtId="49" fontId="42" fillId="34" borderId="0" xfId="0" applyNumberFormat="1" applyFont="1" applyFill="1" applyProtection="1">
      <protection hidden="1"/>
    </xf>
    <xf numFmtId="164" fontId="42" fillId="0" borderId="0" xfId="0" applyNumberFormat="1" applyFont="1" applyProtection="1">
      <protection hidden="1"/>
    </xf>
    <xf numFmtId="0" fontId="42" fillId="0" borderId="0" xfId="0" applyFont="1" applyProtection="1">
      <protection hidden="1"/>
    </xf>
    <xf numFmtId="0" fontId="43" fillId="36" borderId="0" xfId="0" applyFont="1" applyFill="1" applyProtection="1">
      <protection hidden="1"/>
    </xf>
    <xf numFmtId="0" fontId="43" fillId="0" borderId="0" xfId="0" applyFont="1" applyProtection="1">
      <protection hidden="1"/>
    </xf>
    <xf numFmtId="49" fontId="42" fillId="34" borderId="0" xfId="0" applyNumberFormat="1" applyFont="1" applyFill="1" applyAlignment="1" applyProtection="1">
      <alignment horizontal="center"/>
      <protection hidden="1"/>
    </xf>
    <xf numFmtId="0" fontId="40" fillId="0" borderId="0" xfId="0" applyFont="1" applyProtection="1">
      <protection hidden="1"/>
    </xf>
    <xf numFmtId="0" fontId="43" fillId="0" borderId="0" xfId="0" applyFont="1" applyAlignment="1" applyProtection="1">
      <alignment horizontal="center" wrapText="1"/>
      <protection hidden="1"/>
    </xf>
    <xf numFmtId="0" fontId="43" fillId="0" borderId="21" xfId="0" applyFont="1" applyBorder="1" applyAlignment="1" applyProtection="1">
      <alignment horizontal="center" wrapText="1"/>
      <protection hidden="1"/>
    </xf>
    <xf numFmtId="0" fontId="43" fillId="36" borderId="21" xfId="0" applyFont="1" applyFill="1" applyBorder="1" applyProtection="1">
      <protection hidden="1"/>
    </xf>
    <xf numFmtId="4" fontId="40" fillId="0" borderId="21" xfId="0" applyNumberFormat="1" applyFont="1" applyBorder="1" applyAlignment="1" applyProtection="1">
      <alignment horizontal="center" wrapText="1"/>
      <protection hidden="1"/>
    </xf>
    <xf numFmtId="4" fontId="40" fillId="0" borderId="0" xfId="0" applyNumberFormat="1" applyFont="1" applyAlignment="1" applyProtection="1">
      <alignment horizontal="center" wrapText="1"/>
      <protection hidden="1"/>
    </xf>
    <xf numFmtId="4" fontId="41" fillId="0" borderId="0" xfId="43" applyNumberFormat="1" applyFont="1" applyProtection="1">
      <protection hidden="1"/>
    </xf>
    <xf numFmtId="4" fontId="43" fillId="0" borderId="1" xfId="0" applyNumberFormat="1" applyFont="1" applyBorder="1" applyProtection="1">
      <protection hidden="1"/>
    </xf>
    <xf numFmtId="49" fontId="41" fillId="0" borderId="0" xfId="43" applyNumberFormat="1" applyFont="1" applyProtection="1">
      <protection hidden="1"/>
    </xf>
    <xf numFmtId="0" fontId="41" fillId="34" borderId="0" xfId="0" applyFont="1" applyFill="1" applyProtection="1">
      <protection hidden="1"/>
    </xf>
    <xf numFmtId="0" fontId="41" fillId="0" borderId="0" xfId="0" applyFont="1" applyProtection="1">
      <protection hidden="1"/>
    </xf>
    <xf numFmtId="49" fontId="41" fillId="34" borderId="0" xfId="0" applyNumberFormat="1" applyFont="1" applyFill="1" applyProtection="1">
      <protection hidden="1"/>
    </xf>
    <xf numFmtId="0" fontId="41" fillId="36" borderId="0" xfId="0" applyFont="1" applyFill="1" applyProtection="1">
      <protection hidden="1"/>
    </xf>
    <xf numFmtId="0" fontId="41" fillId="34" borderId="0" xfId="0" applyFont="1" applyFill="1"/>
    <xf numFmtId="0" fontId="41" fillId="0" borderId="25" xfId="0" applyFont="1" applyBorder="1"/>
    <xf numFmtId="0" fontId="41" fillId="34" borderId="25" xfId="0" applyFont="1" applyFill="1" applyBorder="1"/>
    <xf numFmtId="4" fontId="41" fillId="0" borderId="25" xfId="0" applyNumberFormat="1" applyFont="1" applyBorder="1" applyProtection="1">
      <protection hidden="1"/>
    </xf>
    <xf numFmtId="0" fontId="41" fillId="36" borderId="25" xfId="0" applyFont="1" applyFill="1" applyBorder="1" applyProtection="1">
      <protection hidden="1"/>
    </xf>
    <xf numFmtId="0" fontId="41" fillId="33" borderId="0" xfId="0" quotePrefix="1" applyFont="1" applyFill="1" applyProtection="1">
      <protection hidden="1"/>
    </xf>
    <xf numFmtId="168" fontId="30" fillId="33" borderId="0" xfId="42" applyNumberFormat="1" applyFill="1" applyAlignment="1">
      <alignment horizontal="right"/>
    </xf>
    <xf numFmtId="166" fontId="35" fillId="0" borderId="0" xfId="42" applyNumberFormat="1" applyFont="1" applyAlignment="1" applyProtection="1">
      <alignment horizontal="left" indent="1"/>
      <protection hidden="1"/>
    </xf>
    <xf numFmtId="0" fontId="38" fillId="34" borderId="0" xfId="44" applyFont="1" applyFill="1" applyAlignment="1">
      <alignment wrapText="1"/>
    </xf>
    <xf numFmtId="0" fontId="38" fillId="0" borderId="0" xfId="44" applyFont="1" applyAlignment="1">
      <alignment wrapText="1"/>
    </xf>
    <xf numFmtId="0" fontId="3" fillId="34" borderId="25" xfId="44" applyFill="1" applyBorder="1"/>
    <xf numFmtId="49" fontId="3" fillId="0" borderId="25" xfId="44" applyNumberFormat="1" applyBorder="1"/>
    <xf numFmtId="49" fontId="3" fillId="34" borderId="25" xfId="44" applyNumberFormat="1" applyFill="1" applyBorder="1"/>
    <xf numFmtId="3" fontId="3" fillId="0" borderId="25" xfId="44" applyNumberFormat="1" applyBorder="1"/>
    <xf numFmtId="0" fontId="2" fillId="0" borderId="0" xfId="43" quotePrefix="1" applyFont="1"/>
    <xf numFmtId="3" fontId="38" fillId="0" borderId="26" xfId="43" applyNumberFormat="1" applyFont="1" applyBorder="1"/>
    <xf numFmtId="0" fontId="1" fillId="0" borderId="0" xfId="43" applyFont="1"/>
    <xf numFmtId="1" fontId="23" fillId="0" borderId="0" xfId="0" applyNumberFormat="1" applyFont="1" applyProtection="1">
      <protection hidden="1"/>
    </xf>
    <xf numFmtId="0" fontId="35" fillId="0" borderId="0" xfId="42" applyFont="1" applyAlignment="1" applyProtection="1">
      <alignment horizontal="left"/>
      <protection hidden="1"/>
    </xf>
    <xf numFmtId="0" fontId="23" fillId="0" borderId="0" xfId="0" quotePrefix="1" applyFont="1" applyProtection="1">
      <protection hidden="1"/>
    </xf>
    <xf numFmtId="0" fontId="22" fillId="0" borderId="0" xfId="0" quotePrefix="1" applyFont="1" applyProtection="1">
      <protection hidden="1"/>
    </xf>
    <xf numFmtId="164" fontId="24" fillId="0" borderId="0" xfId="0" applyNumberFormat="1" applyFont="1" applyAlignment="1" applyProtection="1">
      <alignment horizontal="center"/>
      <protection hidden="1"/>
    </xf>
    <xf numFmtId="164" fontId="28" fillId="0" borderId="0" xfId="0" applyNumberFormat="1" applyFont="1" applyAlignment="1" applyProtection="1">
      <alignment horizontal="center"/>
      <protection hidden="1"/>
    </xf>
    <xf numFmtId="0" fontId="27" fillId="33" borderId="0" xfId="0" applyFont="1" applyFill="1" applyAlignment="1" applyProtection="1">
      <alignment horizontal="center" wrapText="1"/>
      <protection hidden="1"/>
    </xf>
    <xf numFmtId="0" fontId="26" fillId="0" borderId="0" xfId="0" applyFont="1" applyAlignment="1" applyProtection="1">
      <alignment horizontal="center"/>
      <protection hidden="1"/>
    </xf>
    <xf numFmtId="0" fontId="26" fillId="0" borderId="6" xfId="0" applyFont="1" applyBorder="1" applyAlignment="1" applyProtection="1">
      <alignment horizontal="center"/>
      <protection hidden="1"/>
    </xf>
    <xf numFmtId="3" fontId="26" fillId="0" borderId="7" xfId="0" applyNumberFormat="1" applyFont="1" applyBorder="1" applyAlignment="1" applyProtection="1">
      <alignment horizontal="center" vertical="center"/>
      <protection hidden="1"/>
    </xf>
    <xf numFmtId="3" fontId="26" fillId="0" borderId="8" xfId="0" applyNumberFormat="1" applyFont="1" applyBorder="1" applyAlignment="1" applyProtection="1">
      <alignment horizontal="center" vertical="center"/>
      <protection hidden="1"/>
    </xf>
    <xf numFmtId="3" fontId="26" fillId="0" borderId="9" xfId="0" applyNumberFormat="1" applyFont="1" applyBorder="1" applyAlignment="1" applyProtection="1">
      <alignment horizontal="center" vertical="center"/>
      <protection hidden="1"/>
    </xf>
    <xf numFmtId="164" fontId="28" fillId="0" borderId="0" xfId="0" applyNumberFormat="1" applyFont="1" applyAlignment="1" applyProtection="1">
      <alignment horizontal="center" wrapText="1"/>
      <protection hidden="1"/>
    </xf>
    <xf numFmtId="0" fontId="27" fillId="34" borderId="0" xfId="0" applyFont="1" applyFill="1" applyAlignment="1" applyProtection="1">
      <alignment horizontal="center" wrapText="1"/>
      <protection hidden="1"/>
    </xf>
    <xf numFmtId="164" fontId="26" fillId="34" borderId="0" xfId="0" applyNumberFormat="1" applyFont="1" applyFill="1" applyAlignment="1" applyProtection="1">
      <alignment horizontal="center" wrapText="1"/>
      <protection hidden="1"/>
    </xf>
    <xf numFmtId="164" fontId="26" fillId="33" borderId="0" xfId="0" applyNumberFormat="1" applyFont="1" applyFill="1" applyAlignment="1" applyProtection="1">
      <alignment horizontal="center"/>
      <protection hidden="1"/>
    </xf>
    <xf numFmtId="3" fontId="24" fillId="0" borderId="0" xfId="0" applyNumberFormat="1" applyFont="1" applyAlignment="1" applyProtection="1">
      <alignment horizontal="center"/>
      <protection hidden="1"/>
    </xf>
    <xf numFmtId="14" fontId="28" fillId="0" borderId="23" xfId="42" applyNumberFormat="1" applyFont="1" applyBorder="1" applyAlignment="1" applyProtection="1">
      <alignment horizontal="center" wrapText="1"/>
      <protection hidden="1"/>
    </xf>
    <xf numFmtId="14" fontId="28" fillId="0" borderId="0" xfId="42" applyNumberFormat="1" applyFont="1" applyAlignment="1" applyProtection="1">
      <alignment horizontal="center" wrapText="1"/>
      <protection hidden="1"/>
    </xf>
    <xf numFmtId="14" fontId="28" fillId="0" borderId="21" xfId="42" applyNumberFormat="1" applyFont="1" applyBorder="1" applyAlignment="1" applyProtection="1">
      <alignment horizontal="center" wrapText="1"/>
      <protection hidden="1"/>
    </xf>
    <xf numFmtId="3" fontId="28" fillId="0" borderId="0" xfId="0" applyNumberFormat="1" applyFont="1" applyAlignment="1" applyProtection="1">
      <alignment horizontal="center" wrapText="1"/>
      <protection hidden="1"/>
    </xf>
    <xf numFmtId="3" fontId="28" fillId="0" borderId="21" xfId="0" applyNumberFormat="1" applyFont="1" applyBorder="1" applyAlignment="1" applyProtection="1">
      <alignment horizontal="center" wrapText="1"/>
      <protection hidden="1"/>
    </xf>
    <xf numFmtId="3" fontId="31" fillId="35" borderId="7" xfId="42" applyNumberFormat="1" applyFont="1" applyFill="1" applyBorder="1" applyAlignment="1">
      <alignment horizontal="center" wrapText="1"/>
    </xf>
    <xf numFmtId="3" fontId="31" fillId="35" borderId="8" xfId="42" applyNumberFormat="1" applyFont="1" applyFill="1" applyBorder="1" applyAlignment="1">
      <alignment horizontal="center" wrapText="1"/>
    </xf>
    <xf numFmtId="3" fontId="31" fillId="35" borderId="9" xfId="42" applyNumberFormat="1" applyFont="1" applyFill="1" applyBorder="1" applyAlignment="1">
      <alignment horizontal="center" wrapText="1"/>
    </xf>
    <xf numFmtId="3" fontId="31" fillId="0" borderId="0" xfId="42" applyNumberFormat="1" applyFont="1" applyAlignment="1">
      <alignment horizontal="center" wrapText="1"/>
    </xf>
    <xf numFmtId="3" fontId="31" fillId="0" borderId="6" xfId="42" applyNumberFormat="1" applyFont="1" applyBorder="1" applyAlignment="1">
      <alignment horizontal="center" wrapText="1"/>
    </xf>
    <xf numFmtId="3" fontId="24" fillId="0" borderId="23" xfId="0" applyNumberFormat="1" applyFont="1" applyBorder="1" applyAlignment="1" applyProtection="1">
      <alignment horizontal="center"/>
      <protection hidden="1"/>
    </xf>
    <xf numFmtId="3" fontId="24" fillId="0" borderId="24" xfId="0" applyNumberFormat="1" applyFont="1" applyBorder="1" applyAlignment="1" applyProtection="1">
      <alignment horizontal="center"/>
      <protection hidden="1"/>
    </xf>
    <xf numFmtId="3" fontId="24" fillId="0" borderId="6" xfId="0" applyNumberFormat="1" applyFont="1" applyBorder="1" applyAlignment="1" applyProtection="1">
      <alignment horizontal="center"/>
      <protection hidden="1"/>
    </xf>
    <xf numFmtId="0" fontId="43" fillId="0" borderId="0" xfId="0" applyFont="1" applyAlignment="1" applyProtection="1">
      <alignment horizontal="center"/>
      <protection hidden="1"/>
    </xf>
    <xf numFmtId="164" fontId="40" fillId="0" borderId="0" xfId="0" applyNumberFormat="1" applyFont="1" applyAlignment="1" applyProtection="1">
      <alignment horizontal="center"/>
      <protection hidden="1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 xr:uid="{00000000-0005-0000-0000-000025000000}"/>
    <cellStyle name="Normal 3" xfId="43" xr:uid="{00000000-0005-0000-0000-000026000000}"/>
    <cellStyle name="Normal 4" xfId="44" xr:uid="{00000000-0005-0000-0000-000027000000}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4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rive/PAY/FY2017/+StateAidPaymentSumma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te Aid"/>
      <sheetName val="June Payment Total"/>
      <sheetName val="Budget Total"/>
      <sheetName val="SpecialEdDeficitPayment"/>
      <sheetName val="IncomeSurtax"/>
      <sheetName val="Data"/>
      <sheetName val="Data-OLD"/>
      <sheetName val="Notes"/>
    </sheetNames>
    <sheetDataSet>
      <sheetData sheetId="0"/>
      <sheetData sheetId="1">
        <row r="6">
          <cell r="A6">
            <v>9</v>
          </cell>
        </row>
      </sheetData>
      <sheetData sheetId="2">
        <row r="7">
          <cell r="A7">
            <v>9</v>
          </cell>
          <cell r="B7" t="str">
            <v>AGWSR</v>
          </cell>
        </row>
        <row r="8">
          <cell r="B8" t="str">
            <v>ADAIR-CASEY</v>
          </cell>
        </row>
        <row r="9">
          <cell r="B9" t="str">
            <v>ADEL-DESOTO-MINBURN</v>
          </cell>
        </row>
        <row r="10">
          <cell r="B10" t="str">
            <v>AKRON-WESTFIELD</v>
          </cell>
        </row>
        <row r="11">
          <cell r="B11" t="str">
            <v>ALBERT CITY-TRUESDALE</v>
          </cell>
        </row>
        <row r="12">
          <cell r="B12" t="str">
            <v>ALBIA</v>
          </cell>
        </row>
        <row r="13">
          <cell r="B13" t="str">
            <v>ALBURNETT</v>
          </cell>
        </row>
        <row r="14">
          <cell r="B14" t="str">
            <v>ALDEN</v>
          </cell>
        </row>
        <row r="15">
          <cell r="B15" t="str">
            <v>ALGONA</v>
          </cell>
        </row>
        <row r="16">
          <cell r="B16" t="str">
            <v>ALLAMAKEE</v>
          </cell>
        </row>
        <row r="17">
          <cell r="B17" t="str">
            <v>NORTH BUTLER</v>
          </cell>
        </row>
        <row r="18">
          <cell r="B18" t="str">
            <v>ALTA</v>
          </cell>
        </row>
        <row r="19">
          <cell r="B19" t="str">
            <v>AMES</v>
          </cell>
        </row>
        <row r="20">
          <cell r="B20" t="str">
            <v>ANAMOSA</v>
          </cell>
        </row>
        <row r="21">
          <cell r="B21" t="str">
            <v>ANDREW</v>
          </cell>
        </row>
        <row r="22">
          <cell r="B22" t="str">
            <v>ANKENY</v>
          </cell>
        </row>
        <row r="23">
          <cell r="B23" t="str">
            <v>APLINGTON-PARKERSBURG</v>
          </cell>
        </row>
        <row r="24">
          <cell r="B24" t="str">
            <v>NORTH UNION</v>
          </cell>
        </row>
        <row r="25">
          <cell r="B25" t="str">
            <v>AR-WE-VA</v>
          </cell>
        </row>
        <row r="26">
          <cell r="B26" t="str">
            <v>ATLANTIC</v>
          </cell>
        </row>
        <row r="27">
          <cell r="B27" t="str">
            <v>AUDUBON</v>
          </cell>
        </row>
        <row r="28">
          <cell r="B28" t="str">
            <v>AURELIA</v>
          </cell>
        </row>
        <row r="29">
          <cell r="B29" t="str">
            <v>AHSTW</v>
          </cell>
        </row>
        <row r="30">
          <cell r="B30" t="str">
            <v>BALLARD</v>
          </cell>
        </row>
        <row r="31">
          <cell r="B31" t="str">
            <v>BATTLE CREEK-IDA GROVE</v>
          </cell>
        </row>
        <row r="32">
          <cell r="B32" t="str">
            <v>BAXTER</v>
          </cell>
        </row>
        <row r="33">
          <cell r="B33" t="str">
            <v>BCLUW</v>
          </cell>
        </row>
        <row r="34">
          <cell r="B34" t="str">
            <v>BEDFORD</v>
          </cell>
        </row>
        <row r="35">
          <cell r="B35" t="str">
            <v>BELLE PLAINE</v>
          </cell>
        </row>
        <row r="36">
          <cell r="B36" t="str">
            <v>BELLEVUE</v>
          </cell>
        </row>
        <row r="37">
          <cell r="B37" t="str">
            <v>BELMOND-KLEMME</v>
          </cell>
        </row>
        <row r="38">
          <cell r="B38" t="str">
            <v>BENNETT</v>
          </cell>
        </row>
        <row r="39">
          <cell r="B39" t="str">
            <v>BENTON</v>
          </cell>
        </row>
        <row r="40">
          <cell r="B40" t="str">
            <v>BETTENDORF</v>
          </cell>
        </row>
        <row r="41">
          <cell r="B41" t="str">
            <v>EDDYVILLE-BLAKESBURG-FREMONT</v>
          </cell>
        </row>
        <row r="42">
          <cell r="B42" t="str">
            <v>BONDURANT-FARRAR</v>
          </cell>
        </row>
        <row r="43">
          <cell r="B43" t="str">
            <v>BOONE</v>
          </cell>
        </row>
        <row r="44">
          <cell r="B44" t="str">
            <v>BOYDEN-HULL</v>
          </cell>
        </row>
        <row r="45">
          <cell r="B45" t="str">
            <v>WEST HANCOCK</v>
          </cell>
        </row>
        <row r="46">
          <cell r="B46" t="str">
            <v>BROOKLYN-GUERNSEY-MALCOM</v>
          </cell>
        </row>
        <row r="47">
          <cell r="B47" t="str">
            <v>NORTH IOWA</v>
          </cell>
        </row>
        <row r="48">
          <cell r="B48" t="str">
            <v>BURLINGTON</v>
          </cell>
        </row>
        <row r="49">
          <cell r="B49" t="str">
            <v>CAM</v>
          </cell>
        </row>
        <row r="50">
          <cell r="B50" t="str">
            <v>CAL</v>
          </cell>
        </row>
        <row r="51">
          <cell r="B51" t="str">
            <v>CALAMUS/WHEATLAND</v>
          </cell>
        </row>
        <row r="52">
          <cell r="B52" t="str">
            <v>CAMANCHE</v>
          </cell>
        </row>
        <row r="53">
          <cell r="B53" t="str">
            <v>CARDINAL</v>
          </cell>
        </row>
        <row r="54">
          <cell r="B54" t="str">
            <v>CARLISLE</v>
          </cell>
        </row>
        <row r="55">
          <cell r="B55" t="str">
            <v>CARROLL</v>
          </cell>
        </row>
        <row r="56">
          <cell r="B56" t="str">
            <v>CEDAR FALLS</v>
          </cell>
        </row>
        <row r="57">
          <cell r="B57" t="str">
            <v>CEDAR RAPIDS</v>
          </cell>
        </row>
        <row r="58">
          <cell r="B58" t="str">
            <v>CENTER POINT-URBANA</v>
          </cell>
        </row>
        <row r="59">
          <cell r="B59" t="str">
            <v>CENTERVILLE</v>
          </cell>
        </row>
        <row r="60">
          <cell r="B60" t="str">
            <v>CENTRAL LEE</v>
          </cell>
        </row>
        <row r="61">
          <cell r="B61" t="str">
            <v>CENTRAL CLAYTON</v>
          </cell>
        </row>
        <row r="62">
          <cell r="B62" t="str">
            <v>CENTRAL DE WITT</v>
          </cell>
        </row>
        <row r="63">
          <cell r="B63" t="str">
            <v>CENTRAL CITY</v>
          </cell>
        </row>
        <row r="64">
          <cell r="B64" t="str">
            <v>CENTRAL DECATUR</v>
          </cell>
        </row>
        <row r="65">
          <cell r="B65" t="str">
            <v>CENTRAL LYON</v>
          </cell>
        </row>
        <row r="66">
          <cell r="B66" t="str">
            <v>CHARITON</v>
          </cell>
        </row>
        <row r="67">
          <cell r="B67" t="str">
            <v>CHARLES CITY</v>
          </cell>
        </row>
        <row r="68">
          <cell r="B68" t="str">
            <v>CHARTER OAK-UTE</v>
          </cell>
        </row>
        <row r="69">
          <cell r="B69" t="str">
            <v>CHEROKEE</v>
          </cell>
        </row>
        <row r="70">
          <cell r="B70" t="str">
            <v>CLARINDA</v>
          </cell>
        </row>
        <row r="71">
          <cell r="B71" t="str">
            <v>CLARION-GOLDFIELD-DOWS</v>
          </cell>
        </row>
        <row r="72">
          <cell r="B72" t="str">
            <v>CLARKE</v>
          </cell>
        </row>
        <row r="73">
          <cell r="B73" t="str">
            <v>CLARKSVILLE</v>
          </cell>
        </row>
        <row r="74">
          <cell r="B74" t="str">
            <v>CLAY CENTRAL-EVERLY</v>
          </cell>
        </row>
        <row r="75">
          <cell r="B75" t="str">
            <v>CLEAR CREEK-AMANA</v>
          </cell>
        </row>
        <row r="76">
          <cell r="B76" t="str">
            <v>CLEAR LAKE</v>
          </cell>
        </row>
        <row r="77">
          <cell r="B77" t="str">
            <v>CLINTON</v>
          </cell>
        </row>
        <row r="78">
          <cell r="B78" t="str">
            <v>COLFAX-MINGO</v>
          </cell>
        </row>
        <row r="79">
          <cell r="B79" t="str">
            <v>COLLEGE</v>
          </cell>
        </row>
        <row r="80">
          <cell r="B80" t="str">
            <v>COLLINS-MAXWELL</v>
          </cell>
        </row>
        <row r="81">
          <cell r="B81" t="str">
            <v>COLO-NESCO</v>
          </cell>
        </row>
        <row r="82">
          <cell r="B82" t="str">
            <v>COLUMBUS</v>
          </cell>
        </row>
        <row r="83">
          <cell r="B83" t="str">
            <v>COON RAPIDS-BAYARD</v>
          </cell>
        </row>
        <row r="84">
          <cell r="B84" t="str">
            <v>CORNING</v>
          </cell>
        </row>
        <row r="85">
          <cell r="B85" t="str">
            <v>COUNCIL BLUFFS</v>
          </cell>
        </row>
        <row r="86">
          <cell r="B86" t="str">
            <v>CRESTON</v>
          </cell>
        </row>
        <row r="87">
          <cell r="B87" t="str">
            <v>DALLAS CENTER-GRIMES</v>
          </cell>
        </row>
        <row r="88">
          <cell r="B88" t="str">
            <v>DANVILLE</v>
          </cell>
        </row>
        <row r="89">
          <cell r="B89" t="str">
            <v>DAVENPORT</v>
          </cell>
        </row>
        <row r="90">
          <cell r="B90" t="str">
            <v>DAVIS COUNTY</v>
          </cell>
        </row>
        <row r="91">
          <cell r="B91" t="str">
            <v>DECORAH</v>
          </cell>
        </row>
        <row r="92">
          <cell r="B92" t="str">
            <v>DELWOOD</v>
          </cell>
        </row>
        <row r="93">
          <cell r="B93" t="str">
            <v>DENISON</v>
          </cell>
        </row>
        <row r="94">
          <cell r="B94" t="str">
            <v>DENVER</v>
          </cell>
        </row>
        <row r="95">
          <cell r="B95" t="str">
            <v>DES MOINES</v>
          </cell>
        </row>
        <row r="96">
          <cell r="B96" t="str">
            <v>DIAGONAL</v>
          </cell>
        </row>
        <row r="97">
          <cell r="B97" t="str">
            <v>DIKE-NEW HARTFORD</v>
          </cell>
        </row>
        <row r="98">
          <cell r="B98" t="str">
            <v>DUBUQUE</v>
          </cell>
        </row>
        <row r="99">
          <cell r="B99" t="str">
            <v>DUNKERTON</v>
          </cell>
        </row>
        <row r="100">
          <cell r="B100" t="str">
            <v>BOYER VALLEY</v>
          </cell>
        </row>
        <row r="101">
          <cell r="B101" t="str">
            <v>DURANT</v>
          </cell>
        </row>
        <row r="102">
          <cell r="B102" t="str">
            <v>UNION</v>
          </cell>
        </row>
        <row r="103">
          <cell r="B103" t="str">
            <v>EAGLE GROVE</v>
          </cell>
        </row>
        <row r="104">
          <cell r="B104" t="str">
            <v>EARLHAM</v>
          </cell>
        </row>
        <row r="105">
          <cell r="B105" t="str">
            <v>EAST BUCHANAN</v>
          </cell>
        </row>
        <row r="106">
          <cell r="B106" t="str">
            <v>EASTON VALLEY</v>
          </cell>
        </row>
        <row r="107">
          <cell r="B107" t="str">
            <v>EAST UNION</v>
          </cell>
        </row>
        <row r="108">
          <cell r="B108" t="str">
            <v>EASTERN ALLAMAKEE</v>
          </cell>
        </row>
        <row r="109">
          <cell r="B109" t="str">
            <v>RIVER VALLEY</v>
          </cell>
        </row>
        <row r="110">
          <cell r="B110" t="str">
            <v>EDGEWOOD-COLESBURG</v>
          </cell>
        </row>
        <row r="111">
          <cell r="B111" t="str">
            <v>ELDORA-NEW PROVIDENCE</v>
          </cell>
        </row>
        <row r="112">
          <cell r="B112" t="str">
            <v>EMMETSBURG</v>
          </cell>
        </row>
        <row r="113">
          <cell r="B113" t="str">
            <v>ENGLISH VALLEYS</v>
          </cell>
        </row>
        <row r="114">
          <cell r="B114" t="str">
            <v>ESSEX</v>
          </cell>
        </row>
        <row r="115">
          <cell r="B115" t="str">
            <v>ESTHERVILLE-LINCOLN CENTRAL</v>
          </cell>
        </row>
        <row r="116">
          <cell r="B116" t="str">
            <v>EXIRA-ELK HORN-KIMBALLTON</v>
          </cell>
        </row>
        <row r="117">
          <cell r="B117" t="str">
            <v>FAIRFIELD</v>
          </cell>
        </row>
        <row r="118">
          <cell r="B118" t="str">
            <v>FOREST CITY</v>
          </cell>
        </row>
        <row r="119">
          <cell r="B119" t="str">
            <v>FORT DODGE</v>
          </cell>
        </row>
        <row r="120">
          <cell r="B120" t="str">
            <v>FORT MADISON</v>
          </cell>
        </row>
        <row r="121">
          <cell r="B121" t="str">
            <v>FREMONT-MILLS</v>
          </cell>
        </row>
        <row r="122">
          <cell r="B122" t="str">
            <v>GALVA-HOLSTEIN</v>
          </cell>
        </row>
        <row r="123">
          <cell r="B123" t="str">
            <v>GARNER-HAYFIELD-VENTURA</v>
          </cell>
        </row>
        <row r="124">
          <cell r="B124" t="str">
            <v>GEORGE-LITTLE ROCK</v>
          </cell>
        </row>
        <row r="125">
          <cell r="B125" t="str">
            <v>GILBERT</v>
          </cell>
        </row>
        <row r="126">
          <cell r="B126" t="str">
            <v>GILMORE CITY-BRADGATE</v>
          </cell>
        </row>
        <row r="127">
          <cell r="B127" t="str">
            <v>GLADBROOK-REINBECK</v>
          </cell>
        </row>
        <row r="128">
          <cell r="B128" t="str">
            <v>GLENWOOD</v>
          </cell>
        </row>
        <row r="129">
          <cell r="B129" t="str">
            <v>GLIDDEN-RALSTON</v>
          </cell>
        </row>
        <row r="130">
          <cell r="B130" t="str">
            <v>GRAETTINGER-TERRIL</v>
          </cell>
        </row>
        <row r="131">
          <cell r="B131" t="str">
            <v>NODAWAY VALLEY</v>
          </cell>
        </row>
        <row r="132">
          <cell r="B132" t="str">
            <v>GMG</v>
          </cell>
        </row>
        <row r="133">
          <cell r="B133" t="str">
            <v>GRINNELL-NEWBURG</v>
          </cell>
        </row>
        <row r="134">
          <cell r="B134" t="str">
            <v>GRISWOLD</v>
          </cell>
        </row>
        <row r="135">
          <cell r="B135" t="str">
            <v>GRUNDY CENTER</v>
          </cell>
        </row>
        <row r="136">
          <cell r="B136" t="str">
            <v>GUTHRIE CENTER</v>
          </cell>
        </row>
        <row r="137">
          <cell r="B137" t="str">
            <v>CLAYTON RIDGE</v>
          </cell>
        </row>
        <row r="138">
          <cell r="B138" t="str">
            <v>HLV</v>
          </cell>
        </row>
        <row r="139">
          <cell r="B139" t="str">
            <v>HAMBURG</v>
          </cell>
        </row>
        <row r="140">
          <cell r="B140" t="str">
            <v>HAMPTON-DUMONT</v>
          </cell>
        </row>
        <row r="141">
          <cell r="B141" t="str">
            <v>HARLAN</v>
          </cell>
        </row>
        <row r="142">
          <cell r="B142" t="str">
            <v>HARMONY</v>
          </cell>
        </row>
        <row r="143">
          <cell r="B143" t="str">
            <v>HARRIS-LAKE PARK</v>
          </cell>
        </row>
        <row r="144">
          <cell r="B144" t="str">
            <v>HARTLEY-MELVIN-SANBORN</v>
          </cell>
        </row>
        <row r="145">
          <cell r="B145" t="str">
            <v>HIGHLAND</v>
          </cell>
        </row>
        <row r="146">
          <cell r="B146" t="str">
            <v>HINTON</v>
          </cell>
        </row>
        <row r="147">
          <cell r="B147" t="str">
            <v>HOWARD-WINNESHIEK</v>
          </cell>
        </row>
        <row r="148">
          <cell r="B148" t="str">
            <v>HUBBARD-RADCLIFFE</v>
          </cell>
        </row>
        <row r="149">
          <cell r="B149" t="str">
            <v>HUDSON</v>
          </cell>
        </row>
        <row r="150">
          <cell r="B150" t="str">
            <v>HUMBOLDT</v>
          </cell>
        </row>
        <row r="151">
          <cell r="B151" t="str">
            <v>INDEPENDENCE</v>
          </cell>
        </row>
        <row r="152">
          <cell r="B152" t="str">
            <v>INDIANOLA</v>
          </cell>
        </row>
        <row r="153">
          <cell r="B153" t="str">
            <v>INTERSTATE 35</v>
          </cell>
        </row>
        <row r="154">
          <cell r="B154" t="str">
            <v>IOWA CITY</v>
          </cell>
        </row>
        <row r="155">
          <cell r="B155" t="str">
            <v>IOWA FALLS</v>
          </cell>
        </row>
        <row r="156">
          <cell r="B156" t="str">
            <v>IOWA VALLEY</v>
          </cell>
        </row>
        <row r="157">
          <cell r="B157" t="str">
            <v>IKM-MANNING</v>
          </cell>
        </row>
        <row r="158">
          <cell r="B158" t="str">
            <v>JANESVILLE</v>
          </cell>
        </row>
        <row r="159">
          <cell r="B159" t="str">
            <v>GREENE COUNTY</v>
          </cell>
        </row>
        <row r="160">
          <cell r="B160" t="str">
            <v>JESUP</v>
          </cell>
        </row>
        <row r="161">
          <cell r="B161" t="str">
            <v>JOHNSTON</v>
          </cell>
        </row>
        <row r="162">
          <cell r="B162" t="str">
            <v>KEOKUK</v>
          </cell>
        </row>
        <row r="163">
          <cell r="B163" t="str">
            <v>KEOTA</v>
          </cell>
        </row>
        <row r="164">
          <cell r="B164" t="str">
            <v>KINGSLEY-PIERSON</v>
          </cell>
        </row>
        <row r="165">
          <cell r="B165" t="str">
            <v>KNOXVILLE</v>
          </cell>
        </row>
        <row r="166">
          <cell r="B166" t="str">
            <v>LAKE MILLS</v>
          </cell>
        </row>
        <row r="167">
          <cell r="B167" t="str">
            <v>LAMONI</v>
          </cell>
        </row>
        <row r="168">
          <cell r="B168" t="str">
            <v>LAURENS-MARATHON</v>
          </cell>
        </row>
        <row r="169">
          <cell r="B169" t="str">
            <v>LAWTON-BRONSON</v>
          </cell>
        </row>
        <row r="170">
          <cell r="B170" t="str">
            <v>EAST MARSHALL</v>
          </cell>
        </row>
        <row r="171">
          <cell r="B171" t="str">
            <v>LE MARS</v>
          </cell>
        </row>
        <row r="172">
          <cell r="B172" t="str">
            <v>LENOX</v>
          </cell>
        </row>
        <row r="173">
          <cell r="B173" t="str">
            <v>LEWIS CENTRAL</v>
          </cell>
        </row>
        <row r="174">
          <cell r="B174" t="str">
            <v>NORTH CEDAR</v>
          </cell>
        </row>
        <row r="175">
          <cell r="B175" t="str">
            <v>LINN-MAR</v>
          </cell>
        </row>
        <row r="176">
          <cell r="B176" t="str">
            <v>LISBON</v>
          </cell>
        </row>
        <row r="177">
          <cell r="B177" t="str">
            <v>LOGAN-MAGNOLIA</v>
          </cell>
        </row>
        <row r="178">
          <cell r="B178" t="str">
            <v>LONE TREE</v>
          </cell>
        </row>
        <row r="179">
          <cell r="B179" t="str">
            <v>LOUISA-MUSCATINE</v>
          </cell>
        </row>
        <row r="180">
          <cell r="B180" t="str">
            <v>LU VERNE</v>
          </cell>
        </row>
        <row r="181">
          <cell r="B181" t="str">
            <v>LYNNVILLE-SULLY</v>
          </cell>
        </row>
        <row r="182">
          <cell r="B182" t="str">
            <v>MADRID</v>
          </cell>
        </row>
        <row r="183">
          <cell r="B183" t="str">
            <v>EAST MILLS</v>
          </cell>
        </row>
        <row r="184">
          <cell r="B184" t="str">
            <v>MANSON-NORTHWEST WEBSTER</v>
          </cell>
        </row>
        <row r="185">
          <cell r="B185" t="str">
            <v>MAPLE VALLEY-ANTHON OTO</v>
          </cell>
        </row>
        <row r="186">
          <cell r="B186" t="str">
            <v>MAQUOKETA</v>
          </cell>
        </row>
        <row r="187">
          <cell r="B187" t="str">
            <v>MAQUOKETA VALLEY</v>
          </cell>
        </row>
        <row r="188">
          <cell r="B188" t="str">
            <v>MARCUS-MERIDEN CLEGHORN</v>
          </cell>
        </row>
        <row r="189">
          <cell r="B189" t="str">
            <v>MARION</v>
          </cell>
        </row>
        <row r="190">
          <cell r="B190" t="str">
            <v>MARSHALLTOWN</v>
          </cell>
        </row>
        <row r="191">
          <cell r="B191" t="str">
            <v>MARTENSDALE-ST MARYS</v>
          </cell>
        </row>
        <row r="192">
          <cell r="B192" t="str">
            <v>MASON CITY</v>
          </cell>
        </row>
        <row r="193">
          <cell r="B193" t="str">
            <v>MOC-FLOYD VALLEY</v>
          </cell>
        </row>
        <row r="194">
          <cell r="B194" t="str">
            <v>MEDIAPOLIS</v>
          </cell>
        </row>
        <row r="195">
          <cell r="B195" t="str">
            <v>MELCHER-DALLAS</v>
          </cell>
        </row>
        <row r="196">
          <cell r="B196" t="str">
            <v>MIDLAND</v>
          </cell>
        </row>
        <row r="197">
          <cell r="B197" t="str">
            <v>MID-PRAIRIE</v>
          </cell>
        </row>
        <row r="198">
          <cell r="B198" t="str">
            <v>MISSOURI VALLEY</v>
          </cell>
        </row>
        <row r="199">
          <cell r="B199" t="str">
            <v>MFL MAR MAC</v>
          </cell>
        </row>
        <row r="200">
          <cell r="B200" t="str">
            <v>MONTEZUMA</v>
          </cell>
        </row>
        <row r="201">
          <cell r="B201" t="str">
            <v>MONTICELLO</v>
          </cell>
        </row>
        <row r="202">
          <cell r="B202" t="str">
            <v>MORAVIA</v>
          </cell>
        </row>
        <row r="203">
          <cell r="B203" t="str">
            <v>MORMON TRAIL</v>
          </cell>
        </row>
        <row r="204">
          <cell r="B204" t="str">
            <v>MORNING SUN</v>
          </cell>
        </row>
        <row r="205">
          <cell r="B205" t="str">
            <v>MOULTON-UDELL</v>
          </cell>
        </row>
        <row r="206">
          <cell r="B206" t="str">
            <v>MOUNT AYR</v>
          </cell>
        </row>
        <row r="207">
          <cell r="B207" t="str">
            <v>MOUNT PLEASANT</v>
          </cell>
        </row>
        <row r="208">
          <cell r="B208" t="str">
            <v>MOUNT VERNON</v>
          </cell>
        </row>
        <row r="209">
          <cell r="B209" t="str">
            <v>MURRAY</v>
          </cell>
        </row>
        <row r="210">
          <cell r="B210" t="str">
            <v>MUSCATINE</v>
          </cell>
        </row>
        <row r="211">
          <cell r="B211" t="str">
            <v>NASHUA-PLAINFIELD</v>
          </cell>
        </row>
        <row r="212">
          <cell r="B212" t="str">
            <v>NEVADA</v>
          </cell>
        </row>
        <row r="213">
          <cell r="B213" t="str">
            <v>NEWELL-FONDA</v>
          </cell>
        </row>
        <row r="214">
          <cell r="B214" t="str">
            <v>NEW HAMPTON</v>
          </cell>
        </row>
        <row r="215">
          <cell r="B215" t="str">
            <v>NEW LONDON</v>
          </cell>
        </row>
        <row r="216">
          <cell r="B216" t="str">
            <v>NEWTON</v>
          </cell>
        </row>
        <row r="217">
          <cell r="B217" t="str">
            <v>CENTRAL SPRINGS</v>
          </cell>
        </row>
        <row r="218">
          <cell r="B218" t="str">
            <v>NORTHEAST</v>
          </cell>
        </row>
        <row r="219">
          <cell r="B219" t="str">
            <v>NORTH FAYETTE</v>
          </cell>
        </row>
        <row r="220">
          <cell r="B220" t="str">
            <v>NORTHEAST HAMILTON</v>
          </cell>
        </row>
        <row r="221">
          <cell r="B221" t="str">
            <v>NORTH MAHASKA</v>
          </cell>
        </row>
        <row r="222">
          <cell r="B222" t="str">
            <v>NORTH LINN</v>
          </cell>
        </row>
        <row r="223">
          <cell r="B223" t="str">
            <v>NORTH KOSSUTH</v>
          </cell>
        </row>
        <row r="224">
          <cell r="B224" t="str">
            <v>NORTH POLK</v>
          </cell>
        </row>
        <row r="225">
          <cell r="B225" t="str">
            <v>NORTH SCOTT</v>
          </cell>
        </row>
        <row r="226">
          <cell r="B226" t="str">
            <v>NORTH TAMA</v>
          </cell>
        </row>
        <row r="227">
          <cell r="B227" t="str">
            <v>NORTH WINNESHIEK</v>
          </cell>
        </row>
        <row r="228">
          <cell r="B228" t="str">
            <v>NORTHWOOD-KENSETT</v>
          </cell>
        </row>
        <row r="229">
          <cell r="B229" t="str">
            <v>NORWALK</v>
          </cell>
        </row>
        <row r="230">
          <cell r="B230" t="str">
            <v>RIVERSIDE</v>
          </cell>
        </row>
        <row r="231">
          <cell r="B231" t="str">
            <v>ODEBOLT-ARTHUR</v>
          </cell>
        </row>
        <row r="232">
          <cell r="B232" t="str">
            <v>OELWEIN</v>
          </cell>
        </row>
        <row r="233">
          <cell r="B233" t="str">
            <v>OGDEN</v>
          </cell>
        </row>
        <row r="234">
          <cell r="B234" t="str">
            <v>OKOBOJI</v>
          </cell>
        </row>
        <row r="235">
          <cell r="B235" t="str">
            <v>OLIN</v>
          </cell>
        </row>
        <row r="236">
          <cell r="B236" t="str">
            <v>ORIENT-MACKSBURG</v>
          </cell>
        </row>
        <row r="237">
          <cell r="B237" t="str">
            <v>OSAGE</v>
          </cell>
        </row>
        <row r="238">
          <cell r="B238" t="str">
            <v>OSKALOOSA</v>
          </cell>
        </row>
        <row r="239">
          <cell r="B239" t="str">
            <v>OTTUMWA</v>
          </cell>
        </row>
        <row r="240">
          <cell r="B240" t="str">
            <v>PANORAMA</v>
          </cell>
        </row>
        <row r="241">
          <cell r="B241" t="str">
            <v>PATON-CHURDAN</v>
          </cell>
        </row>
        <row r="242">
          <cell r="B242" t="str">
            <v>SOUTH O'BRIEN</v>
          </cell>
        </row>
        <row r="243">
          <cell r="B243" t="str">
            <v>PEKIN</v>
          </cell>
        </row>
        <row r="244">
          <cell r="B244" t="str">
            <v>PELLA</v>
          </cell>
        </row>
        <row r="245">
          <cell r="B245" t="str">
            <v>PERRY</v>
          </cell>
        </row>
        <row r="246">
          <cell r="B246" t="str">
            <v>PLEASANT VALLEY</v>
          </cell>
        </row>
        <row r="247">
          <cell r="B247" t="str">
            <v>PLEASANTVILLE</v>
          </cell>
        </row>
        <row r="248">
          <cell r="B248" t="str">
            <v>POCAHONTAS AREA</v>
          </cell>
        </row>
        <row r="249">
          <cell r="B249" t="str">
            <v>POSTVILLE</v>
          </cell>
        </row>
        <row r="250">
          <cell r="B250" t="str">
            <v>PCM</v>
          </cell>
        </row>
        <row r="251">
          <cell r="B251" t="str">
            <v>PRAIRIE VALLEY</v>
          </cell>
        </row>
        <row r="252">
          <cell r="B252" t="str">
            <v>RED OAK</v>
          </cell>
        </row>
        <row r="253">
          <cell r="B253" t="str">
            <v>REMSEN-UNION</v>
          </cell>
        </row>
        <row r="254">
          <cell r="B254" t="str">
            <v>RICEVILLE</v>
          </cell>
        </row>
        <row r="255">
          <cell r="B255" t="str">
            <v>ROCK VALLEY</v>
          </cell>
        </row>
        <row r="256">
          <cell r="B256" t="str">
            <v>ROLAND-STORY</v>
          </cell>
        </row>
        <row r="257">
          <cell r="B257" t="str">
            <v>RUDD-ROCKFORD-MARBLE ROCK</v>
          </cell>
        </row>
        <row r="258">
          <cell r="B258" t="str">
            <v>RUTHVEN-AYRSHIRE</v>
          </cell>
        </row>
        <row r="259">
          <cell r="B259" t="str">
            <v>ST ANSGAR</v>
          </cell>
        </row>
        <row r="260">
          <cell r="B260" t="str">
            <v>SAYDEL</v>
          </cell>
        </row>
        <row r="261">
          <cell r="B261" t="str">
            <v>SCHALLER-CRESTLAND</v>
          </cell>
        </row>
        <row r="262">
          <cell r="B262" t="str">
            <v>SCHLESWIG</v>
          </cell>
        </row>
        <row r="263">
          <cell r="B263" t="str">
            <v>SERGEANT BLUFF-LUTON</v>
          </cell>
        </row>
        <row r="264">
          <cell r="B264" t="str">
            <v>SEYMOUR</v>
          </cell>
        </row>
        <row r="265">
          <cell r="B265" t="str">
            <v>WEST FORK</v>
          </cell>
        </row>
        <row r="266">
          <cell r="B266" t="str">
            <v>SHELDON</v>
          </cell>
        </row>
        <row r="267">
          <cell r="B267" t="str">
            <v>SHENANDOAH</v>
          </cell>
        </row>
        <row r="268">
          <cell r="B268" t="str">
            <v>SIBLEY-OCHEYEDAN</v>
          </cell>
        </row>
        <row r="269">
          <cell r="B269" t="str">
            <v>SIDNEY</v>
          </cell>
        </row>
        <row r="270">
          <cell r="B270" t="str">
            <v>SIGOURNEY</v>
          </cell>
        </row>
        <row r="271">
          <cell r="B271" t="str">
            <v>SIOUX CENTER</v>
          </cell>
        </row>
        <row r="272">
          <cell r="B272" t="str">
            <v>SIOUX CITY</v>
          </cell>
        </row>
        <row r="273">
          <cell r="B273" t="str">
            <v>SIOUX CENTRAL</v>
          </cell>
        </row>
        <row r="274">
          <cell r="B274" t="str">
            <v>SOUTH CENTRAL CALHOUN</v>
          </cell>
        </row>
        <row r="275">
          <cell r="B275" t="str">
            <v>SOLON</v>
          </cell>
        </row>
        <row r="276">
          <cell r="B276" t="str">
            <v>SOUTHEAST WARREN</v>
          </cell>
        </row>
        <row r="277">
          <cell r="B277" t="str">
            <v>SOUTH HAMILTON</v>
          </cell>
        </row>
        <row r="278">
          <cell r="B278" t="str">
            <v>SOUTHEAST WEBSTER-GRAND</v>
          </cell>
        </row>
        <row r="279">
          <cell r="B279" t="str">
            <v>SOUTH PAGE</v>
          </cell>
        </row>
        <row r="280">
          <cell r="B280" t="str">
            <v>SOUTH TAMA</v>
          </cell>
        </row>
        <row r="281">
          <cell r="B281" t="str">
            <v>SOUTH WINNESHIEK</v>
          </cell>
        </row>
        <row r="282">
          <cell r="B282" t="str">
            <v>SOUTHEAST POLK</v>
          </cell>
        </row>
        <row r="283">
          <cell r="B283" t="str">
            <v>SPENCER</v>
          </cell>
        </row>
        <row r="284">
          <cell r="B284" t="str">
            <v>SPIRIT LAKE</v>
          </cell>
        </row>
        <row r="285">
          <cell r="B285" t="str">
            <v>SPRINGVILLE</v>
          </cell>
        </row>
        <row r="286">
          <cell r="B286" t="str">
            <v>STANTON</v>
          </cell>
        </row>
        <row r="287">
          <cell r="B287" t="str">
            <v>STARMONT</v>
          </cell>
        </row>
        <row r="288">
          <cell r="B288" t="str">
            <v>STORM LAKE</v>
          </cell>
        </row>
        <row r="289">
          <cell r="B289" t="str">
            <v>STRATFORD</v>
          </cell>
        </row>
        <row r="290">
          <cell r="B290" t="str">
            <v>WEST CENTRAL VALLEY</v>
          </cell>
        </row>
        <row r="291">
          <cell r="B291" t="str">
            <v>SUMNER-FREDERICKSBURG</v>
          </cell>
        </row>
        <row r="292">
          <cell r="B292" t="str">
            <v>TIPTON</v>
          </cell>
        </row>
        <row r="293">
          <cell r="B293" t="str">
            <v>TREYNOR</v>
          </cell>
        </row>
        <row r="294">
          <cell r="B294" t="str">
            <v>TRI-CENTER</v>
          </cell>
        </row>
        <row r="295">
          <cell r="B295" t="str">
            <v>TRI-COUNTY</v>
          </cell>
        </row>
        <row r="296">
          <cell r="B296" t="str">
            <v>TRIPOLI</v>
          </cell>
        </row>
        <row r="297">
          <cell r="B297" t="str">
            <v>TURKEY VALLEY</v>
          </cell>
        </row>
        <row r="298">
          <cell r="B298" t="str">
            <v>TWIN CEDARS</v>
          </cell>
        </row>
        <row r="299">
          <cell r="B299" t="str">
            <v>TWIN RIVERS</v>
          </cell>
        </row>
        <row r="300">
          <cell r="B300" t="str">
            <v>UNDERWOOD</v>
          </cell>
        </row>
        <row r="301">
          <cell r="B301" t="str">
            <v>UNITED</v>
          </cell>
        </row>
        <row r="302">
          <cell r="B302" t="str">
            <v>URBANDALE</v>
          </cell>
        </row>
        <row r="303">
          <cell r="B303" t="str">
            <v>VALLEY</v>
          </cell>
        </row>
        <row r="304">
          <cell r="B304" t="str">
            <v>VAN BUREN</v>
          </cell>
        </row>
        <row r="305">
          <cell r="B305" t="str">
            <v>VAN METER</v>
          </cell>
        </row>
        <row r="306">
          <cell r="B306" t="str">
            <v>VILLISCA</v>
          </cell>
        </row>
        <row r="307">
          <cell r="B307" t="str">
            <v>VINTON-SHELLSBURG</v>
          </cell>
        </row>
        <row r="308">
          <cell r="B308" t="str">
            <v>WACO</v>
          </cell>
        </row>
        <row r="309">
          <cell r="B309" t="str">
            <v>EAST SAC COUNTY</v>
          </cell>
        </row>
        <row r="310">
          <cell r="B310" t="str">
            <v>WAPELLO</v>
          </cell>
        </row>
        <row r="311">
          <cell r="B311" t="str">
            <v>WAPSIE VALLEY</v>
          </cell>
        </row>
        <row r="312">
          <cell r="B312" t="str">
            <v>WASHINGTON</v>
          </cell>
        </row>
        <row r="313">
          <cell r="B313" t="str">
            <v>WATERLOO</v>
          </cell>
        </row>
        <row r="314">
          <cell r="B314" t="str">
            <v>WAUKEE</v>
          </cell>
        </row>
        <row r="315">
          <cell r="B315" t="str">
            <v>WAVERLY-SHELL ROCK</v>
          </cell>
        </row>
        <row r="316">
          <cell r="B316" t="str">
            <v>WAYNE</v>
          </cell>
        </row>
        <row r="317">
          <cell r="B317" t="str">
            <v>WEBSTER CITY</v>
          </cell>
        </row>
        <row r="318">
          <cell r="B318" t="str">
            <v>WEST BEND-MALLARD</v>
          </cell>
        </row>
        <row r="319">
          <cell r="B319" t="str">
            <v>WEST BRANCH</v>
          </cell>
        </row>
        <row r="320">
          <cell r="B320" t="str">
            <v>WEST BURLINGTON</v>
          </cell>
        </row>
        <row r="321">
          <cell r="B321" t="str">
            <v>WEST CENTRAL</v>
          </cell>
        </row>
        <row r="322">
          <cell r="B322" t="str">
            <v>WEST DELAWARE CO</v>
          </cell>
        </row>
        <row r="323">
          <cell r="B323" t="str">
            <v>WEST DES MOINES</v>
          </cell>
        </row>
        <row r="324">
          <cell r="B324" t="str">
            <v>WESTERN DUBUQUE CO</v>
          </cell>
        </row>
        <row r="325">
          <cell r="B325" t="str">
            <v>WEST HARRISON</v>
          </cell>
        </row>
        <row r="326">
          <cell r="B326" t="str">
            <v>WEST LIBERTY</v>
          </cell>
        </row>
        <row r="327">
          <cell r="B327" t="str">
            <v>WEST LYON</v>
          </cell>
        </row>
        <row r="328">
          <cell r="B328" t="str">
            <v>WEST MARSHALL</v>
          </cell>
        </row>
        <row r="329">
          <cell r="B329" t="str">
            <v>WEST MONONA</v>
          </cell>
        </row>
        <row r="330">
          <cell r="B330" t="str">
            <v>WEST SIOUX</v>
          </cell>
        </row>
        <row r="331">
          <cell r="B331" t="str">
            <v>WESTWOOD</v>
          </cell>
        </row>
        <row r="332">
          <cell r="B332" t="str">
            <v>WHITING</v>
          </cell>
        </row>
        <row r="333">
          <cell r="B333" t="str">
            <v>WILLIAMSBURG</v>
          </cell>
        </row>
        <row r="334">
          <cell r="B334" t="str">
            <v>WILTON</v>
          </cell>
        </row>
        <row r="335">
          <cell r="B335" t="str">
            <v>WINFIELD-MT UNION</v>
          </cell>
        </row>
        <row r="336">
          <cell r="B336" t="str">
            <v>WINTERSET</v>
          </cell>
        </row>
        <row r="337">
          <cell r="B337" t="str">
            <v>WOODBINE</v>
          </cell>
        </row>
        <row r="338">
          <cell r="B338" t="str">
            <v>WOODBURY CENTRAL</v>
          </cell>
        </row>
        <row r="339">
          <cell r="B339" t="str">
            <v>WOODWARD-GRANGER</v>
          </cell>
        </row>
        <row r="340">
          <cell r="B340" t="str">
            <v>STATEWIDE</v>
          </cell>
        </row>
      </sheetData>
      <sheetData sheetId="3">
        <row r="10">
          <cell r="B10">
            <v>18</v>
          </cell>
        </row>
      </sheetData>
      <sheetData sheetId="4">
        <row r="6">
          <cell r="A6">
            <v>18</v>
          </cell>
        </row>
      </sheetData>
      <sheetData sheetId="5">
        <row r="4">
          <cell r="A4">
            <v>7</v>
          </cell>
        </row>
      </sheetData>
      <sheetData sheetId="6" refreshError="1"/>
      <sheetData sheetId="7">
        <row r="1">
          <cell r="B1">
            <v>2017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ata" displayName="Data" ref="A1:AO327" totalsRowShown="0" headerRowDxfId="42" dataDxfId="41">
  <autoFilter ref="A1:AO327" xr:uid="{00000000-0009-0000-0100-000001000000}"/>
  <tableColumns count="41">
    <tableColumn id="1" xr3:uid="{00000000-0010-0000-0000-000001000000}" name="FiscalYear" dataDxfId="40"/>
    <tableColumn id="2" xr3:uid="{00000000-0010-0000-0000-000002000000}" name="Dist" dataDxfId="39"/>
    <tableColumn id="3" xr3:uid="{00000000-0010-0000-0000-000003000000}" name="DistrictNumber" dataDxfId="38"/>
    <tableColumn id="4" xr3:uid="{00000000-0010-0000-0000-000004000000}" name="Label" dataDxfId="37"/>
    <tableColumn id="5" xr3:uid="{00000000-0010-0000-0000-000005000000}" name="Original Budget (Aid and Levy 16.12)" dataDxfId="36"/>
    <tableColumn id="6" xr3:uid="{00000000-0010-0000-0000-000006000000}" name="Preschool State Admin Reduction" dataDxfId="35"/>
    <tableColumn id="27" xr3:uid="{C4263A33-819D-4218-B43D-75C2D60507C4}" name="Resident Charter School Student Reduction" dataDxfId="34"/>
    <tableColumn id="7" xr3:uid="{00000000-0010-0000-0000-000007000000}" name="Juvenile Home Reduction (Starts in January)" dataDxfId="33"/>
    <tableColumn id="8" xr3:uid="{00000000-0010-0000-0000-000008000000}" name="Spec Ed Excess Pos Balance Reduction" dataDxfId="32"/>
    <tableColumn id="9" xr3:uid="{00000000-0010-0000-0000-000009000000}" name="Pay 1 Regular State Payment Budget" dataDxfId="31"/>
    <tableColumn id="10" xr3:uid="{00000000-0010-0000-0000-00000A000000}" name="Pay 2 Regular State Payment Budget" dataDxfId="30"/>
    <tableColumn id="11" xr3:uid="{00000000-0010-0000-0000-00000B000000}" name="Pay 3 Regular State Payment Budget" dataDxfId="29"/>
    <tableColumn id="12" xr3:uid="{00000000-0010-0000-0000-00000C000000}" name="Preschool State Aid (Code 3117)" dataDxfId="28"/>
    <tableColumn id="13" xr3:uid="{00000000-0010-0000-0000-00000D000000}" name="Teacher Salary (Code 3204)" dataDxfId="27"/>
    <tableColumn id="14" xr3:uid="{00000000-0010-0000-0000-00000E000000}" name="Early Intervention (Code 3216)" dataDxfId="26"/>
    <tableColumn id="15" xr3:uid="{00000000-0010-0000-0000-00000F000000}" name="Professional Development (Code 3376)" dataDxfId="25"/>
    <tableColumn id="16" xr3:uid="{00000000-0010-0000-0000-000010000000}" name="Teacher Leadership (Code 3116)" dataDxfId="24"/>
    <tableColumn id="17" xr3:uid="{00000000-0010-0000-0000-000011000000}" name="Pay 1 State Foundation Aid (Code 3111)" dataDxfId="23"/>
    <tableColumn id="18" xr3:uid="{00000000-0010-0000-0000-000012000000}" name="Pay 2 State Foundation Aid (Code 3111)" dataDxfId="22"/>
    <tableColumn id="19" xr3:uid="{00000000-0010-0000-0000-000013000000}" name="Pay 3 State Foundation Aid (Code 3111)" dataDxfId="21"/>
    <tableColumn id="20" xr3:uid="{00000000-0010-0000-0000-000014000000}" name="September Payment" dataDxfId="20"/>
    <tableColumn id="21" xr3:uid="{00000000-0010-0000-0000-000015000000}" name="October Payment" dataDxfId="19"/>
    <tableColumn id="22" xr3:uid="{00000000-0010-0000-0000-000016000000}" name="November Payment" dataDxfId="18"/>
    <tableColumn id="23" xr3:uid="{00000000-0010-0000-0000-000017000000}" name="December Payment" dataDxfId="17"/>
    <tableColumn id="24" xr3:uid="{00000000-0010-0000-0000-000018000000}" name="January Payment" dataDxfId="16"/>
    <tableColumn id="25" xr3:uid="{00000000-0010-0000-0000-000019000000}" name="February Payment" dataDxfId="15"/>
    <tableColumn id="31" xr3:uid="{00000000-0010-0000-0000-00001F000000}" name="March Payment" dataDxfId="14"/>
    <tableColumn id="32" xr3:uid="{00000000-0010-0000-0000-000020000000}" name="April Payment" dataDxfId="13"/>
    <tableColumn id="33" xr3:uid="{00000000-0010-0000-0000-000021000000}" name="May Payment" dataDxfId="12"/>
    <tableColumn id="34" xr3:uid="{00000000-0010-0000-0000-000022000000}" name="June Payment" dataDxfId="11"/>
    <tableColumn id="35" xr3:uid="{00000000-0010-0000-0000-000023000000}" name="Paid Thru September" dataDxfId="10"/>
    <tableColumn id="36" xr3:uid="{00000000-0010-0000-0000-000024000000}" name="Paid Thru October" dataDxfId="9"/>
    <tableColumn id="37" xr3:uid="{00000000-0010-0000-0000-000025000000}" name="Paid Thru November" dataDxfId="8"/>
    <tableColumn id="38" xr3:uid="{00000000-0010-0000-0000-000026000000}" name="Paid Thru December" dataDxfId="7"/>
    <tableColumn id="39" xr3:uid="{00000000-0010-0000-0000-000027000000}" name="Paid Thru January" dataDxfId="6"/>
    <tableColumn id="40" xr3:uid="{00000000-0010-0000-0000-000028000000}" name="Paid Thru February" dataDxfId="5"/>
    <tableColumn id="41" xr3:uid="{00000000-0010-0000-0000-000029000000}" name="Paid Thru March" dataDxfId="4"/>
    <tableColumn id="42" xr3:uid="{00000000-0010-0000-0000-00002A000000}" name="Paid Thru April" dataDxfId="3"/>
    <tableColumn id="43" xr3:uid="{00000000-0010-0000-0000-00002B000000}" name="Paid Thru May" dataDxfId="2"/>
    <tableColumn id="44" xr3:uid="{00000000-0010-0000-0000-00002C000000}" name="Paid Thru June" dataDxfId="1"/>
    <tableColumn id="26" xr3:uid="{00000000-0010-0000-0000-00001A000000}" name="State Payments to AEA (AEA Flowthrough)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K430"/>
  <sheetViews>
    <sheetView workbookViewId="0">
      <pane xSplit="2" ySplit="5" topLeftCell="C299" activePane="bottomRight" state="frozen"/>
      <selection pane="topRight" activeCell="C1" sqref="C1"/>
      <selection pane="bottomLeft" activeCell="A8" sqref="A8"/>
      <selection pane="bottomRight" sqref="A1:H1"/>
    </sheetView>
  </sheetViews>
  <sheetFormatPr defaultRowHeight="11.25" x14ac:dyDescent="0.2"/>
  <cols>
    <col min="1" max="1" width="9.140625" style="24" customWidth="1"/>
    <col min="2" max="2" width="24.5703125" style="25" bestFit="1" customWidth="1"/>
    <col min="3" max="3" width="19.7109375" style="26" customWidth="1"/>
    <col min="4" max="8" width="16.140625" style="26" customWidth="1"/>
    <col min="9" max="9" width="12" style="25" customWidth="1"/>
    <col min="10" max="10" width="10.85546875" style="25" bestFit="1" customWidth="1"/>
    <col min="11" max="16384" width="9.140625" style="25"/>
  </cols>
  <sheetData>
    <row r="1" spans="1:11" s="11" customFormat="1" ht="17.25" customHeight="1" x14ac:dyDescent="0.3">
      <c r="A1" s="190" t="str">
        <f>CONCATENATE("FY ",Notes!$B$1," Budget for State Payments to School Districts (Budget Total)")</f>
        <v>FY 2025 Budget for State Payments to School Districts (Budget Total)</v>
      </c>
      <c r="B1" s="190"/>
      <c r="C1" s="190"/>
      <c r="D1" s="190"/>
      <c r="E1" s="190"/>
      <c r="F1" s="190"/>
      <c r="G1" s="190"/>
      <c r="H1" s="190"/>
      <c r="I1" s="10"/>
    </row>
    <row r="2" spans="1:11" s="11" customFormat="1" ht="14.45" customHeight="1" x14ac:dyDescent="0.2">
      <c r="A2" s="191" t="s">
        <v>17</v>
      </c>
      <c r="B2" s="191"/>
      <c r="C2" s="191"/>
      <c r="D2" s="191"/>
      <c r="E2" s="191"/>
      <c r="F2" s="191"/>
      <c r="G2" s="191"/>
      <c r="H2" s="191"/>
      <c r="I2" s="12"/>
    </row>
    <row r="3" spans="1:11" s="14" customFormat="1" ht="12.75" x14ac:dyDescent="0.2">
      <c r="A3" s="13"/>
      <c r="C3" s="15" t="s">
        <v>7</v>
      </c>
      <c r="D3" s="15" t="s">
        <v>8</v>
      </c>
      <c r="E3" s="15" t="s">
        <v>11</v>
      </c>
      <c r="F3" s="15" t="s">
        <v>10</v>
      </c>
      <c r="G3" s="15" t="s">
        <v>825</v>
      </c>
      <c r="H3" s="15" t="s">
        <v>826</v>
      </c>
    </row>
    <row r="4" spans="1:11" s="14" customFormat="1" ht="39" hidden="1" customHeight="1" x14ac:dyDescent="0.2">
      <c r="A4" s="16"/>
      <c r="B4" s="17" t="str">
        <f>Data[[#Headers],[Label]]</f>
        <v>Label</v>
      </c>
      <c r="C4" s="17" t="str">
        <f>Data[[#Headers],[Original Budget (Aid and Levy 16.12)]]</f>
        <v>Original Budget (Aid and Levy 16.12)</v>
      </c>
      <c r="D4" s="17" t="str">
        <f>Data[[#Headers],[Preschool State Admin Reduction]]</f>
        <v>Preschool State Admin Reduction</v>
      </c>
      <c r="E4" s="17" t="str">
        <f>Data[[#Headers],[Resident Charter School Student Reduction]]</f>
        <v>Resident Charter School Student Reduction</v>
      </c>
      <c r="F4" s="17" t="str">
        <f>Data[[#Headers],[Juvenile Home Reduction (Starts in January)]]</f>
        <v>Juvenile Home Reduction (Starts in January)</v>
      </c>
      <c r="G4" s="17" t="str">
        <f>Data[[#Headers],[Spec Ed Excess Pos Balance Reduction]]</f>
        <v>Spec Ed Excess Pos Balance Reduction</v>
      </c>
      <c r="H4" s="17" t="str">
        <f>Notes!$B$3</f>
        <v>Pay 2 Regular State Payment Budget</v>
      </c>
    </row>
    <row r="5" spans="1:11" s="14" customFormat="1" ht="38.25" x14ac:dyDescent="0.2">
      <c r="A5" s="13"/>
      <c r="B5" s="18"/>
      <c r="C5" s="55" t="s">
        <v>694</v>
      </c>
      <c r="D5" s="55" t="s">
        <v>695</v>
      </c>
      <c r="E5" s="55" t="s">
        <v>828</v>
      </c>
      <c r="F5" s="55" t="s">
        <v>696</v>
      </c>
      <c r="G5" s="55" t="s">
        <v>697</v>
      </c>
      <c r="H5" s="55" t="s">
        <v>827</v>
      </c>
    </row>
    <row r="6" spans="1:11" s="20" customFormat="1" ht="12.75" x14ac:dyDescent="0.2">
      <c r="A6" s="19" t="str">
        <f>Data!B2</f>
        <v>0009</v>
      </c>
      <c r="B6" s="20" t="str">
        <f>INDEX(Data[],MATCH($A6,Data[Dist],0),MATCH(B$4,Data[#Headers],0))</f>
        <v>AGWSR</v>
      </c>
      <c r="C6" s="21">
        <f>INDEX(Data[],MATCH($A6,Data[Dist],0),MATCH(C$4,Data[#Headers],0))</f>
        <v>4340958</v>
      </c>
      <c r="D6" s="21">
        <f>INDEX(Data[],MATCH($A6,Data[Dist],0),MATCH(D$4,Data[#Headers],0))</f>
        <v>531</v>
      </c>
      <c r="E6" s="21">
        <f>INDEX(Data[],MATCH($A6,Data[Dist],0),MATCH(E$4,Data[#Headers],0))</f>
        <v>0</v>
      </c>
      <c r="F6" s="21">
        <f>IF(Notes!$B$3="Pay 1 Regular State Payment Budget",0,INDEX(Data[],MATCH($A6,Data[Dist],0),MATCH(F$4,Data[#Headers],0)))</f>
        <v>15975</v>
      </c>
      <c r="G6" s="21">
        <f>IF(OR(Notes!$B$3="Pay 1 Regular State Payment Budget",Notes!$B$3="Pay 2 Regular State Payment Budget"),0,INDEX(Data[],MATCH($A6,Data[Dist],0),MATCH(G$4,Data[#Headers],0)))</f>
        <v>0</v>
      </c>
      <c r="H6" s="21">
        <f>INDEX(Data[],MATCH($A6,Data[Dist],0),MATCH(H$4,Data[#Headers],0))</f>
        <v>4324452</v>
      </c>
    </row>
    <row r="7" spans="1:11" s="20" customFormat="1" ht="12.75" x14ac:dyDescent="0.2">
      <c r="A7" s="19" t="str">
        <f>Data!B3</f>
        <v>0018</v>
      </c>
      <c r="B7" s="20" t="str">
        <f>INDEX(Data[],MATCH($A7,Data[Dist],0),MATCH(B$4,Data[#Headers],0))</f>
        <v>Adair-Casey</v>
      </c>
      <c r="C7" s="21">
        <f>INDEX(Data[],MATCH($A7,Data[Dist],0),MATCH(C$4,Data[#Headers],0))</f>
        <v>1996954</v>
      </c>
      <c r="D7" s="21">
        <f>INDEX(Data[],MATCH($A7,Data[Dist],0),MATCH(D$4,Data[#Headers],0))</f>
        <v>232</v>
      </c>
      <c r="E7" s="21">
        <f>INDEX(Data[],MATCH($A7,Data[Dist],0),MATCH(E$4,Data[#Headers],0))</f>
        <v>0</v>
      </c>
      <c r="F7" s="21">
        <f>IF(Notes!$B$3="Pay 1 Regular State Payment Budget",0,INDEX(Data[],MATCH($A7,Data[Dist],0),MATCH(F$4,Data[#Headers],0)))</f>
        <v>6406</v>
      </c>
      <c r="G7" s="21">
        <f>IF(OR(Notes!$B$3="Pay 1 Regular State Payment Budget",Notes!$B$3="Pay 2 Regular State Payment Budget"),0,INDEX(Data[],MATCH($A7,Data[Dist],0),MATCH(G$4,Data[#Headers],0)))</f>
        <v>0</v>
      </c>
      <c r="H7" s="21">
        <f>INDEX(Data[],MATCH($A7,Data[Dist],0),MATCH(H$4,Data[#Headers],0))</f>
        <v>1990316</v>
      </c>
    </row>
    <row r="8" spans="1:11" s="20" customFormat="1" ht="12.75" x14ac:dyDescent="0.2">
      <c r="A8" s="19" t="str">
        <f>Data!B4</f>
        <v>0027</v>
      </c>
      <c r="B8" s="20" t="str">
        <f>INDEX(Data[],MATCH($A8,Data[Dist],0),MATCH(B$4,Data[#Headers],0))</f>
        <v>Adel-Desoto-Minburn</v>
      </c>
      <c r="C8" s="21">
        <f>INDEX(Data[],MATCH($A8,Data[Dist],0),MATCH(C$4,Data[#Headers],0))</f>
        <v>16731118</v>
      </c>
      <c r="D8" s="21">
        <f>INDEX(Data[],MATCH($A8,Data[Dist],0),MATCH(D$4,Data[#Headers],0))</f>
        <v>929</v>
      </c>
      <c r="E8" s="21">
        <f>INDEX(Data[],MATCH($A8,Data[Dist],0),MATCH(E$4,Data[#Headers],0))</f>
        <v>0</v>
      </c>
      <c r="F8" s="21">
        <f>IF(Notes!$B$3="Pay 1 Regular State Payment Budget",0,INDEX(Data[],MATCH($A8,Data[Dist],0),MATCH(F$4,Data[#Headers],0)))</f>
        <v>48780</v>
      </c>
      <c r="G8" s="21">
        <f>IF(OR(Notes!$B$3="Pay 1 Regular State Payment Budget",Notes!$B$3="Pay 2 Regular State Payment Budget"),0,INDEX(Data[],MATCH($A8,Data[Dist],0),MATCH(G$4,Data[#Headers],0)))</f>
        <v>0</v>
      </c>
      <c r="H8" s="21">
        <f>INDEX(Data[],MATCH($A8,Data[Dist],0),MATCH(H$4,Data[#Headers],0))</f>
        <v>16681409</v>
      </c>
    </row>
    <row r="9" spans="1:11" s="20" customFormat="1" ht="12.75" x14ac:dyDescent="0.2">
      <c r="A9" s="19" t="str">
        <f>Data!B5</f>
        <v>0063</v>
      </c>
      <c r="B9" s="20" t="str">
        <f>INDEX(Data[],MATCH($A9,Data[Dist],0),MATCH(B$4,Data[#Headers],0))</f>
        <v>Akron-Westfield</v>
      </c>
      <c r="C9" s="21">
        <f>INDEX(Data[],MATCH($A9,Data[Dist],0),MATCH(C$4,Data[#Headers],0))</f>
        <v>4033233</v>
      </c>
      <c r="D9" s="21">
        <f>INDEX(Data[],MATCH($A9,Data[Dist],0),MATCH(D$4,Data[#Headers],0))</f>
        <v>415</v>
      </c>
      <c r="E9" s="21">
        <f>INDEX(Data[],MATCH($A9,Data[Dist],0),MATCH(E$4,Data[#Headers],0))</f>
        <v>0</v>
      </c>
      <c r="F9" s="21">
        <f>IF(Notes!$B$3="Pay 1 Regular State Payment Budget",0,INDEX(Data[],MATCH($A9,Data[Dist],0),MATCH(F$4,Data[#Headers],0)))</f>
        <v>12108</v>
      </c>
      <c r="G9" s="21">
        <f>IF(OR(Notes!$B$3="Pay 1 Regular State Payment Budget",Notes!$B$3="Pay 2 Regular State Payment Budget"),0,INDEX(Data[],MATCH($A9,Data[Dist],0),MATCH(G$4,Data[#Headers],0)))</f>
        <v>0</v>
      </c>
      <c r="H9" s="21">
        <f>INDEX(Data[],MATCH($A9,Data[Dist],0),MATCH(H$4,Data[#Headers],0))</f>
        <v>4020710</v>
      </c>
    </row>
    <row r="10" spans="1:11" s="20" customFormat="1" ht="12.75" x14ac:dyDescent="0.2">
      <c r="A10" s="19" t="str">
        <f>Data!B6</f>
        <v>0072</v>
      </c>
      <c r="B10" s="20" t="str">
        <f>INDEX(Data[],MATCH($A10,Data[Dist],0),MATCH(B$4,Data[#Headers],0))</f>
        <v>Albert City-Truesdale</v>
      </c>
      <c r="C10" s="21">
        <f>INDEX(Data[],MATCH($A10,Data[Dist],0),MATCH(C$4,Data[#Headers],0))</f>
        <v>1020271</v>
      </c>
      <c r="D10" s="21">
        <f>INDEX(Data[],MATCH($A10,Data[Dist],0),MATCH(D$4,Data[#Headers],0))</f>
        <v>166</v>
      </c>
      <c r="E10" s="21">
        <f>INDEX(Data[],MATCH($A10,Data[Dist],0),MATCH(E$4,Data[#Headers],0))</f>
        <v>0</v>
      </c>
      <c r="F10" s="21">
        <f>IF(Notes!$B$3="Pay 1 Regular State Payment Budget",0,INDEX(Data[],MATCH($A10,Data[Dist],0),MATCH(F$4,Data[#Headers],0)))</f>
        <v>4467</v>
      </c>
      <c r="G10" s="21">
        <f>IF(OR(Notes!$B$3="Pay 1 Regular State Payment Budget",Notes!$B$3="Pay 2 Regular State Payment Budget"),0,INDEX(Data[],MATCH($A10,Data[Dist],0),MATCH(G$4,Data[#Headers],0)))</f>
        <v>0</v>
      </c>
      <c r="H10" s="21">
        <f>INDEX(Data[],MATCH($A10,Data[Dist],0),MATCH(H$4,Data[#Headers],0))</f>
        <v>1015638</v>
      </c>
    </row>
    <row r="11" spans="1:11" s="20" customFormat="1" ht="12.75" x14ac:dyDescent="0.2">
      <c r="A11" s="19" t="str">
        <f>Data!B7</f>
        <v>0081</v>
      </c>
      <c r="B11" s="20" t="str">
        <f>INDEX(Data[],MATCH($A11,Data[Dist],0),MATCH(B$4,Data[#Headers],0))</f>
        <v>Albia</v>
      </c>
      <c r="C11" s="21">
        <f>INDEX(Data[],MATCH($A11,Data[Dist],0),MATCH(C$4,Data[#Headers],0))</f>
        <v>8592265</v>
      </c>
      <c r="D11" s="21">
        <f>INDEX(Data[],MATCH($A11,Data[Dist],0),MATCH(D$4,Data[#Headers],0))</f>
        <v>979</v>
      </c>
      <c r="E11" s="21">
        <f>INDEX(Data[],MATCH($A11,Data[Dist],0),MATCH(E$4,Data[#Headers],0))</f>
        <v>0</v>
      </c>
      <c r="F11" s="21">
        <f>IF(Notes!$B$3="Pay 1 Regular State Payment Budget",0,INDEX(Data[],MATCH($A11,Data[Dist],0),MATCH(F$4,Data[#Headers],0)))</f>
        <v>24353</v>
      </c>
      <c r="G11" s="21">
        <f>IF(OR(Notes!$B$3="Pay 1 Regular State Payment Budget",Notes!$B$3="Pay 2 Regular State Payment Budget"),0,INDEX(Data[],MATCH($A11,Data[Dist],0),MATCH(G$4,Data[#Headers],0)))</f>
        <v>0</v>
      </c>
      <c r="H11" s="21">
        <f>INDEX(Data[],MATCH($A11,Data[Dist],0),MATCH(H$4,Data[#Headers],0))</f>
        <v>8566933</v>
      </c>
    </row>
    <row r="12" spans="1:11" s="20" customFormat="1" ht="12.75" x14ac:dyDescent="0.2">
      <c r="A12" s="19" t="str">
        <f>Data!B8</f>
        <v>0099</v>
      </c>
      <c r="B12" s="20" t="str">
        <f>INDEX(Data[],MATCH($A12,Data[Dist],0),MATCH(B$4,Data[#Headers],0))</f>
        <v>Alburnett</v>
      </c>
      <c r="C12" s="21">
        <f>INDEX(Data[],MATCH($A12,Data[Dist],0),MATCH(C$4,Data[#Headers],0))</f>
        <v>3712272</v>
      </c>
      <c r="D12" s="21">
        <f>INDEX(Data[],MATCH($A12,Data[Dist],0),MATCH(D$4,Data[#Headers],0))</f>
        <v>564</v>
      </c>
      <c r="E12" s="21">
        <f>INDEX(Data[],MATCH($A12,Data[Dist],0),MATCH(E$4,Data[#Headers],0))</f>
        <v>0</v>
      </c>
      <c r="F12" s="21">
        <f>IF(Notes!$B$3="Pay 1 Regular State Payment Budget",0,INDEX(Data[],MATCH($A12,Data[Dist],0),MATCH(F$4,Data[#Headers],0)))</f>
        <v>12211</v>
      </c>
      <c r="G12" s="21">
        <f>IF(OR(Notes!$B$3="Pay 1 Regular State Payment Budget",Notes!$B$3="Pay 2 Regular State Payment Budget"),0,INDEX(Data[],MATCH($A12,Data[Dist],0),MATCH(G$4,Data[#Headers],0)))</f>
        <v>0</v>
      </c>
      <c r="H12" s="21">
        <f>INDEX(Data[],MATCH($A12,Data[Dist],0),MATCH(H$4,Data[#Headers],0))</f>
        <v>3699497</v>
      </c>
    </row>
    <row r="13" spans="1:11" s="20" customFormat="1" ht="12.75" x14ac:dyDescent="0.2">
      <c r="A13" s="19" t="str">
        <f>Data!B9</f>
        <v>0108</v>
      </c>
      <c r="B13" s="20" t="str">
        <f>INDEX(Data[],MATCH($A13,Data[Dist],0),MATCH(B$4,Data[#Headers],0))</f>
        <v>Alden</v>
      </c>
      <c r="C13" s="21">
        <f>INDEX(Data[],MATCH($A13,Data[Dist],0),MATCH(C$4,Data[#Headers],0))</f>
        <v>1856674</v>
      </c>
      <c r="D13" s="21">
        <f>INDEX(Data[],MATCH($A13,Data[Dist],0),MATCH(D$4,Data[#Headers],0))</f>
        <v>348</v>
      </c>
      <c r="E13" s="21">
        <f>INDEX(Data[],MATCH($A13,Data[Dist],0),MATCH(E$4,Data[#Headers],0))</f>
        <v>7209</v>
      </c>
      <c r="F13" s="21">
        <f>IF(Notes!$B$3="Pay 1 Regular State Payment Budget",0,INDEX(Data[],MATCH($A13,Data[Dist],0),MATCH(F$4,Data[#Headers],0)))</f>
        <v>6021</v>
      </c>
      <c r="G13" s="21">
        <f>IF(OR(Notes!$B$3="Pay 1 Regular State Payment Budget",Notes!$B$3="Pay 2 Regular State Payment Budget"),0,INDEX(Data[],MATCH($A13,Data[Dist],0),MATCH(G$4,Data[#Headers],0)))</f>
        <v>0</v>
      </c>
      <c r="H13" s="21">
        <f>INDEX(Data[],MATCH($A13,Data[Dist],0),MATCH(H$4,Data[#Headers],0))</f>
        <v>1843096</v>
      </c>
    </row>
    <row r="14" spans="1:11" s="20" customFormat="1" ht="12.75" x14ac:dyDescent="0.2">
      <c r="A14" s="19" t="str">
        <f>Data!B10</f>
        <v>0126</v>
      </c>
      <c r="B14" s="20" t="str">
        <f>INDEX(Data[],MATCH($A14,Data[Dist],0),MATCH(B$4,Data[#Headers],0))</f>
        <v>Algona</v>
      </c>
      <c r="C14" s="21">
        <f>INDEX(Data[],MATCH($A14,Data[Dist],0),MATCH(C$4,Data[#Headers],0))</f>
        <v>8731472</v>
      </c>
      <c r="D14" s="21">
        <f>INDEX(Data[],MATCH($A14,Data[Dist],0),MATCH(D$4,Data[#Headers],0))</f>
        <v>2040</v>
      </c>
      <c r="E14" s="21">
        <f>INDEX(Data[],MATCH($A14,Data[Dist],0),MATCH(E$4,Data[#Headers],0))</f>
        <v>5850</v>
      </c>
      <c r="F14" s="21">
        <f>IF(Notes!$B$3="Pay 1 Regular State Payment Budget",0,INDEX(Data[],MATCH($A14,Data[Dist],0),MATCH(F$4,Data[#Headers],0)))</f>
        <v>31795</v>
      </c>
      <c r="G14" s="21">
        <f>IF(OR(Notes!$B$3="Pay 1 Regular State Payment Budget",Notes!$B$3="Pay 2 Regular State Payment Budget"),0,INDEX(Data[],MATCH($A14,Data[Dist],0),MATCH(G$4,Data[#Headers],0)))</f>
        <v>0</v>
      </c>
      <c r="H14" s="21">
        <f>INDEX(Data[],MATCH($A14,Data[Dist],0),MATCH(H$4,Data[#Headers],0))</f>
        <v>8691787</v>
      </c>
      <c r="J14" s="21"/>
    </row>
    <row r="15" spans="1:11" s="20" customFormat="1" ht="12.75" x14ac:dyDescent="0.2">
      <c r="A15" s="19" t="str">
        <f>Data!B11</f>
        <v>0135</v>
      </c>
      <c r="B15" s="20" t="str">
        <f>INDEX(Data[],MATCH($A15,Data[Dist],0),MATCH(B$4,Data[#Headers],0))</f>
        <v>Allamakee</v>
      </c>
      <c r="C15" s="21">
        <f>INDEX(Data[],MATCH($A15,Data[Dist],0),MATCH(C$4,Data[#Headers],0))</f>
        <v>7796456</v>
      </c>
      <c r="D15" s="21">
        <f>INDEX(Data[],MATCH($A15,Data[Dist],0),MATCH(D$4,Data[#Headers],0))</f>
        <v>1178</v>
      </c>
      <c r="E15" s="21">
        <f>INDEX(Data[],MATCH($A15,Data[Dist],0),MATCH(E$4,Data[#Headers],0))</f>
        <v>0</v>
      </c>
      <c r="F15" s="21">
        <f>IF(Notes!$B$3="Pay 1 Regular State Payment Budget",0,INDEX(Data[],MATCH($A15,Data[Dist],0),MATCH(F$4,Data[#Headers],0)))</f>
        <v>24999</v>
      </c>
      <c r="G15" s="21">
        <f>IF(OR(Notes!$B$3="Pay 1 Regular State Payment Budget",Notes!$B$3="Pay 2 Regular State Payment Budget"),0,INDEX(Data[],MATCH($A15,Data[Dist],0),MATCH(G$4,Data[#Headers],0)))</f>
        <v>0</v>
      </c>
      <c r="H15" s="21">
        <f>INDEX(Data[],MATCH($A15,Data[Dist],0),MATCH(H$4,Data[#Headers],0))</f>
        <v>7770279</v>
      </c>
      <c r="K15" s="21"/>
    </row>
    <row r="16" spans="1:11" s="20" customFormat="1" ht="12.75" x14ac:dyDescent="0.2">
      <c r="A16" s="19" t="str">
        <f>Data!B12</f>
        <v>0153</v>
      </c>
      <c r="B16" s="20" t="str">
        <f>INDEX(Data[],MATCH($A16,Data[Dist],0),MATCH(B$4,Data[#Headers],0))</f>
        <v>North Butler</v>
      </c>
      <c r="C16" s="21">
        <f>INDEX(Data[],MATCH($A16,Data[Dist],0),MATCH(C$4,Data[#Headers],0))</f>
        <v>3584166</v>
      </c>
      <c r="D16" s="21">
        <f>INDEX(Data[],MATCH($A16,Data[Dist],0),MATCH(D$4,Data[#Headers],0))</f>
        <v>415</v>
      </c>
      <c r="E16" s="21">
        <f>INDEX(Data[],MATCH($A16,Data[Dist],0),MATCH(E$4,Data[#Headers],0))</f>
        <v>0</v>
      </c>
      <c r="F16" s="21">
        <f>IF(Notes!$B$3="Pay 1 Regular State Payment Budget",0,INDEX(Data[],MATCH($A16,Data[Dist],0),MATCH(F$4,Data[#Headers],0)))</f>
        <v>11608</v>
      </c>
      <c r="G16" s="21">
        <f>IF(OR(Notes!$B$3="Pay 1 Regular State Payment Budget",Notes!$B$3="Pay 2 Regular State Payment Budget"),0,INDEX(Data[],MATCH($A16,Data[Dist],0),MATCH(G$4,Data[#Headers],0)))</f>
        <v>0</v>
      </c>
      <c r="H16" s="21">
        <f>INDEX(Data[],MATCH($A16,Data[Dist],0),MATCH(H$4,Data[#Headers],0))</f>
        <v>3572143</v>
      </c>
      <c r="K16" s="186"/>
    </row>
    <row r="17" spans="1:8" s="20" customFormat="1" ht="12.75" x14ac:dyDescent="0.2">
      <c r="A17" s="19" t="str">
        <f>Data!B13</f>
        <v>0171</v>
      </c>
      <c r="B17" s="20" t="str">
        <f>INDEX(Data[],MATCH($A17,Data[Dist],0),MATCH(B$4,Data[#Headers],0))</f>
        <v>Alta-Aurelia</v>
      </c>
      <c r="C17" s="21">
        <f>INDEX(Data[],MATCH($A17,Data[Dist],0),MATCH(C$4,Data[#Headers],0))</f>
        <v>5245038</v>
      </c>
      <c r="D17" s="21">
        <f>INDEX(Data[],MATCH($A17,Data[Dist],0),MATCH(D$4,Data[#Headers],0))</f>
        <v>846</v>
      </c>
      <c r="E17" s="21">
        <f>INDEX(Data[],MATCH($A17,Data[Dist],0),MATCH(E$4,Data[#Headers],0))</f>
        <v>0</v>
      </c>
      <c r="F17" s="21">
        <f>IF(Notes!$B$3="Pay 1 Regular State Payment Budget",0,INDEX(Data[],MATCH($A17,Data[Dist],0),MATCH(F$4,Data[#Headers],0)))</f>
        <v>18938</v>
      </c>
      <c r="G17" s="21">
        <f>IF(OR(Notes!$B$3="Pay 1 Regular State Payment Budget",Notes!$B$3="Pay 2 Regular State Payment Budget"),0,INDEX(Data[],MATCH($A17,Data[Dist],0),MATCH(G$4,Data[#Headers],0)))</f>
        <v>0</v>
      </c>
      <c r="H17" s="21">
        <f>INDEX(Data[],MATCH($A17,Data[Dist],0),MATCH(H$4,Data[#Headers],0))</f>
        <v>5225254</v>
      </c>
    </row>
    <row r="18" spans="1:8" s="20" customFormat="1" ht="12.75" x14ac:dyDescent="0.2">
      <c r="A18" s="19" t="str">
        <f>Data!B14</f>
        <v>0225</v>
      </c>
      <c r="B18" s="20" t="str">
        <f>INDEX(Data[],MATCH($A18,Data[Dist],0),MATCH(B$4,Data[#Headers],0))</f>
        <v>Ames</v>
      </c>
      <c r="C18" s="21">
        <f>INDEX(Data[],MATCH($A18,Data[Dist],0),MATCH(C$4,Data[#Headers],0))</f>
        <v>26503551</v>
      </c>
      <c r="D18" s="21">
        <f>INDEX(Data[],MATCH($A18,Data[Dist],0),MATCH(D$4,Data[#Headers],0))</f>
        <v>3931</v>
      </c>
      <c r="E18" s="21">
        <f>INDEX(Data[],MATCH($A18,Data[Dist],0),MATCH(E$4,Data[#Headers],0))</f>
        <v>9670</v>
      </c>
      <c r="F18" s="21">
        <f>IF(Notes!$B$3="Pay 1 Regular State Payment Budget",0,INDEX(Data[],MATCH($A18,Data[Dist],0),MATCH(F$4,Data[#Headers],0)))</f>
        <v>102414</v>
      </c>
      <c r="G18" s="21">
        <f>IF(OR(Notes!$B$3="Pay 1 Regular State Payment Budget",Notes!$B$3="Pay 2 Regular State Payment Budget"),0,INDEX(Data[],MATCH($A18,Data[Dist],0),MATCH(G$4,Data[#Headers],0)))</f>
        <v>0</v>
      </c>
      <c r="H18" s="21">
        <f>INDEX(Data[],MATCH($A18,Data[Dist],0),MATCH(H$4,Data[#Headers],0))</f>
        <v>26387536</v>
      </c>
    </row>
    <row r="19" spans="1:8" s="20" customFormat="1" ht="12.75" x14ac:dyDescent="0.2">
      <c r="A19" s="19" t="str">
        <f>Data!B15</f>
        <v>0234</v>
      </c>
      <c r="B19" s="20" t="str">
        <f>INDEX(Data[],MATCH($A19,Data[Dist],0),MATCH(B$4,Data[#Headers],0))</f>
        <v>Anamosa</v>
      </c>
      <c r="C19" s="21">
        <f>INDEX(Data[],MATCH($A19,Data[Dist],0),MATCH(C$4,Data[#Headers],0))</f>
        <v>9503590</v>
      </c>
      <c r="D19" s="21">
        <f>INDEX(Data[],MATCH($A19,Data[Dist],0),MATCH(D$4,Data[#Headers],0))</f>
        <v>1095</v>
      </c>
      <c r="E19" s="21">
        <f>INDEX(Data[],MATCH($A19,Data[Dist],0),MATCH(E$4,Data[#Headers],0))</f>
        <v>0</v>
      </c>
      <c r="F19" s="21">
        <f>IF(Notes!$B$3="Pay 1 Regular State Payment Budget",0,INDEX(Data[],MATCH($A19,Data[Dist],0),MATCH(F$4,Data[#Headers],0)))</f>
        <v>28311</v>
      </c>
      <c r="G19" s="21">
        <f>IF(OR(Notes!$B$3="Pay 1 Regular State Payment Budget",Notes!$B$3="Pay 2 Regular State Payment Budget"),0,INDEX(Data[],MATCH($A19,Data[Dist],0),MATCH(G$4,Data[#Headers],0)))</f>
        <v>0</v>
      </c>
      <c r="H19" s="21">
        <f>INDEX(Data[],MATCH($A19,Data[Dist],0),MATCH(H$4,Data[#Headers],0))</f>
        <v>9474184</v>
      </c>
    </row>
    <row r="20" spans="1:8" s="20" customFormat="1" ht="12.75" x14ac:dyDescent="0.2">
      <c r="A20" s="19" t="str">
        <f>Data!B16</f>
        <v>0243</v>
      </c>
      <c r="B20" s="20" t="str">
        <f>INDEX(Data[],MATCH($A20,Data[Dist],0),MATCH(B$4,Data[#Headers],0))</f>
        <v>Andrew</v>
      </c>
      <c r="C20" s="21">
        <f>INDEX(Data[],MATCH($A20,Data[Dist],0),MATCH(C$4,Data[#Headers],0))</f>
        <v>1679842</v>
      </c>
      <c r="D20" s="21">
        <f>INDEX(Data[],MATCH($A20,Data[Dist],0),MATCH(D$4,Data[#Headers],0))</f>
        <v>332</v>
      </c>
      <c r="E20" s="21">
        <f>INDEX(Data[],MATCH($A20,Data[Dist],0),MATCH(E$4,Data[#Headers],0))</f>
        <v>0</v>
      </c>
      <c r="F20" s="21">
        <f>IF(Notes!$B$3="Pay 1 Regular State Payment Budget",0,INDEX(Data[],MATCH($A20,Data[Dist],0),MATCH(F$4,Data[#Headers],0)))</f>
        <v>5001</v>
      </c>
      <c r="G20" s="21">
        <f>IF(OR(Notes!$B$3="Pay 1 Regular State Payment Budget",Notes!$B$3="Pay 2 Regular State Payment Budget"),0,INDEX(Data[],MATCH($A20,Data[Dist],0),MATCH(G$4,Data[#Headers],0)))</f>
        <v>0</v>
      </c>
      <c r="H20" s="21">
        <f>INDEX(Data[],MATCH($A20,Data[Dist],0),MATCH(H$4,Data[#Headers],0))</f>
        <v>1674509</v>
      </c>
    </row>
    <row r="21" spans="1:8" s="20" customFormat="1" ht="12.75" x14ac:dyDescent="0.2">
      <c r="A21" s="19" t="str">
        <f>Data!B17</f>
        <v>0261</v>
      </c>
      <c r="B21" s="20" t="str">
        <f>INDEX(Data[],MATCH($A21,Data[Dist],0),MATCH(B$4,Data[#Headers],0))</f>
        <v>Ankeny</v>
      </c>
      <c r="C21" s="21">
        <f>INDEX(Data[],MATCH($A21,Data[Dist],0),MATCH(C$4,Data[#Headers],0))</f>
        <v>87770170</v>
      </c>
      <c r="D21" s="21">
        <f>INDEX(Data[],MATCH($A21,Data[Dist],0),MATCH(D$4,Data[#Headers],0))</f>
        <v>4329</v>
      </c>
      <c r="E21" s="21">
        <f>INDEX(Data[],MATCH($A21,Data[Dist],0),MATCH(E$4,Data[#Headers],0))</f>
        <v>62791</v>
      </c>
      <c r="F21" s="21">
        <f>IF(Notes!$B$3="Pay 1 Regular State Payment Budget",0,INDEX(Data[],MATCH($A21,Data[Dist],0),MATCH(F$4,Data[#Headers],0)))</f>
        <v>284664</v>
      </c>
      <c r="G21" s="21">
        <f>IF(OR(Notes!$B$3="Pay 1 Regular State Payment Budget",Notes!$B$3="Pay 2 Regular State Payment Budget"),0,INDEX(Data[],MATCH($A21,Data[Dist],0),MATCH(G$4,Data[#Headers],0)))</f>
        <v>0</v>
      </c>
      <c r="H21" s="21">
        <f>INDEX(Data[],MATCH($A21,Data[Dist],0),MATCH(H$4,Data[#Headers],0))</f>
        <v>87418386</v>
      </c>
    </row>
    <row r="22" spans="1:8" s="20" customFormat="1" ht="12.75" x14ac:dyDescent="0.2">
      <c r="A22" s="19" t="str">
        <f>Data!B18</f>
        <v>0279</v>
      </c>
      <c r="B22" s="20" t="str">
        <f>INDEX(Data[],MATCH($A22,Data[Dist],0),MATCH(B$4,Data[#Headers],0))</f>
        <v>Aplington-Parkersburg</v>
      </c>
      <c r="C22" s="21">
        <f>INDEX(Data[],MATCH($A22,Data[Dist],0),MATCH(C$4,Data[#Headers],0))</f>
        <v>6109045</v>
      </c>
      <c r="D22" s="21">
        <f>INDEX(Data[],MATCH($A22,Data[Dist],0),MATCH(D$4,Data[#Headers],0))</f>
        <v>680</v>
      </c>
      <c r="E22" s="21">
        <f>INDEX(Data[],MATCH($A22,Data[Dist],0),MATCH(E$4,Data[#Headers],0))</f>
        <v>6389</v>
      </c>
      <c r="F22" s="21">
        <f>IF(Notes!$B$3="Pay 1 Regular State Payment Budget",0,INDEX(Data[],MATCH($A22,Data[Dist],0),MATCH(F$4,Data[#Headers],0)))</f>
        <v>17883</v>
      </c>
      <c r="G22" s="21">
        <f>IF(OR(Notes!$B$3="Pay 1 Regular State Payment Budget",Notes!$B$3="Pay 2 Regular State Payment Budget"),0,INDEX(Data[],MATCH($A22,Data[Dist],0),MATCH(G$4,Data[#Headers],0)))</f>
        <v>0</v>
      </c>
      <c r="H22" s="21">
        <f>INDEX(Data[],MATCH($A22,Data[Dist],0),MATCH(H$4,Data[#Headers],0))</f>
        <v>6084093</v>
      </c>
    </row>
    <row r="23" spans="1:8" s="20" customFormat="1" ht="12.75" x14ac:dyDescent="0.2">
      <c r="A23" s="19" t="str">
        <f>Data!B19</f>
        <v>0333</v>
      </c>
      <c r="B23" s="20" t="str">
        <f>INDEX(Data[],MATCH($A23,Data[Dist],0),MATCH(B$4,Data[#Headers],0))</f>
        <v>North Union</v>
      </c>
      <c r="C23" s="21">
        <f>INDEX(Data[],MATCH($A23,Data[Dist],0),MATCH(C$4,Data[#Headers],0))</f>
        <v>1834300</v>
      </c>
      <c r="D23" s="21">
        <f>INDEX(Data[],MATCH($A23,Data[Dist],0),MATCH(D$4,Data[#Headers],0))</f>
        <v>249</v>
      </c>
      <c r="E23" s="21">
        <f>INDEX(Data[],MATCH($A23,Data[Dist],0),MATCH(E$4,Data[#Headers],0))</f>
        <v>0</v>
      </c>
      <c r="F23" s="21">
        <f>IF(Notes!$B$3="Pay 1 Regular State Payment Budget",0,INDEX(Data[],MATCH($A23,Data[Dist],0),MATCH(F$4,Data[#Headers],0)))</f>
        <v>8943</v>
      </c>
      <c r="G23" s="21">
        <f>IF(OR(Notes!$B$3="Pay 1 Regular State Payment Budget",Notes!$B$3="Pay 2 Regular State Payment Budget"),0,INDEX(Data[],MATCH($A23,Data[Dist],0),MATCH(G$4,Data[#Headers],0)))</f>
        <v>0</v>
      </c>
      <c r="H23" s="21">
        <f>INDEX(Data[],MATCH($A23,Data[Dist],0),MATCH(H$4,Data[#Headers],0))</f>
        <v>1825108</v>
      </c>
    </row>
    <row r="24" spans="1:8" s="20" customFormat="1" ht="12.75" x14ac:dyDescent="0.2">
      <c r="A24" s="19" t="str">
        <f>Data!B20</f>
        <v>0355</v>
      </c>
      <c r="B24" s="20" t="str">
        <f>INDEX(Data[],MATCH($A24,Data[Dist],0),MATCH(B$4,Data[#Headers],0))</f>
        <v>Ar-We-Va</v>
      </c>
      <c r="C24" s="21">
        <f>INDEX(Data[],MATCH($A24,Data[Dist],0),MATCH(C$4,Data[#Headers],0))</f>
        <v>1544475</v>
      </c>
      <c r="D24" s="21">
        <f>INDEX(Data[],MATCH($A24,Data[Dist],0),MATCH(D$4,Data[#Headers],0))</f>
        <v>182</v>
      </c>
      <c r="E24" s="21">
        <f>INDEX(Data[],MATCH($A24,Data[Dist],0),MATCH(E$4,Data[#Headers],0))</f>
        <v>0</v>
      </c>
      <c r="F24" s="21">
        <f>IF(Notes!$B$3="Pay 1 Regular State Payment Budget",0,INDEX(Data[],MATCH($A24,Data[Dist],0),MATCH(F$4,Data[#Headers],0)))</f>
        <v>6593</v>
      </c>
      <c r="G24" s="21">
        <f>IF(OR(Notes!$B$3="Pay 1 Regular State Payment Budget",Notes!$B$3="Pay 2 Regular State Payment Budget"),0,INDEX(Data[],MATCH($A24,Data[Dist],0),MATCH(G$4,Data[#Headers],0)))</f>
        <v>0</v>
      </c>
      <c r="H24" s="21">
        <f>INDEX(Data[],MATCH($A24,Data[Dist],0),MATCH(H$4,Data[#Headers],0))</f>
        <v>1537700</v>
      </c>
    </row>
    <row r="25" spans="1:8" s="20" customFormat="1" ht="12.75" x14ac:dyDescent="0.2">
      <c r="A25" s="19" t="str">
        <f>Data!B21</f>
        <v>0387</v>
      </c>
      <c r="B25" s="20" t="str">
        <f>INDEX(Data[],MATCH($A25,Data[Dist],0),MATCH(B$4,Data[#Headers],0))</f>
        <v>Atlantic</v>
      </c>
      <c r="C25" s="21">
        <f>INDEX(Data[],MATCH($A25,Data[Dist],0),MATCH(C$4,Data[#Headers],0))</f>
        <v>11274566</v>
      </c>
      <c r="D25" s="21">
        <f>INDEX(Data[],MATCH($A25,Data[Dist],0),MATCH(D$4,Data[#Headers],0))</f>
        <v>1476</v>
      </c>
      <c r="E25" s="21">
        <f>INDEX(Data[],MATCH($A25,Data[Dist],0),MATCH(E$4,Data[#Headers],0))</f>
        <v>389</v>
      </c>
      <c r="F25" s="21">
        <f>IF(Notes!$B$3="Pay 1 Regular State Payment Budget",0,INDEX(Data[],MATCH($A25,Data[Dist],0),MATCH(F$4,Data[#Headers],0)))</f>
        <v>31856</v>
      </c>
      <c r="G25" s="21">
        <f>IF(OR(Notes!$B$3="Pay 1 Regular State Payment Budget",Notes!$B$3="Pay 2 Regular State Payment Budget"),0,INDEX(Data[],MATCH($A25,Data[Dist],0),MATCH(G$4,Data[#Headers],0)))</f>
        <v>0</v>
      </c>
      <c r="H25" s="21">
        <f>INDEX(Data[],MATCH($A25,Data[Dist],0),MATCH(H$4,Data[#Headers],0))</f>
        <v>11240845</v>
      </c>
    </row>
    <row r="26" spans="1:8" s="20" customFormat="1" ht="12.75" x14ac:dyDescent="0.2">
      <c r="A26" s="19" t="str">
        <f>Data!B22</f>
        <v>0414</v>
      </c>
      <c r="B26" s="20" t="str">
        <f>INDEX(Data[],MATCH($A26,Data[Dist],0),MATCH(B$4,Data[#Headers],0))</f>
        <v>Audubon</v>
      </c>
      <c r="C26" s="21">
        <f>INDEX(Data[],MATCH($A26,Data[Dist],0),MATCH(C$4,Data[#Headers],0))</f>
        <v>3276528</v>
      </c>
      <c r="D26" s="21">
        <f>INDEX(Data[],MATCH($A26,Data[Dist],0),MATCH(D$4,Data[#Headers],0))</f>
        <v>630</v>
      </c>
      <c r="E26" s="21">
        <f>INDEX(Data[],MATCH($A26,Data[Dist],0),MATCH(E$4,Data[#Headers],0))</f>
        <v>0</v>
      </c>
      <c r="F26" s="21">
        <f>IF(Notes!$B$3="Pay 1 Regular State Payment Budget",0,INDEX(Data[],MATCH($A26,Data[Dist],0),MATCH(F$4,Data[#Headers],0)))</f>
        <v>11499</v>
      </c>
      <c r="G26" s="21">
        <f>IF(OR(Notes!$B$3="Pay 1 Regular State Payment Budget",Notes!$B$3="Pay 2 Regular State Payment Budget"),0,INDEX(Data[],MATCH($A26,Data[Dist],0),MATCH(G$4,Data[#Headers],0)))</f>
        <v>0</v>
      </c>
      <c r="H26" s="21">
        <f>INDEX(Data[],MATCH($A26,Data[Dist],0),MATCH(H$4,Data[#Headers],0))</f>
        <v>3264399</v>
      </c>
    </row>
    <row r="27" spans="1:8" s="20" customFormat="1" ht="12.75" x14ac:dyDescent="0.2">
      <c r="A27" s="19" t="str">
        <f>Data!B23</f>
        <v>0441</v>
      </c>
      <c r="B27" s="20" t="str">
        <f>INDEX(Data[],MATCH($A27,Data[Dist],0),MATCH(B$4,Data[#Headers],0))</f>
        <v>AHSTW</v>
      </c>
      <c r="C27" s="21">
        <f>INDEX(Data[],MATCH($A27,Data[Dist],0),MATCH(C$4,Data[#Headers],0))</f>
        <v>4333015</v>
      </c>
      <c r="D27" s="21">
        <f>INDEX(Data[],MATCH($A27,Data[Dist],0),MATCH(D$4,Data[#Headers],0))</f>
        <v>713</v>
      </c>
      <c r="E27" s="21">
        <f>INDEX(Data[],MATCH($A27,Data[Dist],0),MATCH(E$4,Data[#Headers],0))</f>
        <v>0</v>
      </c>
      <c r="F27" s="21">
        <f>IF(Notes!$B$3="Pay 1 Regular State Payment Budget",0,INDEX(Data[],MATCH($A27,Data[Dist],0),MATCH(F$4,Data[#Headers],0)))</f>
        <v>17586</v>
      </c>
      <c r="G27" s="21">
        <f>IF(OR(Notes!$B$3="Pay 1 Regular State Payment Budget",Notes!$B$3="Pay 2 Regular State Payment Budget"),0,INDEX(Data[],MATCH($A27,Data[Dist],0),MATCH(G$4,Data[#Headers],0)))</f>
        <v>0</v>
      </c>
      <c r="H27" s="21">
        <f>INDEX(Data[],MATCH($A27,Data[Dist],0),MATCH(H$4,Data[#Headers],0))</f>
        <v>4314716</v>
      </c>
    </row>
    <row r="28" spans="1:8" s="20" customFormat="1" ht="12.75" x14ac:dyDescent="0.2">
      <c r="A28" s="19" t="str">
        <f>Data!B24</f>
        <v>0472</v>
      </c>
      <c r="B28" s="20" t="str">
        <f>INDEX(Data[],MATCH($A28,Data[Dist],0),MATCH(B$4,Data[#Headers],0))</f>
        <v>Ballard</v>
      </c>
      <c r="C28" s="21">
        <f>INDEX(Data[],MATCH($A28,Data[Dist],0),MATCH(C$4,Data[#Headers],0))</f>
        <v>13550279</v>
      </c>
      <c r="D28" s="21">
        <f>INDEX(Data[],MATCH($A28,Data[Dist],0),MATCH(D$4,Data[#Headers],0))</f>
        <v>2222</v>
      </c>
      <c r="E28" s="21">
        <f>INDEX(Data[],MATCH($A28,Data[Dist],0),MATCH(E$4,Data[#Headers],0))</f>
        <v>5936</v>
      </c>
      <c r="F28" s="21">
        <f>IF(Notes!$B$3="Pay 1 Regular State Payment Budget",0,INDEX(Data[],MATCH($A28,Data[Dist],0),MATCH(F$4,Data[#Headers],0)))</f>
        <v>39042</v>
      </c>
      <c r="G28" s="21">
        <f>IF(OR(Notes!$B$3="Pay 1 Regular State Payment Budget",Notes!$B$3="Pay 2 Regular State Payment Budget"),0,INDEX(Data[],MATCH($A28,Data[Dist],0),MATCH(G$4,Data[#Headers],0)))</f>
        <v>0</v>
      </c>
      <c r="H28" s="21">
        <f>INDEX(Data[],MATCH($A28,Data[Dist],0),MATCH(H$4,Data[#Headers],0))</f>
        <v>13503079</v>
      </c>
    </row>
    <row r="29" spans="1:8" s="20" customFormat="1" ht="12.75" x14ac:dyDescent="0.2">
      <c r="A29" s="19" t="str">
        <f>Data!B25</f>
        <v>0513</v>
      </c>
      <c r="B29" s="20" t="str">
        <f>INDEX(Data[],MATCH($A29,Data[Dist],0),MATCH(B$4,Data[#Headers],0))</f>
        <v>Baxter</v>
      </c>
      <c r="C29" s="21">
        <f>INDEX(Data[],MATCH($A29,Data[Dist],0),MATCH(C$4,Data[#Headers],0))</f>
        <v>2827022</v>
      </c>
      <c r="D29" s="21">
        <f>INDEX(Data[],MATCH($A29,Data[Dist],0),MATCH(D$4,Data[#Headers],0))</f>
        <v>481</v>
      </c>
      <c r="E29" s="21">
        <f>INDEX(Data[],MATCH($A29,Data[Dist],0),MATCH(E$4,Data[#Headers],0))</f>
        <v>0</v>
      </c>
      <c r="F29" s="21">
        <f>IF(Notes!$B$3="Pay 1 Regular State Payment Budget",0,INDEX(Data[],MATCH($A29,Data[Dist],0),MATCH(F$4,Data[#Headers],0)))</f>
        <v>7627</v>
      </c>
      <c r="G29" s="21">
        <f>IF(OR(Notes!$B$3="Pay 1 Regular State Payment Budget",Notes!$B$3="Pay 2 Regular State Payment Budget"),0,INDEX(Data[],MATCH($A29,Data[Dist],0),MATCH(G$4,Data[#Headers],0)))</f>
        <v>0</v>
      </c>
      <c r="H29" s="21">
        <f>INDEX(Data[],MATCH($A29,Data[Dist],0),MATCH(H$4,Data[#Headers],0))</f>
        <v>2818914</v>
      </c>
    </row>
    <row r="30" spans="1:8" s="20" customFormat="1" ht="12.75" x14ac:dyDescent="0.2">
      <c r="A30" s="19" t="str">
        <f>Data!B26</f>
        <v>0540</v>
      </c>
      <c r="B30" s="20" t="str">
        <f>INDEX(Data[],MATCH($A30,Data[Dist],0),MATCH(B$4,Data[#Headers],0))</f>
        <v>BCLUW</v>
      </c>
      <c r="C30" s="21">
        <f>INDEX(Data[],MATCH($A30,Data[Dist],0),MATCH(C$4,Data[#Headers],0))</f>
        <v>2744327</v>
      </c>
      <c r="D30" s="21">
        <f>INDEX(Data[],MATCH($A30,Data[Dist],0),MATCH(D$4,Data[#Headers],0))</f>
        <v>381</v>
      </c>
      <c r="E30" s="21">
        <f>INDEX(Data[],MATCH($A30,Data[Dist],0),MATCH(E$4,Data[#Headers],0))</f>
        <v>6152</v>
      </c>
      <c r="F30" s="21">
        <f>IF(Notes!$B$3="Pay 1 Regular State Payment Budget",0,INDEX(Data[],MATCH($A30,Data[Dist],0),MATCH(F$4,Data[#Headers],0)))</f>
        <v>10040</v>
      </c>
      <c r="G30" s="21">
        <f>IF(OR(Notes!$B$3="Pay 1 Regular State Payment Budget",Notes!$B$3="Pay 2 Regular State Payment Budget"),0,INDEX(Data[],MATCH($A30,Data[Dist],0),MATCH(G$4,Data[#Headers],0)))</f>
        <v>0</v>
      </c>
      <c r="H30" s="21">
        <f>INDEX(Data[],MATCH($A30,Data[Dist],0),MATCH(H$4,Data[#Headers],0))</f>
        <v>2727754</v>
      </c>
    </row>
    <row r="31" spans="1:8" s="20" customFormat="1" ht="12.75" x14ac:dyDescent="0.2">
      <c r="A31" s="19" t="str">
        <f>Data!B27</f>
        <v>0549</v>
      </c>
      <c r="B31" s="20" t="str">
        <f>INDEX(Data[],MATCH($A31,Data[Dist],0),MATCH(B$4,Data[#Headers],0))</f>
        <v>Bedford</v>
      </c>
      <c r="C31" s="21">
        <f>INDEX(Data[],MATCH($A31,Data[Dist],0),MATCH(C$4,Data[#Headers],0))</f>
        <v>3544531</v>
      </c>
      <c r="D31" s="21">
        <f>INDEX(Data[],MATCH($A31,Data[Dist],0),MATCH(D$4,Data[#Headers],0))</f>
        <v>514</v>
      </c>
      <c r="E31" s="21">
        <f>INDEX(Data[],MATCH($A31,Data[Dist],0),MATCH(E$4,Data[#Headers],0))</f>
        <v>12735</v>
      </c>
      <c r="F31" s="21">
        <f>IF(Notes!$B$3="Pay 1 Regular State Payment Budget",0,INDEX(Data[],MATCH($A31,Data[Dist],0),MATCH(F$4,Data[#Headers],0)))</f>
        <v>11511</v>
      </c>
      <c r="G31" s="21">
        <f>IF(OR(Notes!$B$3="Pay 1 Regular State Payment Budget",Notes!$B$3="Pay 2 Regular State Payment Budget"),0,INDEX(Data[],MATCH($A31,Data[Dist],0),MATCH(G$4,Data[#Headers],0)))</f>
        <v>0</v>
      </c>
      <c r="H31" s="21">
        <f>INDEX(Data[],MATCH($A31,Data[Dist],0),MATCH(H$4,Data[#Headers],0))</f>
        <v>3519771</v>
      </c>
    </row>
    <row r="32" spans="1:8" s="20" customFormat="1" ht="12.75" x14ac:dyDescent="0.2">
      <c r="A32" s="19" t="str">
        <f>Data!B28</f>
        <v>0576</v>
      </c>
      <c r="B32" s="20" t="str">
        <f>INDEX(Data[],MATCH($A32,Data[Dist],0),MATCH(B$4,Data[#Headers],0))</f>
        <v>Belle Plaine</v>
      </c>
      <c r="C32" s="21">
        <f>INDEX(Data[],MATCH($A32,Data[Dist],0),MATCH(C$4,Data[#Headers],0))</f>
        <v>3752416</v>
      </c>
      <c r="D32" s="21">
        <f>INDEX(Data[],MATCH($A32,Data[Dist],0),MATCH(D$4,Data[#Headers],0))</f>
        <v>415</v>
      </c>
      <c r="E32" s="21">
        <f>INDEX(Data[],MATCH($A32,Data[Dist],0),MATCH(E$4,Data[#Headers],0))</f>
        <v>0</v>
      </c>
      <c r="F32" s="21">
        <f>IF(Notes!$B$3="Pay 1 Regular State Payment Budget",0,INDEX(Data[],MATCH($A32,Data[Dist],0),MATCH(F$4,Data[#Headers],0)))</f>
        <v>10677</v>
      </c>
      <c r="G32" s="21">
        <f>IF(OR(Notes!$B$3="Pay 1 Regular State Payment Budget",Notes!$B$3="Pay 2 Regular State Payment Budget"),0,INDEX(Data[],MATCH($A32,Data[Dist],0),MATCH(G$4,Data[#Headers],0)))</f>
        <v>0</v>
      </c>
      <c r="H32" s="21">
        <f>INDEX(Data[],MATCH($A32,Data[Dist],0),MATCH(H$4,Data[#Headers],0))</f>
        <v>3741324</v>
      </c>
    </row>
    <row r="33" spans="1:8" s="20" customFormat="1" ht="12.75" x14ac:dyDescent="0.2">
      <c r="A33" s="19" t="str">
        <f>Data!B29</f>
        <v>0585</v>
      </c>
      <c r="B33" s="20" t="str">
        <f>INDEX(Data[],MATCH($A33,Data[Dist],0),MATCH(B$4,Data[#Headers],0))</f>
        <v>Bellevue</v>
      </c>
      <c r="C33" s="21">
        <f>INDEX(Data[],MATCH($A33,Data[Dist],0),MATCH(C$4,Data[#Headers],0))</f>
        <v>4242070</v>
      </c>
      <c r="D33" s="21">
        <f>INDEX(Data[],MATCH($A33,Data[Dist],0),MATCH(D$4,Data[#Headers],0))</f>
        <v>945</v>
      </c>
      <c r="E33" s="21">
        <f>INDEX(Data[],MATCH($A33,Data[Dist],0),MATCH(E$4,Data[#Headers],0))</f>
        <v>0</v>
      </c>
      <c r="F33" s="21">
        <f>IF(Notes!$B$3="Pay 1 Regular State Payment Budget",0,INDEX(Data[],MATCH($A33,Data[Dist],0),MATCH(F$4,Data[#Headers],0)))</f>
        <v>13995</v>
      </c>
      <c r="G33" s="21">
        <f>IF(OR(Notes!$B$3="Pay 1 Regular State Payment Budget",Notes!$B$3="Pay 2 Regular State Payment Budget"),0,INDEX(Data[],MATCH($A33,Data[Dist],0),MATCH(G$4,Data[#Headers],0)))</f>
        <v>0</v>
      </c>
      <c r="H33" s="21">
        <f>INDEX(Data[],MATCH($A33,Data[Dist],0),MATCH(H$4,Data[#Headers],0))</f>
        <v>4227130</v>
      </c>
    </row>
    <row r="34" spans="1:8" s="20" customFormat="1" ht="12.75" x14ac:dyDescent="0.2">
      <c r="A34" s="19" t="str">
        <f>Data!B30</f>
        <v>0594</v>
      </c>
      <c r="B34" s="20" t="str">
        <f>INDEX(Data[],MATCH($A34,Data[Dist],0),MATCH(B$4,Data[#Headers],0))</f>
        <v>Belmond-Klemme</v>
      </c>
      <c r="C34" s="21">
        <f>INDEX(Data[],MATCH($A34,Data[Dist],0),MATCH(C$4,Data[#Headers],0))</f>
        <v>5309862</v>
      </c>
      <c r="D34" s="21">
        <f>INDEX(Data[],MATCH($A34,Data[Dist],0),MATCH(D$4,Data[#Headers],0))</f>
        <v>381</v>
      </c>
      <c r="E34" s="21">
        <f>INDEX(Data[],MATCH($A34,Data[Dist],0),MATCH(E$4,Data[#Headers],0))</f>
        <v>6497</v>
      </c>
      <c r="F34" s="21">
        <f>IF(Notes!$B$3="Pay 1 Regular State Payment Budget",0,INDEX(Data[],MATCH($A34,Data[Dist],0),MATCH(F$4,Data[#Headers],0)))</f>
        <v>16829</v>
      </c>
      <c r="G34" s="21">
        <f>IF(OR(Notes!$B$3="Pay 1 Regular State Payment Budget",Notes!$B$3="Pay 2 Regular State Payment Budget"),0,INDEX(Data[],MATCH($A34,Data[Dist],0),MATCH(G$4,Data[#Headers],0)))</f>
        <v>0</v>
      </c>
      <c r="H34" s="21">
        <f>INDEX(Data[],MATCH($A34,Data[Dist],0),MATCH(H$4,Data[#Headers],0))</f>
        <v>5286155</v>
      </c>
    </row>
    <row r="35" spans="1:8" s="20" customFormat="1" ht="12.75" x14ac:dyDescent="0.2">
      <c r="A35" s="19" t="str">
        <f>Data!B31</f>
        <v>0603</v>
      </c>
      <c r="B35" s="20" t="str">
        <f>INDEX(Data[],MATCH($A35,Data[Dist],0),MATCH(B$4,Data[#Headers],0))</f>
        <v>Bennett</v>
      </c>
      <c r="C35" s="21">
        <f>INDEX(Data[],MATCH($A35,Data[Dist],0),MATCH(C$4,Data[#Headers],0))</f>
        <v>1012207</v>
      </c>
      <c r="D35" s="21">
        <f>INDEX(Data[],MATCH($A35,Data[Dist],0),MATCH(D$4,Data[#Headers],0))</f>
        <v>133</v>
      </c>
      <c r="E35" s="21">
        <f>INDEX(Data[],MATCH($A35,Data[Dist],0),MATCH(E$4,Data[#Headers],0))</f>
        <v>0</v>
      </c>
      <c r="F35" s="21">
        <f>IF(Notes!$B$3="Pay 1 Regular State Payment Budget",0,INDEX(Data[],MATCH($A35,Data[Dist],0),MATCH(F$4,Data[#Headers],0)))</f>
        <v>3611</v>
      </c>
      <c r="G35" s="21">
        <f>IF(OR(Notes!$B$3="Pay 1 Regular State Payment Budget",Notes!$B$3="Pay 2 Regular State Payment Budget"),0,INDEX(Data[],MATCH($A35,Data[Dist],0),MATCH(G$4,Data[#Headers],0)))</f>
        <v>0</v>
      </c>
      <c r="H35" s="21">
        <f>INDEX(Data[],MATCH($A35,Data[Dist],0),MATCH(H$4,Data[#Headers],0))</f>
        <v>1008463</v>
      </c>
    </row>
    <row r="36" spans="1:8" s="20" customFormat="1" ht="12.75" x14ac:dyDescent="0.2">
      <c r="A36" s="19" t="str">
        <f>Data!B32</f>
        <v>0609</v>
      </c>
      <c r="B36" s="20" t="str">
        <f>INDEX(Data[],MATCH($A36,Data[Dist],0),MATCH(B$4,Data[#Headers],0))</f>
        <v>Benton</v>
      </c>
      <c r="C36" s="21">
        <f>INDEX(Data[],MATCH($A36,Data[Dist],0),MATCH(C$4,Data[#Headers],0))</f>
        <v>9587225</v>
      </c>
      <c r="D36" s="21">
        <f>INDEX(Data[],MATCH($A36,Data[Dist],0),MATCH(D$4,Data[#Headers],0))</f>
        <v>1924</v>
      </c>
      <c r="E36" s="21">
        <f>INDEX(Data[],MATCH($A36,Data[Dist],0),MATCH(E$4,Data[#Headers],0))</f>
        <v>0</v>
      </c>
      <c r="F36" s="21">
        <f>IF(Notes!$B$3="Pay 1 Regular State Payment Budget",0,INDEX(Data[],MATCH($A36,Data[Dist],0),MATCH(F$4,Data[#Headers],0)))</f>
        <v>33383</v>
      </c>
      <c r="G36" s="21">
        <f>IF(OR(Notes!$B$3="Pay 1 Regular State Payment Budget",Notes!$B$3="Pay 2 Regular State Payment Budget"),0,INDEX(Data[],MATCH($A36,Data[Dist],0),MATCH(G$4,Data[#Headers],0)))</f>
        <v>0</v>
      </c>
      <c r="H36" s="21">
        <f>INDEX(Data[],MATCH($A36,Data[Dist],0),MATCH(H$4,Data[#Headers],0))</f>
        <v>9551918</v>
      </c>
    </row>
    <row r="37" spans="1:8" s="20" customFormat="1" ht="12.75" x14ac:dyDescent="0.2">
      <c r="A37" s="19" t="str">
        <f>Data!B33</f>
        <v>0621</v>
      </c>
      <c r="B37" s="20" t="str">
        <f>INDEX(Data[],MATCH($A37,Data[Dist],0),MATCH(B$4,Data[#Headers],0))</f>
        <v>Bettendorf</v>
      </c>
      <c r="C37" s="21">
        <f>INDEX(Data[],MATCH($A37,Data[Dist],0),MATCH(C$4,Data[#Headers],0))</f>
        <v>28131879</v>
      </c>
      <c r="D37" s="21">
        <f>INDEX(Data[],MATCH($A37,Data[Dist],0),MATCH(D$4,Data[#Headers],0))</f>
        <v>3864</v>
      </c>
      <c r="E37" s="21">
        <f>INDEX(Data[],MATCH($A37,Data[Dist],0),MATCH(E$4,Data[#Headers],0))</f>
        <v>6432</v>
      </c>
      <c r="F37" s="21">
        <f>IF(Notes!$B$3="Pay 1 Regular State Payment Budget",0,INDEX(Data[],MATCH($A37,Data[Dist],0),MATCH(F$4,Data[#Headers],0)))</f>
        <v>89034</v>
      </c>
      <c r="G37" s="21">
        <f>IF(OR(Notes!$B$3="Pay 1 Regular State Payment Budget",Notes!$B$3="Pay 2 Regular State Payment Budget"),0,INDEX(Data[],MATCH($A37,Data[Dist],0),MATCH(G$4,Data[#Headers],0)))</f>
        <v>0</v>
      </c>
      <c r="H37" s="21">
        <f>INDEX(Data[],MATCH($A37,Data[Dist],0),MATCH(H$4,Data[#Headers],0))</f>
        <v>28032549</v>
      </c>
    </row>
    <row r="38" spans="1:8" s="20" customFormat="1" ht="12.75" x14ac:dyDescent="0.2">
      <c r="A38" s="19" t="str">
        <f>Data!B34</f>
        <v>0657</v>
      </c>
      <c r="B38" s="20" t="str">
        <f>INDEX(Data[],MATCH($A38,Data[Dist],0),MATCH(B$4,Data[#Headers],0))</f>
        <v>Eddyville-Blakesburg-Fremont</v>
      </c>
      <c r="C38" s="21">
        <f>INDEX(Data[],MATCH($A38,Data[Dist],0),MATCH(C$4,Data[#Headers],0))</f>
        <v>4708382</v>
      </c>
      <c r="D38" s="21">
        <f>INDEX(Data[],MATCH($A38,Data[Dist],0),MATCH(D$4,Data[#Headers],0))</f>
        <v>697</v>
      </c>
      <c r="E38" s="21">
        <f>INDEX(Data[],MATCH($A38,Data[Dist],0),MATCH(E$4,Data[#Headers],0))</f>
        <v>0</v>
      </c>
      <c r="F38" s="21">
        <f>IF(Notes!$B$3="Pay 1 Regular State Payment Budget",0,INDEX(Data[],MATCH($A38,Data[Dist],0),MATCH(F$4,Data[#Headers],0)))</f>
        <v>17906</v>
      </c>
      <c r="G38" s="21">
        <f>IF(OR(Notes!$B$3="Pay 1 Regular State Payment Budget",Notes!$B$3="Pay 2 Regular State Payment Budget"),0,INDEX(Data[],MATCH($A38,Data[Dist],0),MATCH(G$4,Data[#Headers],0)))</f>
        <v>0</v>
      </c>
      <c r="H38" s="21">
        <f>INDEX(Data[],MATCH($A38,Data[Dist],0),MATCH(H$4,Data[#Headers],0))</f>
        <v>4689779</v>
      </c>
    </row>
    <row r="39" spans="1:8" s="20" customFormat="1" ht="12.75" x14ac:dyDescent="0.2">
      <c r="A39" s="19" t="str">
        <f>Data!B35</f>
        <v>0720</v>
      </c>
      <c r="B39" s="20" t="str">
        <f>INDEX(Data[],MATCH($A39,Data[Dist],0),MATCH(B$4,Data[#Headers],0))</f>
        <v>Bondurant-Farrar</v>
      </c>
      <c r="C39" s="21">
        <f>INDEX(Data[],MATCH($A39,Data[Dist],0),MATCH(C$4,Data[#Headers],0))</f>
        <v>19290429</v>
      </c>
      <c r="D39" s="21">
        <f>INDEX(Data[],MATCH($A39,Data[Dist],0),MATCH(D$4,Data[#Headers],0))</f>
        <v>1708</v>
      </c>
      <c r="E39" s="21">
        <f>INDEX(Data[],MATCH($A39,Data[Dist],0),MATCH(E$4,Data[#Headers],0))</f>
        <v>10447</v>
      </c>
      <c r="F39" s="21">
        <f>IF(Notes!$B$3="Pay 1 Regular State Payment Budget",0,INDEX(Data[],MATCH($A39,Data[Dist],0),MATCH(F$4,Data[#Headers],0)))</f>
        <v>57664</v>
      </c>
      <c r="G39" s="21">
        <f>IF(OR(Notes!$B$3="Pay 1 Regular State Payment Budget",Notes!$B$3="Pay 2 Regular State Payment Budget"),0,INDEX(Data[],MATCH($A39,Data[Dist],0),MATCH(G$4,Data[#Headers],0)))</f>
        <v>0</v>
      </c>
      <c r="H39" s="21">
        <f>INDEX(Data[],MATCH($A39,Data[Dist],0),MATCH(H$4,Data[#Headers],0))</f>
        <v>19220610</v>
      </c>
    </row>
    <row r="40" spans="1:8" s="20" customFormat="1" ht="12.75" x14ac:dyDescent="0.2">
      <c r="A40" s="19" t="str">
        <f>Data!B36</f>
        <v>0729</v>
      </c>
      <c r="B40" s="20" t="str">
        <f>INDEX(Data[],MATCH($A40,Data[Dist],0),MATCH(B$4,Data[#Headers],0))</f>
        <v>Boone</v>
      </c>
      <c r="C40" s="21">
        <f>INDEX(Data[],MATCH($A40,Data[Dist],0),MATCH(C$4,Data[#Headers],0))</f>
        <v>16520445</v>
      </c>
      <c r="D40" s="21">
        <f>INDEX(Data[],MATCH($A40,Data[Dist],0),MATCH(D$4,Data[#Headers],0))</f>
        <v>1443</v>
      </c>
      <c r="E40" s="21">
        <f>INDEX(Data[],MATCH($A40,Data[Dist],0),MATCH(E$4,Data[#Headers],0))</f>
        <v>0</v>
      </c>
      <c r="F40" s="21">
        <f>IF(Notes!$B$3="Pay 1 Regular State Payment Budget",0,INDEX(Data[],MATCH($A40,Data[Dist],0),MATCH(F$4,Data[#Headers],0)))</f>
        <v>44966</v>
      </c>
      <c r="G40" s="21">
        <f>IF(OR(Notes!$B$3="Pay 1 Regular State Payment Budget",Notes!$B$3="Pay 2 Regular State Payment Budget"),0,INDEX(Data[],MATCH($A40,Data[Dist],0),MATCH(G$4,Data[#Headers],0)))</f>
        <v>0</v>
      </c>
      <c r="H40" s="21">
        <f>INDEX(Data[],MATCH($A40,Data[Dist],0),MATCH(H$4,Data[#Headers],0))</f>
        <v>16474036</v>
      </c>
    </row>
    <row r="41" spans="1:8" s="20" customFormat="1" ht="12.75" x14ac:dyDescent="0.2">
      <c r="A41" s="19" t="str">
        <f>Data!B37</f>
        <v>0747</v>
      </c>
      <c r="B41" s="20" t="str">
        <f>INDEX(Data[],MATCH($A41,Data[Dist],0),MATCH(B$4,Data[#Headers],0))</f>
        <v>Boyden-Hull</v>
      </c>
      <c r="C41" s="21">
        <f>INDEX(Data[],MATCH($A41,Data[Dist],0),MATCH(C$4,Data[#Headers],0))</f>
        <v>4440245</v>
      </c>
      <c r="D41" s="21">
        <f>INDEX(Data[],MATCH($A41,Data[Dist],0),MATCH(D$4,Data[#Headers],0))</f>
        <v>1028</v>
      </c>
      <c r="E41" s="21">
        <f>INDEX(Data[],MATCH($A41,Data[Dist],0),MATCH(E$4,Data[#Headers],0))</f>
        <v>0</v>
      </c>
      <c r="F41" s="21">
        <f>IF(Notes!$B$3="Pay 1 Regular State Payment Budget",0,INDEX(Data[],MATCH($A41,Data[Dist],0),MATCH(F$4,Data[#Headers],0)))</f>
        <v>12696</v>
      </c>
      <c r="G41" s="21">
        <f>IF(OR(Notes!$B$3="Pay 1 Regular State Payment Budget",Notes!$B$3="Pay 2 Regular State Payment Budget"),0,INDEX(Data[],MATCH($A41,Data[Dist],0),MATCH(G$4,Data[#Headers],0)))</f>
        <v>0</v>
      </c>
      <c r="H41" s="21">
        <f>INDEX(Data[],MATCH($A41,Data[Dist],0),MATCH(H$4,Data[#Headers],0))</f>
        <v>4426521</v>
      </c>
    </row>
    <row r="42" spans="1:8" s="20" customFormat="1" ht="12.75" x14ac:dyDescent="0.2">
      <c r="A42" s="19" t="str">
        <f>Data!B38</f>
        <v>0819</v>
      </c>
      <c r="B42" s="20" t="str">
        <f>INDEX(Data[],MATCH($A42,Data[Dist],0),MATCH(B$4,Data[#Headers],0))</f>
        <v>West Hancock</v>
      </c>
      <c r="C42" s="21">
        <f>INDEX(Data[],MATCH($A42,Data[Dist],0),MATCH(C$4,Data[#Headers],0))</f>
        <v>3718414</v>
      </c>
      <c r="D42" s="21">
        <f>INDEX(Data[],MATCH($A42,Data[Dist],0),MATCH(D$4,Data[#Headers],0))</f>
        <v>647</v>
      </c>
      <c r="E42" s="21">
        <f>INDEX(Data[],MATCH($A42,Data[Dist],0),MATCH(E$4,Data[#Headers],0))</f>
        <v>0</v>
      </c>
      <c r="F42" s="21">
        <f>IF(Notes!$B$3="Pay 1 Regular State Payment Budget",0,INDEX(Data[],MATCH($A42,Data[Dist],0),MATCH(F$4,Data[#Headers],0)))</f>
        <v>13076</v>
      </c>
      <c r="G42" s="21">
        <f>IF(OR(Notes!$B$3="Pay 1 Regular State Payment Budget",Notes!$B$3="Pay 2 Regular State Payment Budget"),0,INDEX(Data[],MATCH($A42,Data[Dist],0),MATCH(G$4,Data[#Headers],0)))</f>
        <v>0</v>
      </c>
      <c r="H42" s="21">
        <f>INDEX(Data[],MATCH($A42,Data[Dist],0),MATCH(H$4,Data[#Headers],0))</f>
        <v>3704691</v>
      </c>
    </row>
    <row r="43" spans="1:8" s="20" customFormat="1" ht="12.75" x14ac:dyDescent="0.2">
      <c r="A43" s="19" t="str">
        <f>Data!B39</f>
        <v>0846</v>
      </c>
      <c r="B43" s="20" t="str">
        <f>INDEX(Data[],MATCH($A43,Data[Dist],0),MATCH(B$4,Data[#Headers],0))</f>
        <v>Brooklyn-Guernsey-Malcom</v>
      </c>
      <c r="C43" s="21">
        <f>INDEX(Data[],MATCH($A43,Data[Dist],0),MATCH(C$4,Data[#Headers],0))</f>
        <v>3643890</v>
      </c>
      <c r="D43" s="21">
        <f>INDEX(Data[],MATCH($A43,Data[Dist],0),MATCH(D$4,Data[#Headers],0))</f>
        <v>481</v>
      </c>
      <c r="E43" s="21">
        <f>INDEX(Data[],MATCH($A43,Data[Dist],0),MATCH(E$4,Data[#Headers],0))</f>
        <v>0</v>
      </c>
      <c r="F43" s="21">
        <f>IF(Notes!$B$3="Pay 1 Regular State Payment Budget",0,INDEX(Data[],MATCH($A43,Data[Dist],0),MATCH(F$4,Data[#Headers],0)))</f>
        <v>11545</v>
      </c>
      <c r="G43" s="21">
        <f>IF(OR(Notes!$B$3="Pay 1 Regular State Payment Budget",Notes!$B$3="Pay 2 Regular State Payment Budget"),0,INDEX(Data[],MATCH($A43,Data[Dist],0),MATCH(G$4,Data[#Headers],0)))</f>
        <v>0</v>
      </c>
      <c r="H43" s="21">
        <f>INDEX(Data[],MATCH($A43,Data[Dist],0),MATCH(H$4,Data[#Headers],0))</f>
        <v>3631864</v>
      </c>
    </row>
    <row r="44" spans="1:8" s="20" customFormat="1" ht="12.75" x14ac:dyDescent="0.2">
      <c r="A44" s="19" t="str">
        <f>Data!B40</f>
        <v>0873</v>
      </c>
      <c r="B44" s="20" t="str">
        <f>INDEX(Data[],MATCH($A44,Data[Dist],0),MATCH(B$4,Data[#Headers],0))</f>
        <v>North Iowa</v>
      </c>
      <c r="C44" s="21">
        <f>INDEX(Data[],MATCH($A44,Data[Dist],0),MATCH(C$4,Data[#Headers],0))</f>
        <v>2436481</v>
      </c>
      <c r="D44" s="21">
        <f>INDEX(Data[],MATCH($A44,Data[Dist],0),MATCH(D$4,Data[#Headers],0))</f>
        <v>216</v>
      </c>
      <c r="E44" s="21">
        <f>INDEX(Data[],MATCH($A44,Data[Dist],0),MATCH(E$4,Data[#Headers],0))</f>
        <v>0</v>
      </c>
      <c r="F44" s="21">
        <f>IF(Notes!$B$3="Pay 1 Regular State Payment Budget",0,INDEX(Data[],MATCH($A44,Data[Dist],0),MATCH(F$4,Data[#Headers],0)))</f>
        <v>10630</v>
      </c>
      <c r="G44" s="21">
        <f>IF(OR(Notes!$B$3="Pay 1 Regular State Payment Budget",Notes!$B$3="Pay 2 Regular State Payment Budget"),0,INDEX(Data[],MATCH($A44,Data[Dist],0),MATCH(G$4,Data[#Headers],0)))</f>
        <v>0</v>
      </c>
      <c r="H44" s="21">
        <f>INDEX(Data[],MATCH($A44,Data[Dist],0),MATCH(H$4,Data[#Headers],0))</f>
        <v>2425635</v>
      </c>
    </row>
    <row r="45" spans="1:8" s="20" customFormat="1" ht="12.75" x14ac:dyDescent="0.2">
      <c r="A45" s="19" t="str">
        <f>Data!B41</f>
        <v>0882</v>
      </c>
      <c r="B45" s="20" t="str">
        <f>INDEX(Data[],MATCH($A45,Data[Dist],0),MATCH(B$4,Data[#Headers],0))</f>
        <v>Burlington</v>
      </c>
      <c r="C45" s="21">
        <f>INDEX(Data[],MATCH($A45,Data[Dist],0),MATCH(C$4,Data[#Headers],0))</f>
        <v>32213305</v>
      </c>
      <c r="D45" s="21">
        <f>INDEX(Data[],MATCH($A45,Data[Dist],0),MATCH(D$4,Data[#Headers],0))</f>
        <v>2521</v>
      </c>
      <c r="E45" s="21">
        <f>INDEX(Data[],MATCH($A45,Data[Dist],0),MATCH(E$4,Data[#Headers],0))</f>
        <v>6087</v>
      </c>
      <c r="F45" s="21">
        <f>IF(Notes!$B$3="Pay 1 Regular State Payment Budget",0,INDEX(Data[],MATCH($A45,Data[Dist],0),MATCH(F$4,Data[#Headers],0)))</f>
        <v>85522</v>
      </c>
      <c r="G45" s="21">
        <f>IF(OR(Notes!$B$3="Pay 1 Regular State Payment Budget",Notes!$B$3="Pay 2 Regular State Payment Budget"),0,INDEX(Data[],MATCH($A45,Data[Dist],0),MATCH(G$4,Data[#Headers],0)))</f>
        <v>0</v>
      </c>
      <c r="H45" s="21">
        <f>INDEX(Data[],MATCH($A45,Data[Dist],0),MATCH(H$4,Data[#Headers],0))</f>
        <v>32119175</v>
      </c>
    </row>
    <row r="46" spans="1:8" s="20" customFormat="1" ht="12.75" x14ac:dyDescent="0.2">
      <c r="A46" s="19" t="str">
        <f>Data!B42</f>
        <v>0914</v>
      </c>
      <c r="B46" s="20" t="str">
        <f>INDEX(Data[],MATCH($A46,Data[Dist],0),MATCH(B$4,Data[#Headers],0))</f>
        <v>CAM</v>
      </c>
      <c r="C46" s="21">
        <f>INDEX(Data[],MATCH($A46,Data[Dist],0),MATCH(C$4,Data[#Headers],0))</f>
        <v>2144964</v>
      </c>
      <c r="D46" s="21">
        <f>INDEX(Data[],MATCH($A46,Data[Dist],0),MATCH(D$4,Data[#Headers],0))</f>
        <v>365</v>
      </c>
      <c r="E46" s="21">
        <f>INDEX(Data[],MATCH($A46,Data[Dist],0),MATCH(E$4,Data[#Headers],0))</f>
        <v>0</v>
      </c>
      <c r="F46" s="21">
        <f>IF(Notes!$B$3="Pay 1 Regular State Payment Budget",0,INDEX(Data[],MATCH($A46,Data[Dist],0),MATCH(F$4,Data[#Headers],0)))</f>
        <v>10083</v>
      </c>
      <c r="G46" s="21">
        <f>IF(OR(Notes!$B$3="Pay 1 Regular State Payment Budget",Notes!$B$3="Pay 2 Regular State Payment Budget"),0,INDEX(Data[],MATCH($A46,Data[Dist],0),MATCH(G$4,Data[#Headers],0)))</f>
        <v>0</v>
      </c>
      <c r="H46" s="21">
        <f>INDEX(Data[],MATCH($A46,Data[Dist],0),MATCH(H$4,Data[#Headers],0))</f>
        <v>2134516</v>
      </c>
    </row>
    <row r="47" spans="1:8" s="20" customFormat="1" ht="12.75" x14ac:dyDescent="0.2">
      <c r="A47" s="19" t="str">
        <f>Data!B43</f>
        <v>0916</v>
      </c>
      <c r="B47" s="20" t="str">
        <f>INDEX(Data[],MATCH($A47,Data[Dist],0),MATCH(B$4,Data[#Headers],0))</f>
        <v>CAL</v>
      </c>
      <c r="C47" s="21">
        <f>INDEX(Data[],MATCH($A47,Data[Dist],0),MATCH(C$4,Data[#Headers],0))</f>
        <v>2093380</v>
      </c>
      <c r="D47" s="21">
        <f>INDEX(Data[],MATCH($A47,Data[Dist],0),MATCH(D$4,Data[#Headers],0))</f>
        <v>265</v>
      </c>
      <c r="E47" s="21">
        <f>INDEX(Data[],MATCH($A47,Data[Dist],0),MATCH(E$4,Data[#Headers],0))</f>
        <v>0</v>
      </c>
      <c r="F47" s="21">
        <f>IF(Notes!$B$3="Pay 1 Regular State Payment Budget",0,INDEX(Data[],MATCH($A47,Data[Dist],0),MATCH(F$4,Data[#Headers],0)))</f>
        <v>6418</v>
      </c>
      <c r="G47" s="21">
        <f>IF(OR(Notes!$B$3="Pay 1 Regular State Payment Budget",Notes!$B$3="Pay 2 Regular State Payment Budget"),0,INDEX(Data[],MATCH($A47,Data[Dist],0),MATCH(G$4,Data[#Headers],0)))</f>
        <v>0</v>
      </c>
      <c r="H47" s="21">
        <f>INDEX(Data[],MATCH($A47,Data[Dist],0),MATCH(H$4,Data[#Headers],0))</f>
        <v>2086697</v>
      </c>
    </row>
    <row r="48" spans="1:8" s="20" customFormat="1" ht="12.75" x14ac:dyDescent="0.2">
      <c r="A48" s="19" t="str">
        <f>Data!B44</f>
        <v>0918</v>
      </c>
      <c r="B48" s="20" t="str">
        <f>INDEX(Data[],MATCH($A48,Data[Dist],0),MATCH(B$4,Data[#Headers],0))</f>
        <v>Calamus-Wheatland</v>
      </c>
      <c r="C48" s="21">
        <f>INDEX(Data[],MATCH($A48,Data[Dist],0),MATCH(C$4,Data[#Headers],0))</f>
        <v>2550886</v>
      </c>
      <c r="D48" s="21">
        <f>INDEX(Data[],MATCH($A48,Data[Dist],0),MATCH(D$4,Data[#Headers],0))</f>
        <v>365</v>
      </c>
      <c r="E48" s="21">
        <f>INDEX(Data[],MATCH($A48,Data[Dist],0),MATCH(E$4,Data[#Headers],0))</f>
        <v>0</v>
      </c>
      <c r="F48" s="21">
        <f>IF(Notes!$B$3="Pay 1 Regular State Payment Budget",0,INDEX(Data[],MATCH($A48,Data[Dist],0),MATCH(F$4,Data[#Headers],0)))</f>
        <v>8161</v>
      </c>
      <c r="G48" s="21">
        <f>IF(OR(Notes!$B$3="Pay 1 Regular State Payment Budget",Notes!$B$3="Pay 2 Regular State Payment Budget"),0,INDEX(Data[],MATCH($A48,Data[Dist],0),MATCH(G$4,Data[#Headers],0)))</f>
        <v>0</v>
      </c>
      <c r="H48" s="21">
        <f>INDEX(Data[],MATCH($A48,Data[Dist],0),MATCH(H$4,Data[#Headers],0))</f>
        <v>2542360</v>
      </c>
    </row>
    <row r="49" spans="1:8" s="20" customFormat="1" ht="12.75" x14ac:dyDescent="0.2">
      <c r="A49" s="19" t="str">
        <f>Data!B45</f>
        <v>0936</v>
      </c>
      <c r="B49" s="20" t="str">
        <f>INDEX(Data[],MATCH($A49,Data[Dist],0),MATCH(B$4,Data[#Headers],0))</f>
        <v>Camanche</v>
      </c>
      <c r="C49" s="21">
        <f>INDEX(Data[],MATCH($A49,Data[Dist],0),MATCH(C$4,Data[#Headers],0))</f>
        <v>6095551</v>
      </c>
      <c r="D49" s="21">
        <f>INDEX(Data[],MATCH($A49,Data[Dist],0),MATCH(D$4,Data[#Headers],0))</f>
        <v>647</v>
      </c>
      <c r="E49" s="21">
        <f>INDEX(Data[],MATCH($A49,Data[Dist],0),MATCH(E$4,Data[#Headers],0))</f>
        <v>0</v>
      </c>
      <c r="F49" s="21">
        <f>IF(Notes!$B$3="Pay 1 Regular State Payment Budget",0,INDEX(Data[],MATCH($A49,Data[Dist],0),MATCH(F$4,Data[#Headers],0)))</f>
        <v>18523</v>
      </c>
      <c r="G49" s="21">
        <f>IF(OR(Notes!$B$3="Pay 1 Regular State Payment Budget",Notes!$B$3="Pay 2 Regular State Payment Budget"),0,INDEX(Data[],MATCH($A49,Data[Dist],0),MATCH(G$4,Data[#Headers],0)))</f>
        <v>0</v>
      </c>
      <c r="H49" s="21">
        <f>INDEX(Data[],MATCH($A49,Data[Dist],0),MATCH(H$4,Data[#Headers],0))</f>
        <v>6076381</v>
      </c>
    </row>
    <row r="50" spans="1:8" s="20" customFormat="1" ht="12.75" x14ac:dyDescent="0.2">
      <c r="A50" s="19" t="str">
        <f>Data!B46</f>
        <v>0977</v>
      </c>
      <c r="B50" s="20" t="str">
        <f>INDEX(Data[],MATCH($A50,Data[Dist],0),MATCH(B$4,Data[#Headers],0))</f>
        <v>Cardinal</v>
      </c>
      <c r="C50" s="21">
        <f>INDEX(Data[],MATCH($A50,Data[Dist],0),MATCH(C$4,Data[#Headers],0))</f>
        <v>4794430</v>
      </c>
      <c r="D50" s="21">
        <f>INDEX(Data[],MATCH($A50,Data[Dist],0),MATCH(D$4,Data[#Headers],0))</f>
        <v>1144</v>
      </c>
      <c r="E50" s="21">
        <f>INDEX(Data[],MATCH($A50,Data[Dist],0),MATCH(E$4,Data[#Headers],0))</f>
        <v>0</v>
      </c>
      <c r="F50" s="21">
        <f>IF(Notes!$B$3="Pay 1 Regular State Payment Budget",0,INDEX(Data[],MATCH($A50,Data[Dist],0),MATCH(F$4,Data[#Headers],0)))</f>
        <v>12171</v>
      </c>
      <c r="G50" s="21">
        <f>IF(OR(Notes!$B$3="Pay 1 Regular State Payment Budget",Notes!$B$3="Pay 2 Regular State Payment Budget"),0,INDEX(Data[],MATCH($A50,Data[Dist],0),MATCH(G$4,Data[#Headers],0)))</f>
        <v>0</v>
      </c>
      <c r="H50" s="21">
        <f>INDEX(Data[],MATCH($A50,Data[Dist],0),MATCH(H$4,Data[#Headers],0))</f>
        <v>4781115</v>
      </c>
    </row>
    <row r="51" spans="1:8" s="20" customFormat="1" ht="12.75" x14ac:dyDescent="0.2">
      <c r="A51" s="19" t="str">
        <f>Data!B47</f>
        <v>0981</v>
      </c>
      <c r="B51" s="20" t="str">
        <f>INDEX(Data[],MATCH($A51,Data[Dist],0),MATCH(B$4,Data[#Headers],0))</f>
        <v>Carlisle</v>
      </c>
      <c r="C51" s="21">
        <f>INDEX(Data[],MATCH($A51,Data[Dist],0),MATCH(C$4,Data[#Headers],0))</f>
        <v>16876219</v>
      </c>
      <c r="D51" s="21">
        <f>INDEX(Data[],MATCH($A51,Data[Dist],0),MATCH(D$4,Data[#Headers],0))</f>
        <v>1542</v>
      </c>
      <c r="E51" s="21">
        <f>INDEX(Data[],MATCH($A51,Data[Dist],0),MATCH(E$4,Data[#Headers],0))</f>
        <v>6799</v>
      </c>
      <c r="F51" s="21">
        <f>IF(Notes!$B$3="Pay 1 Regular State Payment Budget",0,INDEX(Data[],MATCH($A51,Data[Dist],0),MATCH(F$4,Data[#Headers],0)))</f>
        <v>44709</v>
      </c>
      <c r="G51" s="21">
        <f>IF(OR(Notes!$B$3="Pay 1 Regular State Payment Budget",Notes!$B$3="Pay 2 Regular State Payment Budget"),0,INDEX(Data[],MATCH($A51,Data[Dist],0),MATCH(G$4,Data[#Headers],0)))</f>
        <v>0</v>
      </c>
      <c r="H51" s="21">
        <f>INDEX(Data[],MATCH($A51,Data[Dist],0),MATCH(H$4,Data[#Headers],0))</f>
        <v>16823169</v>
      </c>
    </row>
    <row r="52" spans="1:8" s="20" customFormat="1" ht="12.75" x14ac:dyDescent="0.2">
      <c r="A52" s="19" t="str">
        <f>Data!B48</f>
        <v>0999</v>
      </c>
      <c r="B52" s="20" t="str">
        <f>INDEX(Data[],MATCH($A52,Data[Dist],0),MATCH(B$4,Data[#Headers],0))</f>
        <v>Carroll</v>
      </c>
      <c r="C52" s="21">
        <f>INDEX(Data[],MATCH($A52,Data[Dist],0),MATCH(C$4,Data[#Headers],0))</f>
        <v>10508166</v>
      </c>
      <c r="D52" s="21">
        <f>INDEX(Data[],MATCH($A52,Data[Dist],0),MATCH(D$4,Data[#Headers],0))</f>
        <v>2687</v>
      </c>
      <c r="E52" s="21">
        <f>INDEX(Data[],MATCH($A52,Data[Dist],0),MATCH(E$4,Data[#Headers],0))</f>
        <v>0</v>
      </c>
      <c r="F52" s="21">
        <f>IF(Notes!$B$3="Pay 1 Regular State Payment Budget",0,INDEX(Data[],MATCH($A52,Data[Dist],0),MATCH(F$4,Data[#Headers],0)))</f>
        <v>36350</v>
      </c>
      <c r="G52" s="21">
        <f>IF(OR(Notes!$B$3="Pay 1 Regular State Payment Budget",Notes!$B$3="Pay 2 Regular State Payment Budget"),0,INDEX(Data[],MATCH($A52,Data[Dist],0),MATCH(G$4,Data[#Headers],0)))</f>
        <v>0</v>
      </c>
      <c r="H52" s="21">
        <f>INDEX(Data[],MATCH($A52,Data[Dist],0),MATCH(H$4,Data[#Headers],0))</f>
        <v>10469129</v>
      </c>
    </row>
    <row r="53" spans="1:8" s="20" customFormat="1" ht="12.75" x14ac:dyDescent="0.2">
      <c r="A53" s="19" t="str">
        <f>Data!B49</f>
        <v>1044</v>
      </c>
      <c r="B53" s="20" t="str">
        <f>INDEX(Data[],MATCH($A53,Data[Dist],0),MATCH(B$4,Data[#Headers],0))</f>
        <v>Cedar Falls</v>
      </c>
      <c r="C53" s="21">
        <f>INDEX(Data[],MATCH($A53,Data[Dist],0),MATCH(C$4,Data[#Headers],0))</f>
        <v>40686930</v>
      </c>
      <c r="D53" s="21">
        <f>INDEX(Data[],MATCH($A53,Data[Dist],0),MATCH(D$4,Data[#Headers],0))</f>
        <v>3035</v>
      </c>
      <c r="E53" s="21">
        <f>INDEX(Data[],MATCH($A53,Data[Dist],0),MATCH(E$4,Data[#Headers],0))</f>
        <v>12606</v>
      </c>
      <c r="F53" s="21">
        <f>IF(Notes!$B$3="Pay 1 Regular State Payment Budget",0,INDEX(Data[],MATCH($A53,Data[Dist],0),MATCH(F$4,Data[#Headers],0)))</f>
        <v>124460</v>
      </c>
      <c r="G53" s="21">
        <f>IF(OR(Notes!$B$3="Pay 1 Regular State Payment Budget",Notes!$B$3="Pay 2 Regular State Payment Budget"),0,INDEX(Data[],MATCH($A53,Data[Dist],0),MATCH(G$4,Data[#Headers],0)))</f>
        <v>0</v>
      </c>
      <c r="H53" s="21">
        <f>INDEX(Data[],MATCH($A53,Data[Dist],0),MATCH(H$4,Data[#Headers],0))</f>
        <v>40546829</v>
      </c>
    </row>
    <row r="54" spans="1:8" s="20" customFormat="1" ht="12.75" x14ac:dyDescent="0.2">
      <c r="A54" s="19" t="str">
        <f>Data!B50</f>
        <v>1053</v>
      </c>
      <c r="B54" s="20" t="str">
        <f>INDEX(Data[],MATCH($A54,Data[Dist],0),MATCH(B$4,Data[#Headers],0))</f>
        <v>Cedar Rapids</v>
      </c>
      <c r="C54" s="21">
        <f>INDEX(Data[],MATCH($A54,Data[Dist],0),MATCH(C$4,Data[#Headers],0))</f>
        <v>125622443</v>
      </c>
      <c r="D54" s="21">
        <f>INDEX(Data[],MATCH($A54,Data[Dist],0),MATCH(D$4,Data[#Headers],0))</f>
        <v>11079</v>
      </c>
      <c r="E54" s="21">
        <f>INDEX(Data[],MATCH($A54,Data[Dist],0),MATCH(E$4,Data[#Headers],0))</f>
        <v>24737</v>
      </c>
      <c r="F54" s="21">
        <f>IF(Notes!$B$3="Pay 1 Regular State Payment Budget",0,INDEX(Data[],MATCH($A54,Data[Dist],0),MATCH(F$4,Data[#Headers],0)))</f>
        <v>363556</v>
      </c>
      <c r="G54" s="21">
        <f>IF(OR(Notes!$B$3="Pay 1 Regular State Payment Budget",Notes!$B$3="Pay 2 Regular State Payment Budget"),0,INDEX(Data[],MATCH($A54,Data[Dist],0),MATCH(G$4,Data[#Headers],0)))</f>
        <v>0</v>
      </c>
      <c r="H54" s="21">
        <f>INDEX(Data[],MATCH($A54,Data[Dist],0),MATCH(H$4,Data[#Headers],0))</f>
        <v>125223071</v>
      </c>
    </row>
    <row r="55" spans="1:8" s="20" customFormat="1" ht="12.75" x14ac:dyDescent="0.2">
      <c r="A55" s="19" t="str">
        <f>Data!B51</f>
        <v>1062</v>
      </c>
      <c r="B55" s="20" t="str">
        <f>INDEX(Data[],MATCH($A55,Data[Dist],0),MATCH(B$4,Data[#Headers],0))</f>
        <v>Center Point-Urbana</v>
      </c>
      <c r="C55" s="21">
        <f>INDEX(Data[],MATCH($A55,Data[Dist],0),MATCH(C$4,Data[#Headers],0))</f>
        <v>9112361</v>
      </c>
      <c r="D55" s="21">
        <f>INDEX(Data[],MATCH($A55,Data[Dist],0),MATCH(D$4,Data[#Headers],0))</f>
        <v>1244</v>
      </c>
      <c r="E55" s="21">
        <f>INDEX(Data[],MATCH($A55,Data[Dist],0),MATCH(E$4,Data[#Headers],0))</f>
        <v>0</v>
      </c>
      <c r="F55" s="21">
        <f>IF(Notes!$B$3="Pay 1 Regular State Payment Budget",0,INDEX(Data[],MATCH($A55,Data[Dist],0),MATCH(F$4,Data[#Headers],0)))</f>
        <v>26450</v>
      </c>
      <c r="G55" s="21">
        <f>IF(OR(Notes!$B$3="Pay 1 Regular State Payment Budget",Notes!$B$3="Pay 2 Regular State Payment Budget"),0,INDEX(Data[],MATCH($A55,Data[Dist],0),MATCH(G$4,Data[#Headers],0)))</f>
        <v>0</v>
      </c>
      <c r="H55" s="21">
        <f>INDEX(Data[],MATCH($A55,Data[Dist],0),MATCH(H$4,Data[#Headers],0))</f>
        <v>9084667</v>
      </c>
    </row>
    <row r="56" spans="1:8" s="20" customFormat="1" ht="12.75" x14ac:dyDescent="0.2">
      <c r="A56" s="19" t="str">
        <f>Data!B52</f>
        <v>1071</v>
      </c>
      <c r="B56" s="20" t="str">
        <f>INDEX(Data[],MATCH($A56,Data[Dist],0),MATCH(B$4,Data[#Headers],0))</f>
        <v>Centerville</v>
      </c>
      <c r="C56" s="21">
        <f>INDEX(Data[],MATCH($A56,Data[Dist],0),MATCH(C$4,Data[#Headers],0))</f>
        <v>11501368</v>
      </c>
      <c r="D56" s="21">
        <f>INDEX(Data[],MATCH($A56,Data[Dist],0),MATCH(D$4,Data[#Headers],0))</f>
        <v>962</v>
      </c>
      <c r="E56" s="21">
        <f>INDEX(Data[],MATCH($A56,Data[Dist],0),MATCH(E$4,Data[#Headers],0))</f>
        <v>0</v>
      </c>
      <c r="F56" s="21">
        <f>IF(Notes!$B$3="Pay 1 Regular State Payment Budget",0,INDEX(Data[],MATCH($A56,Data[Dist],0),MATCH(F$4,Data[#Headers],0)))</f>
        <v>29971</v>
      </c>
      <c r="G56" s="21">
        <f>IF(OR(Notes!$B$3="Pay 1 Regular State Payment Budget",Notes!$B$3="Pay 2 Regular State Payment Budget"),0,INDEX(Data[],MATCH($A56,Data[Dist],0),MATCH(G$4,Data[#Headers],0)))</f>
        <v>0</v>
      </c>
      <c r="H56" s="21">
        <f>INDEX(Data[],MATCH($A56,Data[Dist],0),MATCH(H$4,Data[#Headers],0))</f>
        <v>11470435</v>
      </c>
    </row>
    <row r="57" spans="1:8" s="20" customFormat="1" ht="12.75" x14ac:dyDescent="0.2">
      <c r="A57" s="19" t="str">
        <f>Data!B53</f>
        <v>1079</v>
      </c>
      <c r="B57" s="20" t="str">
        <f>INDEX(Data[],MATCH($A57,Data[Dist],0),MATCH(B$4,Data[#Headers],0))</f>
        <v>Central Lee</v>
      </c>
      <c r="C57" s="21">
        <f>INDEX(Data[],MATCH($A57,Data[Dist],0),MATCH(C$4,Data[#Headers],0))</f>
        <v>5598207</v>
      </c>
      <c r="D57" s="21">
        <f>INDEX(Data[],MATCH($A57,Data[Dist],0),MATCH(D$4,Data[#Headers],0))</f>
        <v>1211</v>
      </c>
      <c r="E57" s="21">
        <f>INDEX(Data[],MATCH($A57,Data[Dist],0),MATCH(E$4,Data[#Headers],0))</f>
        <v>0</v>
      </c>
      <c r="F57" s="21">
        <f>IF(Notes!$B$3="Pay 1 Regular State Payment Budget",0,INDEX(Data[],MATCH($A57,Data[Dist],0),MATCH(F$4,Data[#Headers],0)))</f>
        <v>18280</v>
      </c>
      <c r="G57" s="21">
        <f>IF(OR(Notes!$B$3="Pay 1 Regular State Payment Budget",Notes!$B$3="Pay 2 Regular State Payment Budget"),0,INDEX(Data[],MATCH($A57,Data[Dist],0),MATCH(G$4,Data[#Headers],0)))</f>
        <v>0</v>
      </c>
      <c r="H57" s="21">
        <f>INDEX(Data[],MATCH($A57,Data[Dist],0),MATCH(H$4,Data[#Headers],0))</f>
        <v>5578716</v>
      </c>
    </row>
    <row r="58" spans="1:8" s="20" customFormat="1" ht="12.75" x14ac:dyDescent="0.2">
      <c r="A58" s="19" t="str">
        <f>Data!B54</f>
        <v>1080</v>
      </c>
      <c r="B58" s="20" t="str">
        <f>INDEX(Data[],MATCH($A58,Data[Dist],0),MATCH(B$4,Data[#Headers],0))</f>
        <v>Central Clayton</v>
      </c>
      <c r="C58" s="21">
        <f>INDEX(Data[],MATCH($A58,Data[Dist],0),MATCH(C$4,Data[#Headers],0))</f>
        <v>3545829</v>
      </c>
      <c r="D58" s="21">
        <f>INDEX(Data[],MATCH($A58,Data[Dist],0),MATCH(D$4,Data[#Headers],0))</f>
        <v>381</v>
      </c>
      <c r="E58" s="21">
        <f>INDEX(Data[],MATCH($A58,Data[Dist],0),MATCH(E$4,Data[#Headers],0))</f>
        <v>0</v>
      </c>
      <c r="F58" s="21">
        <f>IF(Notes!$B$3="Pay 1 Regular State Payment Budget",0,INDEX(Data[],MATCH($A58,Data[Dist],0),MATCH(F$4,Data[#Headers],0)))</f>
        <v>10526</v>
      </c>
      <c r="G58" s="21">
        <f>IF(OR(Notes!$B$3="Pay 1 Regular State Payment Budget",Notes!$B$3="Pay 2 Regular State Payment Budget"),0,INDEX(Data[],MATCH($A58,Data[Dist],0),MATCH(G$4,Data[#Headers],0)))</f>
        <v>0</v>
      </c>
      <c r="H58" s="21">
        <f>INDEX(Data[],MATCH($A58,Data[Dist],0),MATCH(H$4,Data[#Headers],0))</f>
        <v>3534922</v>
      </c>
    </row>
    <row r="59" spans="1:8" s="20" customFormat="1" ht="12.75" x14ac:dyDescent="0.2">
      <c r="A59" s="19" t="str">
        <f>Data!B55</f>
        <v>1082</v>
      </c>
      <c r="B59" s="20" t="str">
        <f>INDEX(Data[],MATCH($A59,Data[Dist],0),MATCH(B$4,Data[#Headers],0))</f>
        <v>Central De Witt</v>
      </c>
      <c r="C59" s="21">
        <f>INDEX(Data[],MATCH($A59,Data[Dist],0),MATCH(C$4,Data[#Headers],0))</f>
        <v>11138728</v>
      </c>
      <c r="D59" s="21">
        <f>INDEX(Data[],MATCH($A59,Data[Dist],0),MATCH(D$4,Data[#Headers],0))</f>
        <v>1609</v>
      </c>
      <c r="E59" s="21">
        <f>INDEX(Data[],MATCH($A59,Data[Dist],0),MATCH(E$4,Data[#Headers],0))</f>
        <v>0</v>
      </c>
      <c r="F59" s="21">
        <f>IF(Notes!$B$3="Pay 1 Regular State Payment Budget",0,INDEX(Data[],MATCH($A59,Data[Dist],0),MATCH(F$4,Data[#Headers],0)))</f>
        <v>33172</v>
      </c>
      <c r="G59" s="21">
        <f>IF(OR(Notes!$B$3="Pay 1 Regular State Payment Budget",Notes!$B$3="Pay 2 Regular State Payment Budget"),0,INDEX(Data[],MATCH($A59,Data[Dist],0),MATCH(G$4,Data[#Headers],0)))</f>
        <v>0</v>
      </c>
      <c r="H59" s="21">
        <f>INDEX(Data[],MATCH($A59,Data[Dist],0),MATCH(H$4,Data[#Headers],0))</f>
        <v>11103947</v>
      </c>
    </row>
    <row r="60" spans="1:8" s="20" customFormat="1" ht="12.75" x14ac:dyDescent="0.2">
      <c r="A60" s="19" t="str">
        <f>Data!B56</f>
        <v>1089</v>
      </c>
      <c r="B60" s="20" t="str">
        <f>INDEX(Data[],MATCH($A60,Data[Dist],0),MATCH(B$4,Data[#Headers],0))</f>
        <v>Central City</v>
      </c>
      <c r="C60" s="21">
        <f>INDEX(Data[],MATCH($A60,Data[Dist],0),MATCH(C$4,Data[#Headers],0))</f>
        <v>3292026</v>
      </c>
      <c r="D60" s="21">
        <f>INDEX(Data[],MATCH($A60,Data[Dist],0),MATCH(D$4,Data[#Headers],0))</f>
        <v>299</v>
      </c>
      <c r="E60" s="21">
        <f>INDEX(Data[],MATCH($A60,Data[Dist],0),MATCH(E$4,Data[#Headers],0))</f>
        <v>0</v>
      </c>
      <c r="F60" s="21">
        <f>IF(Notes!$B$3="Pay 1 Regular State Payment Budget",0,INDEX(Data[],MATCH($A60,Data[Dist],0),MATCH(F$4,Data[#Headers],0)))</f>
        <v>9481</v>
      </c>
      <c r="G60" s="21">
        <f>IF(OR(Notes!$B$3="Pay 1 Regular State Payment Budget",Notes!$B$3="Pay 2 Regular State Payment Budget"),0,INDEX(Data[],MATCH($A60,Data[Dist],0),MATCH(G$4,Data[#Headers],0)))</f>
        <v>0</v>
      </c>
      <c r="H60" s="21">
        <f>INDEX(Data[],MATCH($A60,Data[Dist],0),MATCH(H$4,Data[#Headers],0))</f>
        <v>3282246</v>
      </c>
    </row>
    <row r="61" spans="1:8" s="20" customFormat="1" ht="12.75" x14ac:dyDescent="0.2">
      <c r="A61" s="19" t="str">
        <f>Data!B57</f>
        <v>1093</v>
      </c>
      <c r="B61" s="20" t="str">
        <f>INDEX(Data[],MATCH($A61,Data[Dist],0),MATCH(B$4,Data[#Headers],0))</f>
        <v>Central Decatur</v>
      </c>
      <c r="C61" s="21">
        <f>INDEX(Data[],MATCH($A61,Data[Dist],0),MATCH(C$4,Data[#Headers],0))</f>
        <v>5838028</v>
      </c>
      <c r="D61" s="21">
        <f>INDEX(Data[],MATCH($A61,Data[Dist],0),MATCH(D$4,Data[#Headers],0))</f>
        <v>415</v>
      </c>
      <c r="E61" s="21">
        <f>INDEX(Data[],MATCH($A61,Data[Dist],0),MATCH(E$4,Data[#Headers],0))</f>
        <v>0</v>
      </c>
      <c r="F61" s="21">
        <f>IF(Notes!$B$3="Pay 1 Regular State Payment Budget",0,INDEX(Data[],MATCH($A61,Data[Dist],0),MATCH(F$4,Data[#Headers],0)))</f>
        <v>14245</v>
      </c>
      <c r="G61" s="21">
        <f>IF(OR(Notes!$B$3="Pay 1 Regular State Payment Budget",Notes!$B$3="Pay 2 Regular State Payment Budget"),0,INDEX(Data[],MATCH($A61,Data[Dist],0),MATCH(G$4,Data[#Headers],0)))</f>
        <v>0</v>
      </c>
      <c r="H61" s="21">
        <f>INDEX(Data[],MATCH($A61,Data[Dist],0),MATCH(H$4,Data[#Headers],0))</f>
        <v>5823368</v>
      </c>
    </row>
    <row r="62" spans="1:8" s="20" customFormat="1" ht="12.75" x14ac:dyDescent="0.2">
      <c r="A62" s="19" t="str">
        <f>Data!B58</f>
        <v>1095</v>
      </c>
      <c r="B62" s="20" t="str">
        <f>INDEX(Data[],MATCH($A62,Data[Dist],0),MATCH(B$4,Data[#Headers],0))</f>
        <v>Central Lyon</v>
      </c>
      <c r="C62" s="21">
        <f>INDEX(Data[],MATCH($A62,Data[Dist],0),MATCH(C$4,Data[#Headers],0))</f>
        <v>5566699</v>
      </c>
      <c r="D62" s="21">
        <f>INDEX(Data[],MATCH($A62,Data[Dist],0),MATCH(D$4,Data[#Headers],0))</f>
        <v>713</v>
      </c>
      <c r="E62" s="21">
        <f>INDEX(Data[],MATCH($A62,Data[Dist],0),MATCH(E$4,Data[#Headers],0))</f>
        <v>0</v>
      </c>
      <c r="F62" s="21">
        <f>IF(Notes!$B$3="Pay 1 Regular State Payment Budget",0,INDEX(Data[],MATCH($A62,Data[Dist],0),MATCH(F$4,Data[#Headers],0)))</f>
        <v>17106</v>
      </c>
      <c r="G62" s="21">
        <f>IF(OR(Notes!$B$3="Pay 1 Regular State Payment Budget",Notes!$B$3="Pay 2 Regular State Payment Budget"),0,INDEX(Data[],MATCH($A62,Data[Dist],0),MATCH(G$4,Data[#Headers],0)))</f>
        <v>0</v>
      </c>
      <c r="H62" s="21">
        <f>INDEX(Data[],MATCH($A62,Data[Dist],0),MATCH(H$4,Data[#Headers],0))</f>
        <v>5548880</v>
      </c>
    </row>
    <row r="63" spans="1:8" s="20" customFormat="1" ht="12.75" x14ac:dyDescent="0.2">
      <c r="A63" s="19" t="str">
        <f>Data!B59</f>
        <v>1107</v>
      </c>
      <c r="B63" s="20" t="str">
        <f>INDEX(Data[],MATCH($A63,Data[Dist],0),MATCH(B$4,Data[#Headers],0))</f>
        <v>Chariton</v>
      </c>
      <c r="C63" s="21">
        <f>INDEX(Data[],MATCH($A63,Data[Dist],0),MATCH(C$4,Data[#Headers],0))</f>
        <v>10685959</v>
      </c>
      <c r="D63" s="21">
        <f>INDEX(Data[],MATCH($A63,Data[Dist],0),MATCH(D$4,Data[#Headers],0))</f>
        <v>680</v>
      </c>
      <c r="E63" s="21">
        <f>INDEX(Data[],MATCH($A63,Data[Dist],0),MATCH(E$4,Data[#Headers],0))</f>
        <v>0</v>
      </c>
      <c r="F63" s="21">
        <f>IF(Notes!$B$3="Pay 1 Regular State Payment Budget",0,INDEX(Data[],MATCH($A63,Data[Dist],0),MATCH(F$4,Data[#Headers],0)))</f>
        <v>29516</v>
      </c>
      <c r="G63" s="21">
        <f>IF(OR(Notes!$B$3="Pay 1 Regular State Payment Budget",Notes!$B$3="Pay 2 Regular State Payment Budget"),0,INDEX(Data[],MATCH($A63,Data[Dist],0),MATCH(G$4,Data[#Headers],0)))</f>
        <v>0</v>
      </c>
      <c r="H63" s="21">
        <f>INDEX(Data[],MATCH($A63,Data[Dist],0),MATCH(H$4,Data[#Headers],0))</f>
        <v>10655763</v>
      </c>
    </row>
    <row r="64" spans="1:8" s="20" customFormat="1" ht="12.75" x14ac:dyDescent="0.2">
      <c r="A64" s="19" t="str">
        <f>Data!B60</f>
        <v>1116</v>
      </c>
      <c r="B64" s="20" t="str">
        <f>INDEX(Data[],MATCH($A64,Data[Dist],0),MATCH(B$4,Data[#Headers],0))</f>
        <v>Charles City</v>
      </c>
      <c r="C64" s="21">
        <f>INDEX(Data[],MATCH($A64,Data[Dist],0),MATCH(C$4,Data[#Headers],0))</f>
        <v>11605414</v>
      </c>
      <c r="D64" s="21">
        <f>INDEX(Data[],MATCH($A64,Data[Dist],0),MATCH(D$4,Data[#Headers],0))</f>
        <v>1144</v>
      </c>
      <c r="E64" s="21">
        <f>INDEX(Data[],MATCH($A64,Data[Dist],0),MATCH(E$4,Data[#Headers],0))</f>
        <v>0</v>
      </c>
      <c r="F64" s="21">
        <f>IF(Notes!$B$3="Pay 1 Regular State Payment Budget",0,INDEX(Data[],MATCH($A64,Data[Dist],0),MATCH(F$4,Data[#Headers],0)))</f>
        <v>33100</v>
      </c>
      <c r="G64" s="21">
        <f>IF(OR(Notes!$B$3="Pay 1 Regular State Payment Budget",Notes!$B$3="Pay 2 Regular State Payment Budget"),0,INDEX(Data[],MATCH($A64,Data[Dist],0),MATCH(G$4,Data[#Headers],0)))</f>
        <v>0</v>
      </c>
      <c r="H64" s="21">
        <f>INDEX(Data[],MATCH($A64,Data[Dist],0),MATCH(H$4,Data[#Headers],0))</f>
        <v>11571170</v>
      </c>
    </row>
    <row r="65" spans="1:8" s="20" customFormat="1" ht="12.75" x14ac:dyDescent="0.2">
      <c r="A65" s="19" t="str">
        <f>Data!B61</f>
        <v>1134</v>
      </c>
      <c r="B65" s="20" t="str">
        <f>INDEX(Data[],MATCH($A65,Data[Dist],0),MATCH(B$4,Data[#Headers],0))</f>
        <v>Charter Oak-Ute</v>
      </c>
      <c r="C65" s="21">
        <f>INDEX(Data[],MATCH($A65,Data[Dist],0),MATCH(C$4,Data[#Headers],0))</f>
        <v>1777556</v>
      </c>
      <c r="D65" s="21">
        <f>INDEX(Data[],MATCH($A65,Data[Dist],0),MATCH(D$4,Data[#Headers],0))</f>
        <v>149</v>
      </c>
      <c r="E65" s="21">
        <f>INDEX(Data[],MATCH($A65,Data[Dist],0),MATCH(E$4,Data[#Headers],0))</f>
        <v>0</v>
      </c>
      <c r="F65" s="21">
        <f>IF(Notes!$B$3="Pay 1 Regular State Payment Budget",0,INDEX(Data[],MATCH($A65,Data[Dist],0),MATCH(F$4,Data[#Headers],0)))</f>
        <v>6267</v>
      </c>
      <c r="G65" s="21">
        <f>IF(OR(Notes!$B$3="Pay 1 Regular State Payment Budget",Notes!$B$3="Pay 2 Regular State Payment Budget"),0,INDEX(Data[],MATCH($A65,Data[Dist],0),MATCH(G$4,Data[#Headers],0)))</f>
        <v>0</v>
      </c>
      <c r="H65" s="21">
        <f>INDEX(Data[],MATCH($A65,Data[Dist],0),MATCH(H$4,Data[#Headers],0))</f>
        <v>1771140</v>
      </c>
    </row>
    <row r="66" spans="1:8" s="20" customFormat="1" ht="12.75" x14ac:dyDescent="0.2">
      <c r="A66" s="19" t="str">
        <f>Data!B62</f>
        <v>1152</v>
      </c>
      <c r="B66" s="20" t="str">
        <f>INDEX(Data[],MATCH($A66,Data[Dist],0),MATCH(B$4,Data[#Headers],0))</f>
        <v>Cherokee</v>
      </c>
      <c r="C66" s="21">
        <f>INDEX(Data[],MATCH($A66,Data[Dist],0),MATCH(C$4,Data[#Headers],0))</f>
        <v>8191977</v>
      </c>
      <c r="D66" s="21">
        <f>INDEX(Data[],MATCH($A66,Data[Dist],0),MATCH(D$4,Data[#Headers],0))</f>
        <v>580</v>
      </c>
      <c r="E66" s="21">
        <f>INDEX(Data[],MATCH($A66,Data[Dist],0),MATCH(E$4,Data[#Headers],0))</f>
        <v>0</v>
      </c>
      <c r="F66" s="21">
        <f>IF(Notes!$B$3="Pay 1 Regular State Payment Budget",0,INDEX(Data[],MATCH($A66,Data[Dist],0),MATCH(F$4,Data[#Headers],0)))</f>
        <v>23411</v>
      </c>
      <c r="G66" s="21">
        <f>IF(OR(Notes!$B$3="Pay 1 Regular State Payment Budget",Notes!$B$3="Pay 2 Regular State Payment Budget"),0,INDEX(Data[],MATCH($A66,Data[Dist],0),MATCH(G$4,Data[#Headers],0)))</f>
        <v>0</v>
      </c>
      <c r="H66" s="21">
        <f>INDEX(Data[],MATCH($A66,Data[Dist],0),MATCH(H$4,Data[#Headers],0))</f>
        <v>8167986</v>
      </c>
    </row>
    <row r="67" spans="1:8" s="20" customFormat="1" ht="12.75" x14ac:dyDescent="0.2">
      <c r="A67" s="19" t="str">
        <f>Data!B63</f>
        <v>1197</v>
      </c>
      <c r="B67" s="20" t="str">
        <f>INDEX(Data[],MATCH($A67,Data[Dist],0),MATCH(B$4,Data[#Headers],0))</f>
        <v>Clarinda</v>
      </c>
      <c r="C67" s="21">
        <f>INDEX(Data[],MATCH($A67,Data[Dist],0),MATCH(C$4,Data[#Headers],0))</f>
        <v>7266284</v>
      </c>
      <c r="D67" s="21">
        <f>INDEX(Data[],MATCH($A67,Data[Dist],0),MATCH(D$4,Data[#Headers],0))</f>
        <v>730</v>
      </c>
      <c r="E67" s="21">
        <f>INDEX(Data[],MATCH($A67,Data[Dist],0),MATCH(E$4,Data[#Headers],0))</f>
        <v>0</v>
      </c>
      <c r="F67" s="21">
        <f>IF(Notes!$B$3="Pay 1 Regular State Payment Budget",0,INDEX(Data[],MATCH($A67,Data[Dist],0),MATCH(F$4,Data[#Headers],0)))</f>
        <v>21596</v>
      </c>
      <c r="G67" s="21">
        <f>IF(OR(Notes!$B$3="Pay 1 Regular State Payment Budget",Notes!$B$3="Pay 2 Regular State Payment Budget"),0,INDEX(Data[],MATCH($A67,Data[Dist],0),MATCH(G$4,Data[#Headers],0)))</f>
        <v>0</v>
      </c>
      <c r="H67" s="21">
        <f>INDEX(Data[],MATCH($A67,Data[Dist],0),MATCH(H$4,Data[#Headers],0))</f>
        <v>7243958</v>
      </c>
    </row>
    <row r="68" spans="1:8" s="20" customFormat="1" ht="12.75" x14ac:dyDescent="0.2">
      <c r="A68" s="19" t="str">
        <f>Data!B64</f>
        <v>1206</v>
      </c>
      <c r="B68" s="20" t="str">
        <f>INDEX(Data[],MATCH($A68,Data[Dist],0),MATCH(B$4,Data[#Headers],0))</f>
        <v>Clarion-Goldfield-Dows</v>
      </c>
      <c r="C68" s="21">
        <f>INDEX(Data[],MATCH($A68,Data[Dist],0),MATCH(C$4,Data[#Headers],0))</f>
        <v>6186988</v>
      </c>
      <c r="D68" s="21">
        <f>INDEX(Data[],MATCH($A68,Data[Dist],0),MATCH(D$4,Data[#Headers],0))</f>
        <v>862</v>
      </c>
      <c r="E68" s="21">
        <f>INDEX(Data[],MATCH($A68,Data[Dist],0),MATCH(E$4,Data[#Headers],0))</f>
        <v>7771</v>
      </c>
      <c r="F68" s="21">
        <f>IF(Notes!$B$3="Pay 1 Regular State Payment Budget",0,INDEX(Data[],MATCH($A68,Data[Dist],0),MATCH(F$4,Data[#Headers],0)))</f>
        <v>21976</v>
      </c>
      <c r="G68" s="21">
        <f>IF(OR(Notes!$B$3="Pay 1 Regular State Payment Budget",Notes!$B$3="Pay 2 Regular State Payment Budget"),0,INDEX(Data[],MATCH($A68,Data[Dist],0),MATCH(G$4,Data[#Headers],0)))</f>
        <v>0</v>
      </c>
      <c r="H68" s="21">
        <f>INDEX(Data[],MATCH($A68,Data[Dist],0),MATCH(H$4,Data[#Headers],0))</f>
        <v>6156379</v>
      </c>
    </row>
    <row r="69" spans="1:8" s="20" customFormat="1" ht="12.75" x14ac:dyDescent="0.2">
      <c r="A69" s="19" t="str">
        <f>Data!B65</f>
        <v>1211</v>
      </c>
      <c r="B69" s="20" t="str">
        <f>INDEX(Data[],MATCH($A69,Data[Dist],0),MATCH(B$4,Data[#Headers],0))</f>
        <v>Clarke</v>
      </c>
      <c r="C69" s="21">
        <f>INDEX(Data[],MATCH($A69,Data[Dist],0),MATCH(C$4,Data[#Headers],0))</f>
        <v>12168680</v>
      </c>
      <c r="D69" s="21">
        <f>INDEX(Data[],MATCH($A69,Data[Dist],0),MATCH(D$4,Data[#Headers],0))</f>
        <v>813</v>
      </c>
      <c r="E69" s="21">
        <f>INDEX(Data[],MATCH($A69,Data[Dist],0),MATCH(E$4,Data[#Headers],0))</f>
        <v>0</v>
      </c>
      <c r="F69" s="21">
        <f>IF(Notes!$B$3="Pay 1 Regular State Payment Budget",0,INDEX(Data[],MATCH($A69,Data[Dist],0),MATCH(F$4,Data[#Headers],0)))</f>
        <v>32192</v>
      </c>
      <c r="G69" s="21">
        <f>IF(OR(Notes!$B$3="Pay 1 Regular State Payment Budget",Notes!$B$3="Pay 2 Regular State Payment Budget"),0,INDEX(Data[],MATCH($A69,Data[Dist],0),MATCH(G$4,Data[#Headers],0)))</f>
        <v>0</v>
      </c>
      <c r="H69" s="21">
        <f>INDEX(Data[],MATCH($A69,Data[Dist],0),MATCH(H$4,Data[#Headers],0))</f>
        <v>12135675</v>
      </c>
    </row>
    <row r="70" spans="1:8" s="20" customFormat="1" ht="12.75" x14ac:dyDescent="0.2">
      <c r="A70" s="19" t="str">
        <f>Data!B66</f>
        <v>1215</v>
      </c>
      <c r="B70" s="20" t="str">
        <f>INDEX(Data[],MATCH($A70,Data[Dist],0),MATCH(B$4,Data[#Headers],0))</f>
        <v>Clarksville</v>
      </c>
      <c r="C70" s="21">
        <f>INDEX(Data[],MATCH($A70,Data[Dist],0),MATCH(C$4,Data[#Headers],0))</f>
        <v>2395114</v>
      </c>
      <c r="D70" s="21">
        <f>INDEX(Data[],MATCH($A70,Data[Dist],0),MATCH(D$4,Data[#Headers],0))</f>
        <v>315</v>
      </c>
      <c r="E70" s="21">
        <f>INDEX(Data[],MATCH($A70,Data[Dist],0),MATCH(E$4,Data[#Headers],0))</f>
        <v>0</v>
      </c>
      <c r="F70" s="21">
        <f>IF(Notes!$B$3="Pay 1 Regular State Payment Budget",0,INDEX(Data[],MATCH($A70,Data[Dist],0),MATCH(F$4,Data[#Headers],0)))</f>
        <v>6321</v>
      </c>
      <c r="G70" s="21">
        <f>IF(OR(Notes!$B$3="Pay 1 Regular State Payment Budget",Notes!$B$3="Pay 2 Regular State Payment Budget"),0,INDEX(Data[],MATCH($A70,Data[Dist],0),MATCH(G$4,Data[#Headers],0)))</f>
        <v>0</v>
      </c>
      <c r="H70" s="21">
        <f>INDEX(Data[],MATCH($A70,Data[Dist],0),MATCH(H$4,Data[#Headers],0))</f>
        <v>2388478</v>
      </c>
    </row>
    <row r="71" spans="1:8" s="20" customFormat="1" ht="12.75" x14ac:dyDescent="0.2">
      <c r="A71" s="19" t="str">
        <f>Data!B67</f>
        <v>1218</v>
      </c>
      <c r="B71" s="20" t="str">
        <f>INDEX(Data[],MATCH($A71,Data[Dist],0),MATCH(B$4,Data[#Headers],0))</f>
        <v>Clay Central-Everly</v>
      </c>
      <c r="C71" s="21">
        <f>INDEX(Data[],MATCH($A71,Data[Dist],0),MATCH(C$4,Data[#Headers],0))</f>
        <v>975255</v>
      </c>
      <c r="D71" s="21">
        <f>INDEX(Data[],MATCH($A71,Data[Dist],0),MATCH(D$4,Data[#Headers],0))</f>
        <v>83</v>
      </c>
      <c r="E71" s="21">
        <f>INDEX(Data[],MATCH($A71,Data[Dist],0),MATCH(E$4,Data[#Headers],0))</f>
        <v>0</v>
      </c>
      <c r="F71" s="21">
        <f>IF(Notes!$B$3="Pay 1 Regular State Payment Budget",0,INDEX(Data[],MATCH($A71,Data[Dist],0),MATCH(F$4,Data[#Headers],0)))</f>
        <v>5969</v>
      </c>
      <c r="G71" s="21">
        <f>IF(OR(Notes!$B$3="Pay 1 Regular State Payment Budget",Notes!$B$3="Pay 2 Regular State Payment Budget"),0,INDEX(Data[],MATCH($A71,Data[Dist],0),MATCH(G$4,Data[#Headers],0)))</f>
        <v>0</v>
      </c>
      <c r="H71" s="21">
        <f>INDEX(Data[],MATCH($A71,Data[Dist],0),MATCH(H$4,Data[#Headers],0))</f>
        <v>969203</v>
      </c>
    </row>
    <row r="72" spans="1:8" s="20" customFormat="1" ht="12.75" x14ac:dyDescent="0.2">
      <c r="A72" s="19" t="str">
        <f>Data!B68</f>
        <v>1221</v>
      </c>
      <c r="B72" s="20" t="str">
        <f>INDEX(Data[],MATCH($A72,Data[Dist],0),MATCH(B$4,Data[#Headers],0))</f>
        <v>Clear Creek-Amana</v>
      </c>
      <c r="C72" s="21">
        <f>INDEX(Data[],MATCH($A72,Data[Dist],0),MATCH(C$4,Data[#Headers],0))</f>
        <v>21247315</v>
      </c>
      <c r="D72" s="21">
        <f>INDEX(Data[],MATCH($A72,Data[Dist],0),MATCH(D$4,Data[#Headers],0))</f>
        <v>2620</v>
      </c>
      <c r="E72" s="21">
        <f>INDEX(Data[],MATCH($A72,Data[Dist],0),MATCH(E$4,Data[#Headers],0))</f>
        <v>0</v>
      </c>
      <c r="F72" s="21">
        <f>IF(Notes!$B$3="Pay 1 Regular State Payment Budget",0,INDEX(Data[],MATCH($A72,Data[Dist],0),MATCH(F$4,Data[#Headers],0)))</f>
        <v>68386</v>
      </c>
      <c r="G72" s="21">
        <f>IF(OR(Notes!$B$3="Pay 1 Regular State Payment Budget",Notes!$B$3="Pay 2 Regular State Payment Budget"),0,INDEX(Data[],MATCH($A72,Data[Dist],0),MATCH(G$4,Data[#Headers],0)))</f>
        <v>0</v>
      </c>
      <c r="H72" s="21">
        <f>INDEX(Data[],MATCH($A72,Data[Dist],0),MATCH(H$4,Data[#Headers],0))</f>
        <v>21176309</v>
      </c>
    </row>
    <row r="73" spans="1:8" s="20" customFormat="1" ht="12.75" x14ac:dyDescent="0.2">
      <c r="A73" s="19" t="str">
        <f>Data!B69</f>
        <v>1233</v>
      </c>
      <c r="B73" s="20" t="str">
        <f>INDEX(Data[],MATCH($A73,Data[Dist],0),MATCH(B$4,Data[#Headers],0))</f>
        <v>Clear Lake</v>
      </c>
      <c r="C73" s="21">
        <f>INDEX(Data[],MATCH($A73,Data[Dist],0),MATCH(C$4,Data[#Headers],0))</f>
        <v>4943385</v>
      </c>
      <c r="D73" s="21">
        <f>INDEX(Data[],MATCH($A73,Data[Dist],0),MATCH(D$4,Data[#Headers],0))</f>
        <v>796</v>
      </c>
      <c r="E73" s="21">
        <f>INDEX(Data[],MATCH($A73,Data[Dist],0),MATCH(E$4,Data[#Headers],0))</f>
        <v>13361</v>
      </c>
      <c r="F73" s="21">
        <f>IF(Notes!$B$3="Pay 1 Regular State Payment Budget",0,INDEX(Data[],MATCH($A73,Data[Dist],0),MATCH(F$4,Data[#Headers],0)))</f>
        <v>26112</v>
      </c>
      <c r="G73" s="21">
        <f>IF(OR(Notes!$B$3="Pay 1 Regular State Payment Budget",Notes!$B$3="Pay 2 Regular State Payment Budget"),0,INDEX(Data[],MATCH($A73,Data[Dist],0),MATCH(G$4,Data[#Headers],0)))</f>
        <v>0</v>
      </c>
      <c r="H73" s="21">
        <f>INDEX(Data[],MATCH($A73,Data[Dist],0),MATCH(H$4,Data[#Headers],0))</f>
        <v>4903116</v>
      </c>
    </row>
    <row r="74" spans="1:8" s="20" customFormat="1" ht="12.75" x14ac:dyDescent="0.2">
      <c r="A74" s="19" t="str">
        <f>Data!B70</f>
        <v>1278</v>
      </c>
      <c r="B74" s="20" t="str">
        <f>INDEX(Data[],MATCH($A74,Data[Dist],0),MATCH(B$4,Data[#Headers],0))</f>
        <v>Clinton</v>
      </c>
      <c r="C74" s="21">
        <f>INDEX(Data[],MATCH($A74,Data[Dist],0),MATCH(C$4,Data[#Headers],0))</f>
        <v>32200828</v>
      </c>
      <c r="D74" s="21">
        <f>INDEX(Data[],MATCH($A74,Data[Dist],0),MATCH(D$4,Data[#Headers],0))</f>
        <v>3085</v>
      </c>
      <c r="E74" s="21">
        <f>INDEX(Data[],MATCH($A74,Data[Dist],0),MATCH(E$4,Data[#Headers],0))</f>
        <v>0</v>
      </c>
      <c r="F74" s="21">
        <f>IF(Notes!$B$3="Pay 1 Regular State Payment Budget",0,INDEX(Data[],MATCH($A74,Data[Dist],0),MATCH(F$4,Data[#Headers],0)))</f>
        <v>80156</v>
      </c>
      <c r="G74" s="21">
        <f>IF(OR(Notes!$B$3="Pay 1 Regular State Payment Budget",Notes!$B$3="Pay 2 Regular State Payment Budget"),0,INDEX(Data[],MATCH($A74,Data[Dist],0),MATCH(G$4,Data[#Headers],0)))</f>
        <v>0</v>
      </c>
      <c r="H74" s="21">
        <f>INDEX(Data[],MATCH($A74,Data[Dist],0),MATCH(H$4,Data[#Headers],0))</f>
        <v>32117587</v>
      </c>
    </row>
    <row r="75" spans="1:8" s="20" customFormat="1" ht="12.75" x14ac:dyDescent="0.2">
      <c r="A75" s="19" t="str">
        <f>Data!B71</f>
        <v>1332</v>
      </c>
      <c r="B75" s="20" t="str">
        <f>INDEX(Data[],MATCH($A75,Data[Dist],0),MATCH(B$4,Data[#Headers],0))</f>
        <v>Colfax-Mingo</v>
      </c>
      <c r="C75" s="21">
        <f>INDEX(Data[],MATCH($A75,Data[Dist],0),MATCH(C$4,Data[#Headers],0))</f>
        <v>5392087</v>
      </c>
      <c r="D75" s="21">
        <f>INDEX(Data[],MATCH($A75,Data[Dist],0),MATCH(D$4,Data[#Headers],0))</f>
        <v>680</v>
      </c>
      <c r="E75" s="21">
        <f>INDEX(Data[],MATCH($A75,Data[Dist],0),MATCH(E$4,Data[#Headers],0))</f>
        <v>0</v>
      </c>
      <c r="F75" s="21">
        <f>IF(Notes!$B$3="Pay 1 Regular State Payment Budget",0,INDEX(Data[],MATCH($A75,Data[Dist],0),MATCH(F$4,Data[#Headers],0)))</f>
        <v>16007</v>
      </c>
      <c r="G75" s="21">
        <f>IF(OR(Notes!$B$3="Pay 1 Regular State Payment Budget",Notes!$B$3="Pay 2 Regular State Payment Budget"),0,INDEX(Data[],MATCH($A75,Data[Dist],0),MATCH(G$4,Data[#Headers],0)))</f>
        <v>0</v>
      </c>
      <c r="H75" s="21">
        <f>INDEX(Data[],MATCH($A75,Data[Dist],0),MATCH(H$4,Data[#Headers],0))</f>
        <v>5375400</v>
      </c>
    </row>
    <row r="76" spans="1:8" s="20" customFormat="1" ht="12.75" x14ac:dyDescent="0.2">
      <c r="A76" s="19" t="str">
        <f>Data!B72</f>
        <v>1337</v>
      </c>
      <c r="B76" s="20" t="str">
        <f>INDEX(Data[],MATCH($A76,Data[Dist],0),MATCH(B$4,Data[#Headers],0))</f>
        <v>College Community</v>
      </c>
      <c r="C76" s="21">
        <f>INDEX(Data[],MATCH($A76,Data[Dist],0),MATCH(C$4,Data[#Headers],0))</f>
        <v>33811846</v>
      </c>
      <c r="D76" s="21">
        <f>INDEX(Data[],MATCH($A76,Data[Dist],0),MATCH(D$4,Data[#Headers],0))</f>
        <v>4776</v>
      </c>
      <c r="E76" s="21">
        <f>INDEX(Data[],MATCH($A76,Data[Dist],0),MATCH(E$4,Data[#Headers],0))</f>
        <v>21823</v>
      </c>
      <c r="F76" s="21">
        <f>IF(Notes!$B$3="Pay 1 Regular State Payment Budget",0,INDEX(Data[],MATCH($A76,Data[Dist],0),MATCH(F$4,Data[#Headers],0)))</f>
        <v>114323</v>
      </c>
      <c r="G76" s="21">
        <f>IF(OR(Notes!$B$3="Pay 1 Regular State Payment Budget",Notes!$B$3="Pay 2 Regular State Payment Budget"),0,INDEX(Data[],MATCH($A76,Data[Dist],0),MATCH(G$4,Data[#Headers],0)))</f>
        <v>0</v>
      </c>
      <c r="H76" s="21">
        <f>INDEX(Data[],MATCH($A76,Data[Dist],0),MATCH(H$4,Data[#Headers],0))</f>
        <v>33670924</v>
      </c>
    </row>
    <row r="77" spans="1:8" s="20" customFormat="1" ht="12.75" x14ac:dyDescent="0.2">
      <c r="A77" s="19" t="str">
        <f>Data!B73</f>
        <v>1350</v>
      </c>
      <c r="B77" s="20" t="str">
        <f>INDEX(Data[],MATCH($A77,Data[Dist],0),MATCH(B$4,Data[#Headers],0))</f>
        <v>Collins-Maxwell</v>
      </c>
      <c r="C77" s="21">
        <f>INDEX(Data[],MATCH($A77,Data[Dist],0),MATCH(C$4,Data[#Headers],0))</f>
        <v>3413317</v>
      </c>
      <c r="D77" s="21">
        <f>INDEX(Data[],MATCH($A77,Data[Dist],0),MATCH(D$4,Data[#Headers],0))</f>
        <v>365</v>
      </c>
      <c r="E77" s="21">
        <f>INDEX(Data[],MATCH($A77,Data[Dist],0),MATCH(E$4,Data[#Headers],0))</f>
        <v>6346</v>
      </c>
      <c r="F77" s="21">
        <f>IF(Notes!$B$3="Pay 1 Regular State Payment Budget",0,INDEX(Data[],MATCH($A77,Data[Dist],0),MATCH(F$4,Data[#Headers],0)))</f>
        <v>9950</v>
      </c>
      <c r="G77" s="21">
        <f>IF(OR(Notes!$B$3="Pay 1 Regular State Payment Budget",Notes!$B$3="Pay 2 Regular State Payment Budget"),0,INDEX(Data[],MATCH($A77,Data[Dist],0),MATCH(G$4,Data[#Headers],0)))</f>
        <v>0</v>
      </c>
      <c r="H77" s="21">
        <f>INDEX(Data[],MATCH($A77,Data[Dist],0),MATCH(H$4,Data[#Headers],0))</f>
        <v>3396656</v>
      </c>
    </row>
    <row r="78" spans="1:8" s="20" customFormat="1" ht="12.75" x14ac:dyDescent="0.2">
      <c r="A78" s="19" t="str">
        <f>Data!B74</f>
        <v>1359</v>
      </c>
      <c r="B78" s="20" t="str">
        <f>INDEX(Data[],MATCH($A78,Data[Dist],0),MATCH(B$4,Data[#Headers],0))</f>
        <v>Colo-Nesco</v>
      </c>
      <c r="C78" s="21">
        <f>INDEX(Data[],MATCH($A78,Data[Dist],0),MATCH(C$4,Data[#Headers],0))</f>
        <v>2605509</v>
      </c>
      <c r="D78" s="21">
        <f>INDEX(Data[],MATCH($A78,Data[Dist],0),MATCH(D$4,Data[#Headers],0))</f>
        <v>365</v>
      </c>
      <c r="E78" s="21">
        <f>INDEX(Data[],MATCH($A78,Data[Dist],0),MATCH(E$4,Data[#Headers],0))</f>
        <v>6476</v>
      </c>
      <c r="F78" s="21">
        <f>IF(Notes!$B$3="Pay 1 Regular State Payment Budget",0,INDEX(Data[],MATCH($A78,Data[Dist],0),MATCH(F$4,Data[#Headers],0)))</f>
        <v>10247</v>
      </c>
      <c r="G78" s="21">
        <f>IF(OR(Notes!$B$3="Pay 1 Regular State Payment Budget",Notes!$B$3="Pay 2 Regular State Payment Budget"),0,INDEX(Data[],MATCH($A78,Data[Dist],0),MATCH(G$4,Data[#Headers],0)))</f>
        <v>0</v>
      </c>
      <c r="H78" s="21">
        <f>INDEX(Data[],MATCH($A78,Data[Dist],0),MATCH(H$4,Data[#Headers],0))</f>
        <v>2588421</v>
      </c>
    </row>
    <row r="79" spans="1:8" s="20" customFormat="1" ht="12.75" x14ac:dyDescent="0.2">
      <c r="A79" s="19" t="str">
        <f>Data!B75</f>
        <v>1368</v>
      </c>
      <c r="B79" s="20" t="str">
        <f>INDEX(Data[],MATCH($A79,Data[Dist],0),MATCH(B$4,Data[#Headers],0))</f>
        <v>Columbus</v>
      </c>
      <c r="C79" s="21">
        <f>INDEX(Data[],MATCH($A79,Data[Dist],0),MATCH(C$4,Data[#Headers],0))</f>
        <v>6391178</v>
      </c>
      <c r="D79" s="21">
        <f>INDEX(Data[],MATCH($A79,Data[Dist],0),MATCH(D$4,Data[#Headers],0))</f>
        <v>746</v>
      </c>
      <c r="E79" s="21">
        <f>INDEX(Data[],MATCH($A79,Data[Dist],0),MATCH(E$4,Data[#Headers],0))</f>
        <v>15844</v>
      </c>
      <c r="F79" s="21">
        <f>IF(Notes!$B$3="Pay 1 Regular State Payment Budget",0,INDEX(Data[],MATCH($A79,Data[Dist],0),MATCH(F$4,Data[#Headers],0)))</f>
        <v>17057</v>
      </c>
      <c r="G79" s="21">
        <f>IF(OR(Notes!$B$3="Pay 1 Regular State Payment Budget",Notes!$B$3="Pay 2 Regular State Payment Budget"),0,INDEX(Data[],MATCH($A79,Data[Dist],0),MATCH(G$4,Data[#Headers],0)))</f>
        <v>0</v>
      </c>
      <c r="H79" s="21">
        <f>INDEX(Data[],MATCH($A79,Data[Dist],0),MATCH(H$4,Data[#Headers],0))</f>
        <v>6357531</v>
      </c>
    </row>
    <row r="80" spans="1:8" s="20" customFormat="1" ht="12.75" x14ac:dyDescent="0.2">
      <c r="A80" s="19" t="str">
        <f>Data!B76</f>
        <v>1413</v>
      </c>
      <c r="B80" s="20" t="str">
        <f>INDEX(Data[],MATCH($A80,Data[Dist],0),MATCH(B$4,Data[#Headers],0))</f>
        <v>Coon Rapids-Bayard</v>
      </c>
      <c r="C80" s="21">
        <f>INDEX(Data[],MATCH($A80,Data[Dist],0),MATCH(C$4,Data[#Headers],0))</f>
        <v>3142759</v>
      </c>
      <c r="D80" s="21">
        <f>INDEX(Data[],MATCH($A80,Data[Dist],0),MATCH(D$4,Data[#Headers],0))</f>
        <v>232</v>
      </c>
      <c r="E80" s="21">
        <f>INDEX(Data[],MATCH($A80,Data[Dist],0),MATCH(E$4,Data[#Headers],0))</f>
        <v>0</v>
      </c>
      <c r="F80" s="21">
        <f>IF(Notes!$B$3="Pay 1 Regular State Payment Budget",0,INDEX(Data[],MATCH($A80,Data[Dist],0),MATCH(F$4,Data[#Headers],0)))</f>
        <v>9799</v>
      </c>
      <c r="G80" s="21">
        <f>IF(OR(Notes!$B$3="Pay 1 Regular State Payment Budget",Notes!$B$3="Pay 2 Regular State Payment Budget"),0,INDEX(Data[],MATCH($A80,Data[Dist],0),MATCH(G$4,Data[#Headers],0)))</f>
        <v>0</v>
      </c>
      <c r="H80" s="21">
        <f>INDEX(Data[],MATCH($A80,Data[Dist],0),MATCH(H$4,Data[#Headers],0))</f>
        <v>3132728</v>
      </c>
    </row>
    <row r="81" spans="1:8" s="20" customFormat="1" ht="12.75" x14ac:dyDescent="0.2">
      <c r="A81" s="19" t="str">
        <f>Data!B77</f>
        <v>1431</v>
      </c>
      <c r="B81" s="20" t="str">
        <f>INDEX(Data[],MATCH($A81,Data[Dist],0),MATCH(B$4,Data[#Headers],0))</f>
        <v>Corning</v>
      </c>
      <c r="C81" s="21">
        <f>INDEX(Data[],MATCH($A81,Data[Dist],0),MATCH(C$4,Data[#Headers],0))</f>
        <v>1958792</v>
      </c>
      <c r="D81" s="21">
        <f>INDEX(Data[],MATCH($A81,Data[Dist],0),MATCH(D$4,Data[#Headers],0))</f>
        <v>381</v>
      </c>
      <c r="E81" s="21">
        <f>INDEX(Data[],MATCH($A81,Data[Dist],0),MATCH(E$4,Data[#Headers],0))</f>
        <v>0</v>
      </c>
      <c r="F81" s="21">
        <f>IF(Notes!$B$3="Pay 1 Regular State Payment Budget",0,INDEX(Data[],MATCH($A81,Data[Dist],0),MATCH(F$4,Data[#Headers],0)))</f>
        <v>8474</v>
      </c>
      <c r="G81" s="21">
        <f>IF(OR(Notes!$B$3="Pay 1 Regular State Payment Budget",Notes!$B$3="Pay 2 Regular State Payment Budget"),0,INDEX(Data[],MATCH($A81,Data[Dist],0),MATCH(G$4,Data[#Headers],0)))</f>
        <v>0</v>
      </c>
      <c r="H81" s="21">
        <f>INDEX(Data[],MATCH($A81,Data[Dist],0),MATCH(H$4,Data[#Headers],0))</f>
        <v>1949937</v>
      </c>
    </row>
    <row r="82" spans="1:8" s="20" customFormat="1" ht="12.75" x14ac:dyDescent="0.2">
      <c r="A82" s="19" t="str">
        <f>Data!B78</f>
        <v>1476</v>
      </c>
      <c r="B82" s="20" t="str">
        <f>INDEX(Data[],MATCH($A82,Data[Dist],0),MATCH(B$4,Data[#Headers],0))</f>
        <v>Council Bluffs</v>
      </c>
      <c r="C82" s="21">
        <f>INDEX(Data[],MATCH($A82,Data[Dist],0),MATCH(C$4,Data[#Headers],0))</f>
        <v>78458890</v>
      </c>
      <c r="D82" s="21">
        <f>INDEX(Data[],MATCH($A82,Data[Dist],0),MATCH(D$4,Data[#Headers],0))</f>
        <v>5971</v>
      </c>
      <c r="E82" s="21">
        <f>INDEX(Data[],MATCH($A82,Data[Dist],0),MATCH(E$4,Data[#Headers],0))</f>
        <v>0</v>
      </c>
      <c r="F82" s="21">
        <f>IF(Notes!$B$3="Pay 1 Regular State Payment Budget",0,INDEX(Data[],MATCH($A82,Data[Dist],0),MATCH(F$4,Data[#Headers],0)))</f>
        <v>194452</v>
      </c>
      <c r="G82" s="21">
        <f>IF(OR(Notes!$B$3="Pay 1 Regular State Payment Budget",Notes!$B$3="Pay 2 Regular State Payment Budget"),0,INDEX(Data[],MATCH($A82,Data[Dist],0),MATCH(G$4,Data[#Headers],0)))</f>
        <v>0</v>
      </c>
      <c r="H82" s="21">
        <f>INDEX(Data[],MATCH($A82,Data[Dist],0),MATCH(H$4,Data[#Headers],0))</f>
        <v>78258467</v>
      </c>
    </row>
    <row r="83" spans="1:8" s="20" customFormat="1" ht="12.75" x14ac:dyDescent="0.2">
      <c r="A83" s="19" t="str">
        <f>Data!B79</f>
        <v>1503</v>
      </c>
      <c r="B83" s="20" t="str">
        <f>INDEX(Data[],MATCH($A83,Data[Dist],0),MATCH(B$4,Data[#Headers],0))</f>
        <v>Creston</v>
      </c>
      <c r="C83" s="21">
        <f>INDEX(Data[],MATCH($A83,Data[Dist],0),MATCH(C$4,Data[#Headers],0))</f>
        <v>10654864</v>
      </c>
      <c r="D83" s="21">
        <f>INDEX(Data[],MATCH($A83,Data[Dist],0),MATCH(D$4,Data[#Headers],0))</f>
        <v>1360</v>
      </c>
      <c r="E83" s="21">
        <f>INDEX(Data[],MATCH($A83,Data[Dist],0),MATCH(E$4,Data[#Headers],0))</f>
        <v>0</v>
      </c>
      <c r="F83" s="21">
        <f>IF(Notes!$B$3="Pay 1 Regular State Payment Budget",0,INDEX(Data[],MATCH($A83,Data[Dist],0),MATCH(F$4,Data[#Headers],0)))</f>
        <v>30847</v>
      </c>
      <c r="G83" s="21">
        <f>IF(OR(Notes!$B$3="Pay 1 Regular State Payment Budget",Notes!$B$3="Pay 2 Regular State Payment Budget"),0,INDEX(Data[],MATCH($A83,Data[Dist],0),MATCH(G$4,Data[#Headers],0)))</f>
        <v>0</v>
      </c>
      <c r="H83" s="21">
        <f>INDEX(Data[],MATCH($A83,Data[Dist],0),MATCH(H$4,Data[#Headers],0))</f>
        <v>10622657</v>
      </c>
    </row>
    <row r="84" spans="1:8" s="20" customFormat="1" ht="12.75" x14ac:dyDescent="0.2">
      <c r="A84" s="19" t="str">
        <f>Data!B80</f>
        <v>1576</v>
      </c>
      <c r="B84" s="20" t="str">
        <f>INDEX(Data[],MATCH($A84,Data[Dist],0),MATCH(B$4,Data[#Headers],0))</f>
        <v>Dallas Center-Grimes</v>
      </c>
      <c r="C84" s="21">
        <f>INDEX(Data[],MATCH($A84,Data[Dist],0),MATCH(C$4,Data[#Headers],0))</f>
        <v>24898078</v>
      </c>
      <c r="D84" s="21">
        <f>INDEX(Data[],MATCH($A84,Data[Dist],0),MATCH(D$4,Data[#Headers],0))</f>
        <v>2737</v>
      </c>
      <c r="E84" s="21">
        <f>INDEX(Data[],MATCH($A84,Data[Dist],0),MATCH(E$4,Data[#Headers],0))</f>
        <v>6583</v>
      </c>
      <c r="F84" s="21">
        <f>IF(Notes!$B$3="Pay 1 Regular State Payment Budget",0,INDEX(Data[],MATCH($A84,Data[Dist],0),MATCH(F$4,Data[#Headers],0)))</f>
        <v>78874</v>
      </c>
      <c r="G84" s="21">
        <f>IF(OR(Notes!$B$3="Pay 1 Regular State Payment Budget",Notes!$B$3="Pay 2 Regular State Payment Budget"),0,INDEX(Data[],MATCH($A84,Data[Dist],0),MATCH(G$4,Data[#Headers],0)))</f>
        <v>0</v>
      </c>
      <c r="H84" s="21">
        <f>INDEX(Data[],MATCH($A84,Data[Dist],0),MATCH(H$4,Data[#Headers],0))</f>
        <v>24809884</v>
      </c>
    </row>
    <row r="85" spans="1:8" s="20" customFormat="1" ht="12.75" x14ac:dyDescent="0.2">
      <c r="A85" s="19" t="str">
        <f>Data!B81</f>
        <v>1602</v>
      </c>
      <c r="B85" s="20" t="str">
        <f>INDEX(Data[],MATCH($A85,Data[Dist],0),MATCH(B$4,Data[#Headers],0))</f>
        <v>Danville</v>
      </c>
      <c r="C85" s="21">
        <f>INDEX(Data[],MATCH($A85,Data[Dist],0),MATCH(C$4,Data[#Headers],0))</f>
        <v>3435191</v>
      </c>
      <c r="D85" s="21">
        <f>INDEX(Data[],MATCH($A85,Data[Dist],0),MATCH(D$4,Data[#Headers],0))</f>
        <v>514</v>
      </c>
      <c r="E85" s="21">
        <f>INDEX(Data[],MATCH($A85,Data[Dist],0),MATCH(E$4,Data[#Headers],0))</f>
        <v>7771</v>
      </c>
      <c r="F85" s="21">
        <f>IF(Notes!$B$3="Pay 1 Regular State Payment Budget",0,INDEX(Data[],MATCH($A85,Data[Dist],0),MATCH(F$4,Data[#Headers],0)))</f>
        <v>9959</v>
      </c>
      <c r="G85" s="21">
        <f>IF(OR(Notes!$B$3="Pay 1 Regular State Payment Budget",Notes!$B$3="Pay 2 Regular State Payment Budget"),0,INDEX(Data[],MATCH($A85,Data[Dist],0),MATCH(G$4,Data[#Headers],0)))</f>
        <v>0</v>
      </c>
      <c r="H85" s="21">
        <f>INDEX(Data[],MATCH($A85,Data[Dist],0),MATCH(H$4,Data[#Headers],0))</f>
        <v>3416947</v>
      </c>
    </row>
    <row r="86" spans="1:8" s="20" customFormat="1" ht="12.75" x14ac:dyDescent="0.2">
      <c r="A86" s="19" t="str">
        <f>Data!B82</f>
        <v>1611</v>
      </c>
      <c r="B86" s="20" t="str">
        <f>INDEX(Data[],MATCH($A86,Data[Dist],0),MATCH(B$4,Data[#Headers],0))</f>
        <v>Davenport</v>
      </c>
      <c r="C86" s="21">
        <f>INDEX(Data[],MATCH($A86,Data[Dist],0),MATCH(C$4,Data[#Headers],0))</f>
        <v>109914612</v>
      </c>
      <c r="D86" s="21">
        <f>INDEX(Data[],MATCH($A86,Data[Dist],0),MATCH(D$4,Data[#Headers],0))</f>
        <v>10847</v>
      </c>
      <c r="E86" s="21">
        <f>INDEX(Data[],MATCH($A86,Data[Dist],0),MATCH(E$4,Data[#Headers],0))</f>
        <v>32183</v>
      </c>
      <c r="F86" s="21">
        <f>IF(Notes!$B$3="Pay 1 Regular State Payment Budget",0,INDEX(Data[],MATCH($A86,Data[Dist],0),MATCH(F$4,Data[#Headers],0)))</f>
        <v>310544</v>
      </c>
      <c r="G86" s="21">
        <f>IF(OR(Notes!$B$3="Pay 1 Regular State Payment Budget",Notes!$B$3="Pay 2 Regular State Payment Budget"),0,INDEX(Data[],MATCH($A86,Data[Dist],0),MATCH(G$4,Data[#Headers],0)))</f>
        <v>0</v>
      </c>
      <c r="H86" s="21">
        <f>INDEX(Data[],MATCH($A86,Data[Dist],0),MATCH(H$4,Data[#Headers],0))</f>
        <v>109561038</v>
      </c>
    </row>
    <row r="87" spans="1:8" s="20" customFormat="1" ht="12.75" x14ac:dyDescent="0.2">
      <c r="A87" s="19" t="str">
        <f>Data!B83</f>
        <v>1619</v>
      </c>
      <c r="B87" s="20" t="str">
        <f>INDEX(Data[],MATCH($A87,Data[Dist],0),MATCH(B$4,Data[#Headers],0))</f>
        <v>Davis County</v>
      </c>
      <c r="C87" s="21">
        <f>INDEX(Data[],MATCH($A87,Data[Dist],0),MATCH(C$4,Data[#Headers],0))</f>
        <v>8320487</v>
      </c>
      <c r="D87" s="21">
        <f>INDEX(Data[],MATCH($A87,Data[Dist],0),MATCH(D$4,Data[#Headers],0))</f>
        <v>614</v>
      </c>
      <c r="E87" s="21">
        <f>INDEX(Data[],MATCH($A87,Data[Dist],0),MATCH(E$4,Data[#Headers],0))</f>
        <v>12714</v>
      </c>
      <c r="F87" s="21">
        <f>IF(Notes!$B$3="Pay 1 Regular State Payment Budget",0,INDEX(Data[],MATCH($A87,Data[Dist],0),MATCH(F$4,Data[#Headers],0)))</f>
        <v>25182</v>
      </c>
      <c r="G87" s="21">
        <f>IF(OR(Notes!$B$3="Pay 1 Regular State Payment Budget",Notes!$B$3="Pay 2 Regular State Payment Budget"),0,INDEX(Data[],MATCH($A87,Data[Dist],0),MATCH(G$4,Data[#Headers],0)))</f>
        <v>0</v>
      </c>
      <c r="H87" s="21">
        <f>INDEX(Data[],MATCH($A87,Data[Dist],0),MATCH(H$4,Data[#Headers],0))</f>
        <v>8281977</v>
      </c>
    </row>
    <row r="88" spans="1:8" s="20" customFormat="1" ht="12.75" x14ac:dyDescent="0.2">
      <c r="A88" s="19" t="str">
        <f>Data!B84</f>
        <v>1638</v>
      </c>
      <c r="B88" s="20" t="str">
        <f>INDEX(Data[],MATCH($A88,Data[Dist],0),MATCH(B$4,Data[#Headers],0))</f>
        <v>Decorah</v>
      </c>
      <c r="C88" s="21">
        <f>INDEX(Data[],MATCH($A88,Data[Dist],0),MATCH(C$4,Data[#Headers],0))</f>
        <v>9752623</v>
      </c>
      <c r="D88" s="21">
        <f>INDEX(Data[],MATCH($A88,Data[Dist],0),MATCH(D$4,Data[#Headers],0))</f>
        <v>1493</v>
      </c>
      <c r="E88" s="21">
        <f>INDEX(Data[],MATCH($A88,Data[Dist],0),MATCH(E$4,Data[#Headers],0))</f>
        <v>0</v>
      </c>
      <c r="F88" s="21">
        <f>IF(Notes!$B$3="Pay 1 Regular State Payment Budget",0,INDEX(Data[],MATCH($A88,Data[Dist],0),MATCH(F$4,Data[#Headers],0)))</f>
        <v>33983</v>
      </c>
      <c r="G88" s="21">
        <f>IF(OR(Notes!$B$3="Pay 1 Regular State Payment Budget",Notes!$B$3="Pay 2 Regular State Payment Budget"),0,INDEX(Data[],MATCH($A88,Data[Dist],0),MATCH(G$4,Data[#Headers],0)))</f>
        <v>0</v>
      </c>
      <c r="H88" s="21">
        <f>INDEX(Data[],MATCH($A88,Data[Dist],0),MATCH(H$4,Data[#Headers],0))</f>
        <v>9717147</v>
      </c>
    </row>
    <row r="89" spans="1:8" s="20" customFormat="1" ht="12.75" x14ac:dyDescent="0.2">
      <c r="A89" s="19" t="str">
        <f>Data!B85</f>
        <v>1675</v>
      </c>
      <c r="B89" s="20" t="str">
        <f>INDEX(Data[],MATCH($A89,Data[Dist],0),MATCH(B$4,Data[#Headers],0))</f>
        <v>Delwood</v>
      </c>
      <c r="C89" s="21">
        <f>INDEX(Data[],MATCH($A89,Data[Dist],0),MATCH(C$4,Data[#Headers],0))</f>
        <v>1435267</v>
      </c>
      <c r="D89" s="21">
        <f>INDEX(Data[],MATCH($A89,Data[Dist],0),MATCH(D$4,Data[#Headers],0))</f>
        <v>315</v>
      </c>
      <c r="E89" s="21">
        <f>INDEX(Data[],MATCH($A89,Data[Dist],0),MATCH(E$4,Data[#Headers],0))</f>
        <v>0</v>
      </c>
      <c r="F89" s="21">
        <f>IF(Notes!$B$3="Pay 1 Regular State Payment Budget",0,INDEX(Data[],MATCH($A89,Data[Dist],0),MATCH(F$4,Data[#Headers],0)))</f>
        <v>4122</v>
      </c>
      <c r="G89" s="21">
        <f>IF(OR(Notes!$B$3="Pay 1 Regular State Payment Budget",Notes!$B$3="Pay 2 Regular State Payment Budget"),0,INDEX(Data[],MATCH($A89,Data[Dist],0),MATCH(G$4,Data[#Headers],0)))</f>
        <v>0</v>
      </c>
      <c r="H89" s="21">
        <f>INDEX(Data[],MATCH($A89,Data[Dist],0),MATCH(H$4,Data[#Headers],0))</f>
        <v>1430830</v>
      </c>
    </row>
    <row r="90" spans="1:8" s="20" customFormat="1" ht="12.75" x14ac:dyDescent="0.2">
      <c r="A90" s="19" t="str">
        <f>Data!B86</f>
        <v>1701</v>
      </c>
      <c r="B90" s="20" t="str">
        <f>INDEX(Data[],MATCH($A90,Data[Dist],0),MATCH(B$4,Data[#Headers],0))</f>
        <v>Denison</v>
      </c>
      <c r="C90" s="21">
        <f>INDEX(Data[],MATCH($A90,Data[Dist],0),MATCH(C$4,Data[#Headers],0))</f>
        <v>17385447</v>
      </c>
      <c r="D90" s="21">
        <f>INDEX(Data[],MATCH($A90,Data[Dist],0),MATCH(D$4,Data[#Headers],0))</f>
        <v>1907</v>
      </c>
      <c r="E90" s="21">
        <f>INDEX(Data[],MATCH($A90,Data[Dist],0),MATCH(E$4,Data[#Headers],0))</f>
        <v>0</v>
      </c>
      <c r="F90" s="21">
        <f>IF(Notes!$B$3="Pay 1 Regular State Payment Budget",0,INDEX(Data[],MATCH($A90,Data[Dist],0),MATCH(F$4,Data[#Headers],0)))</f>
        <v>44117</v>
      </c>
      <c r="G90" s="21">
        <f>IF(OR(Notes!$B$3="Pay 1 Regular State Payment Budget",Notes!$B$3="Pay 2 Regular State Payment Budget"),0,INDEX(Data[],MATCH($A90,Data[Dist],0),MATCH(G$4,Data[#Headers],0)))</f>
        <v>0</v>
      </c>
      <c r="H90" s="21">
        <f>INDEX(Data[],MATCH($A90,Data[Dist],0),MATCH(H$4,Data[#Headers],0))</f>
        <v>17339423</v>
      </c>
    </row>
    <row r="91" spans="1:8" s="20" customFormat="1" ht="12.75" x14ac:dyDescent="0.2">
      <c r="A91" s="19" t="str">
        <f>Data!B87</f>
        <v>1719</v>
      </c>
      <c r="B91" s="20" t="str">
        <f>INDEX(Data[],MATCH($A91,Data[Dist],0),MATCH(B$4,Data[#Headers],0))</f>
        <v>Denver</v>
      </c>
      <c r="C91" s="21">
        <f>INDEX(Data[],MATCH($A91,Data[Dist],0),MATCH(C$4,Data[#Headers],0))</f>
        <v>6910287</v>
      </c>
      <c r="D91" s="21">
        <f>INDEX(Data[],MATCH($A91,Data[Dist],0),MATCH(D$4,Data[#Headers],0))</f>
        <v>730</v>
      </c>
      <c r="E91" s="21">
        <f>INDEX(Data[],MATCH($A91,Data[Dist],0),MATCH(E$4,Data[#Headers],0))</f>
        <v>0</v>
      </c>
      <c r="F91" s="21">
        <f>IF(Notes!$B$3="Pay 1 Regular State Payment Budget",0,INDEX(Data[],MATCH($A91,Data[Dist],0),MATCH(F$4,Data[#Headers],0)))</f>
        <v>19469</v>
      </c>
      <c r="G91" s="21">
        <f>IF(OR(Notes!$B$3="Pay 1 Regular State Payment Budget",Notes!$B$3="Pay 2 Regular State Payment Budget"),0,INDEX(Data[],MATCH($A91,Data[Dist],0),MATCH(G$4,Data[#Headers],0)))</f>
        <v>0</v>
      </c>
      <c r="H91" s="21">
        <f>INDEX(Data[],MATCH($A91,Data[Dist],0),MATCH(H$4,Data[#Headers],0))</f>
        <v>6890088</v>
      </c>
    </row>
    <row r="92" spans="1:8" s="20" customFormat="1" ht="12.75" x14ac:dyDescent="0.2">
      <c r="A92" s="19" t="str">
        <f>Data!B88</f>
        <v>1737</v>
      </c>
      <c r="B92" s="20" t="str">
        <f>INDEX(Data[],MATCH($A92,Data[Dist],0),MATCH(B$4,Data[#Headers],0))</f>
        <v>Des Moines</v>
      </c>
      <c r="C92" s="21">
        <f>INDEX(Data[],MATCH($A92,Data[Dist],0),MATCH(C$4,Data[#Headers],0))</f>
        <v>274015904</v>
      </c>
      <c r="D92" s="21">
        <f>INDEX(Data[],MATCH($A92,Data[Dist],0),MATCH(D$4,Data[#Headers],0))</f>
        <v>22572</v>
      </c>
      <c r="E92" s="21">
        <f>INDEX(Data[],MATCH($A92,Data[Dist],0),MATCH(E$4,Data[#Headers],0))</f>
        <v>710009</v>
      </c>
      <c r="F92" s="21">
        <f>IF(Notes!$B$3="Pay 1 Regular State Payment Budget",0,INDEX(Data[],MATCH($A92,Data[Dist],0),MATCH(F$4,Data[#Headers],0)))</f>
        <v>693835</v>
      </c>
      <c r="G92" s="21">
        <f>IF(OR(Notes!$B$3="Pay 1 Regular State Payment Budget",Notes!$B$3="Pay 2 Regular State Payment Budget"),0,INDEX(Data[],MATCH($A92,Data[Dist],0),MATCH(G$4,Data[#Headers],0)))</f>
        <v>0</v>
      </c>
      <c r="H92" s="21">
        <f>INDEX(Data[],MATCH($A92,Data[Dist],0),MATCH(H$4,Data[#Headers],0))</f>
        <v>272589488</v>
      </c>
    </row>
    <row r="93" spans="1:8" s="20" customFormat="1" ht="12.75" x14ac:dyDescent="0.2">
      <c r="A93" s="19" t="str">
        <f>Data!B89</f>
        <v>1782</v>
      </c>
      <c r="B93" s="20" t="str">
        <f>INDEX(Data[],MATCH($A93,Data[Dist],0),MATCH(B$4,Data[#Headers],0))</f>
        <v>Diagonal</v>
      </c>
      <c r="C93" s="21">
        <f>INDEX(Data[],MATCH($A93,Data[Dist],0),MATCH(C$4,Data[#Headers],0))</f>
        <v>861226</v>
      </c>
      <c r="D93" s="21">
        <f>INDEX(Data[],MATCH($A93,Data[Dist],0),MATCH(D$4,Data[#Headers],0))</f>
        <v>116</v>
      </c>
      <c r="E93" s="21">
        <f>INDEX(Data[],MATCH($A93,Data[Dist],0),MATCH(E$4,Data[#Headers],0))</f>
        <v>0</v>
      </c>
      <c r="F93" s="21">
        <f>IF(Notes!$B$3="Pay 1 Regular State Payment Budget",0,INDEX(Data[],MATCH($A93,Data[Dist],0),MATCH(F$4,Data[#Headers],0)))</f>
        <v>1960</v>
      </c>
      <c r="G93" s="21">
        <f>IF(OR(Notes!$B$3="Pay 1 Regular State Payment Budget",Notes!$B$3="Pay 2 Regular State Payment Budget"),0,INDEX(Data[],MATCH($A93,Data[Dist],0),MATCH(G$4,Data[#Headers],0)))</f>
        <v>0</v>
      </c>
      <c r="H93" s="21">
        <f>INDEX(Data[],MATCH($A93,Data[Dist],0),MATCH(H$4,Data[#Headers],0))</f>
        <v>859150</v>
      </c>
    </row>
    <row r="94" spans="1:8" s="20" customFormat="1" ht="12.75" x14ac:dyDescent="0.2">
      <c r="A94" s="19" t="str">
        <f>Data!B90</f>
        <v>1791</v>
      </c>
      <c r="B94" s="20" t="str">
        <f>INDEX(Data[],MATCH($A94,Data[Dist],0),MATCH(B$4,Data[#Headers],0))</f>
        <v>Dike-New Hartford</v>
      </c>
      <c r="C94" s="21">
        <f>INDEX(Data[],MATCH($A94,Data[Dist],0),MATCH(C$4,Data[#Headers],0))</f>
        <v>6755931</v>
      </c>
      <c r="D94" s="21">
        <f>INDEX(Data[],MATCH($A94,Data[Dist],0),MATCH(D$4,Data[#Headers],0))</f>
        <v>763</v>
      </c>
      <c r="E94" s="21">
        <f>INDEX(Data[],MATCH($A94,Data[Dist],0),MATCH(E$4,Data[#Headers],0))</f>
        <v>0</v>
      </c>
      <c r="F94" s="21">
        <f>IF(Notes!$B$3="Pay 1 Regular State Payment Budget",0,INDEX(Data[],MATCH($A94,Data[Dist],0),MATCH(F$4,Data[#Headers],0)))</f>
        <v>19654</v>
      </c>
      <c r="G94" s="21">
        <f>IF(OR(Notes!$B$3="Pay 1 Regular State Payment Budget",Notes!$B$3="Pay 2 Regular State Payment Budget"),0,INDEX(Data[],MATCH($A94,Data[Dist],0),MATCH(G$4,Data[#Headers],0)))</f>
        <v>0</v>
      </c>
      <c r="H94" s="21">
        <f>INDEX(Data[],MATCH($A94,Data[Dist],0),MATCH(H$4,Data[#Headers],0))</f>
        <v>6735514</v>
      </c>
    </row>
    <row r="95" spans="1:8" s="20" customFormat="1" ht="12.75" x14ac:dyDescent="0.2">
      <c r="A95" s="19" t="str">
        <f>Data!B91</f>
        <v>1863</v>
      </c>
      <c r="B95" s="20" t="str">
        <f>INDEX(Data[],MATCH($A95,Data[Dist],0),MATCH(B$4,Data[#Headers],0))</f>
        <v>Dubuque</v>
      </c>
      <c r="C95" s="21">
        <f>INDEX(Data[],MATCH($A95,Data[Dist],0),MATCH(C$4,Data[#Headers],0))</f>
        <v>79366751</v>
      </c>
      <c r="D95" s="21">
        <f>INDEX(Data[],MATCH($A95,Data[Dist],0),MATCH(D$4,Data[#Headers],0))</f>
        <v>11444</v>
      </c>
      <c r="E95" s="21">
        <f>INDEX(Data[],MATCH($A95,Data[Dist],0),MATCH(E$4,Data[#Headers],0))</f>
        <v>0</v>
      </c>
      <c r="F95" s="21">
        <f>IF(Notes!$B$3="Pay 1 Regular State Payment Budget",0,INDEX(Data[],MATCH($A95,Data[Dist],0),MATCH(F$4,Data[#Headers],0)))</f>
        <v>225169</v>
      </c>
      <c r="G95" s="21">
        <f>IF(OR(Notes!$B$3="Pay 1 Regular State Payment Budget",Notes!$B$3="Pay 2 Regular State Payment Budget"),0,INDEX(Data[],MATCH($A95,Data[Dist],0),MATCH(G$4,Data[#Headers],0)))</f>
        <v>0</v>
      </c>
      <c r="H95" s="21">
        <f>INDEX(Data[],MATCH($A95,Data[Dist],0),MATCH(H$4,Data[#Headers],0))</f>
        <v>79130138</v>
      </c>
    </row>
    <row r="96" spans="1:8" s="20" customFormat="1" ht="12.75" x14ac:dyDescent="0.2">
      <c r="A96" s="19" t="str">
        <f>Data!B92</f>
        <v>1908</v>
      </c>
      <c r="B96" s="20" t="str">
        <f>INDEX(Data[],MATCH($A96,Data[Dist],0),MATCH(B$4,Data[#Headers],0))</f>
        <v>Dunkerton</v>
      </c>
      <c r="C96" s="21">
        <f>INDEX(Data[],MATCH($A96,Data[Dist],0),MATCH(C$4,Data[#Headers],0))</f>
        <v>2743555</v>
      </c>
      <c r="D96" s="21">
        <f>INDEX(Data[],MATCH($A96,Data[Dist],0),MATCH(D$4,Data[#Headers],0))</f>
        <v>431</v>
      </c>
      <c r="E96" s="21">
        <f>INDEX(Data[],MATCH($A96,Data[Dist],0),MATCH(E$4,Data[#Headers],0))</f>
        <v>0</v>
      </c>
      <c r="F96" s="21">
        <f>IF(Notes!$B$3="Pay 1 Regular State Payment Budget",0,INDEX(Data[],MATCH($A96,Data[Dist],0),MATCH(F$4,Data[#Headers],0)))</f>
        <v>8096</v>
      </c>
      <c r="G96" s="21">
        <f>IF(OR(Notes!$B$3="Pay 1 Regular State Payment Budget",Notes!$B$3="Pay 2 Regular State Payment Budget"),0,INDEX(Data[],MATCH($A96,Data[Dist],0),MATCH(G$4,Data[#Headers],0)))</f>
        <v>0</v>
      </c>
      <c r="H96" s="21">
        <f>INDEX(Data[],MATCH($A96,Data[Dist],0),MATCH(H$4,Data[#Headers],0))</f>
        <v>2735028</v>
      </c>
    </row>
    <row r="97" spans="1:8" s="20" customFormat="1" ht="12.75" x14ac:dyDescent="0.2">
      <c r="A97" s="19" t="str">
        <f>Data!B93</f>
        <v>1917</v>
      </c>
      <c r="B97" s="20" t="str">
        <f>INDEX(Data[],MATCH($A97,Data[Dist],0),MATCH(B$4,Data[#Headers],0))</f>
        <v>Boyer Valley</v>
      </c>
      <c r="C97" s="21">
        <f>INDEX(Data[],MATCH($A97,Data[Dist],0),MATCH(C$4,Data[#Headers],0))</f>
        <v>2292956</v>
      </c>
      <c r="D97" s="21">
        <f>INDEX(Data[],MATCH($A97,Data[Dist],0),MATCH(D$4,Data[#Headers],0))</f>
        <v>415</v>
      </c>
      <c r="E97" s="21">
        <f>INDEX(Data[],MATCH($A97,Data[Dist],0),MATCH(E$4,Data[#Headers],0))</f>
        <v>0</v>
      </c>
      <c r="F97" s="21">
        <f>IF(Notes!$B$3="Pay 1 Regular State Payment Budget",0,INDEX(Data[],MATCH($A97,Data[Dist],0),MATCH(F$4,Data[#Headers],0)))</f>
        <v>8686</v>
      </c>
      <c r="G97" s="21">
        <f>IF(OR(Notes!$B$3="Pay 1 Regular State Payment Budget",Notes!$B$3="Pay 2 Regular State Payment Budget"),0,INDEX(Data[],MATCH($A97,Data[Dist],0),MATCH(G$4,Data[#Headers],0)))</f>
        <v>0</v>
      </c>
      <c r="H97" s="21">
        <f>INDEX(Data[],MATCH($A97,Data[Dist],0),MATCH(H$4,Data[#Headers],0))</f>
        <v>2283855</v>
      </c>
    </row>
    <row r="98" spans="1:8" s="20" customFormat="1" ht="12.75" x14ac:dyDescent="0.2">
      <c r="A98" s="19" t="str">
        <f>Data!B94</f>
        <v>1926</v>
      </c>
      <c r="B98" s="20" t="str">
        <f>INDEX(Data[],MATCH($A98,Data[Dist],0),MATCH(B$4,Data[#Headers],0))</f>
        <v>Durant</v>
      </c>
      <c r="C98" s="21">
        <f>INDEX(Data[],MATCH($A98,Data[Dist],0),MATCH(C$4,Data[#Headers],0))</f>
        <v>3299498</v>
      </c>
      <c r="D98" s="21">
        <f>INDEX(Data[],MATCH($A98,Data[Dist],0),MATCH(D$4,Data[#Headers],0))</f>
        <v>514</v>
      </c>
      <c r="E98" s="21">
        <f>INDEX(Data[],MATCH($A98,Data[Dist],0),MATCH(E$4,Data[#Headers],0))</f>
        <v>0</v>
      </c>
      <c r="F98" s="21">
        <f>IF(Notes!$B$3="Pay 1 Regular State Payment Budget",0,INDEX(Data[],MATCH($A98,Data[Dist],0),MATCH(F$4,Data[#Headers],0)))</f>
        <v>11044</v>
      </c>
      <c r="G98" s="21">
        <f>IF(OR(Notes!$B$3="Pay 1 Regular State Payment Budget",Notes!$B$3="Pay 2 Regular State Payment Budget"),0,INDEX(Data[],MATCH($A98,Data[Dist],0),MATCH(G$4,Data[#Headers],0)))</f>
        <v>0</v>
      </c>
      <c r="H98" s="21">
        <f>INDEX(Data[],MATCH($A98,Data[Dist],0),MATCH(H$4,Data[#Headers],0))</f>
        <v>3287940</v>
      </c>
    </row>
    <row r="99" spans="1:8" s="20" customFormat="1" ht="12.75" x14ac:dyDescent="0.2">
      <c r="A99" s="19" t="str">
        <f>Data!B95</f>
        <v>1935</v>
      </c>
      <c r="B99" s="20" t="str">
        <f>INDEX(Data[],MATCH($A99,Data[Dist],0),MATCH(B$4,Data[#Headers],0))</f>
        <v>Union</v>
      </c>
      <c r="C99" s="21">
        <f>INDEX(Data[],MATCH($A99,Data[Dist],0),MATCH(C$4,Data[#Headers],0))</f>
        <v>6717373</v>
      </c>
      <c r="D99" s="21">
        <f>INDEX(Data[],MATCH($A99,Data[Dist],0),MATCH(D$4,Data[#Headers],0))</f>
        <v>746</v>
      </c>
      <c r="E99" s="21">
        <f>INDEX(Data[],MATCH($A99,Data[Dist],0),MATCH(E$4,Data[#Headers],0))</f>
        <v>0</v>
      </c>
      <c r="F99" s="21">
        <f>IF(Notes!$B$3="Pay 1 Regular State Payment Budget",0,INDEX(Data[],MATCH($A99,Data[Dist],0),MATCH(F$4,Data[#Headers],0)))</f>
        <v>21282</v>
      </c>
      <c r="G99" s="21">
        <f>IF(OR(Notes!$B$3="Pay 1 Regular State Payment Budget",Notes!$B$3="Pay 2 Regular State Payment Budget"),0,INDEX(Data[],MATCH($A99,Data[Dist],0),MATCH(G$4,Data[#Headers],0)))</f>
        <v>0</v>
      </c>
      <c r="H99" s="21">
        <f>INDEX(Data[],MATCH($A99,Data[Dist],0),MATCH(H$4,Data[#Headers],0))</f>
        <v>6695345</v>
      </c>
    </row>
    <row r="100" spans="1:8" s="20" customFormat="1" ht="12.75" x14ac:dyDescent="0.2">
      <c r="A100" s="19" t="str">
        <f>Data!B96</f>
        <v>1944</v>
      </c>
      <c r="B100" s="20" t="str">
        <f>INDEX(Data[],MATCH($A100,Data[Dist],0),MATCH(B$4,Data[#Headers],0))</f>
        <v>Eagle Grove</v>
      </c>
      <c r="C100" s="21">
        <f>INDEX(Data[],MATCH($A100,Data[Dist],0),MATCH(C$4,Data[#Headers],0))</f>
        <v>8031736</v>
      </c>
      <c r="D100" s="21">
        <f>INDEX(Data[],MATCH($A100,Data[Dist],0),MATCH(D$4,Data[#Headers],0))</f>
        <v>995</v>
      </c>
      <c r="E100" s="21">
        <f>INDEX(Data[],MATCH($A100,Data[Dist],0),MATCH(E$4,Data[#Headers],0))</f>
        <v>12778</v>
      </c>
      <c r="F100" s="21">
        <f>IF(Notes!$B$3="Pay 1 Regular State Payment Budget",0,INDEX(Data[],MATCH($A100,Data[Dist],0),MATCH(F$4,Data[#Headers],0)))</f>
        <v>22071</v>
      </c>
      <c r="G100" s="21">
        <f>IF(OR(Notes!$B$3="Pay 1 Regular State Payment Budget",Notes!$B$3="Pay 2 Regular State Payment Budget"),0,INDEX(Data[],MATCH($A100,Data[Dist],0),MATCH(G$4,Data[#Headers],0)))</f>
        <v>0</v>
      </c>
      <c r="H100" s="21">
        <f>INDEX(Data[],MATCH($A100,Data[Dist],0),MATCH(H$4,Data[#Headers],0))</f>
        <v>7995892</v>
      </c>
    </row>
    <row r="101" spans="1:8" s="20" customFormat="1" ht="12.75" x14ac:dyDescent="0.2">
      <c r="A101" s="19" t="str">
        <f>Data!B97</f>
        <v>1953</v>
      </c>
      <c r="B101" s="20" t="str">
        <f>INDEX(Data[],MATCH($A101,Data[Dist],0),MATCH(B$4,Data[#Headers],0))</f>
        <v>Earlham</v>
      </c>
      <c r="C101" s="21">
        <f>INDEX(Data[],MATCH($A101,Data[Dist],0),MATCH(C$4,Data[#Headers],0))</f>
        <v>4428343</v>
      </c>
      <c r="D101" s="21">
        <f>INDEX(Data[],MATCH($A101,Data[Dist],0),MATCH(D$4,Data[#Headers],0))</f>
        <v>630</v>
      </c>
      <c r="E101" s="21">
        <f>INDEX(Data[],MATCH($A101,Data[Dist],0),MATCH(E$4,Data[#Headers],0))</f>
        <v>0</v>
      </c>
      <c r="F101" s="21">
        <f>IF(Notes!$B$3="Pay 1 Regular State Payment Budget",0,INDEX(Data[],MATCH($A101,Data[Dist],0),MATCH(F$4,Data[#Headers],0)))</f>
        <v>12988</v>
      </c>
      <c r="G101" s="21">
        <f>IF(OR(Notes!$B$3="Pay 1 Regular State Payment Budget",Notes!$B$3="Pay 2 Regular State Payment Budget"),0,INDEX(Data[],MATCH($A101,Data[Dist],0),MATCH(G$4,Data[#Headers],0)))</f>
        <v>0</v>
      </c>
      <c r="H101" s="21">
        <f>INDEX(Data[],MATCH($A101,Data[Dist],0),MATCH(H$4,Data[#Headers],0))</f>
        <v>4414725</v>
      </c>
    </row>
    <row r="102" spans="1:8" s="20" customFormat="1" ht="12.75" x14ac:dyDescent="0.2">
      <c r="A102" s="19" t="str">
        <f>Data!B98</f>
        <v>1963</v>
      </c>
      <c r="B102" s="20" t="str">
        <f>INDEX(Data[],MATCH($A102,Data[Dist],0),MATCH(B$4,Data[#Headers],0))</f>
        <v>East Buchanan</v>
      </c>
      <c r="C102" s="21">
        <f>INDEX(Data[],MATCH($A102,Data[Dist],0),MATCH(C$4,Data[#Headers],0))</f>
        <v>4076190</v>
      </c>
      <c r="D102" s="21">
        <f>INDEX(Data[],MATCH($A102,Data[Dist],0),MATCH(D$4,Data[#Headers],0))</f>
        <v>564</v>
      </c>
      <c r="E102" s="21">
        <f>INDEX(Data[],MATCH($A102,Data[Dist],0),MATCH(E$4,Data[#Headers],0))</f>
        <v>0</v>
      </c>
      <c r="F102" s="21">
        <f>IF(Notes!$B$3="Pay 1 Regular State Payment Budget",0,INDEX(Data[],MATCH($A102,Data[Dist],0),MATCH(F$4,Data[#Headers],0)))</f>
        <v>12040</v>
      </c>
      <c r="G102" s="21">
        <f>IF(OR(Notes!$B$3="Pay 1 Regular State Payment Budget",Notes!$B$3="Pay 2 Regular State Payment Budget"),0,INDEX(Data[],MATCH($A102,Data[Dist],0),MATCH(G$4,Data[#Headers],0)))</f>
        <v>0</v>
      </c>
      <c r="H102" s="21">
        <f>INDEX(Data[],MATCH($A102,Data[Dist],0),MATCH(H$4,Data[#Headers],0))</f>
        <v>4063586</v>
      </c>
    </row>
    <row r="103" spans="1:8" s="20" customFormat="1" ht="12.75" x14ac:dyDescent="0.2">
      <c r="A103" s="19" t="str">
        <f>Data!B99</f>
        <v>1965</v>
      </c>
      <c r="B103" s="20" t="str">
        <f>INDEX(Data[],MATCH($A103,Data[Dist],0),MATCH(B$4,Data[#Headers],0))</f>
        <v>Easton Valley</v>
      </c>
      <c r="C103" s="21">
        <f>INDEX(Data[],MATCH($A103,Data[Dist],0),MATCH(C$4,Data[#Headers],0))</f>
        <v>4227807</v>
      </c>
      <c r="D103" s="21">
        <f>INDEX(Data[],MATCH($A103,Data[Dist],0),MATCH(D$4,Data[#Headers],0))</f>
        <v>481</v>
      </c>
      <c r="E103" s="21">
        <f>INDEX(Data[],MATCH($A103,Data[Dist],0),MATCH(E$4,Data[#Headers],0))</f>
        <v>0</v>
      </c>
      <c r="F103" s="21">
        <f>IF(Notes!$B$3="Pay 1 Regular State Payment Budget",0,INDEX(Data[],MATCH($A103,Data[Dist],0),MATCH(F$4,Data[#Headers],0)))</f>
        <v>12486</v>
      </c>
      <c r="G103" s="21">
        <f>IF(OR(Notes!$B$3="Pay 1 Regular State Payment Budget",Notes!$B$3="Pay 2 Regular State Payment Budget"),0,INDEX(Data[],MATCH($A103,Data[Dist],0),MATCH(G$4,Data[#Headers],0)))</f>
        <v>0</v>
      </c>
      <c r="H103" s="21">
        <f>INDEX(Data[],MATCH($A103,Data[Dist],0),MATCH(H$4,Data[#Headers],0))</f>
        <v>4214840</v>
      </c>
    </row>
    <row r="104" spans="1:8" s="20" customFormat="1" ht="12.75" x14ac:dyDescent="0.2">
      <c r="A104" s="19" t="str">
        <f>Data!B100</f>
        <v>1970</v>
      </c>
      <c r="B104" s="20" t="str">
        <f>INDEX(Data[],MATCH($A104,Data[Dist],0),MATCH(B$4,Data[#Headers],0))</f>
        <v>East Union</v>
      </c>
      <c r="C104" s="21">
        <f>INDEX(Data[],MATCH($A104,Data[Dist],0),MATCH(C$4,Data[#Headers],0))</f>
        <v>3519772</v>
      </c>
      <c r="D104" s="21">
        <f>INDEX(Data[],MATCH($A104,Data[Dist],0),MATCH(D$4,Data[#Headers],0))</f>
        <v>431</v>
      </c>
      <c r="E104" s="21">
        <f>INDEX(Data[],MATCH($A104,Data[Dist],0),MATCH(E$4,Data[#Headers],0))</f>
        <v>0</v>
      </c>
      <c r="F104" s="21">
        <f>IF(Notes!$B$3="Pay 1 Regular State Payment Budget",0,INDEX(Data[],MATCH($A104,Data[Dist],0),MATCH(F$4,Data[#Headers],0)))</f>
        <v>9810</v>
      </c>
      <c r="G104" s="21">
        <f>IF(OR(Notes!$B$3="Pay 1 Regular State Payment Budget",Notes!$B$3="Pay 2 Regular State Payment Budget"),0,INDEX(Data[],MATCH($A104,Data[Dist],0),MATCH(G$4,Data[#Headers],0)))</f>
        <v>0</v>
      </c>
      <c r="H104" s="21">
        <f>INDEX(Data[],MATCH($A104,Data[Dist],0),MATCH(H$4,Data[#Headers],0))</f>
        <v>3509531</v>
      </c>
    </row>
    <row r="105" spans="1:8" s="20" customFormat="1" ht="12.75" x14ac:dyDescent="0.2">
      <c r="A105" s="19" t="str">
        <f>Data!B101</f>
        <v>1972</v>
      </c>
      <c r="B105" s="20" t="str">
        <f>INDEX(Data[],MATCH($A105,Data[Dist],0),MATCH(B$4,Data[#Headers],0))</f>
        <v>Eastern Allamakee</v>
      </c>
      <c r="C105" s="21">
        <f>INDEX(Data[],MATCH($A105,Data[Dist],0),MATCH(C$4,Data[#Headers],0))</f>
        <v>1871677</v>
      </c>
      <c r="D105" s="21">
        <f>INDEX(Data[],MATCH($A105,Data[Dist],0),MATCH(D$4,Data[#Headers],0))</f>
        <v>299</v>
      </c>
      <c r="E105" s="21">
        <f>INDEX(Data[],MATCH($A105,Data[Dist],0),MATCH(E$4,Data[#Headers],0))</f>
        <v>0</v>
      </c>
      <c r="F105" s="21">
        <f>IF(Notes!$B$3="Pay 1 Regular State Payment Budget",0,INDEX(Data[],MATCH($A105,Data[Dist],0),MATCH(F$4,Data[#Headers],0)))</f>
        <v>6787</v>
      </c>
      <c r="G105" s="21">
        <f>IF(OR(Notes!$B$3="Pay 1 Regular State Payment Budget",Notes!$B$3="Pay 2 Regular State Payment Budget"),0,INDEX(Data[],MATCH($A105,Data[Dist],0),MATCH(G$4,Data[#Headers],0)))</f>
        <v>0</v>
      </c>
      <c r="H105" s="21">
        <f>INDEX(Data[],MATCH($A105,Data[Dist],0),MATCH(H$4,Data[#Headers],0))</f>
        <v>1864591</v>
      </c>
    </row>
    <row r="106" spans="1:8" s="20" customFormat="1" ht="12.75" x14ac:dyDescent="0.2">
      <c r="A106" s="19" t="str">
        <f>Data!B102</f>
        <v>1975</v>
      </c>
      <c r="B106" s="20" t="str">
        <f>INDEX(Data[],MATCH($A106,Data[Dist],0),MATCH(B$4,Data[#Headers],0))</f>
        <v>River Valley</v>
      </c>
      <c r="C106" s="21">
        <f>INDEX(Data[],MATCH($A106,Data[Dist],0),MATCH(C$4,Data[#Headers],0))</f>
        <v>2499159</v>
      </c>
      <c r="D106" s="21">
        <f>INDEX(Data[],MATCH($A106,Data[Dist],0),MATCH(D$4,Data[#Headers],0))</f>
        <v>182</v>
      </c>
      <c r="E106" s="21">
        <f>INDEX(Data[],MATCH($A106,Data[Dist],0),MATCH(E$4,Data[#Headers],0))</f>
        <v>0</v>
      </c>
      <c r="F106" s="21">
        <f>IF(Notes!$B$3="Pay 1 Regular State Payment Budget",0,INDEX(Data[],MATCH($A106,Data[Dist],0),MATCH(F$4,Data[#Headers],0)))</f>
        <v>8359</v>
      </c>
      <c r="G106" s="21">
        <f>IF(OR(Notes!$B$3="Pay 1 Regular State Payment Budget",Notes!$B$3="Pay 2 Regular State Payment Budget"),0,INDEX(Data[],MATCH($A106,Data[Dist],0),MATCH(G$4,Data[#Headers],0)))</f>
        <v>0</v>
      </c>
      <c r="H106" s="21">
        <f>INDEX(Data[],MATCH($A106,Data[Dist],0),MATCH(H$4,Data[#Headers],0))</f>
        <v>2490618</v>
      </c>
    </row>
    <row r="107" spans="1:8" s="20" customFormat="1" ht="12.75" x14ac:dyDescent="0.2">
      <c r="A107" s="19" t="str">
        <f>Data!B103</f>
        <v>1989</v>
      </c>
      <c r="B107" s="20" t="str">
        <f>INDEX(Data[],MATCH($A107,Data[Dist],0),MATCH(B$4,Data[#Headers],0))</f>
        <v>Edgewood-Colesburg</v>
      </c>
      <c r="C107" s="21">
        <f>INDEX(Data[],MATCH($A107,Data[Dist],0),MATCH(C$4,Data[#Headers],0))</f>
        <v>2919934</v>
      </c>
      <c r="D107" s="21">
        <f>INDEX(Data[],MATCH($A107,Data[Dist],0),MATCH(D$4,Data[#Headers],0))</f>
        <v>448</v>
      </c>
      <c r="E107" s="21">
        <f>INDEX(Data[],MATCH($A107,Data[Dist],0),MATCH(E$4,Data[#Headers],0))</f>
        <v>0</v>
      </c>
      <c r="F107" s="21">
        <f>IF(Notes!$B$3="Pay 1 Regular State Payment Budget",0,INDEX(Data[],MATCH($A107,Data[Dist],0),MATCH(F$4,Data[#Headers],0)))</f>
        <v>8830</v>
      </c>
      <c r="G107" s="21">
        <f>IF(OR(Notes!$B$3="Pay 1 Regular State Payment Budget",Notes!$B$3="Pay 2 Regular State Payment Budget"),0,INDEX(Data[],MATCH($A107,Data[Dist],0),MATCH(G$4,Data[#Headers],0)))</f>
        <v>0</v>
      </c>
      <c r="H107" s="21">
        <f>INDEX(Data[],MATCH($A107,Data[Dist],0),MATCH(H$4,Data[#Headers],0))</f>
        <v>2910656</v>
      </c>
    </row>
    <row r="108" spans="1:8" s="20" customFormat="1" ht="12.75" x14ac:dyDescent="0.2">
      <c r="A108" s="19" t="str">
        <f>Data!B104</f>
        <v>2007</v>
      </c>
      <c r="B108" s="20" t="str">
        <f>INDEX(Data[],MATCH($A108,Data[Dist],0),MATCH(B$4,Data[#Headers],0))</f>
        <v>Eldora-New Providence</v>
      </c>
      <c r="C108" s="21">
        <f>INDEX(Data[],MATCH($A108,Data[Dist],0),MATCH(C$4,Data[#Headers],0))</f>
        <v>4265283</v>
      </c>
      <c r="D108" s="21">
        <f>INDEX(Data[],MATCH($A108,Data[Dist],0),MATCH(D$4,Data[#Headers],0))</f>
        <v>448</v>
      </c>
      <c r="E108" s="21">
        <f>INDEX(Data[],MATCH($A108,Data[Dist],0),MATCH(E$4,Data[#Headers],0))</f>
        <v>2374</v>
      </c>
      <c r="F108" s="21">
        <f>IF(Notes!$B$3="Pay 1 Regular State Payment Budget",0,INDEX(Data[],MATCH($A108,Data[Dist],0),MATCH(F$4,Data[#Headers],0)))</f>
        <v>12182</v>
      </c>
      <c r="G108" s="21">
        <f>IF(OR(Notes!$B$3="Pay 1 Regular State Payment Budget",Notes!$B$3="Pay 2 Regular State Payment Budget"),0,INDEX(Data[],MATCH($A108,Data[Dist],0),MATCH(G$4,Data[#Headers],0)))</f>
        <v>0</v>
      </c>
      <c r="H108" s="21">
        <f>INDEX(Data[],MATCH($A108,Data[Dist],0),MATCH(H$4,Data[#Headers],0))</f>
        <v>4250279</v>
      </c>
    </row>
    <row r="109" spans="1:8" s="20" customFormat="1" ht="12.75" x14ac:dyDescent="0.2">
      <c r="A109" s="19" t="str">
        <f>Data!B105</f>
        <v>2088</v>
      </c>
      <c r="B109" s="20" t="str">
        <f>INDEX(Data[],MATCH($A109,Data[Dist],0),MATCH(B$4,Data[#Headers],0))</f>
        <v>Emmetsburg</v>
      </c>
      <c r="C109" s="21">
        <f>INDEX(Data[],MATCH($A109,Data[Dist],0),MATCH(C$4,Data[#Headers],0))</f>
        <v>4076887</v>
      </c>
      <c r="D109" s="21">
        <f>INDEX(Data[],MATCH($A109,Data[Dist],0),MATCH(D$4,Data[#Headers],0))</f>
        <v>697</v>
      </c>
      <c r="E109" s="21">
        <f>INDEX(Data[],MATCH($A109,Data[Dist],0),MATCH(E$4,Data[#Headers],0))</f>
        <v>2245</v>
      </c>
      <c r="F109" s="21">
        <f>IF(Notes!$B$3="Pay 1 Regular State Payment Budget",0,INDEX(Data[],MATCH($A109,Data[Dist],0),MATCH(F$4,Data[#Headers],0)))</f>
        <v>14468</v>
      </c>
      <c r="G109" s="21">
        <f>IF(OR(Notes!$B$3="Pay 1 Regular State Payment Budget",Notes!$B$3="Pay 2 Regular State Payment Budget"),0,INDEX(Data[],MATCH($A109,Data[Dist],0),MATCH(G$4,Data[#Headers],0)))</f>
        <v>0</v>
      </c>
      <c r="H109" s="21">
        <f>INDEX(Data[],MATCH($A109,Data[Dist],0),MATCH(H$4,Data[#Headers],0))</f>
        <v>4059477</v>
      </c>
    </row>
    <row r="110" spans="1:8" s="20" customFormat="1" ht="12.75" x14ac:dyDescent="0.2">
      <c r="A110" s="19" t="str">
        <f>Data!B106</f>
        <v>2097</v>
      </c>
      <c r="B110" s="20" t="str">
        <f>INDEX(Data[],MATCH($A110,Data[Dist],0),MATCH(B$4,Data[#Headers],0))</f>
        <v>English Valleys</v>
      </c>
      <c r="C110" s="21">
        <f>INDEX(Data[],MATCH($A110,Data[Dist],0),MATCH(C$4,Data[#Headers],0))</f>
        <v>3138888</v>
      </c>
      <c r="D110" s="21">
        <f>INDEX(Data[],MATCH($A110,Data[Dist],0),MATCH(D$4,Data[#Headers],0))</f>
        <v>332</v>
      </c>
      <c r="E110" s="21">
        <f>INDEX(Data[],MATCH($A110,Data[Dist],0),MATCH(E$4,Data[#Headers],0))</f>
        <v>0</v>
      </c>
      <c r="F110" s="21">
        <f>IF(Notes!$B$3="Pay 1 Regular State Payment Budget",0,INDEX(Data[],MATCH($A110,Data[Dist],0),MATCH(F$4,Data[#Headers],0)))</f>
        <v>10123</v>
      </c>
      <c r="G110" s="21">
        <f>IF(OR(Notes!$B$3="Pay 1 Regular State Payment Budget",Notes!$B$3="Pay 2 Regular State Payment Budget"),0,INDEX(Data[],MATCH($A110,Data[Dist],0),MATCH(G$4,Data[#Headers],0)))</f>
        <v>0</v>
      </c>
      <c r="H110" s="21">
        <f>INDEX(Data[],MATCH($A110,Data[Dist],0),MATCH(H$4,Data[#Headers],0))</f>
        <v>3128433</v>
      </c>
    </row>
    <row r="111" spans="1:8" s="20" customFormat="1" ht="12.75" x14ac:dyDescent="0.2">
      <c r="A111" s="19" t="str">
        <f>Data!B107</f>
        <v>2113</v>
      </c>
      <c r="B111" s="20" t="str">
        <f>INDEX(Data[],MATCH($A111,Data[Dist],0),MATCH(B$4,Data[#Headers],0))</f>
        <v>Essex</v>
      </c>
      <c r="C111" s="21">
        <f>INDEX(Data[],MATCH($A111,Data[Dist],0),MATCH(C$4,Data[#Headers],0))</f>
        <v>1372644</v>
      </c>
      <c r="D111" s="21">
        <f>INDEX(Data[],MATCH($A111,Data[Dist],0),MATCH(D$4,Data[#Headers],0))</f>
        <v>282</v>
      </c>
      <c r="E111" s="21">
        <f>INDEX(Data[],MATCH($A111,Data[Dist],0),MATCH(E$4,Data[#Headers],0))</f>
        <v>7771</v>
      </c>
      <c r="F111" s="21">
        <f>IF(Notes!$B$3="Pay 1 Regular State Payment Budget",0,INDEX(Data[],MATCH($A111,Data[Dist],0),MATCH(F$4,Data[#Headers],0)))</f>
        <v>3969</v>
      </c>
      <c r="G111" s="21">
        <f>IF(OR(Notes!$B$3="Pay 1 Regular State Payment Budget",Notes!$B$3="Pay 2 Regular State Payment Budget"),0,INDEX(Data[],MATCH($A111,Data[Dist],0),MATCH(G$4,Data[#Headers],0)))</f>
        <v>0</v>
      </c>
      <c r="H111" s="21">
        <f>INDEX(Data[],MATCH($A111,Data[Dist],0),MATCH(H$4,Data[#Headers],0))</f>
        <v>1360622</v>
      </c>
    </row>
    <row r="112" spans="1:8" s="20" customFormat="1" ht="12.75" x14ac:dyDescent="0.2">
      <c r="A112" s="19" t="str">
        <f>Data!B108</f>
        <v>2124</v>
      </c>
      <c r="B112" s="20" t="str">
        <f>INDEX(Data[],MATCH($A112,Data[Dist],0),MATCH(B$4,Data[#Headers],0))</f>
        <v>Estherville-Lincoln Central</v>
      </c>
      <c r="C112" s="21">
        <f>INDEX(Data[],MATCH($A112,Data[Dist],0),MATCH(C$4,Data[#Headers],0))</f>
        <v>9259330</v>
      </c>
      <c r="D112" s="21">
        <f>INDEX(Data[],MATCH($A112,Data[Dist],0),MATCH(D$4,Data[#Headers],0))</f>
        <v>1161</v>
      </c>
      <c r="E112" s="21">
        <f>INDEX(Data[],MATCH($A112,Data[Dist],0),MATCH(E$4,Data[#Headers],0))</f>
        <v>0</v>
      </c>
      <c r="F112" s="21">
        <f>IF(Notes!$B$3="Pay 1 Regular State Payment Budget",0,INDEX(Data[],MATCH($A112,Data[Dist],0),MATCH(F$4,Data[#Headers],0)))</f>
        <v>26312</v>
      </c>
      <c r="G112" s="21">
        <f>IF(OR(Notes!$B$3="Pay 1 Regular State Payment Budget",Notes!$B$3="Pay 2 Regular State Payment Budget"),0,INDEX(Data[],MATCH($A112,Data[Dist],0),MATCH(G$4,Data[#Headers],0)))</f>
        <v>0</v>
      </c>
      <c r="H112" s="21">
        <f>INDEX(Data[],MATCH($A112,Data[Dist],0),MATCH(H$4,Data[#Headers],0))</f>
        <v>9231857</v>
      </c>
    </row>
    <row r="113" spans="1:8" s="20" customFormat="1" ht="12.75" x14ac:dyDescent="0.2">
      <c r="A113" s="19" t="str">
        <f>Data!B109</f>
        <v>2151</v>
      </c>
      <c r="B113" s="20" t="str">
        <f>INDEX(Data[],MATCH($A113,Data[Dist],0),MATCH(B$4,Data[#Headers],0))</f>
        <v>Exira-Elk Horn-Kimballton</v>
      </c>
      <c r="C113" s="21">
        <f>INDEX(Data[],MATCH($A113,Data[Dist],0),MATCH(C$4,Data[#Headers],0))</f>
        <v>2800293</v>
      </c>
      <c r="D113" s="21">
        <f>INDEX(Data[],MATCH($A113,Data[Dist],0),MATCH(D$4,Data[#Headers],0))</f>
        <v>282</v>
      </c>
      <c r="E113" s="21">
        <f>INDEX(Data[],MATCH($A113,Data[Dist],0),MATCH(E$4,Data[#Headers],0))</f>
        <v>0</v>
      </c>
      <c r="F113" s="21">
        <f>IF(Notes!$B$3="Pay 1 Regular State Payment Budget",0,INDEX(Data[],MATCH($A113,Data[Dist],0),MATCH(F$4,Data[#Headers],0)))</f>
        <v>9393</v>
      </c>
      <c r="G113" s="21">
        <f>IF(OR(Notes!$B$3="Pay 1 Regular State Payment Budget",Notes!$B$3="Pay 2 Regular State Payment Budget"),0,INDEX(Data[],MATCH($A113,Data[Dist],0),MATCH(G$4,Data[#Headers],0)))</f>
        <v>0</v>
      </c>
      <c r="H113" s="21">
        <f>INDEX(Data[],MATCH($A113,Data[Dist],0),MATCH(H$4,Data[#Headers],0))</f>
        <v>2790618</v>
      </c>
    </row>
    <row r="114" spans="1:8" s="20" customFormat="1" ht="12.75" x14ac:dyDescent="0.2">
      <c r="A114" s="19" t="str">
        <f>Data!B110</f>
        <v>2169</v>
      </c>
      <c r="B114" s="20" t="str">
        <f>INDEX(Data[],MATCH($A114,Data[Dist],0),MATCH(B$4,Data[#Headers],0))</f>
        <v>Fairfield</v>
      </c>
      <c r="C114" s="21">
        <f>INDEX(Data[],MATCH($A114,Data[Dist],0),MATCH(C$4,Data[#Headers],0))</f>
        <v>10196900</v>
      </c>
      <c r="D114" s="21">
        <f>INDEX(Data[],MATCH($A114,Data[Dist],0),MATCH(D$4,Data[#Headers],0))</f>
        <v>779</v>
      </c>
      <c r="E114" s="21">
        <f>INDEX(Data[],MATCH($A114,Data[Dist],0),MATCH(E$4,Data[#Headers],0))</f>
        <v>19038</v>
      </c>
      <c r="F114" s="21">
        <f>IF(Notes!$B$3="Pay 1 Regular State Payment Budget",0,INDEX(Data[],MATCH($A114,Data[Dist],0),MATCH(F$4,Data[#Headers],0)))</f>
        <v>34370</v>
      </c>
      <c r="G114" s="21">
        <f>IF(OR(Notes!$B$3="Pay 1 Regular State Payment Budget",Notes!$B$3="Pay 2 Regular State Payment Budget"),0,INDEX(Data[],MATCH($A114,Data[Dist],0),MATCH(G$4,Data[#Headers],0)))</f>
        <v>0</v>
      </c>
      <c r="H114" s="21">
        <f>INDEX(Data[],MATCH($A114,Data[Dist],0),MATCH(H$4,Data[#Headers],0))</f>
        <v>10142713</v>
      </c>
    </row>
    <row r="115" spans="1:8" s="20" customFormat="1" ht="12.75" x14ac:dyDescent="0.2">
      <c r="A115" s="19" t="str">
        <f>Data!B111</f>
        <v>2295</v>
      </c>
      <c r="B115" s="20" t="str">
        <f>INDEX(Data[],MATCH($A115,Data[Dist],0),MATCH(B$4,Data[#Headers],0))</f>
        <v>Forest City</v>
      </c>
      <c r="C115" s="21">
        <f>INDEX(Data[],MATCH($A115,Data[Dist],0),MATCH(C$4,Data[#Headers],0))</f>
        <v>7851861</v>
      </c>
      <c r="D115" s="21">
        <f>INDEX(Data[],MATCH($A115,Data[Dist],0),MATCH(D$4,Data[#Headers],0))</f>
        <v>912</v>
      </c>
      <c r="E115" s="21">
        <f>INDEX(Data[],MATCH($A115,Data[Dist],0),MATCH(E$4,Data[#Headers],0))</f>
        <v>7771</v>
      </c>
      <c r="F115" s="21">
        <f>IF(Notes!$B$3="Pay 1 Regular State Payment Budget",0,INDEX(Data[],MATCH($A115,Data[Dist],0),MATCH(F$4,Data[#Headers],0)))</f>
        <v>23781</v>
      </c>
      <c r="G115" s="21">
        <f>IF(OR(Notes!$B$3="Pay 1 Regular State Payment Budget",Notes!$B$3="Pay 2 Regular State Payment Budget"),0,INDEX(Data[],MATCH($A115,Data[Dist],0),MATCH(G$4,Data[#Headers],0)))</f>
        <v>0</v>
      </c>
      <c r="H115" s="21">
        <f>INDEX(Data[],MATCH($A115,Data[Dist],0),MATCH(H$4,Data[#Headers],0))</f>
        <v>7819397</v>
      </c>
    </row>
    <row r="116" spans="1:8" s="20" customFormat="1" ht="12.75" x14ac:dyDescent="0.2">
      <c r="A116" s="19" t="str">
        <f>Data!B112</f>
        <v>2313</v>
      </c>
      <c r="B116" s="20" t="str">
        <f>INDEX(Data[],MATCH($A116,Data[Dist],0),MATCH(B$4,Data[#Headers],0))</f>
        <v>Fort Dodge</v>
      </c>
      <c r="C116" s="21">
        <f>INDEX(Data[],MATCH($A116,Data[Dist],0),MATCH(C$4,Data[#Headers],0))</f>
        <v>29408691</v>
      </c>
      <c r="D116" s="21">
        <f>INDEX(Data[],MATCH($A116,Data[Dist],0),MATCH(D$4,Data[#Headers],0))</f>
        <v>3466</v>
      </c>
      <c r="E116" s="21">
        <f>INDEX(Data[],MATCH($A116,Data[Dist],0),MATCH(E$4,Data[#Headers],0))</f>
        <v>6627</v>
      </c>
      <c r="F116" s="21">
        <f>IF(Notes!$B$3="Pay 1 Regular State Payment Budget",0,INDEX(Data[],MATCH($A116,Data[Dist],0),MATCH(F$4,Data[#Headers],0)))</f>
        <v>79332</v>
      </c>
      <c r="G116" s="21">
        <f>IF(OR(Notes!$B$3="Pay 1 Regular State Payment Budget",Notes!$B$3="Pay 2 Regular State Payment Budget"),0,INDEX(Data[],MATCH($A116,Data[Dist],0),MATCH(G$4,Data[#Headers],0)))</f>
        <v>0</v>
      </c>
      <c r="H116" s="21">
        <f>INDEX(Data[],MATCH($A116,Data[Dist],0),MATCH(H$4,Data[#Headers],0))</f>
        <v>29319266</v>
      </c>
    </row>
    <row r="117" spans="1:8" s="20" customFormat="1" ht="12.75" x14ac:dyDescent="0.2">
      <c r="A117" s="19" t="str">
        <f>Data!B113</f>
        <v>2322</v>
      </c>
      <c r="B117" s="20" t="str">
        <f>INDEX(Data[],MATCH($A117,Data[Dist],0),MATCH(B$4,Data[#Headers],0))</f>
        <v>Fort Madison</v>
      </c>
      <c r="C117" s="21">
        <f>INDEX(Data[],MATCH($A117,Data[Dist],0),MATCH(C$4,Data[#Headers],0))</f>
        <v>15726146</v>
      </c>
      <c r="D117" s="21">
        <f>INDEX(Data[],MATCH($A117,Data[Dist],0),MATCH(D$4,Data[#Headers],0))</f>
        <v>945</v>
      </c>
      <c r="E117" s="21">
        <f>INDEX(Data[],MATCH($A117,Data[Dist],0),MATCH(E$4,Data[#Headers],0))</f>
        <v>5504</v>
      </c>
      <c r="F117" s="21">
        <f>IF(Notes!$B$3="Pay 1 Regular State Payment Budget",0,INDEX(Data[],MATCH($A117,Data[Dist],0),MATCH(F$4,Data[#Headers],0)))</f>
        <v>46507</v>
      </c>
      <c r="G117" s="21">
        <f>IF(OR(Notes!$B$3="Pay 1 Regular State Payment Budget",Notes!$B$3="Pay 2 Regular State Payment Budget"),0,INDEX(Data[],MATCH($A117,Data[Dist],0),MATCH(G$4,Data[#Headers],0)))</f>
        <v>0</v>
      </c>
      <c r="H117" s="21">
        <f>INDEX(Data[],MATCH($A117,Data[Dist],0),MATCH(H$4,Data[#Headers],0))</f>
        <v>15673190</v>
      </c>
    </row>
    <row r="118" spans="1:8" s="20" customFormat="1" ht="12.75" x14ac:dyDescent="0.2">
      <c r="A118" s="19" t="str">
        <f>Data!B114</f>
        <v>2369</v>
      </c>
      <c r="B118" s="20" t="str">
        <f>INDEX(Data[],MATCH($A118,Data[Dist],0),MATCH(B$4,Data[#Headers],0))</f>
        <v>Fremont-Mills</v>
      </c>
      <c r="C118" s="21">
        <f>INDEX(Data[],MATCH($A118,Data[Dist],0),MATCH(C$4,Data[#Headers],0))</f>
        <v>3342548</v>
      </c>
      <c r="D118" s="21">
        <f>INDEX(Data[],MATCH($A118,Data[Dist],0),MATCH(D$4,Data[#Headers],0))</f>
        <v>415</v>
      </c>
      <c r="E118" s="21">
        <f>INDEX(Data[],MATCH($A118,Data[Dist],0),MATCH(E$4,Data[#Headers],0))</f>
        <v>23312</v>
      </c>
      <c r="F118" s="21">
        <f>IF(Notes!$B$3="Pay 1 Regular State Payment Budget",0,INDEX(Data[],MATCH($A118,Data[Dist],0),MATCH(F$4,Data[#Headers],0)))</f>
        <v>10026</v>
      </c>
      <c r="G118" s="21">
        <f>IF(OR(Notes!$B$3="Pay 1 Regular State Payment Budget",Notes!$B$3="Pay 2 Regular State Payment Budget"),0,INDEX(Data[],MATCH($A118,Data[Dist],0),MATCH(G$4,Data[#Headers],0)))</f>
        <v>0</v>
      </c>
      <c r="H118" s="21">
        <f>INDEX(Data[],MATCH($A118,Data[Dist],0),MATCH(H$4,Data[#Headers],0))</f>
        <v>3308795</v>
      </c>
    </row>
    <row r="119" spans="1:8" s="20" customFormat="1" ht="12.75" x14ac:dyDescent="0.2">
      <c r="A119" s="19" t="str">
        <f>Data!B115</f>
        <v>2376</v>
      </c>
      <c r="B119" s="20" t="str">
        <f>INDEX(Data[],MATCH($A119,Data[Dist],0),MATCH(B$4,Data[#Headers],0))</f>
        <v>Galva-Holstein</v>
      </c>
      <c r="C119" s="21">
        <f>INDEX(Data[],MATCH($A119,Data[Dist],0),MATCH(C$4,Data[#Headers],0))</f>
        <v>2878042</v>
      </c>
      <c r="D119" s="21">
        <f>INDEX(Data[],MATCH($A119,Data[Dist],0),MATCH(D$4,Data[#Headers],0))</f>
        <v>580</v>
      </c>
      <c r="E119" s="21">
        <f>INDEX(Data[],MATCH($A119,Data[Dist],0),MATCH(E$4,Data[#Headers],0))</f>
        <v>0</v>
      </c>
      <c r="F119" s="21">
        <f>IF(Notes!$B$3="Pay 1 Regular State Payment Budget",0,INDEX(Data[],MATCH($A119,Data[Dist],0),MATCH(F$4,Data[#Headers],0)))</f>
        <v>10317</v>
      </c>
      <c r="G119" s="21">
        <f>IF(OR(Notes!$B$3="Pay 1 Regular State Payment Budget",Notes!$B$3="Pay 2 Regular State Payment Budget"),0,INDEX(Data[],MATCH($A119,Data[Dist],0),MATCH(G$4,Data[#Headers],0)))</f>
        <v>0</v>
      </c>
      <c r="H119" s="21">
        <f>INDEX(Data[],MATCH($A119,Data[Dist],0),MATCH(H$4,Data[#Headers],0))</f>
        <v>2867145</v>
      </c>
    </row>
    <row r="120" spans="1:8" s="20" customFormat="1" ht="12.75" x14ac:dyDescent="0.2">
      <c r="A120" s="19" t="str">
        <f>Data!B116</f>
        <v>2403</v>
      </c>
      <c r="B120" s="20" t="str">
        <f>INDEX(Data[],MATCH($A120,Data[Dist],0),MATCH(B$4,Data[#Headers],0))</f>
        <v>Garner-Hayfield-Ventura</v>
      </c>
      <c r="C120" s="21">
        <f>INDEX(Data[],MATCH($A120,Data[Dist],0),MATCH(C$4,Data[#Headers],0))</f>
        <v>4558872</v>
      </c>
      <c r="D120" s="21">
        <f>INDEX(Data[],MATCH($A120,Data[Dist],0),MATCH(D$4,Data[#Headers],0))</f>
        <v>1095</v>
      </c>
      <c r="E120" s="21">
        <f>INDEX(Data[],MATCH($A120,Data[Dist],0),MATCH(E$4,Data[#Headers],0))</f>
        <v>0</v>
      </c>
      <c r="F120" s="21">
        <f>IF(Notes!$B$3="Pay 1 Regular State Payment Budget",0,INDEX(Data[],MATCH($A120,Data[Dist],0),MATCH(F$4,Data[#Headers],0)))</f>
        <v>19037</v>
      </c>
      <c r="G120" s="21">
        <f>IF(OR(Notes!$B$3="Pay 1 Regular State Payment Budget",Notes!$B$3="Pay 2 Regular State Payment Budget"),0,INDEX(Data[],MATCH($A120,Data[Dist],0),MATCH(G$4,Data[#Headers],0)))</f>
        <v>0</v>
      </c>
      <c r="H120" s="21">
        <f>INDEX(Data[],MATCH($A120,Data[Dist],0),MATCH(H$4,Data[#Headers],0))</f>
        <v>4538740</v>
      </c>
    </row>
    <row r="121" spans="1:8" s="20" customFormat="1" ht="12.75" x14ac:dyDescent="0.2">
      <c r="A121" s="19" t="str">
        <f>Data!B117</f>
        <v>2457</v>
      </c>
      <c r="B121" s="20" t="str">
        <f>INDEX(Data[],MATCH($A121,Data[Dist],0),MATCH(B$4,Data[#Headers],0))</f>
        <v>George-Little Rock</v>
      </c>
      <c r="C121" s="21">
        <f>INDEX(Data[],MATCH($A121,Data[Dist],0),MATCH(C$4,Data[#Headers],0))</f>
        <v>2949434</v>
      </c>
      <c r="D121" s="21">
        <f>INDEX(Data[],MATCH($A121,Data[Dist],0),MATCH(D$4,Data[#Headers],0))</f>
        <v>332</v>
      </c>
      <c r="E121" s="21">
        <f>INDEX(Data[],MATCH($A121,Data[Dist],0),MATCH(E$4,Data[#Headers],0))</f>
        <v>0</v>
      </c>
      <c r="F121" s="21">
        <f>IF(Notes!$B$3="Pay 1 Regular State Payment Budget",0,INDEX(Data[],MATCH($A121,Data[Dist],0),MATCH(F$4,Data[#Headers],0)))</f>
        <v>10227</v>
      </c>
      <c r="G121" s="21">
        <f>IF(OR(Notes!$B$3="Pay 1 Regular State Payment Budget",Notes!$B$3="Pay 2 Regular State Payment Budget"),0,INDEX(Data[],MATCH($A121,Data[Dist],0),MATCH(G$4,Data[#Headers],0)))</f>
        <v>0</v>
      </c>
      <c r="H121" s="21">
        <f>INDEX(Data[],MATCH($A121,Data[Dist],0),MATCH(H$4,Data[#Headers],0))</f>
        <v>2938875</v>
      </c>
    </row>
    <row r="122" spans="1:8" s="20" customFormat="1" ht="12.75" x14ac:dyDescent="0.2">
      <c r="A122" s="19" t="str">
        <f>Data!B118</f>
        <v>2466</v>
      </c>
      <c r="B122" s="20" t="str">
        <f>INDEX(Data[],MATCH($A122,Data[Dist],0),MATCH(B$4,Data[#Headers],0))</f>
        <v>Gilbert</v>
      </c>
      <c r="C122" s="21">
        <f>INDEX(Data[],MATCH($A122,Data[Dist],0),MATCH(C$4,Data[#Headers],0))</f>
        <v>10554083</v>
      </c>
      <c r="D122" s="21">
        <f>INDEX(Data[],MATCH($A122,Data[Dist],0),MATCH(D$4,Data[#Headers],0))</f>
        <v>995</v>
      </c>
      <c r="E122" s="21">
        <f>INDEX(Data[],MATCH($A122,Data[Dist],0),MATCH(E$4,Data[#Headers],0))</f>
        <v>0</v>
      </c>
      <c r="F122" s="21">
        <f>IF(Notes!$B$3="Pay 1 Regular State Payment Budget",0,INDEX(Data[],MATCH($A122,Data[Dist],0),MATCH(F$4,Data[#Headers],0)))</f>
        <v>36213</v>
      </c>
      <c r="G122" s="21">
        <f>IF(OR(Notes!$B$3="Pay 1 Regular State Payment Budget",Notes!$B$3="Pay 2 Regular State Payment Budget"),0,INDEX(Data[],MATCH($A122,Data[Dist],0),MATCH(G$4,Data[#Headers],0)))</f>
        <v>0</v>
      </c>
      <c r="H122" s="21">
        <f>INDEX(Data[],MATCH($A122,Data[Dist],0),MATCH(H$4,Data[#Headers],0))</f>
        <v>10516875</v>
      </c>
    </row>
    <row r="123" spans="1:8" s="20" customFormat="1" ht="12.75" x14ac:dyDescent="0.2">
      <c r="A123" s="19" t="str">
        <f>Data!B119</f>
        <v>2493</v>
      </c>
      <c r="B123" s="20" t="str">
        <f>INDEX(Data[],MATCH($A123,Data[Dist],0),MATCH(B$4,Data[#Headers],0))</f>
        <v>Gilmore City-Bradgate</v>
      </c>
      <c r="C123" s="21">
        <f>INDEX(Data[],MATCH($A123,Data[Dist],0),MATCH(C$4,Data[#Headers],0))</f>
        <v>1116634</v>
      </c>
      <c r="D123" s="21">
        <f>INDEX(Data[],MATCH($A123,Data[Dist],0),MATCH(D$4,Data[#Headers],0))</f>
        <v>265</v>
      </c>
      <c r="E123" s="21">
        <f>INDEX(Data[],MATCH($A123,Data[Dist],0),MATCH(E$4,Data[#Headers],0))</f>
        <v>0</v>
      </c>
      <c r="F123" s="21">
        <f>IF(Notes!$B$3="Pay 1 Regular State Payment Budget",0,INDEX(Data[],MATCH($A123,Data[Dist],0),MATCH(F$4,Data[#Headers],0)))</f>
        <v>3591</v>
      </c>
      <c r="G123" s="21">
        <f>IF(OR(Notes!$B$3="Pay 1 Regular State Payment Budget",Notes!$B$3="Pay 2 Regular State Payment Budget"),0,INDEX(Data[],MATCH($A123,Data[Dist],0),MATCH(G$4,Data[#Headers],0)))</f>
        <v>0</v>
      </c>
      <c r="H123" s="21">
        <f>INDEX(Data[],MATCH($A123,Data[Dist],0),MATCH(H$4,Data[#Headers],0))</f>
        <v>1112778</v>
      </c>
    </row>
    <row r="124" spans="1:8" s="20" customFormat="1" ht="12.75" x14ac:dyDescent="0.2">
      <c r="A124" s="19" t="str">
        <f>Data!B120</f>
        <v>2502</v>
      </c>
      <c r="B124" s="20" t="str">
        <f>INDEX(Data[],MATCH($A124,Data[Dist],0),MATCH(B$4,Data[#Headers],0))</f>
        <v>Gladbrook-Reinbeck</v>
      </c>
      <c r="C124" s="21">
        <f>INDEX(Data[],MATCH($A124,Data[Dist],0),MATCH(C$4,Data[#Headers],0))</f>
        <v>4235655</v>
      </c>
      <c r="D124" s="21">
        <f>INDEX(Data[],MATCH($A124,Data[Dist],0),MATCH(D$4,Data[#Headers],0))</f>
        <v>514</v>
      </c>
      <c r="E124" s="21">
        <f>INDEX(Data[],MATCH($A124,Data[Dist],0),MATCH(E$4,Data[#Headers],0))</f>
        <v>0</v>
      </c>
      <c r="F124" s="21">
        <f>IF(Notes!$B$3="Pay 1 Regular State Payment Budget",0,INDEX(Data[],MATCH($A124,Data[Dist],0),MATCH(F$4,Data[#Headers],0)))</f>
        <v>13838</v>
      </c>
      <c r="G124" s="21">
        <f>IF(OR(Notes!$B$3="Pay 1 Regular State Payment Budget",Notes!$B$3="Pay 2 Regular State Payment Budget"),0,INDEX(Data[],MATCH($A124,Data[Dist],0),MATCH(G$4,Data[#Headers],0)))</f>
        <v>0</v>
      </c>
      <c r="H124" s="21">
        <f>INDEX(Data[],MATCH($A124,Data[Dist],0),MATCH(H$4,Data[#Headers],0))</f>
        <v>4221303</v>
      </c>
    </row>
    <row r="125" spans="1:8" s="20" customFormat="1" ht="12.75" x14ac:dyDescent="0.2">
      <c r="A125" s="19" t="str">
        <f>Data!B121</f>
        <v>2511</v>
      </c>
      <c r="B125" s="20" t="str">
        <f>INDEX(Data[],MATCH($A125,Data[Dist],0),MATCH(B$4,Data[#Headers],0))</f>
        <v>Glenwood</v>
      </c>
      <c r="C125" s="21">
        <f>INDEX(Data[],MATCH($A125,Data[Dist],0),MATCH(C$4,Data[#Headers],0))</f>
        <v>13653218</v>
      </c>
      <c r="D125" s="21">
        <f>INDEX(Data[],MATCH($A125,Data[Dist],0),MATCH(D$4,Data[#Headers],0))</f>
        <v>896</v>
      </c>
      <c r="E125" s="21">
        <f>INDEX(Data[],MATCH($A125,Data[Dist],0),MATCH(E$4,Data[#Headers],0))</f>
        <v>0</v>
      </c>
      <c r="F125" s="21">
        <f>IF(Notes!$B$3="Pay 1 Regular State Payment Budget",0,INDEX(Data[],MATCH($A125,Data[Dist],0),MATCH(F$4,Data[#Headers],0)))</f>
        <v>43441</v>
      </c>
      <c r="G125" s="21">
        <f>IF(OR(Notes!$B$3="Pay 1 Regular State Payment Budget",Notes!$B$3="Pay 2 Regular State Payment Budget"),0,INDEX(Data[],MATCH($A125,Data[Dist],0),MATCH(G$4,Data[#Headers],0)))</f>
        <v>0</v>
      </c>
      <c r="H125" s="21">
        <f>INDEX(Data[],MATCH($A125,Data[Dist],0),MATCH(H$4,Data[#Headers],0))</f>
        <v>13608881</v>
      </c>
    </row>
    <row r="126" spans="1:8" s="20" customFormat="1" ht="12.75" x14ac:dyDescent="0.2">
      <c r="A126" s="19" t="str">
        <f>Data!B122</f>
        <v>2520</v>
      </c>
      <c r="B126" s="20" t="str">
        <f>INDEX(Data[],MATCH($A126,Data[Dist],0),MATCH(B$4,Data[#Headers],0))</f>
        <v>Glidden-Ralston</v>
      </c>
      <c r="C126" s="21">
        <f>INDEX(Data[],MATCH($A126,Data[Dist],0),MATCH(C$4,Data[#Headers],0))</f>
        <v>2142510</v>
      </c>
      <c r="D126" s="21">
        <f>INDEX(Data[],MATCH($A126,Data[Dist],0),MATCH(D$4,Data[#Headers],0))</f>
        <v>448</v>
      </c>
      <c r="E126" s="21">
        <f>INDEX(Data[],MATCH($A126,Data[Dist],0),MATCH(E$4,Data[#Headers],0))</f>
        <v>0</v>
      </c>
      <c r="F126" s="21">
        <f>IF(Notes!$B$3="Pay 1 Regular State Payment Budget",0,INDEX(Data[],MATCH($A126,Data[Dist],0),MATCH(F$4,Data[#Headers],0)))</f>
        <v>6922</v>
      </c>
      <c r="G126" s="21">
        <f>IF(OR(Notes!$B$3="Pay 1 Regular State Payment Budget",Notes!$B$3="Pay 2 Regular State Payment Budget"),0,INDEX(Data[],MATCH($A126,Data[Dist],0),MATCH(G$4,Data[#Headers],0)))</f>
        <v>0</v>
      </c>
      <c r="H126" s="21">
        <f>INDEX(Data[],MATCH($A126,Data[Dist],0),MATCH(H$4,Data[#Headers],0))</f>
        <v>2135140</v>
      </c>
    </row>
    <row r="127" spans="1:8" s="20" customFormat="1" ht="12.75" x14ac:dyDescent="0.2">
      <c r="A127" s="19" t="str">
        <f>Data!B123</f>
        <v>2556</v>
      </c>
      <c r="B127" s="20" t="str">
        <f>INDEX(Data[],MATCH($A127,Data[Dist],0),MATCH(B$4,Data[#Headers],0))</f>
        <v>Graettinger-Terril</v>
      </c>
      <c r="C127" s="21">
        <f>INDEX(Data[],MATCH($A127,Data[Dist],0),MATCH(C$4,Data[#Headers],0))</f>
        <v>2095164</v>
      </c>
      <c r="D127" s="21">
        <f>INDEX(Data[],MATCH($A127,Data[Dist],0),MATCH(D$4,Data[#Headers],0))</f>
        <v>249</v>
      </c>
      <c r="E127" s="21">
        <f>INDEX(Data[],MATCH($A127,Data[Dist],0),MATCH(E$4,Data[#Headers],0))</f>
        <v>0</v>
      </c>
      <c r="F127" s="21">
        <f>IF(Notes!$B$3="Pay 1 Regular State Payment Budget",0,INDEX(Data[],MATCH($A127,Data[Dist],0),MATCH(F$4,Data[#Headers],0)))</f>
        <v>8461</v>
      </c>
      <c r="G127" s="21">
        <f>IF(OR(Notes!$B$3="Pay 1 Regular State Payment Budget",Notes!$B$3="Pay 2 Regular State Payment Budget"),0,INDEX(Data[],MATCH($A127,Data[Dist],0),MATCH(G$4,Data[#Headers],0)))</f>
        <v>0</v>
      </c>
      <c r="H127" s="21">
        <f>INDEX(Data[],MATCH($A127,Data[Dist],0),MATCH(H$4,Data[#Headers],0))</f>
        <v>2086454</v>
      </c>
    </row>
    <row r="128" spans="1:8" s="20" customFormat="1" ht="12.75" x14ac:dyDescent="0.2">
      <c r="A128" s="19" t="str">
        <f>Data!B124</f>
        <v>2673</v>
      </c>
      <c r="B128" s="20" t="str">
        <f>INDEX(Data[],MATCH($A128,Data[Dist],0),MATCH(B$4,Data[#Headers],0))</f>
        <v>Nodaway Valley</v>
      </c>
      <c r="C128" s="21">
        <f>INDEX(Data[],MATCH($A128,Data[Dist],0),MATCH(C$4,Data[#Headers],0))</f>
        <v>5052567</v>
      </c>
      <c r="D128" s="21">
        <f>INDEX(Data[],MATCH($A128,Data[Dist],0),MATCH(D$4,Data[#Headers],0))</f>
        <v>33</v>
      </c>
      <c r="E128" s="21">
        <f>INDEX(Data[],MATCH($A128,Data[Dist],0),MATCH(E$4,Data[#Headers],0))</f>
        <v>0</v>
      </c>
      <c r="F128" s="21">
        <f>IF(Notes!$B$3="Pay 1 Regular State Payment Budget",0,INDEX(Data[],MATCH($A128,Data[Dist],0),MATCH(F$4,Data[#Headers],0)))</f>
        <v>14964</v>
      </c>
      <c r="G128" s="21">
        <f>IF(OR(Notes!$B$3="Pay 1 Regular State Payment Budget",Notes!$B$3="Pay 2 Regular State Payment Budget"),0,INDEX(Data[],MATCH($A128,Data[Dist],0),MATCH(G$4,Data[#Headers],0)))</f>
        <v>0</v>
      </c>
      <c r="H128" s="21">
        <f>INDEX(Data[],MATCH($A128,Data[Dist],0),MATCH(H$4,Data[#Headers],0))</f>
        <v>5037570</v>
      </c>
    </row>
    <row r="129" spans="1:8" s="20" customFormat="1" ht="12.75" x14ac:dyDescent="0.2">
      <c r="A129" s="19" t="str">
        <f>Data!B125</f>
        <v>2682</v>
      </c>
      <c r="B129" s="20" t="str">
        <f>INDEX(Data[],MATCH($A129,Data[Dist],0),MATCH(B$4,Data[#Headers],0))</f>
        <v>GMG</v>
      </c>
      <c r="C129" s="21">
        <f>INDEX(Data[],MATCH($A129,Data[Dist],0),MATCH(C$4,Data[#Headers],0))</f>
        <v>1737151</v>
      </c>
      <c r="D129" s="21">
        <f>INDEX(Data[],MATCH($A129,Data[Dist],0),MATCH(D$4,Data[#Headers],0))</f>
        <v>398</v>
      </c>
      <c r="E129" s="21">
        <f>INDEX(Data[],MATCH($A129,Data[Dist],0),MATCH(E$4,Data[#Headers],0))</f>
        <v>0</v>
      </c>
      <c r="F129" s="21">
        <f>IF(Notes!$B$3="Pay 1 Regular State Payment Budget",0,INDEX(Data[],MATCH($A129,Data[Dist],0),MATCH(F$4,Data[#Headers],0)))</f>
        <v>5548</v>
      </c>
      <c r="G129" s="21">
        <f>IF(OR(Notes!$B$3="Pay 1 Regular State Payment Budget",Notes!$B$3="Pay 2 Regular State Payment Budget"),0,INDEX(Data[],MATCH($A129,Data[Dist],0),MATCH(G$4,Data[#Headers],0)))</f>
        <v>0</v>
      </c>
      <c r="H129" s="21">
        <f>INDEX(Data[],MATCH($A129,Data[Dist],0),MATCH(H$4,Data[#Headers],0))</f>
        <v>1731205</v>
      </c>
    </row>
    <row r="130" spans="1:8" s="20" customFormat="1" ht="12.75" x14ac:dyDescent="0.2">
      <c r="A130" s="19" t="str">
        <f>Data!B126</f>
        <v>2709</v>
      </c>
      <c r="B130" s="20" t="str">
        <f>INDEX(Data[],MATCH($A130,Data[Dist],0),MATCH(B$4,Data[#Headers],0))</f>
        <v>Grinnell-Newburg</v>
      </c>
      <c r="C130" s="21">
        <f>INDEX(Data[],MATCH($A130,Data[Dist],0),MATCH(C$4,Data[#Headers],0))</f>
        <v>11193614</v>
      </c>
      <c r="D130" s="21">
        <f>INDEX(Data[],MATCH($A130,Data[Dist],0),MATCH(D$4,Data[#Headers],0))</f>
        <v>1310</v>
      </c>
      <c r="E130" s="21">
        <f>INDEX(Data[],MATCH($A130,Data[Dist],0),MATCH(E$4,Data[#Headers],0))</f>
        <v>0</v>
      </c>
      <c r="F130" s="21">
        <f>IF(Notes!$B$3="Pay 1 Regular State Payment Budget",0,INDEX(Data[],MATCH($A130,Data[Dist],0),MATCH(F$4,Data[#Headers],0)))</f>
        <v>33685</v>
      </c>
      <c r="G130" s="21">
        <f>IF(OR(Notes!$B$3="Pay 1 Regular State Payment Budget",Notes!$B$3="Pay 2 Regular State Payment Budget"),0,INDEX(Data[],MATCH($A130,Data[Dist],0),MATCH(G$4,Data[#Headers],0)))</f>
        <v>0</v>
      </c>
      <c r="H130" s="21">
        <f>INDEX(Data[],MATCH($A130,Data[Dist],0),MATCH(H$4,Data[#Headers],0))</f>
        <v>11158619</v>
      </c>
    </row>
    <row r="131" spans="1:8" s="20" customFormat="1" ht="12.75" x14ac:dyDescent="0.2">
      <c r="A131" s="19" t="str">
        <f>Data!B127</f>
        <v>2718</v>
      </c>
      <c r="B131" s="20" t="str">
        <f>INDEX(Data[],MATCH($A131,Data[Dist],0),MATCH(B$4,Data[#Headers],0))</f>
        <v>Griswold</v>
      </c>
      <c r="C131" s="21">
        <f>INDEX(Data[],MATCH($A131,Data[Dist],0),MATCH(C$4,Data[#Headers],0))</f>
        <v>3180500</v>
      </c>
      <c r="D131" s="21">
        <f>INDEX(Data[],MATCH($A131,Data[Dist],0),MATCH(D$4,Data[#Headers],0))</f>
        <v>415</v>
      </c>
      <c r="E131" s="21">
        <f>INDEX(Data[],MATCH($A131,Data[Dist],0),MATCH(E$4,Data[#Headers],0))</f>
        <v>0</v>
      </c>
      <c r="F131" s="21">
        <f>IF(Notes!$B$3="Pay 1 Regular State Payment Budget",0,INDEX(Data[],MATCH($A131,Data[Dist],0),MATCH(F$4,Data[#Headers],0)))</f>
        <v>10355</v>
      </c>
      <c r="G131" s="21">
        <f>IF(OR(Notes!$B$3="Pay 1 Regular State Payment Budget",Notes!$B$3="Pay 2 Regular State Payment Budget"),0,INDEX(Data[],MATCH($A131,Data[Dist],0),MATCH(G$4,Data[#Headers],0)))</f>
        <v>0</v>
      </c>
      <c r="H131" s="21">
        <f>INDEX(Data[],MATCH($A131,Data[Dist],0),MATCH(H$4,Data[#Headers],0))</f>
        <v>3169730</v>
      </c>
    </row>
    <row r="132" spans="1:8" s="20" customFormat="1" ht="12.75" x14ac:dyDescent="0.2">
      <c r="A132" s="19" t="str">
        <f>Data!B128</f>
        <v>2727</v>
      </c>
      <c r="B132" s="20" t="str">
        <f>INDEX(Data[],MATCH($A132,Data[Dist],0),MATCH(B$4,Data[#Headers],0))</f>
        <v>Grundy Center</v>
      </c>
      <c r="C132" s="21">
        <f>INDEX(Data[],MATCH($A132,Data[Dist],0),MATCH(C$4,Data[#Headers],0))</f>
        <v>5083798</v>
      </c>
      <c r="D132" s="21">
        <f>INDEX(Data[],MATCH($A132,Data[Dist],0),MATCH(D$4,Data[#Headers],0))</f>
        <v>846</v>
      </c>
      <c r="E132" s="21">
        <f>INDEX(Data[],MATCH($A132,Data[Dist],0),MATCH(E$4,Data[#Headers],0))</f>
        <v>0</v>
      </c>
      <c r="F132" s="21">
        <f>IF(Notes!$B$3="Pay 1 Regular State Payment Budget",0,INDEX(Data[],MATCH($A132,Data[Dist],0),MATCH(F$4,Data[#Headers],0)))</f>
        <v>15097</v>
      </c>
      <c r="G132" s="21">
        <f>IF(OR(Notes!$B$3="Pay 1 Regular State Payment Budget",Notes!$B$3="Pay 2 Regular State Payment Budget"),0,INDEX(Data[],MATCH($A132,Data[Dist],0),MATCH(G$4,Data[#Headers],0)))</f>
        <v>0</v>
      </c>
      <c r="H132" s="21">
        <f>INDEX(Data[],MATCH($A132,Data[Dist],0),MATCH(H$4,Data[#Headers],0))</f>
        <v>5067855</v>
      </c>
    </row>
    <row r="133" spans="1:8" s="20" customFormat="1" ht="12.75" x14ac:dyDescent="0.2">
      <c r="A133" s="19" t="str">
        <f>Data!B129</f>
        <v>2754</v>
      </c>
      <c r="B133" s="20" t="str">
        <f>INDEX(Data[],MATCH($A133,Data[Dist],0),MATCH(B$4,Data[#Headers],0))</f>
        <v>Guthrie Center</v>
      </c>
      <c r="C133" s="21">
        <f>INDEX(Data[],MATCH($A133,Data[Dist],0),MATCH(C$4,Data[#Headers],0))</f>
        <v>2873057</v>
      </c>
      <c r="D133" s="21">
        <f>INDEX(Data[],MATCH($A133,Data[Dist],0),MATCH(D$4,Data[#Headers],0))</f>
        <v>498</v>
      </c>
      <c r="E133" s="21">
        <f>INDEX(Data[],MATCH($A133,Data[Dist],0),MATCH(E$4,Data[#Headers],0))</f>
        <v>0</v>
      </c>
      <c r="F133" s="21">
        <f>IF(Notes!$B$3="Pay 1 Regular State Payment Budget",0,INDEX(Data[],MATCH($A133,Data[Dist],0),MATCH(F$4,Data[#Headers],0)))</f>
        <v>8907</v>
      </c>
      <c r="G133" s="21">
        <f>IF(OR(Notes!$B$3="Pay 1 Regular State Payment Budget",Notes!$B$3="Pay 2 Regular State Payment Budget"),0,INDEX(Data[],MATCH($A133,Data[Dist],0),MATCH(G$4,Data[#Headers],0)))</f>
        <v>0</v>
      </c>
      <c r="H133" s="21">
        <f>INDEX(Data[],MATCH($A133,Data[Dist],0),MATCH(H$4,Data[#Headers],0))</f>
        <v>2863652</v>
      </c>
    </row>
    <row r="134" spans="1:8" s="20" customFormat="1" ht="12.75" x14ac:dyDescent="0.2">
      <c r="A134" s="19" t="str">
        <f>Data!B130</f>
        <v>2763</v>
      </c>
      <c r="B134" s="20" t="str">
        <f>INDEX(Data[],MATCH($A134,Data[Dist],0),MATCH(B$4,Data[#Headers],0))</f>
        <v>Clayton Ridge</v>
      </c>
      <c r="C134" s="21">
        <f>INDEX(Data[],MATCH($A134,Data[Dist],0),MATCH(C$4,Data[#Headers],0))</f>
        <v>3985009</v>
      </c>
      <c r="D134" s="21">
        <f>INDEX(Data[],MATCH($A134,Data[Dist],0),MATCH(D$4,Data[#Headers],0))</f>
        <v>564</v>
      </c>
      <c r="E134" s="21">
        <f>INDEX(Data[],MATCH($A134,Data[Dist],0),MATCH(E$4,Data[#Headers],0))</f>
        <v>0</v>
      </c>
      <c r="F134" s="21">
        <f>IF(Notes!$B$3="Pay 1 Regular State Payment Budget",0,INDEX(Data[],MATCH($A134,Data[Dist],0),MATCH(F$4,Data[#Headers],0)))</f>
        <v>14146</v>
      </c>
      <c r="G134" s="21">
        <f>IF(OR(Notes!$B$3="Pay 1 Regular State Payment Budget",Notes!$B$3="Pay 2 Regular State Payment Budget"),0,INDEX(Data[],MATCH($A134,Data[Dist],0),MATCH(G$4,Data[#Headers],0)))</f>
        <v>0</v>
      </c>
      <c r="H134" s="21">
        <f>INDEX(Data[],MATCH($A134,Data[Dist],0),MATCH(H$4,Data[#Headers],0))</f>
        <v>3970299</v>
      </c>
    </row>
    <row r="135" spans="1:8" s="20" customFormat="1" ht="12.75" x14ac:dyDescent="0.2">
      <c r="A135" s="19" t="str">
        <f>Data!B131</f>
        <v>2766</v>
      </c>
      <c r="B135" s="20" t="str">
        <f>INDEX(Data[],MATCH($A135,Data[Dist],0),MATCH(B$4,Data[#Headers],0))</f>
        <v>HLV</v>
      </c>
      <c r="C135" s="21">
        <f>INDEX(Data[],MATCH($A135,Data[Dist],0),MATCH(C$4,Data[#Headers],0))</f>
        <v>2222298</v>
      </c>
      <c r="D135" s="21">
        <f>INDEX(Data[],MATCH($A135,Data[Dist],0),MATCH(D$4,Data[#Headers],0))</f>
        <v>315</v>
      </c>
      <c r="E135" s="21">
        <f>INDEX(Data[],MATCH($A135,Data[Dist],0),MATCH(E$4,Data[#Headers],0))</f>
        <v>0</v>
      </c>
      <c r="F135" s="21">
        <f>IF(Notes!$B$3="Pay 1 Regular State Payment Budget",0,INDEX(Data[],MATCH($A135,Data[Dist],0),MATCH(F$4,Data[#Headers],0)))</f>
        <v>7114</v>
      </c>
      <c r="G135" s="21">
        <f>IF(OR(Notes!$B$3="Pay 1 Regular State Payment Budget",Notes!$B$3="Pay 2 Regular State Payment Budget"),0,INDEX(Data[],MATCH($A135,Data[Dist],0),MATCH(G$4,Data[#Headers],0)))</f>
        <v>0</v>
      </c>
      <c r="H135" s="21">
        <f>INDEX(Data[],MATCH($A135,Data[Dist],0),MATCH(H$4,Data[#Headers],0))</f>
        <v>2214869</v>
      </c>
    </row>
    <row r="136" spans="1:8" s="20" customFormat="1" ht="12.75" x14ac:dyDescent="0.2">
      <c r="A136" s="19" t="str">
        <f>Data!B132</f>
        <v>2772</v>
      </c>
      <c r="B136" s="20" t="str">
        <f>INDEX(Data[],MATCH($A136,Data[Dist],0),MATCH(B$4,Data[#Headers],0))</f>
        <v>Hamburg</v>
      </c>
      <c r="C136" s="21">
        <f>INDEX(Data[],MATCH($A136,Data[Dist],0),MATCH(C$4,Data[#Headers],0))</f>
        <v>1331488</v>
      </c>
      <c r="D136" s="21">
        <f>INDEX(Data[],MATCH($A136,Data[Dist],0),MATCH(D$4,Data[#Headers],0))</f>
        <v>133</v>
      </c>
      <c r="E136" s="21">
        <f>INDEX(Data[],MATCH($A136,Data[Dist],0),MATCH(E$4,Data[#Headers],0))</f>
        <v>246161</v>
      </c>
      <c r="F136" s="21">
        <f>IF(Notes!$B$3="Pay 1 Regular State Payment Budget",0,INDEX(Data[],MATCH($A136,Data[Dist],0),MATCH(F$4,Data[#Headers],0)))</f>
        <v>4685</v>
      </c>
      <c r="G136" s="21">
        <f>IF(OR(Notes!$B$3="Pay 1 Regular State Payment Budget",Notes!$B$3="Pay 2 Regular State Payment Budget"),0,INDEX(Data[],MATCH($A136,Data[Dist],0),MATCH(G$4,Data[#Headers],0)))</f>
        <v>0</v>
      </c>
      <c r="H136" s="21">
        <f>INDEX(Data[],MATCH($A136,Data[Dist],0),MATCH(H$4,Data[#Headers],0))</f>
        <v>1080509</v>
      </c>
    </row>
    <row r="137" spans="1:8" s="20" customFormat="1" ht="12.75" x14ac:dyDescent="0.2">
      <c r="A137" s="19" t="str">
        <f>Data!B133</f>
        <v>2781</v>
      </c>
      <c r="B137" s="20" t="str">
        <f>INDEX(Data[],MATCH($A137,Data[Dist],0),MATCH(B$4,Data[#Headers],0))</f>
        <v>Hampton-Dumont</v>
      </c>
      <c r="C137" s="21">
        <f>INDEX(Data[],MATCH($A137,Data[Dist],0),MATCH(C$4,Data[#Headers],0))</f>
        <v>8318087</v>
      </c>
      <c r="D137" s="21">
        <f>INDEX(Data[],MATCH($A137,Data[Dist],0),MATCH(D$4,Data[#Headers],0))</f>
        <v>846</v>
      </c>
      <c r="E137" s="21">
        <f>INDEX(Data[],MATCH($A137,Data[Dist],0),MATCH(E$4,Data[#Headers],0))</f>
        <v>13793</v>
      </c>
      <c r="F137" s="21">
        <f>IF(Notes!$B$3="Pay 1 Regular State Payment Budget",0,INDEX(Data[],MATCH($A137,Data[Dist],0),MATCH(F$4,Data[#Headers],0)))</f>
        <v>24578</v>
      </c>
      <c r="G137" s="21">
        <f>IF(OR(Notes!$B$3="Pay 1 Regular State Payment Budget",Notes!$B$3="Pay 2 Regular State Payment Budget"),0,INDEX(Data[],MATCH($A137,Data[Dist],0),MATCH(G$4,Data[#Headers],0)))</f>
        <v>0</v>
      </c>
      <c r="H137" s="21">
        <f>INDEX(Data[],MATCH($A137,Data[Dist],0),MATCH(H$4,Data[#Headers],0))</f>
        <v>8278870</v>
      </c>
    </row>
    <row r="138" spans="1:8" s="20" customFormat="1" ht="12.75" x14ac:dyDescent="0.2">
      <c r="A138" s="19" t="str">
        <f>Data!B134</f>
        <v>2826</v>
      </c>
      <c r="B138" s="20" t="str">
        <f>INDEX(Data[],MATCH($A138,Data[Dist],0),MATCH(B$4,Data[#Headers],0))</f>
        <v>Harlan</v>
      </c>
      <c r="C138" s="21">
        <f>INDEX(Data[],MATCH($A138,Data[Dist],0),MATCH(C$4,Data[#Headers],0))</f>
        <v>9740727</v>
      </c>
      <c r="D138" s="21">
        <f>INDEX(Data[],MATCH($A138,Data[Dist],0),MATCH(D$4,Data[#Headers],0))</f>
        <v>1410</v>
      </c>
      <c r="E138" s="21">
        <f>INDEX(Data[],MATCH($A138,Data[Dist],0),MATCH(E$4,Data[#Headers],0))</f>
        <v>0</v>
      </c>
      <c r="F138" s="21">
        <f>IF(Notes!$B$3="Pay 1 Regular State Payment Budget",0,INDEX(Data[],MATCH($A138,Data[Dist],0),MATCH(F$4,Data[#Headers],0)))</f>
        <v>30730</v>
      </c>
      <c r="G138" s="21">
        <f>IF(OR(Notes!$B$3="Pay 1 Regular State Payment Budget",Notes!$B$3="Pay 2 Regular State Payment Budget"),0,INDEX(Data[],MATCH($A138,Data[Dist],0),MATCH(G$4,Data[#Headers],0)))</f>
        <v>0</v>
      </c>
      <c r="H138" s="21">
        <f>INDEX(Data[],MATCH($A138,Data[Dist],0),MATCH(H$4,Data[#Headers],0))</f>
        <v>9708587</v>
      </c>
    </row>
    <row r="139" spans="1:8" s="20" customFormat="1" ht="12.75" x14ac:dyDescent="0.2">
      <c r="A139" s="19" t="str">
        <f>Data!B135</f>
        <v>2846</v>
      </c>
      <c r="B139" s="20" t="str">
        <f>INDEX(Data[],MATCH($A139,Data[Dist],0),MATCH(B$4,Data[#Headers],0))</f>
        <v>Harris-Lake Park</v>
      </c>
      <c r="C139" s="21">
        <f>INDEX(Data[],MATCH($A139,Data[Dist],0),MATCH(C$4,Data[#Headers],0))</f>
        <v>1384051</v>
      </c>
      <c r="D139" s="21">
        <f>INDEX(Data[],MATCH($A139,Data[Dist],0),MATCH(D$4,Data[#Headers],0))</f>
        <v>299</v>
      </c>
      <c r="E139" s="21">
        <f>INDEX(Data[],MATCH($A139,Data[Dist],0),MATCH(E$4,Data[#Headers],0))</f>
        <v>0</v>
      </c>
      <c r="F139" s="21">
        <f>IF(Notes!$B$3="Pay 1 Regular State Payment Budget",0,INDEX(Data[],MATCH($A139,Data[Dist],0),MATCH(F$4,Data[#Headers],0)))</f>
        <v>6713</v>
      </c>
      <c r="G139" s="21">
        <f>IF(OR(Notes!$B$3="Pay 1 Regular State Payment Budget",Notes!$B$3="Pay 2 Regular State Payment Budget"),0,INDEX(Data[],MATCH($A139,Data[Dist],0),MATCH(G$4,Data[#Headers],0)))</f>
        <v>0</v>
      </c>
      <c r="H139" s="21">
        <f>INDEX(Data[],MATCH($A139,Data[Dist],0),MATCH(H$4,Data[#Headers],0))</f>
        <v>1377039</v>
      </c>
    </row>
    <row r="140" spans="1:8" s="20" customFormat="1" ht="12.75" x14ac:dyDescent="0.2">
      <c r="A140" s="19" t="str">
        <f>Data!B136</f>
        <v>2862</v>
      </c>
      <c r="B140" s="20" t="str">
        <f>INDEX(Data[],MATCH($A140,Data[Dist],0),MATCH(B$4,Data[#Headers],0))</f>
        <v>Hartley-Melvin-Sanborn</v>
      </c>
      <c r="C140" s="21">
        <f>INDEX(Data[],MATCH($A140,Data[Dist],0),MATCH(C$4,Data[#Headers],0))</f>
        <v>3585572</v>
      </c>
      <c r="D140" s="21">
        <f>INDEX(Data[],MATCH($A140,Data[Dist],0),MATCH(D$4,Data[#Headers],0))</f>
        <v>713</v>
      </c>
      <c r="E140" s="21">
        <f>INDEX(Data[],MATCH($A140,Data[Dist],0),MATCH(E$4,Data[#Headers],0))</f>
        <v>0</v>
      </c>
      <c r="F140" s="21">
        <f>IF(Notes!$B$3="Pay 1 Regular State Payment Budget",0,INDEX(Data[],MATCH($A140,Data[Dist],0),MATCH(F$4,Data[#Headers],0)))</f>
        <v>14340</v>
      </c>
      <c r="G140" s="21">
        <f>IF(OR(Notes!$B$3="Pay 1 Regular State Payment Budget",Notes!$B$3="Pay 2 Regular State Payment Budget"),0,INDEX(Data[],MATCH($A140,Data[Dist],0),MATCH(G$4,Data[#Headers],0)))</f>
        <v>0</v>
      </c>
      <c r="H140" s="21">
        <f>INDEX(Data[],MATCH($A140,Data[Dist],0),MATCH(H$4,Data[#Headers],0))</f>
        <v>3570519</v>
      </c>
    </row>
    <row r="141" spans="1:8" s="20" customFormat="1" ht="12.75" x14ac:dyDescent="0.2">
      <c r="A141" s="19" t="str">
        <f>Data!B137</f>
        <v>2977</v>
      </c>
      <c r="B141" s="20" t="str">
        <f>INDEX(Data[],MATCH($A141,Data[Dist],0),MATCH(B$4,Data[#Headers],0))</f>
        <v>Highland</v>
      </c>
      <c r="C141" s="21">
        <f>INDEX(Data[],MATCH($A141,Data[Dist],0),MATCH(C$4,Data[#Headers],0))</f>
        <v>3829913</v>
      </c>
      <c r="D141" s="21">
        <f>INDEX(Data[],MATCH($A141,Data[Dist],0),MATCH(D$4,Data[#Headers],0))</f>
        <v>398</v>
      </c>
      <c r="E141" s="21">
        <f>INDEX(Data[],MATCH($A141,Data[Dist],0),MATCH(E$4,Data[#Headers],0))</f>
        <v>0</v>
      </c>
      <c r="F141" s="21">
        <f>IF(Notes!$B$3="Pay 1 Regular State Payment Budget",0,INDEX(Data[],MATCH($A141,Data[Dist],0),MATCH(F$4,Data[#Headers],0)))</f>
        <v>13272</v>
      </c>
      <c r="G141" s="21">
        <f>IF(OR(Notes!$B$3="Pay 1 Regular State Payment Budget",Notes!$B$3="Pay 2 Regular State Payment Budget"),0,INDEX(Data[],MATCH($A141,Data[Dist],0),MATCH(G$4,Data[#Headers],0)))</f>
        <v>0</v>
      </c>
      <c r="H141" s="21">
        <f>INDEX(Data[],MATCH($A141,Data[Dist],0),MATCH(H$4,Data[#Headers],0))</f>
        <v>3816243</v>
      </c>
    </row>
    <row r="142" spans="1:8" s="20" customFormat="1" ht="12.75" x14ac:dyDescent="0.2">
      <c r="A142" s="19" t="str">
        <f>Data!B138</f>
        <v>2988</v>
      </c>
      <c r="B142" s="20" t="str">
        <f>INDEX(Data[],MATCH($A142,Data[Dist],0),MATCH(B$4,Data[#Headers],0))</f>
        <v>Hinton</v>
      </c>
      <c r="C142" s="21">
        <f>INDEX(Data[],MATCH($A142,Data[Dist],0),MATCH(C$4,Data[#Headers],0))</f>
        <v>3967050</v>
      </c>
      <c r="D142" s="21">
        <f>INDEX(Data[],MATCH($A142,Data[Dist],0),MATCH(D$4,Data[#Headers],0))</f>
        <v>564</v>
      </c>
      <c r="E142" s="21">
        <f>INDEX(Data[],MATCH($A142,Data[Dist],0),MATCH(E$4,Data[#Headers],0))</f>
        <v>0</v>
      </c>
      <c r="F142" s="21">
        <f>IF(Notes!$B$3="Pay 1 Regular State Payment Budget",0,INDEX(Data[],MATCH($A142,Data[Dist],0),MATCH(F$4,Data[#Headers],0)))</f>
        <v>12662</v>
      </c>
      <c r="G142" s="21">
        <f>IF(OR(Notes!$B$3="Pay 1 Regular State Payment Budget",Notes!$B$3="Pay 2 Regular State Payment Budget"),0,INDEX(Data[],MATCH($A142,Data[Dist],0),MATCH(G$4,Data[#Headers],0)))</f>
        <v>0</v>
      </c>
      <c r="H142" s="21">
        <f>INDEX(Data[],MATCH($A142,Data[Dist],0),MATCH(H$4,Data[#Headers],0))</f>
        <v>3953824</v>
      </c>
    </row>
    <row r="143" spans="1:8" s="20" customFormat="1" ht="12.75" x14ac:dyDescent="0.2">
      <c r="A143" s="19" t="str">
        <f>Data!B139</f>
        <v>3029</v>
      </c>
      <c r="B143" s="20" t="str">
        <f>INDEX(Data[],MATCH($A143,Data[Dist],0),MATCH(B$4,Data[#Headers],0))</f>
        <v>Howard-Winneshiek</v>
      </c>
      <c r="C143" s="21">
        <f>INDEX(Data[],MATCH($A143,Data[Dist],0),MATCH(C$4,Data[#Headers],0))</f>
        <v>7900980</v>
      </c>
      <c r="D143" s="21">
        <f>INDEX(Data[],MATCH($A143,Data[Dist],0),MATCH(D$4,Data[#Headers],0))</f>
        <v>1211</v>
      </c>
      <c r="E143" s="21">
        <f>INDEX(Data[],MATCH($A143,Data[Dist],0),MATCH(E$4,Data[#Headers],0))</f>
        <v>0</v>
      </c>
      <c r="F143" s="21">
        <f>IF(Notes!$B$3="Pay 1 Regular State Payment Budget",0,INDEX(Data[],MATCH($A143,Data[Dist],0),MATCH(F$4,Data[#Headers],0)))</f>
        <v>25567</v>
      </c>
      <c r="G143" s="21">
        <f>IF(OR(Notes!$B$3="Pay 1 Regular State Payment Budget",Notes!$B$3="Pay 2 Regular State Payment Budget"),0,INDEX(Data[],MATCH($A143,Data[Dist],0),MATCH(G$4,Data[#Headers],0)))</f>
        <v>0</v>
      </c>
      <c r="H143" s="21">
        <f>INDEX(Data[],MATCH($A143,Data[Dist],0),MATCH(H$4,Data[#Headers],0))</f>
        <v>7874202</v>
      </c>
    </row>
    <row r="144" spans="1:8" s="20" customFormat="1" ht="12.75" x14ac:dyDescent="0.2">
      <c r="A144" s="19" t="str">
        <f>Data!B140</f>
        <v>3033</v>
      </c>
      <c r="B144" s="20" t="str">
        <f>INDEX(Data[],MATCH($A144,Data[Dist],0),MATCH(B$4,Data[#Headers],0))</f>
        <v>Hubbard-Radcliffe</v>
      </c>
      <c r="C144" s="21">
        <f>INDEX(Data[],MATCH($A144,Data[Dist],0),MATCH(C$4,Data[#Headers],0))</f>
        <v>2252389</v>
      </c>
      <c r="D144" s="21">
        <f>INDEX(Data[],MATCH($A144,Data[Dist],0),MATCH(D$4,Data[#Headers],0))</f>
        <v>332</v>
      </c>
      <c r="E144" s="21">
        <f>INDEX(Data[],MATCH($A144,Data[Dist],0),MATCH(E$4,Data[#Headers],0))</f>
        <v>0</v>
      </c>
      <c r="F144" s="21">
        <f>IF(Notes!$B$3="Pay 1 Regular State Payment Budget",0,INDEX(Data[],MATCH($A144,Data[Dist],0),MATCH(F$4,Data[#Headers],0)))</f>
        <v>9265</v>
      </c>
      <c r="G144" s="21">
        <f>IF(OR(Notes!$B$3="Pay 1 Regular State Payment Budget",Notes!$B$3="Pay 2 Regular State Payment Budget"),0,INDEX(Data[],MATCH($A144,Data[Dist],0),MATCH(G$4,Data[#Headers],0)))</f>
        <v>0</v>
      </c>
      <c r="H144" s="21">
        <f>INDEX(Data[],MATCH($A144,Data[Dist],0),MATCH(H$4,Data[#Headers],0))</f>
        <v>2242792</v>
      </c>
    </row>
    <row r="145" spans="1:8" s="20" customFormat="1" ht="12.75" x14ac:dyDescent="0.2">
      <c r="A145" s="19" t="str">
        <f>Data!B141</f>
        <v>3042</v>
      </c>
      <c r="B145" s="20" t="str">
        <f>INDEX(Data[],MATCH($A145,Data[Dist],0),MATCH(B$4,Data[#Headers],0))</f>
        <v>Hudson</v>
      </c>
      <c r="C145" s="21">
        <f>INDEX(Data[],MATCH($A145,Data[Dist],0),MATCH(C$4,Data[#Headers],0))</f>
        <v>6001501</v>
      </c>
      <c r="D145" s="21">
        <f>INDEX(Data[],MATCH($A145,Data[Dist],0),MATCH(D$4,Data[#Headers],0))</f>
        <v>813</v>
      </c>
      <c r="E145" s="21">
        <f>INDEX(Data[],MATCH($A145,Data[Dist],0),MATCH(E$4,Data[#Headers],0))</f>
        <v>0</v>
      </c>
      <c r="F145" s="21">
        <f>IF(Notes!$B$3="Pay 1 Regular State Payment Budget",0,INDEX(Data[],MATCH($A145,Data[Dist],0),MATCH(F$4,Data[#Headers],0)))</f>
        <v>16347</v>
      </c>
      <c r="G145" s="21">
        <f>IF(OR(Notes!$B$3="Pay 1 Regular State Payment Budget",Notes!$B$3="Pay 2 Regular State Payment Budget"),0,INDEX(Data[],MATCH($A145,Data[Dist],0),MATCH(G$4,Data[#Headers],0)))</f>
        <v>0</v>
      </c>
      <c r="H145" s="21">
        <f>INDEX(Data[],MATCH($A145,Data[Dist],0),MATCH(H$4,Data[#Headers],0))</f>
        <v>5984341</v>
      </c>
    </row>
    <row r="146" spans="1:8" s="20" customFormat="1" ht="12.75" x14ac:dyDescent="0.2">
      <c r="A146" s="19" t="str">
        <f>Data!B142</f>
        <v>3060</v>
      </c>
      <c r="B146" s="20" t="str">
        <f>INDEX(Data[],MATCH($A146,Data[Dist],0),MATCH(B$4,Data[#Headers],0))</f>
        <v>Humboldt</v>
      </c>
      <c r="C146" s="21">
        <f>INDEX(Data[],MATCH($A146,Data[Dist],0),MATCH(C$4,Data[#Headers],0))</f>
        <v>8548816</v>
      </c>
      <c r="D146" s="21">
        <f>INDEX(Data[],MATCH($A146,Data[Dist],0),MATCH(D$4,Data[#Headers],0))</f>
        <v>1161</v>
      </c>
      <c r="E146" s="21">
        <f>INDEX(Data[],MATCH($A146,Data[Dist],0),MATCH(E$4,Data[#Headers],0))</f>
        <v>6324</v>
      </c>
      <c r="F146" s="21">
        <f>IF(Notes!$B$3="Pay 1 Regular State Payment Budget",0,INDEX(Data[],MATCH($A146,Data[Dist],0),MATCH(F$4,Data[#Headers],0)))</f>
        <v>27362</v>
      </c>
      <c r="G146" s="21">
        <f>IF(OR(Notes!$B$3="Pay 1 Regular State Payment Budget",Notes!$B$3="Pay 2 Regular State Payment Budget"),0,INDEX(Data[],MATCH($A146,Data[Dist],0),MATCH(G$4,Data[#Headers],0)))</f>
        <v>0</v>
      </c>
      <c r="H146" s="21">
        <f>INDEX(Data[],MATCH($A146,Data[Dist],0),MATCH(H$4,Data[#Headers],0))</f>
        <v>8513969</v>
      </c>
    </row>
    <row r="147" spans="1:8" s="20" customFormat="1" ht="12.75" x14ac:dyDescent="0.2">
      <c r="A147" s="19" t="str">
        <f>Data!B143</f>
        <v>3105</v>
      </c>
      <c r="B147" s="20" t="str">
        <f>INDEX(Data[],MATCH($A147,Data[Dist],0),MATCH(B$4,Data[#Headers],0))</f>
        <v>Independence</v>
      </c>
      <c r="C147" s="21">
        <f>INDEX(Data[],MATCH($A147,Data[Dist],0),MATCH(C$4,Data[#Headers],0))</f>
        <v>10657323</v>
      </c>
      <c r="D147" s="21">
        <f>INDEX(Data[],MATCH($A147,Data[Dist],0),MATCH(D$4,Data[#Headers],0))</f>
        <v>1459</v>
      </c>
      <c r="E147" s="21">
        <f>INDEX(Data[],MATCH($A147,Data[Dist],0),MATCH(E$4,Data[#Headers],0))</f>
        <v>0</v>
      </c>
      <c r="F147" s="21">
        <f>IF(Notes!$B$3="Pay 1 Regular State Payment Budget",0,INDEX(Data[],MATCH($A147,Data[Dist],0),MATCH(F$4,Data[#Headers],0)))</f>
        <v>31034</v>
      </c>
      <c r="G147" s="21">
        <f>IF(OR(Notes!$B$3="Pay 1 Regular State Payment Budget",Notes!$B$3="Pay 2 Regular State Payment Budget"),0,INDEX(Data[],MATCH($A147,Data[Dist],0),MATCH(G$4,Data[#Headers],0)))</f>
        <v>0</v>
      </c>
      <c r="H147" s="21">
        <f>INDEX(Data[],MATCH($A147,Data[Dist],0),MATCH(H$4,Data[#Headers],0))</f>
        <v>10624830</v>
      </c>
    </row>
    <row r="148" spans="1:8" s="20" customFormat="1" ht="12.75" x14ac:dyDescent="0.2">
      <c r="A148" s="19" t="str">
        <f>Data!B144</f>
        <v>3114</v>
      </c>
      <c r="B148" s="20" t="str">
        <f>INDEX(Data[],MATCH($A148,Data[Dist],0),MATCH(B$4,Data[#Headers],0))</f>
        <v>Indianola</v>
      </c>
      <c r="C148" s="21">
        <f>INDEX(Data[],MATCH($A148,Data[Dist],0),MATCH(C$4,Data[#Headers],0))</f>
        <v>27264902</v>
      </c>
      <c r="D148" s="21">
        <f>INDEX(Data[],MATCH($A148,Data[Dist],0),MATCH(D$4,Data[#Headers],0))</f>
        <v>1940</v>
      </c>
      <c r="E148" s="21">
        <f>INDEX(Data[],MATCH($A148,Data[Dist],0),MATCH(E$4,Data[#Headers],0))</f>
        <v>0</v>
      </c>
      <c r="F148" s="21">
        <f>IF(Notes!$B$3="Pay 1 Regular State Payment Budget",0,INDEX(Data[],MATCH($A148,Data[Dist],0),MATCH(F$4,Data[#Headers],0)))</f>
        <v>77099</v>
      </c>
      <c r="G148" s="21">
        <f>IF(OR(Notes!$B$3="Pay 1 Regular State Payment Budget",Notes!$B$3="Pay 2 Regular State Payment Budget"),0,INDEX(Data[],MATCH($A148,Data[Dist],0),MATCH(G$4,Data[#Headers],0)))</f>
        <v>0</v>
      </c>
      <c r="H148" s="21">
        <f>INDEX(Data[],MATCH($A148,Data[Dist],0),MATCH(H$4,Data[#Headers],0))</f>
        <v>27185863</v>
      </c>
    </row>
    <row r="149" spans="1:8" s="20" customFormat="1" ht="12.75" x14ac:dyDescent="0.2">
      <c r="A149" s="19" t="str">
        <f>Data!B145</f>
        <v>3119</v>
      </c>
      <c r="B149" s="20" t="str">
        <f>INDEX(Data[],MATCH($A149,Data[Dist],0),MATCH(B$4,Data[#Headers],0))</f>
        <v>Interstate 35</v>
      </c>
      <c r="C149" s="21">
        <f>INDEX(Data[],MATCH($A149,Data[Dist],0),MATCH(C$4,Data[#Headers],0))</f>
        <v>6312745</v>
      </c>
      <c r="D149" s="21">
        <f>INDEX(Data[],MATCH($A149,Data[Dist],0),MATCH(D$4,Data[#Headers],0))</f>
        <v>680</v>
      </c>
      <c r="E149" s="21">
        <f>INDEX(Data[],MATCH($A149,Data[Dist],0),MATCH(E$4,Data[#Headers],0))</f>
        <v>0</v>
      </c>
      <c r="F149" s="21">
        <f>IF(Notes!$B$3="Pay 1 Regular State Payment Budget",0,INDEX(Data[],MATCH($A149,Data[Dist],0),MATCH(F$4,Data[#Headers],0)))</f>
        <v>18584</v>
      </c>
      <c r="G149" s="21">
        <f>IF(OR(Notes!$B$3="Pay 1 Regular State Payment Budget",Notes!$B$3="Pay 2 Regular State Payment Budget"),0,INDEX(Data[],MATCH($A149,Data[Dist],0),MATCH(G$4,Data[#Headers],0)))</f>
        <v>0</v>
      </c>
      <c r="H149" s="21">
        <f>INDEX(Data[],MATCH($A149,Data[Dist],0),MATCH(H$4,Data[#Headers],0))</f>
        <v>6293481</v>
      </c>
    </row>
    <row r="150" spans="1:8" s="20" customFormat="1" ht="12.75" x14ac:dyDescent="0.2">
      <c r="A150" s="19" t="str">
        <f>Data!B146</f>
        <v>3141</v>
      </c>
      <c r="B150" s="20" t="str">
        <f>INDEX(Data[],MATCH($A150,Data[Dist],0),MATCH(B$4,Data[#Headers],0))</f>
        <v>Iowa City</v>
      </c>
      <c r="C150" s="21">
        <f>INDEX(Data[],MATCH($A150,Data[Dist],0),MATCH(C$4,Data[#Headers],0))</f>
        <v>95998997</v>
      </c>
      <c r="D150" s="21">
        <f>INDEX(Data[],MATCH($A150,Data[Dist],0),MATCH(D$4,Data[#Headers],0))</f>
        <v>6982</v>
      </c>
      <c r="E150" s="21">
        <f>INDEX(Data[],MATCH($A150,Data[Dist],0),MATCH(E$4,Data[#Headers],0))</f>
        <v>0</v>
      </c>
      <c r="F150" s="21">
        <f>IF(Notes!$B$3="Pay 1 Regular State Payment Budget",0,INDEX(Data[],MATCH($A150,Data[Dist],0),MATCH(F$4,Data[#Headers],0)))</f>
        <v>323893</v>
      </c>
      <c r="G150" s="21">
        <f>IF(OR(Notes!$B$3="Pay 1 Regular State Payment Budget",Notes!$B$3="Pay 2 Regular State Payment Budget"),0,INDEX(Data[],MATCH($A150,Data[Dist],0),MATCH(G$4,Data[#Headers],0)))</f>
        <v>0</v>
      </c>
      <c r="H150" s="21">
        <f>INDEX(Data[],MATCH($A150,Data[Dist],0),MATCH(H$4,Data[#Headers],0))</f>
        <v>95668122</v>
      </c>
    </row>
    <row r="151" spans="1:8" s="20" customFormat="1" ht="12.75" x14ac:dyDescent="0.2">
      <c r="A151" s="19" t="str">
        <f>Data!B147</f>
        <v>3150</v>
      </c>
      <c r="B151" s="20" t="str">
        <f>INDEX(Data[],MATCH($A151,Data[Dist],0),MATCH(B$4,Data[#Headers],0))</f>
        <v>Iowa Falls</v>
      </c>
      <c r="C151" s="21">
        <f>INDEX(Data[],MATCH($A151,Data[Dist],0),MATCH(C$4,Data[#Headers],0))</f>
        <v>7365355</v>
      </c>
      <c r="D151" s="21">
        <f>INDEX(Data[],MATCH($A151,Data[Dist],0),MATCH(D$4,Data[#Headers],0))</f>
        <v>1012</v>
      </c>
      <c r="E151" s="21">
        <f>INDEX(Data[],MATCH($A151,Data[Dist],0),MATCH(E$4,Data[#Headers],0))</f>
        <v>0</v>
      </c>
      <c r="F151" s="21">
        <f>IF(Notes!$B$3="Pay 1 Regular State Payment Budget",0,INDEX(Data[],MATCH($A151,Data[Dist],0),MATCH(F$4,Data[#Headers],0)))</f>
        <v>22609</v>
      </c>
      <c r="G151" s="21">
        <f>IF(OR(Notes!$B$3="Pay 1 Regular State Payment Budget",Notes!$B$3="Pay 2 Regular State Payment Budget"),0,INDEX(Data[],MATCH($A151,Data[Dist],0),MATCH(G$4,Data[#Headers],0)))</f>
        <v>0</v>
      </c>
      <c r="H151" s="21">
        <f>INDEX(Data[],MATCH($A151,Data[Dist],0),MATCH(H$4,Data[#Headers],0))</f>
        <v>7341734</v>
      </c>
    </row>
    <row r="152" spans="1:8" s="20" customFormat="1" ht="12.75" x14ac:dyDescent="0.2">
      <c r="A152" s="19" t="str">
        <f>Data!B148</f>
        <v>3154</v>
      </c>
      <c r="B152" s="20" t="str">
        <f>INDEX(Data[],MATCH($A152,Data[Dist],0),MATCH(B$4,Data[#Headers],0))</f>
        <v>Iowa Valley</v>
      </c>
      <c r="C152" s="21">
        <f>INDEX(Data[],MATCH($A152,Data[Dist],0),MATCH(C$4,Data[#Headers],0))</f>
        <v>4035240</v>
      </c>
      <c r="D152" s="21">
        <f>INDEX(Data[],MATCH($A152,Data[Dist],0),MATCH(D$4,Data[#Headers],0))</f>
        <v>348</v>
      </c>
      <c r="E152" s="21">
        <f>INDEX(Data[],MATCH($A152,Data[Dist],0),MATCH(E$4,Data[#Headers],0))</f>
        <v>0</v>
      </c>
      <c r="F152" s="21">
        <f>IF(Notes!$B$3="Pay 1 Regular State Payment Budget",0,INDEX(Data[],MATCH($A152,Data[Dist],0),MATCH(F$4,Data[#Headers],0)))</f>
        <v>11369</v>
      </c>
      <c r="G152" s="21">
        <f>IF(OR(Notes!$B$3="Pay 1 Regular State Payment Budget",Notes!$B$3="Pay 2 Regular State Payment Budget"),0,INDEX(Data[],MATCH($A152,Data[Dist],0),MATCH(G$4,Data[#Headers],0)))</f>
        <v>0</v>
      </c>
      <c r="H152" s="21">
        <f>INDEX(Data[],MATCH($A152,Data[Dist],0),MATCH(H$4,Data[#Headers],0))</f>
        <v>4023523</v>
      </c>
    </row>
    <row r="153" spans="1:8" s="20" customFormat="1" ht="12.75" x14ac:dyDescent="0.2">
      <c r="A153" s="19" t="str">
        <f>Data!B149</f>
        <v>3168</v>
      </c>
      <c r="B153" s="20" t="str">
        <f>INDEX(Data[],MATCH($A153,Data[Dist],0),MATCH(B$4,Data[#Headers],0))</f>
        <v>IKM-Manning</v>
      </c>
      <c r="C153" s="21">
        <f>INDEX(Data[],MATCH($A153,Data[Dist],0),MATCH(C$4,Data[#Headers],0))</f>
        <v>4105412</v>
      </c>
      <c r="D153" s="21">
        <f>INDEX(Data[],MATCH($A153,Data[Dist],0),MATCH(D$4,Data[#Headers],0))</f>
        <v>779</v>
      </c>
      <c r="E153" s="21">
        <f>INDEX(Data[],MATCH($A153,Data[Dist],0),MATCH(E$4,Data[#Headers],0))</f>
        <v>0</v>
      </c>
      <c r="F153" s="21">
        <f>IF(Notes!$B$3="Pay 1 Regular State Payment Budget",0,INDEX(Data[],MATCH($A153,Data[Dist],0),MATCH(F$4,Data[#Headers],0)))</f>
        <v>15146</v>
      </c>
      <c r="G153" s="21">
        <f>IF(OR(Notes!$B$3="Pay 1 Regular State Payment Budget",Notes!$B$3="Pay 2 Regular State Payment Budget"),0,INDEX(Data[],MATCH($A153,Data[Dist],0),MATCH(G$4,Data[#Headers],0)))</f>
        <v>0</v>
      </c>
      <c r="H153" s="21">
        <f>INDEX(Data[],MATCH($A153,Data[Dist],0),MATCH(H$4,Data[#Headers],0))</f>
        <v>4089487</v>
      </c>
    </row>
    <row r="154" spans="1:8" s="20" customFormat="1" ht="12.75" x14ac:dyDescent="0.2">
      <c r="A154" s="19" t="str">
        <f>Data!B150</f>
        <v>3186</v>
      </c>
      <c r="B154" s="20" t="str">
        <f>INDEX(Data[],MATCH($A154,Data[Dist],0),MATCH(B$4,Data[#Headers],0))</f>
        <v>Janesville</v>
      </c>
      <c r="C154" s="21">
        <f>INDEX(Data[],MATCH($A154,Data[Dist],0),MATCH(C$4,Data[#Headers],0))</f>
        <v>3451207</v>
      </c>
      <c r="D154" s="21">
        <f>INDEX(Data[],MATCH($A154,Data[Dist],0),MATCH(D$4,Data[#Headers],0))</f>
        <v>614</v>
      </c>
      <c r="E154" s="21">
        <f>INDEX(Data[],MATCH($A154,Data[Dist],0),MATCH(E$4,Data[#Headers],0))</f>
        <v>0</v>
      </c>
      <c r="F154" s="21">
        <f>IF(Notes!$B$3="Pay 1 Regular State Payment Budget",0,INDEX(Data[],MATCH($A154,Data[Dist],0),MATCH(F$4,Data[#Headers],0)))</f>
        <v>9657</v>
      </c>
      <c r="G154" s="21">
        <f>IF(OR(Notes!$B$3="Pay 1 Regular State Payment Budget",Notes!$B$3="Pay 2 Regular State Payment Budget"),0,INDEX(Data[],MATCH($A154,Data[Dist],0),MATCH(G$4,Data[#Headers],0)))</f>
        <v>0</v>
      </c>
      <c r="H154" s="21">
        <f>INDEX(Data[],MATCH($A154,Data[Dist],0),MATCH(H$4,Data[#Headers],0))</f>
        <v>3440936</v>
      </c>
    </row>
    <row r="155" spans="1:8" s="20" customFormat="1" ht="12.75" x14ac:dyDescent="0.2">
      <c r="A155" s="19" t="str">
        <f>Data!B151</f>
        <v>3195</v>
      </c>
      <c r="B155" s="20" t="str">
        <f>INDEX(Data[],MATCH($A155,Data[Dist],0),MATCH(B$4,Data[#Headers],0))</f>
        <v>Greene County</v>
      </c>
      <c r="C155" s="21">
        <f>INDEX(Data[],MATCH($A155,Data[Dist],0),MATCH(C$4,Data[#Headers],0))</f>
        <v>7731565</v>
      </c>
      <c r="D155" s="21">
        <f>INDEX(Data[],MATCH($A155,Data[Dist],0),MATCH(D$4,Data[#Headers],0))</f>
        <v>1294</v>
      </c>
      <c r="E155" s="21">
        <f>INDEX(Data[],MATCH($A155,Data[Dist],0),MATCH(E$4,Data[#Headers],0))</f>
        <v>0</v>
      </c>
      <c r="F155" s="21">
        <f>IF(Notes!$B$3="Pay 1 Regular State Payment Budget",0,INDEX(Data[],MATCH($A155,Data[Dist],0),MATCH(F$4,Data[#Headers],0)))</f>
        <v>26632</v>
      </c>
      <c r="G155" s="21">
        <f>IF(OR(Notes!$B$3="Pay 1 Regular State Payment Budget",Notes!$B$3="Pay 2 Regular State Payment Budget"),0,INDEX(Data[],MATCH($A155,Data[Dist],0),MATCH(G$4,Data[#Headers],0)))</f>
        <v>0</v>
      </c>
      <c r="H155" s="21">
        <f>INDEX(Data[],MATCH($A155,Data[Dist],0),MATCH(H$4,Data[#Headers],0))</f>
        <v>7703639</v>
      </c>
    </row>
    <row r="156" spans="1:8" s="20" customFormat="1" ht="12.75" x14ac:dyDescent="0.2">
      <c r="A156" s="19" t="str">
        <f>Data!B152</f>
        <v>3204</v>
      </c>
      <c r="B156" s="20" t="str">
        <f>INDEX(Data[],MATCH($A156,Data[Dist],0),MATCH(B$4,Data[#Headers],0))</f>
        <v>Jesup</v>
      </c>
      <c r="C156" s="21">
        <f>INDEX(Data[],MATCH($A156,Data[Dist],0),MATCH(C$4,Data[#Headers],0))</f>
        <v>6832278</v>
      </c>
      <c r="D156" s="21">
        <f>INDEX(Data[],MATCH($A156,Data[Dist],0),MATCH(D$4,Data[#Headers],0))</f>
        <v>1178</v>
      </c>
      <c r="E156" s="21">
        <f>INDEX(Data[],MATCH($A156,Data[Dist],0),MATCH(E$4,Data[#Headers],0))</f>
        <v>0</v>
      </c>
      <c r="F156" s="21">
        <f>IF(Notes!$B$3="Pay 1 Regular State Payment Budget",0,INDEX(Data[],MATCH($A156,Data[Dist],0),MATCH(F$4,Data[#Headers],0)))</f>
        <v>19681</v>
      </c>
      <c r="G156" s="21">
        <f>IF(OR(Notes!$B$3="Pay 1 Regular State Payment Budget",Notes!$B$3="Pay 2 Regular State Payment Budget"),0,INDEX(Data[],MATCH($A156,Data[Dist],0),MATCH(G$4,Data[#Headers],0)))</f>
        <v>0</v>
      </c>
      <c r="H156" s="21">
        <f>INDEX(Data[],MATCH($A156,Data[Dist],0),MATCH(H$4,Data[#Headers],0))</f>
        <v>6811419</v>
      </c>
    </row>
    <row r="157" spans="1:8" s="20" customFormat="1" ht="12.75" x14ac:dyDescent="0.2">
      <c r="A157" s="19" t="str">
        <f>Data!B153</f>
        <v>3231</v>
      </c>
      <c r="B157" s="20" t="str">
        <f>INDEX(Data[],MATCH($A157,Data[Dist],0),MATCH(B$4,Data[#Headers],0))</f>
        <v>Johnston</v>
      </c>
      <c r="C157" s="21">
        <f>INDEX(Data[],MATCH($A157,Data[Dist],0),MATCH(C$4,Data[#Headers],0))</f>
        <v>49238262</v>
      </c>
      <c r="D157" s="21">
        <f>INDEX(Data[],MATCH($A157,Data[Dist],0),MATCH(D$4,Data[#Headers],0))</f>
        <v>3781</v>
      </c>
      <c r="E157" s="21">
        <f>INDEX(Data[],MATCH($A157,Data[Dist],0),MATCH(E$4,Data[#Headers],0))</f>
        <v>12476</v>
      </c>
      <c r="F157" s="21">
        <f>IF(Notes!$B$3="Pay 1 Regular State Payment Budget",0,INDEX(Data[],MATCH($A157,Data[Dist],0),MATCH(F$4,Data[#Headers],0)))</f>
        <v>154041</v>
      </c>
      <c r="G157" s="21">
        <f>IF(OR(Notes!$B$3="Pay 1 Regular State Payment Budget",Notes!$B$3="Pay 2 Regular State Payment Budget"),0,INDEX(Data[],MATCH($A157,Data[Dist],0),MATCH(G$4,Data[#Headers],0)))</f>
        <v>0</v>
      </c>
      <c r="H157" s="21">
        <f>INDEX(Data[],MATCH($A157,Data[Dist],0),MATCH(H$4,Data[#Headers],0))</f>
        <v>49067964</v>
      </c>
    </row>
    <row r="158" spans="1:8" s="20" customFormat="1" ht="12.75" x14ac:dyDescent="0.2">
      <c r="A158" s="19" t="str">
        <f>Data!B154</f>
        <v>3312</v>
      </c>
      <c r="B158" s="20" t="str">
        <f>INDEX(Data[],MATCH($A158,Data[Dist],0),MATCH(B$4,Data[#Headers],0))</f>
        <v>Keokuk</v>
      </c>
      <c r="C158" s="21">
        <f>INDEX(Data[],MATCH($A158,Data[Dist],0),MATCH(C$4,Data[#Headers],0))</f>
        <v>16838391</v>
      </c>
      <c r="D158" s="21">
        <f>INDEX(Data[],MATCH($A158,Data[Dist],0),MATCH(D$4,Data[#Headers],0))</f>
        <v>1542</v>
      </c>
      <c r="E158" s="21">
        <f>INDEX(Data[],MATCH($A158,Data[Dist],0),MATCH(E$4,Data[#Headers],0))</f>
        <v>0</v>
      </c>
      <c r="F158" s="21">
        <f>IF(Notes!$B$3="Pay 1 Regular State Payment Budget",0,INDEX(Data[],MATCH($A158,Data[Dist],0),MATCH(F$4,Data[#Headers],0)))</f>
        <v>41094</v>
      </c>
      <c r="G158" s="21">
        <f>IF(OR(Notes!$B$3="Pay 1 Regular State Payment Budget",Notes!$B$3="Pay 2 Regular State Payment Budget"),0,INDEX(Data[],MATCH($A158,Data[Dist],0),MATCH(G$4,Data[#Headers],0)))</f>
        <v>0</v>
      </c>
      <c r="H158" s="21">
        <f>INDEX(Data[],MATCH($A158,Data[Dist],0),MATCH(H$4,Data[#Headers],0))</f>
        <v>16795755</v>
      </c>
    </row>
    <row r="159" spans="1:8" s="20" customFormat="1" ht="12.75" x14ac:dyDescent="0.2">
      <c r="A159" s="19" t="str">
        <f>Data!B155</f>
        <v>3330</v>
      </c>
      <c r="B159" s="20" t="str">
        <f>INDEX(Data[],MATCH($A159,Data[Dist],0),MATCH(B$4,Data[#Headers],0))</f>
        <v>Keota</v>
      </c>
      <c r="C159" s="21">
        <f>INDEX(Data[],MATCH($A159,Data[Dist],0),MATCH(C$4,Data[#Headers],0))</f>
        <v>2507664</v>
      </c>
      <c r="D159" s="21">
        <f>INDEX(Data[],MATCH($A159,Data[Dist],0),MATCH(D$4,Data[#Headers],0))</f>
        <v>265</v>
      </c>
      <c r="E159" s="21">
        <f>INDEX(Data[],MATCH($A159,Data[Dist],0),MATCH(E$4,Data[#Headers],0))</f>
        <v>0</v>
      </c>
      <c r="F159" s="21">
        <f>IF(Notes!$B$3="Pay 1 Regular State Payment Budget",0,INDEX(Data[],MATCH($A159,Data[Dist],0),MATCH(F$4,Data[#Headers],0)))</f>
        <v>7803</v>
      </c>
      <c r="G159" s="21">
        <f>IF(OR(Notes!$B$3="Pay 1 Regular State Payment Budget",Notes!$B$3="Pay 2 Regular State Payment Budget"),0,INDEX(Data[],MATCH($A159,Data[Dist],0),MATCH(G$4,Data[#Headers],0)))</f>
        <v>0</v>
      </c>
      <c r="H159" s="21">
        <f>INDEX(Data[],MATCH($A159,Data[Dist],0),MATCH(H$4,Data[#Headers],0))</f>
        <v>2499596</v>
      </c>
    </row>
    <row r="160" spans="1:8" s="20" customFormat="1" ht="12.75" x14ac:dyDescent="0.2">
      <c r="A160" s="19" t="str">
        <f>Data!B156</f>
        <v>3348</v>
      </c>
      <c r="B160" s="20" t="str">
        <f>INDEX(Data[],MATCH($A160,Data[Dist],0),MATCH(B$4,Data[#Headers],0))</f>
        <v>Kingsley-Pierson</v>
      </c>
      <c r="C160" s="21">
        <f>INDEX(Data[],MATCH($A160,Data[Dist],0),MATCH(C$4,Data[#Headers],0))</f>
        <v>3361617</v>
      </c>
      <c r="D160" s="21">
        <f>INDEX(Data[],MATCH($A160,Data[Dist],0),MATCH(D$4,Data[#Headers],0))</f>
        <v>0</v>
      </c>
      <c r="E160" s="21">
        <f>INDEX(Data[],MATCH($A160,Data[Dist],0),MATCH(E$4,Data[#Headers],0))</f>
        <v>0</v>
      </c>
      <c r="F160" s="21">
        <f>IF(Notes!$B$3="Pay 1 Regular State Payment Budget",0,INDEX(Data[],MATCH($A160,Data[Dist],0),MATCH(F$4,Data[#Headers],0)))</f>
        <v>10475</v>
      </c>
      <c r="G160" s="21">
        <f>IF(OR(Notes!$B$3="Pay 1 Regular State Payment Budget",Notes!$B$3="Pay 2 Regular State Payment Budget"),0,INDEX(Data[],MATCH($A160,Data[Dist],0),MATCH(G$4,Data[#Headers],0)))</f>
        <v>0</v>
      </c>
      <c r="H160" s="21">
        <f>INDEX(Data[],MATCH($A160,Data[Dist],0),MATCH(H$4,Data[#Headers],0))</f>
        <v>3351142</v>
      </c>
    </row>
    <row r="161" spans="1:8" s="20" customFormat="1" ht="12.75" x14ac:dyDescent="0.2">
      <c r="A161" s="19" t="str">
        <f>Data!B157</f>
        <v>3375</v>
      </c>
      <c r="B161" s="20" t="str">
        <f>INDEX(Data[],MATCH($A161,Data[Dist],0),MATCH(B$4,Data[#Headers],0))</f>
        <v>Knoxville</v>
      </c>
      <c r="C161" s="21">
        <f>INDEX(Data[],MATCH($A161,Data[Dist],0),MATCH(C$4,Data[#Headers],0))</f>
        <v>13982927</v>
      </c>
      <c r="D161" s="21">
        <f>INDEX(Data[],MATCH($A161,Data[Dist],0),MATCH(D$4,Data[#Headers],0))</f>
        <v>1476</v>
      </c>
      <c r="E161" s="21">
        <f>INDEX(Data[],MATCH($A161,Data[Dist],0),MATCH(E$4,Data[#Headers],0))</f>
        <v>7209</v>
      </c>
      <c r="F161" s="21">
        <f>IF(Notes!$B$3="Pay 1 Regular State Payment Budget",0,INDEX(Data[],MATCH($A161,Data[Dist],0),MATCH(F$4,Data[#Headers],0)))</f>
        <v>38686</v>
      </c>
      <c r="G161" s="21">
        <f>IF(OR(Notes!$B$3="Pay 1 Regular State Payment Budget",Notes!$B$3="Pay 2 Regular State Payment Budget"),0,INDEX(Data[],MATCH($A161,Data[Dist],0),MATCH(G$4,Data[#Headers],0)))</f>
        <v>0</v>
      </c>
      <c r="H161" s="21">
        <f>INDEX(Data[],MATCH($A161,Data[Dist],0),MATCH(H$4,Data[#Headers],0))</f>
        <v>13935556</v>
      </c>
    </row>
    <row r="162" spans="1:8" s="20" customFormat="1" ht="12.75" x14ac:dyDescent="0.2">
      <c r="A162" s="19" t="str">
        <f>Data!B158</f>
        <v>3420</v>
      </c>
      <c r="B162" s="20" t="str">
        <f>INDEX(Data[],MATCH($A162,Data[Dist],0),MATCH(B$4,Data[#Headers],0))</f>
        <v>Lake Mills</v>
      </c>
      <c r="C162" s="21">
        <f>INDEX(Data[],MATCH($A162,Data[Dist],0),MATCH(C$4,Data[#Headers],0))</f>
        <v>3716904</v>
      </c>
      <c r="D162" s="21">
        <f>INDEX(Data[],MATCH($A162,Data[Dist],0),MATCH(D$4,Data[#Headers],0))</f>
        <v>580</v>
      </c>
      <c r="E162" s="21">
        <f>INDEX(Data[],MATCH($A162,Data[Dist],0),MATCH(E$4,Data[#Headers],0))</f>
        <v>0</v>
      </c>
      <c r="F162" s="21">
        <f>IF(Notes!$B$3="Pay 1 Regular State Payment Budget",0,INDEX(Data[],MATCH($A162,Data[Dist],0),MATCH(F$4,Data[#Headers],0)))</f>
        <v>12633</v>
      </c>
      <c r="G162" s="21">
        <f>IF(OR(Notes!$B$3="Pay 1 Regular State Payment Budget",Notes!$B$3="Pay 2 Regular State Payment Budget"),0,INDEX(Data[],MATCH($A162,Data[Dist],0),MATCH(G$4,Data[#Headers],0)))</f>
        <v>0</v>
      </c>
      <c r="H162" s="21">
        <f>INDEX(Data[],MATCH($A162,Data[Dist],0),MATCH(H$4,Data[#Headers],0))</f>
        <v>3703691</v>
      </c>
    </row>
    <row r="163" spans="1:8" s="20" customFormat="1" ht="12.75" x14ac:dyDescent="0.2">
      <c r="A163" s="19" t="str">
        <f>Data!B159</f>
        <v>3465</v>
      </c>
      <c r="B163" s="20" t="str">
        <f>INDEX(Data[],MATCH($A163,Data[Dist],0),MATCH(B$4,Data[#Headers],0))</f>
        <v>Lamoni</v>
      </c>
      <c r="C163" s="21">
        <f>INDEX(Data[],MATCH($A163,Data[Dist],0),MATCH(C$4,Data[#Headers],0))</f>
        <v>2728914</v>
      </c>
      <c r="D163" s="21">
        <f>INDEX(Data[],MATCH($A163,Data[Dist],0),MATCH(D$4,Data[#Headers],0))</f>
        <v>265</v>
      </c>
      <c r="E163" s="21">
        <f>INDEX(Data[],MATCH($A163,Data[Dist],0),MATCH(E$4,Data[#Headers],0))</f>
        <v>0</v>
      </c>
      <c r="F163" s="21">
        <f>IF(Notes!$B$3="Pay 1 Regular State Payment Budget",0,INDEX(Data[],MATCH($A163,Data[Dist],0),MATCH(F$4,Data[#Headers],0)))</f>
        <v>6879</v>
      </c>
      <c r="G163" s="21">
        <f>IF(OR(Notes!$B$3="Pay 1 Regular State Payment Budget",Notes!$B$3="Pay 2 Regular State Payment Budget"),0,INDEX(Data[],MATCH($A163,Data[Dist],0),MATCH(G$4,Data[#Headers],0)))</f>
        <v>0</v>
      </c>
      <c r="H163" s="21">
        <f>INDEX(Data[],MATCH($A163,Data[Dist],0),MATCH(H$4,Data[#Headers],0))</f>
        <v>2721770</v>
      </c>
    </row>
    <row r="164" spans="1:8" s="20" customFormat="1" ht="12.75" x14ac:dyDescent="0.2">
      <c r="A164" s="19" t="str">
        <f>Data!B160</f>
        <v>3537</v>
      </c>
      <c r="B164" s="20" t="str">
        <f>INDEX(Data[],MATCH($A164,Data[Dist],0),MATCH(B$4,Data[#Headers],0))</f>
        <v>Laurens-Marathon</v>
      </c>
      <c r="C164" s="21">
        <f>INDEX(Data[],MATCH($A164,Data[Dist],0),MATCH(C$4,Data[#Headers],0))</f>
        <v>2358692</v>
      </c>
      <c r="D164" s="21">
        <f>INDEX(Data[],MATCH($A164,Data[Dist],0),MATCH(D$4,Data[#Headers],0))</f>
        <v>265</v>
      </c>
      <c r="E164" s="21">
        <f>INDEX(Data[],MATCH($A164,Data[Dist],0),MATCH(E$4,Data[#Headers],0))</f>
        <v>0</v>
      </c>
      <c r="F164" s="21">
        <f>IF(Notes!$B$3="Pay 1 Regular State Payment Budget",0,INDEX(Data[],MATCH($A164,Data[Dist],0),MATCH(F$4,Data[#Headers],0)))</f>
        <v>7118</v>
      </c>
      <c r="G164" s="21">
        <f>IF(OR(Notes!$B$3="Pay 1 Regular State Payment Budget",Notes!$B$3="Pay 2 Regular State Payment Budget"),0,INDEX(Data[],MATCH($A164,Data[Dist],0),MATCH(G$4,Data[#Headers],0)))</f>
        <v>0</v>
      </c>
      <c r="H164" s="21">
        <f>INDEX(Data[],MATCH($A164,Data[Dist],0),MATCH(H$4,Data[#Headers],0))</f>
        <v>2351309</v>
      </c>
    </row>
    <row r="165" spans="1:8" s="20" customFormat="1" ht="12.75" x14ac:dyDescent="0.2">
      <c r="A165" s="19" t="str">
        <f>Data!B161</f>
        <v>3555</v>
      </c>
      <c r="B165" s="20" t="str">
        <f>INDEX(Data[],MATCH($A165,Data[Dist],0),MATCH(B$4,Data[#Headers],0))</f>
        <v>Lawton-Bronson</v>
      </c>
      <c r="C165" s="21">
        <f>INDEX(Data[],MATCH($A165,Data[Dist],0),MATCH(C$4,Data[#Headers],0))</f>
        <v>4407399</v>
      </c>
      <c r="D165" s="21">
        <f>INDEX(Data[],MATCH($A165,Data[Dist],0),MATCH(D$4,Data[#Headers],0))</f>
        <v>713</v>
      </c>
      <c r="E165" s="21">
        <f>INDEX(Data[],MATCH($A165,Data[Dist],0),MATCH(E$4,Data[#Headers],0))</f>
        <v>0</v>
      </c>
      <c r="F165" s="21">
        <f>IF(Notes!$B$3="Pay 1 Regular State Payment Budget",0,INDEX(Data[],MATCH($A165,Data[Dist],0),MATCH(F$4,Data[#Headers],0)))</f>
        <v>13795</v>
      </c>
      <c r="G165" s="21">
        <f>IF(OR(Notes!$B$3="Pay 1 Regular State Payment Budget",Notes!$B$3="Pay 2 Regular State Payment Budget"),0,INDEX(Data[],MATCH($A165,Data[Dist],0),MATCH(G$4,Data[#Headers],0)))</f>
        <v>0</v>
      </c>
      <c r="H165" s="21">
        <f>INDEX(Data[],MATCH($A165,Data[Dist],0),MATCH(H$4,Data[#Headers],0))</f>
        <v>4392891</v>
      </c>
    </row>
    <row r="166" spans="1:8" s="20" customFormat="1" ht="12.75" x14ac:dyDescent="0.2">
      <c r="A166" s="19" t="str">
        <f>Data!B162</f>
        <v>3582</v>
      </c>
      <c r="B166" s="20" t="str">
        <f>INDEX(Data[],MATCH($A166,Data[Dist],0),MATCH(B$4,Data[#Headers],0))</f>
        <v>East Marshall</v>
      </c>
      <c r="C166" s="21">
        <f>INDEX(Data[],MATCH($A166,Data[Dist],0),MATCH(C$4,Data[#Headers],0))</f>
        <v>3529810</v>
      </c>
      <c r="D166" s="21">
        <f>INDEX(Data[],MATCH($A166,Data[Dist],0),MATCH(D$4,Data[#Headers],0))</f>
        <v>415</v>
      </c>
      <c r="E166" s="21">
        <f>INDEX(Data[],MATCH($A166,Data[Dist],0),MATCH(E$4,Data[#Headers],0))</f>
        <v>0</v>
      </c>
      <c r="F166" s="21">
        <f>IF(Notes!$B$3="Pay 1 Regular State Payment Budget",0,INDEX(Data[],MATCH($A166,Data[Dist],0),MATCH(F$4,Data[#Headers],0)))</f>
        <v>11522</v>
      </c>
      <c r="G166" s="21">
        <f>IF(OR(Notes!$B$3="Pay 1 Regular State Payment Budget",Notes!$B$3="Pay 2 Regular State Payment Budget"),0,INDEX(Data[],MATCH($A166,Data[Dist],0),MATCH(G$4,Data[#Headers],0)))</f>
        <v>0</v>
      </c>
      <c r="H166" s="21">
        <f>INDEX(Data[],MATCH($A166,Data[Dist],0),MATCH(H$4,Data[#Headers],0))</f>
        <v>3517873</v>
      </c>
    </row>
    <row r="167" spans="1:8" s="20" customFormat="1" ht="12.75" x14ac:dyDescent="0.2">
      <c r="A167" s="19" t="str">
        <f>Data!B163</f>
        <v>3600</v>
      </c>
      <c r="B167" s="20" t="str">
        <f>INDEX(Data[],MATCH($A167,Data[Dist],0),MATCH(B$4,Data[#Headers],0))</f>
        <v>Le Mars</v>
      </c>
      <c r="C167" s="21">
        <f>INDEX(Data[],MATCH($A167,Data[Dist],0),MATCH(C$4,Data[#Headers],0))</f>
        <v>16206635</v>
      </c>
      <c r="D167" s="21">
        <f>INDEX(Data[],MATCH($A167,Data[Dist],0),MATCH(D$4,Data[#Headers],0))</f>
        <v>1692</v>
      </c>
      <c r="E167" s="21">
        <f>INDEX(Data[],MATCH($A167,Data[Dist],0),MATCH(E$4,Data[#Headers],0))</f>
        <v>0</v>
      </c>
      <c r="F167" s="21">
        <f>IF(Notes!$B$3="Pay 1 Regular State Payment Budget",0,INDEX(Data[],MATCH($A167,Data[Dist],0),MATCH(F$4,Data[#Headers],0)))</f>
        <v>49534</v>
      </c>
      <c r="G167" s="21">
        <f>IF(OR(Notes!$B$3="Pay 1 Regular State Payment Budget",Notes!$B$3="Pay 2 Regular State Payment Budget"),0,INDEX(Data[],MATCH($A167,Data[Dist],0),MATCH(G$4,Data[#Headers],0)))</f>
        <v>0</v>
      </c>
      <c r="H167" s="21">
        <f>INDEX(Data[],MATCH($A167,Data[Dist],0),MATCH(H$4,Data[#Headers],0))</f>
        <v>16155409</v>
      </c>
    </row>
    <row r="168" spans="1:8" s="20" customFormat="1" ht="12.75" x14ac:dyDescent="0.2">
      <c r="A168" s="19" t="str">
        <f>Data!B164</f>
        <v>3609</v>
      </c>
      <c r="B168" s="20" t="str">
        <f>INDEX(Data[],MATCH($A168,Data[Dist],0),MATCH(B$4,Data[#Headers],0))</f>
        <v>Lenox</v>
      </c>
      <c r="C168" s="21">
        <f>INDEX(Data[],MATCH($A168,Data[Dist],0),MATCH(C$4,Data[#Headers],0))</f>
        <v>3635071</v>
      </c>
      <c r="D168" s="21">
        <f>INDEX(Data[],MATCH($A168,Data[Dist],0),MATCH(D$4,Data[#Headers],0))</f>
        <v>630</v>
      </c>
      <c r="E168" s="21">
        <f>INDEX(Data[],MATCH($A168,Data[Dist],0),MATCH(E$4,Data[#Headers],0))</f>
        <v>0</v>
      </c>
      <c r="F168" s="21">
        <f>IF(Notes!$B$3="Pay 1 Regular State Payment Budget",0,INDEX(Data[],MATCH($A168,Data[Dist],0),MATCH(F$4,Data[#Headers],0)))</f>
        <v>10396</v>
      </c>
      <c r="G168" s="21">
        <f>IF(OR(Notes!$B$3="Pay 1 Regular State Payment Budget",Notes!$B$3="Pay 2 Regular State Payment Budget"),0,INDEX(Data[],MATCH($A168,Data[Dist],0),MATCH(G$4,Data[#Headers],0)))</f>
        <v>0</v>
      </c>
      <c r="H168" s="21">
        <f>INDEX(Data[],MATCH($A168,Data[Dist],0),MATCH(H$4,Data[#Headers],0))</f>
        <v>3624045</v>
      </c>
    </row>
    <row r="169" spans="1:8" s="20" customFormat="1" ht="12.75" x14ac:dyDescent="0.2">
      <c r="A169" s="19" t="str">
        <f>Data!B165</f>
        <v>3645</v>
      </c>
      <c r="B169" s="20" t="str">
        <f>INDEX(Data[],MATCH($A169,Data[Dist],0),MATCH(B$4,Data[#Headers],0))</f>
        <v>Lewis Central</v>
      </c>
      <c r="C169" s="21">
        <f>INDEX(Data[],MATCH($A169,Data[Dist],0),MATCH(C$4,Data[#Headers],0))</f>
        <v>15980386</v>
      </c>
      <c r="D169" s="21">
        <f>INDEX(Data[],MATCH($A169,Data[Dist],0),MATCH(D$4,Data[#Headers],0))</f>
        <v>1028</v>
      </c>
      <c r="E169" s="21">
        <f>INDEX(Data[],MATCH($A169,Data[Dist],0),MATCH(E$4,Data[#Headers],0))</f>
        <v>0</v>
      </c>
      <c r="F169" s="21">
        <f>IF(Notes!$B$3="Pay 1 Regular State Payment Budget",0,INDEX(Data[],MATCH($A169,Data[Dist],0),MATCH(F$4,Data[#Headers],0)))</f>
        <v>60198</v>
      </c>
      <c r="G169" s="21">
        <f>IF(OR(Notes!$B$3="Pay 1 Regular State Payment Budget",Notes!$B$3="Pay 2 Regular State Payment Budget"),0,INDEX(Data[],MATCH($A169,Data[Dist],0),MATCH(G$4,Data[#Headers],0)))</f>
        <v>0</v>
      </c>
      <c r="H169" s="21">
        <f>INDEX(Data[],MATCH($A169,Data[Dist],0),MATCH(H$4,Data[#Headers],0))</f>
        <v>15919160</v>
      </c>
    </row>
    <row r="170" spans="1:8" s="20" customFormat="1" ht="12.75" x14ac:dyDescent="0.2">
      <c r="A170" s="19" t="str">
        <f>Data!B166</f>
        <v>3691</v>
      </c>
      <c r="B170" s="20" t="str">
        <f>INDEX(Data[],MATCH($A170,Data[Dist],0),MATCH(B$4,Data[#Headers],0))</f>
        <v>North Cedar</v>
      </c>
      <c r="C170" s="21">
        <f>INDEX(Data[],MATCH($A170,Data[Dist],0),MATCH(C$4,Data[#Headers],0))</f>
        <v>5180342</v>
      </c>
      <c r="D170" s="21">
        <f>INDEX(Data[],MATCH($A170,Data[Dist],0),MATCH(D$4,Data[#Headers],0))</f>
        <v>564</v>
      </c>
      <c r="E170" s="21">
        <f>INDEX(Data[],MATCH($A170,Data[Dist],0),MATCH(E$4,Data[#Headers],0))</f>
        <v>0</v>
      </c>
      <c r="F170" s="21">
        <f>IF(Notes!$B$3="Pay 1 Regular State Payment Budget",0,INDEX(Data[],MATCH($A170,Data[Dist],0),MATCH(F$4,Data[#Headers],0)))</f>
        <v>15809</v>
      </c>
      <c r="G170" s="21">
        <f>IF(OR(Notes!$B$3="Pay 1 Regular State Payment Budget",Notes!$B$3="Pay 2 Regular State Payment Budget"),0,INDEX(Data[],MATCH($A170,Data[Dist],0),MATCH(G$4,Data[#Headers],0)))</f>
        <v>0</v>
      </c>
      <c r="H170" s="21">
        <f>INDEX(Data[],MATCH($A170,Data[Dist],0),MATCH(H$4,Data[#Headers],0))</f>
        <v>5163969</v>
      </c>
    </row>
    <row r="171" spans="1:8" s="20" customFormat="1" ht="12.75" x14ac:dyDescent="0.2">
      <c r="A171" s="19" t="str">
        <f>Data!B167</f>
        <v>3715</v>
      </c>
      <c r="B171" s="20" t="str">
        <f>INDEX(Data[],MATCH($A171,Data[Dist],0),MATCH(B$4,Data[#Headers],0))</f>
        <v>Linn-Mar</v>
      </c>
      <c r="C171" s="21">
        <f>INDEX(Data[],MATCH($A171,Data[Dist],0),MATCH(C$4,Data[#Headers],0))</f>
        <v>56630727</v>
      </c>
      <c r="D171" s="21">
        <f>INDEX(Data[],MATCH($A171,Data[Dist],0),MATCH(D$4,Data[#Headers],0))</f>
        <v>4030</v>
      </c>
      <c r="E171" s="21">
        <f>INDEX(Data[],MATCH($A171,Data[Dist],0),MATCH(E$4,Data[#Headers],0))</f>
        <v>0</v>
      </c>
      <c r="F171" s="21">
        <f>IF(Notes!$B$3="Pay 1 Regular State Payment Budget",0,INDEX(Data[],MATCH($A171,Data[Dist],0),MATCH(F$4,Data[#Headers],0)))</f>
        <v>170444</v>
      </c>
      <c r="G171" s="21">
        <f>IF(OR(Notes!$B$3="Pay 1 Regular State Payment Budget",Notes!$B$3="Pay 2 Regular State Payment Budget"),0,INDEX(Data[],MATCH($A171,Data[Dist],0),MATCH(G$4,Data[#Headers],0)))</f>
        <v>0</v>
      </c>
      <c r="H171" s="21">
        <f>INDEX(Data[],MATCH($A171,Data[Dist],0),MATCH(H$4,Data[#Headers],0))</f>
        <v>56456253</v>
      </c>
    </row>
    <row r="172" spans="1:8" s="20" customFormat="1" ht="12.75" x14ac:dyDescent="0.2">
      <c r="A172" s="19" t="str">
        <f>Data!B168</f>
        <v>3744</v>
      </c>
      <c r="B172" s="20" t="str">
        <f>INDEX(Data[],MATCH($A172,Data[Dist],0),MATCH(B$4,Data[#Headers],0))</f>
        <v>Lisbon</v>
      </c>
      <c r="C172" s="21">
        <f>INDEX(Data[],MATCH($A172,Data[Dist],0),MATCH(C$4,Data[#Headers],0))</f>
        <v>5669964</v>
      </c>
      <c r="D172" s="21">
        <f>INDEX(Data[],MATCH($A172,Data[Dist],0),MATCH(D$4,Data[#Headers],0))</f>
        <v>1028</v>
      </c>
      <c r="E172" s="21">
        <f>INDEX(Data[],MATCH($A172,Data[Dist],0),MATCH(E$4,Data[#Headers],0))</f>
        <v>0</v>
      </c>
      <c r="F172" s="21">
        <f>IF(Notes!$B$3="Pay 1 Regular State Payment Budget",0,INDEX(Data[],MATCH($A172,Data[Dist],0),MATCH(F$4,Data[#Headers],0)))</f>
        <v>15349</v>
      </c>
      <c r="G172" s="21">
        <f>IF(OR(Notes!$B$3="Pay 1 Regular State Payment Budget",Notes!$B$3="Pay 2 Regular State Payment Budget"),0,INDEX(Data[],MATCH($A172,Data[Dist],0),MATCH(G$4,Data[#Headers],0)))</f>
        <v>0</v>
      </c>
      <c r="H172" s="21">
        <f>INDEX(Data[],MATCH($A172,Data[Dist],0),MATCH(H$4,Data[#Headers],0))</f>
        <v>5653587</v>
      </c>
    </row>
    <row r="173" spans="1:8" s="20" customFormat="1" ht="12.75" x14ac:dyDescent="0.2">
      <c r="A173" s="19" t="str">
        <f>Data!B169</f>
        <v>3798</v>
      </c>
      <c r="B173" s="20" t="str">
        <f>INDEX(Data[],MATCH($A173,Data[Dist],0),MATCH(B$4,Data[#Headers],0))</f>
        <v>Logan-Magnolia</v>
      </c>
      <c r="C173" s="21">
        <f>INDEX(Data[],MATCH($A173,Data[Dist],0),MATCH(C$4,Data[#Headers],0))</f>
        <v>4445180</v>
      </c>
      <c r="D173" s="21">
        <f>INDEX(Data[],MATCH($A173,Data[Dist],0),MATCH(D$4,Data[#Headers],0))</f>
        <v>779</v>
      </c>
      <c r="E173" s="21">
        <f>INDEX(Data[],MATCH($A173,Data[Dist],0),MATCH(E$4,Data[#Headers],0))</f>
        <v>0</v>
      </c>
      <c r="F173" s="21">
        <f>IF(Notes!$B$3="Pay 1 Regular State Payment Budget",0,INDEX(Data[],MATCH($A173,Data[Dist],0),MATCH(F$4,Data[#Headers],0)))</f>
        <v>13256</v>
      </c>
      <c r="G173" s="21">
        <f>IF(OR(Notes!$B$3="Pay 1 Regular State Payment Budget",Notes!$B$3="Pay 2 Regular State Payment Budget"),0,INDEX(Data[],MATCH($A173,Data[Dist],0),MATCH(G$4,Data[#Headers],0)))</f>
        <v>0</v>
      </c>
      <c r="H173" s="21">
        <f>INDEX(Data[],MATCH($A173,Data[Dist],0),MATCH(H$4,Data[#Headers],0))</f>
        <v>4431145</v>
      </c>
    </row>
    <row r="174" spans="1:8" s="20" customFormat="1" ht="12.75" x14ac:dyDescent="0.2">
      <c r="A174" s="19" t="str">
        <f>Data!B170</f>
        <v>3816</v>
      </c>
      <c r="B174" s="20" t="str">
        <f>INDEX(Data[],MATCH($A174,Data[Dist],0),MATCH(B$4,Data[#Headers],0))</f>
        <v>Lone Tree</v>
      </c>
      <c r="C174" s="21">
        <f>INDEX(Data[],MATCH($A174,Data[Dist],0),MATCH(C$4,Data[#Headers],0))</f>
        <v>2109860</v>
      </c>
      <c r="D174" s="21">
        <f>INDEX(Data[],MATCH($A174,Data[Dist],0),MATCH(D$4,Data[#Headers],0))</f>
        <v>597</v>
      </c>
      <c r="E174" s="21">
        <f>INDEX(Data[],MATCH($A174,Data[Dist],0),MATCH(E$4,Data[#Headers],0))</f>
        <v>0</v>
      </c>
      <c r="F174" s="21">
        <f>IF(Notes!$B$3="Pay 1 Regular State Payment Budget",0,INDEX(Data[],MATCH($A174,Data[Dist],0),MATCH(F$4,Data[#Headers],0)))</f>
        <v>6938</v>
      </c>
      <c r="G174" s="21">
        <f>IF(OR(Notes!$B$3="Pay 1 Regular State Payment Budget",Notes!$B$3="Pay 2 Regular State Payment Budget"),0,INDEX(Data[],MATCH($A174,Data[Dist],0),MATCH(G$4,Data[#Headers],0)))</f>
        <v>0</v>
      </c>
      <c r="H174" s="21">
        <f>INDEX(Data[],MATCH($A174,Data[Dist],0),MATCH(H$4,Data[#Headers],0))</f>
        <v>2102325</v>
      </c>
    </row>
    <row r="175" spans="1:8" s="20" customFormat="1" ht="12.75" x14ac:dyDescent="0.2">
      <c r="A175" s="19" t="str">
        <f>Data!B171</f>
        <v>3841</v>
      </c>
      <c r="B175" s="20" t="str">
        <f>INDEX(Data[],MATCH($A175,Data[Dist],0),MATCH(B$4,Data[#Headers],0))</f>
        <v>Louisa-Muscatine</v>
      </c>
      <c r="C175" s="21">
        <f>INDEX(Data[],MATCH($A175,Data[Dist],0),MATCH(C$4,Data[#Headers],0))</f>
        <v>4966414</v>
      </c>
      <c r="D175" s="21">
        <f>INDEX(Data[],MATCH($A175,Data[Dist],0),MATCH(D$4,Data[#Headers],0))</f>
        <v>813</v>
      </c>
      <c r="E175" s="21">
        <f>INDEX(Data[],MATCH($A175,Data[Dist],0),MATCH(E$4,Data[#Headers],0))</f>
        <v>6929</v>
      </c>
      <c r="F175" s="21">
        <f>IF(Notes!$B$3="Pay 1 Regular State Payment Budget",0,INDEX(Data[],MATCH($A175,Data[Dist],0),MATCH(F$4,Data[#Headers],0)))</f>
        <v>15216</v>
      </c>
      <c r="G175" s="21">
        <f>IF(OR(Notes!$B$3="Pay 1 Regular State Payment Budget",Notes!$B$3="Pay 2 Regular State Payment Budget"),0,INDEX(Data[],MATCH($A175,Data[Dist],0),MATCH(G$4,Data[#Headers],0)))</f>
        <v>0</v>
      </c>
      <c r="H175" s="21">
        <f>INDEX(Data[],MATCH($A175,Data[Dist],0),MATCH(H$4,Data[#Headers],0))</f>
        <v>4943456</v>
      </c>
    </row>
    <row r="176" spans="1:8" s="20" customFormat="1" ht="12.75" x14ac:dyDescent="0.2">
      <c r="A176" s="19" t="str">
        <f>Data!B172</f>
        <v>3906</v>
      </c>
      <c r="B176" s="20" t="str">
        <f>INDEX(Data[],MATCH($A176,Data[Dist],0),MATCH(B$4,Data[#Headers],0))</f>
        <v>Lynnville-Sully</v>
      </c>
      <c r="C176" s="21">
        <f>INDEX(Data[],MATCH($A176,Data[Dist],0),MATCH(C$4,Data[#Headers],0))</f>
        <v>3017272</v>
      </c>
      <c r="D176" s="21">
        <f>INDEX(Data[],MATCH($A176,Data[Dist],0),MATCH(D$4,Data[#Headers],0))</f>
        <v>580</v>
      </c>
      <c r="E176" s="21">
        <f>INDEX(Data[],MATCH($A176,Data[Dist],0),MATCH(E$4,Data[#Headers],0))</f>
        <v>0</v>
      </c>
      <c r="F176" s="21">
        <f>IF(Notes!$B$3="Pay 1 Regular State Payment Budget",0,INDEX(Data[],MATCH($A176,Data[Dist],0),MATCH(F$4,Data[#Headers],0)))</f>
        <v>9855</v>
      </c>
      <c r="G176" s="21">
        <f>IF(OR(Notes!$B$3="Pay 1 Regular State Payment Budget",Notes!$B$3="Pay 2 Regular State Payment Budget"),0,INDEX(Data[],MATCH($A176,Data[Dist],0),MATCH(G$4,Data[#Headers],0)))</f>
        <v>0</v>
      </c>
      <c r="H176" s="21">
        <f>INDEX(Data[],MATCH($A176,Data[Dist],0),MATCH(H$4,Data[#Headers],0))</f>
        <v>3006837</v>
      </c>
    </row>
    <row r="177" spans="1:8" s="20" customFormat="1" ht="12.75" x14ac:dyDescent="0.2">
      <c r="A177" s="19" t="str">
        <f>Data!B173</f>
        <v>3942</v>
      </c>
      <c r="B177" s="20" t="str">
        <f>INDEX(Data[],MATCH($A177,Data[Dist],0),MATCH(B$4,Data[#Headers],0))</f>
        <v>Madrid</v>
      </c>
      <c r="C177" s="21">
        <f>INDEX(Data[],MATCH($A177,Data[Dist],0),MATCH(C$4,Data[#Headers],0))</f>
        <v>5279533</v>
      </c>
      <c r="D177" s="21">
        <f>INDEX(Data[],MATCH($A177,Data[Dist],0),MATCH(D$4,Data[#Headers],0))</f>
        <v>547</v>
      </c>
      <c r="E177" s="21">
        <f>INDEX(Data[],MATCH($A177,Data[Dist],0),MATCH(E$4,Data[#Headers],0))</f>
        <v>0</v>
      </c>
      <c r="F177" s="21">
        <f>IF(Notes!$B$3="Pay 1 Regular State Payment Budget",0,INDEX(Data[],MATCH($A177,Data[Dist],0),MATCH(F$4,Data[#Headers],0)))</f>
        <v>14500</v>
      </c>
      <c r="G177" s="21">
        <f>IF(OR(Notes!$B$3="Pay 1 Regular State Payment Budget",Notes!$B$3="Pay 2 Regular State Payment Budget"),0,INDEX(Data[],MATCH($A177,Data[Dist],0),MATCH(G$4,Data[#Headers],0)))</f>
        <v>0</v>
      </c>
      <c r="H177" s="21">
        <f>INDEX(Data[],MATCH($A177,Data[Dist],0),MATCH(H$4,Data[#Headers],0))</f>
        <v>5264486</v>
      </c>
    </row>
    <row r="178" spans="1:8" s="20" customFormat="1" ht="12.75" x14ac:dyDescent="0.2">
      <c r="A178" s="19" t="str">
        <f>Data!B174</f>
        <v>3978</v>
      </c>
      <c r="B178" s="20" t="str">
        <f>INDEX(Data[],MATCH($A178,Data[Dist],0),MATCH(B$4,Data[#Headers],0))</f>
        <v>East Mills</v>
      </c>
      <c r="C178" s="21">
        <f>INDEX(Data[],MATCH($A178,Data[Dist],0),MATCH(C$4,Data[#Headers],0))</f>
        <v>3569815</v>
      </c>
      <c r="D178" s="21">
        <f>INDEX(Data[],MATCH($A178,Data[Dist],0),MATCH(D$4,Data[#Headers],0))</f>
        <v>415</v>
      </c>
      <c r="E178" s="21">
        <f>INDEX(Data[],MATCH($A178,Data[Dist],0),MATCH(E$4,Data[#Headers],0))</f>
        <v>0</v>
      </c>
      <c r="F178" s="21">
        <f>IF(Notes!$B$3="Pay 1 Regular State Payment Budget",0,INDEX(Data[],MATCH($A178,Data[Dist],0),MATCH(F$4,Data[#Headers],0)))</f>
        <v>12211</v>
      </c>
      <c r="G178" s="21">
        <f>IF(OR(Notes!$B$3="Pay 1 Regular State Payment Budget",Notes!$B$3="Pay 2 Regular State Payment Budget"),0,INDEX(Data[],MATCH($A178,Data[Dist],0),MATCH(G$4,Data[#Headers],0)))</f>
        <v>0</v>
      </c>
      <c r="H178" s="21">
        <f>INDEX(Data[],MATCH($A178,Data[Dist],0),MATCH(H$4,Data[#Headers],0))</f>
        <v>3557189</v>
      </c>
    </row>
    <row r="179" spans="1:8" s="20" customFormat="1" ht="12.75" x14ac:dyDescent="0.2">
      <c r="A179" s="19" t="str">
        <f>Data!B175</f>
        <v>4023</v>
      </c>
      <c r="B179" s="20" t="str">
        <f>INDEX(Data[],MATCH($A179,Data[Dist],0),MATCH(B$4,Data[#Headers],0))</f>
        <v>Manson-Northwest Webster</v>
      </c>
      <c r="C179" s="21">
        <f>INDEX(Data[],MATCH($A179,Data[Dist],0),MATCH(C$4,Data[#Headers],0))</f>
        <v>3904312</v>
      </c>
      <c r="D179" s="21">
        <f>INDEX(Data[],MATCH($A179,Data[Dist],0),MATCH(D$4,Data[#Headers],0))</f>
        <v>697</v>
      </c>
      <c r="E179" s="21">
        <f>INDEX(Data[],MATCH($A179,Data[Dist],0),MATCH(E$4,Data[#Headers],0))</f>
        <v>0</v>
      </c>
      <c r="F179" s="21">
        <f>IF(Notes!$B$3="Pay 1 Regular State Payment Budget",0,INDEX(Data[],MATCH($A179,Data[Dist],0),MATCH(F$4,Data[#Headers],0)))</f>
        <v>14901</v>
      </c>
      <c r="G179" s="21">
        <f>IF(OR(Notes!$B$3="Pay 1 Regular State Payment Budget",Notes!$B$3="Pay 2 Regular State Payment Budget"),0,INDEX(Data[],MATCH($A179,Data[Dist],0),MATCH(G$4,Data[#Headers],0)))</f>
        <v>0</v>
      </c>
      <c r="H179" s="21">
        <f>INDEX(Data[],MATCH($A179,Data[Dist],0),MATCH(H$4,Data[#Headers],0))</f>
        <v>3888714</v>
      </c>
    </row>
    <row r="180" spans="1:8" s="20" customFormat="1" ht="12.75" x14ac:dyDescent="0.2">
      <c r="A180" s="19" t="str">
        <f>Data!B176</f>
        <v>4033</v>
      </c>
      <c r="B180" s="20" t="str">
        <f>INDEX(Data[],MATCH($A180,Data[Dist],0),MATCH(B$4,Data[#Headers],0))</f>
        <v>Maple Valley-Anthon Oto</v>
      </c>
      <c r="C180" s="21">
        <f>INDEX(Data[],MATCH($A180,Data[Dist],0),MATCH(C$4,Data[#Headers],0))</f>
        <v>3189126</v>
      </c>
      <c r="D180" s="21">
        <f>INDEX(Data[],MATCH($A180,Data[Dist],0),MATCH(D$4,Data[#Headers],0))</f>
        <v>431</v>
      </c>
      <c r="E180" s="21">
        <f>INDEX(Data[],MATCH($A180,Data[Dist],0),MATCH(E$4,Data[#Headers],0))</f>
        <v>0</v>
      </c>
      <c r="F180" s="21">
        <f>IF(Notes!$B$3="Pay 1 Regular State Payment Budget",0,INDEX(Data[],MATCH($A180,Data[Dist],0),MATCH(F$4,Data[#Headers],0)))</f>
        <v>12941</v>
      </c>
      <c r="G180" s="21">
        <f>IF(OR(Notes!$B$3="Pay 1 Regular State Payment Budget",Notes!$B$3="Pay 2 Regular State Payment Budget"),0,INDEX(Data[],MATCH($A180,Data[Dist],0),MATCH(G$4,Data[#Headers],0)))</f>
        <v>0</v>
      </c>
      <c r="H180" s="21">
        <f>INDEX(Data[],MATCH($A180,Data[Dist],0),MATCH(H$4,Data[#Headers],0))</f>
        <v>3175754</v>
      </c>
    </row>
    <row r="181" spans="1:8" s="20" customFormat="1" ht="12.75" x14ac:dyDescent="0.2">
      <c r="A181" s="19" t="str">
        <f>Data!B177</f>
        <v>4041</v>
      </c>
      <c r="B181" s="20" t="str">
        <f>INDEX(Data[],MATCH($A181,Data[Dist],0),MATCH(B$4,Data[#Headers],0))</f>
        <v>Maquoketa</v>
      </c>
      <c r="C181" s="21">
        <f>INDEX(Data[],MATCH($A181,Data[Dist],0),MATCH(C$4,Data[#Headers],0))</f>
        <v>10575759</v>
      </c>
      <c r="D181" s="21">
        <f>INDEX(Data[],MATCH($A181,Data[Dist],0),MATCH(D$4,Data[#Headers],0))</f>
        <v>813</v>
      </c>
      <c r="E181" s="21">
        <f>INDEX(Data[],MATCH($A181,Data[Dist],0),MATCH(E$4,Data[#Headers],0))</f>
        <v>0</v>
      </c>
      <c r="F181" s="21">
        <f>IF(Notes!$B$3="Pay 1 Regular State Payment Budget",0,INDEX(Data[],MATCH($A181,Data[Dist],0),MATCH(F$4,Data[#Headers],0)))</f>
        <v>27817</v>
      </c>
      <c r="G181" s="21">
        <f>IF(OR(Notes!$B$3="Pay 1 Regular State Payment Budget",Notes!$B$3="Pay 2 Regular State Payment Budget"),0,INDEX(Data[],MATCH($A181,Data[Dist],0),MATCH(G$4,Data[#Headers],0)))</f>
        <v>0</v>
      </c>
      <c r="H181" s="21">
        <f>INDEX(Data[],MATCH($A181,Data[Dist],0),MATCH(H$4,Data[#Headers],0))</f>
        <v>10547129</v>
      </c>
    </row>
    <row r="182" spans="1:8" s="20" customFormat="1" ht="12.75" x14ac:dyDescent="0.2">
      <c r="A182" s="19" t="str">
        <f>Data!B178</f>
        <v>4043</v>
      </c>
      <c r="B182" s="20" t="str">
        <f>INDEX(Data[],MATCH($A182,Data[Dist],0),MATCH(B$4,Data[#Headers],0))</f>
        <v>Maquoketa Valley</v>
      </c>
      <c r="C182" s="21">
        <f>INDEX(Data[],MATCH($A182,Data[Dist],0),MATCH(C$4,Data[#Headers],0))</f>
        <v>4084471</v>
      </c>
      <c r="D182" s="21">
        <f>INDEX(Data[],MATCH($A182,Data[Dist],0),MATCH(D$4,Data[#Headers],0))</f>
        <v>498</v>
      </c>
      <c r="E182" s="21">
        <f>INDEX(Data[],MATCH($A182,Data[Dist],0),MATCH(E$4,Data[#Headers],0))</f>
        <v>0</v>
      </c>
      <c r="F182" s="21">
        <f>IF(Notes!$B$3="Pay 1 Regular State Payment Budget",0,INDEX(Data[],MATCH($A182,Data[Dist],0),MATCH(F$4,Data[#Headers],0)))</f>
        <v>15189</v>
      </c>
      <c r="G182" s="21">
        <f>IF(OR(Notes!$B$3="Pay 1 Regular State Payment Budget",Notes!$B$3="Pay 2 Regular State Payment Budget"),0,INDEX(Data[],MATCH($A182,Data[Dist],0),MATCH(G$4,Data[#Headers],0)))</f>
        <v>0</v>
      </c>
      <c r="H182" s="21">
        <f>INDEX(Data[],MATCH($A182,Data[Dist],0),MATCH(H$4,Data[#Headers],0))</f>
        <v>4068784</v>
      </c>
    </row>
    <row r="183" spans="1:8" s="20" customFormat="1" ht="12.75" x14ac:dyDescent="0.2">
      <c r="A183" s="19" t="str">
        <f>Data!B179</f>
        <v>4068</v>
      </c>
      <c r="B183" s="20" t="str">
        <f>INDEX(Data[],MATCH($A183,Data[Dist],0),MATCH(B$4,Data[#Headers],0))</f>
        <v>Marcus-Meriden Cleghorn</v>
      </c>
      <c r="C183" s="21">
        <f>INDEX(Data[],MATCH($A183,Data[Dist],0),MATCH(C$4,Data[#Headers],0))</f>
        <v>2380959</v>
      </c>
      <c r="D183" s="21">
        <f>INDEX(Data[],MATCH($A183,Data[Dist],0),MATCH(D$4,Data[#Headers],0))</f>
        <v>299</v>
      </c>
      <c r="E183" s="21">
        <f>INDEX(Data[],MATCH($A183,Data[Dist],0),MATCH(E$4,Data[#Headers],0))</f>
        <v>0</v>
      </c>
      <c r="F183" s="21">
        <f>IF(Notes!$B$3="Pay 1 Regular State Payment Budget",0,INDEX(Data[],MATCH($A183,Data[Dist],0),MATCH(F$4,Data[#Headers],0)))</f>
        <v>10481</v>
      </c>
      <c r="G183" s="21">
        <f>IF(OR(Notes!$B$3="Pay 1 Regular State Payment Budget",Notes!$B$3="Pay 2 Regular State Payment Budget"),0,INDEX(Data[],MATCH($A183,Data[Dist],0),MATCH(G$4,Data[#Headers],0)))</f>
        <v>0</v>
      </c>
      <c r="H183" s="21">
        <f>INDEX(Data[],MATCH($A183,Data[Dist],0),MATCH(H$4,Data[#Headers],0))</f>
        <v>2370179</v>
      </c>
    </row>
    <row r="184" spans="1:8" s="20" customFormat="1" ht="12.75" x14ac:dyDescent="0.2">
      <c r="A184" s="19" t="str">
        <f>Data!B180</f>
        <v>4086</v>
      </c>
      <c r="B184" s="20" t="str">
        <f>INDEX(Data[],MATCH($A184,Data[Dist],0),MATCH(B$4,Data[#Headers],0))</f>
        <v>Marion</v>
      </c>
      <c r="C184" s="21">
        <f>INDEX(Data[],MATCH($A184,Data[Dist],0),MATCH(C$4,Data[#Headers],0))</f>
        <v>14944724</v>
      </c>
      <c r="D184" s="21">
        <f>INDEX(Data[],MATCH($A184,Data[Dist],0),MATCH(D$4,Data[#Headers],0))</f>
        <v>1509</v>
      </c>
      <c r="E184" s="21">
        <f>INDEX(Data[],MATCH($A184,Data[Dist],0),MATCH(E$4,Data[#Headers],0))</f>
        <v>0</v>
      </c>
      <c r="F184" s="21">
        <f>IF(Notes!$B$3="Pay 1 Regular State Payment Budget",0,INDEX(Data[],MATCH($A184,Data[Dist],0),MATCH(F$4,Data[#Headers],0)))</f>
        <v>39429</v>
      </c>
      <c r="G184" s="21">
        <f>IF(OR(Notes!$B$3="Pay 1 Regular State Payment Budget",Notes!$B$3="Pay 2 Regular State Payment Budget"),0,INDEX(Data[],MATCH($A184,Data[Dist],0),MATCH(G$4,Data[#Headers],0)))</f>
        <v>0</v>
      </c>
      <c r="H184" s="21">
        <f>INDEX(Data[],MATCH($A184,Data[Dist],0),MATCH(H$4,Data[#Headers],0))</f>
        <v>14903786</v>
      </c>
    </row>
    <row r="185" spans="1:8" s="20" customFormat="1" ht="12.75" x14ac:dyDescent="0.2">
      <c r="A185" s="19" t="str">
        <f>Data!B181</f>
        <v>4104</v>
      </c>
      <c r="B185" s="20" t="str">
        <f>INDEX(Data[],MATCH($A185,Data[Dist],0),MATCH(B$4,Data[#Headers],0))</f>
        <v>Marshalltown</v>
      </c>
      <c r="C185" s="21">
        <f>INDEX(Data[],MATCH($A185,Data[Dist],0),MATCH(C$4,Data[#Headers],0))</f>
        <v>48139948</v>
      </c>
      <c r="D185" s="21">
        <f>INDEX(Data[],MATCH($A185,Data[Dist],0),MATCH(D$4,Data[#Headers],0))</f>
        <v>4296</v>
      </c>
      <c r="E185" s="21">
        <f>INDEX(Data[],MATCH($A185,Data[Dist],0),MATCH(E$4,Data[#Headers],0))</f>
        <v>41400</v>
      </c>
      <c r="F185" s="21">
        <f>IF(Notes!$B$3="Pay 1 Regular State Payment Budget",0,INDEX(Data[],MATCH($A185,Data[Dist],0),MATCH(F$4,Data[#Headers],0)))</f>
        <v>120565</v>
      </c>
      <c r="G185" s="21">
        <f>IF(OR(Notes!$B$3="Pay 1 Regular State Payment Budget",Notes!$B$3="Pay 2 Regular State Payment Budget"),0,INDEX(Data[],MATCH($A185,Data[Dist],0),MATCH(G$4,Data[#Headers],0)))</f>
        <v>0</v>
      </c>
      <c r="H185" s="21">
        <f>INDEX(Data[],MATCH($A185,Data[Dist],0),MATCH(H$4,Data[#Headers],0))</f>
        <v>47973687</v>
      </c>
    </row>
    <row r="186" spans="1:8" s="20" customFormat="1" ht="12.75" x14ac:dyDescent="0.2">
      <c r="A186" s="19" t="str">
        <f>Data!B182</f>
        <v>4122</v>
      </c>
      <c r="B186" s="20" t="str">
        <f>INDEX(Data[],MATCH($A186,Data[Dist],0),MATCH(B$4,Data[#Headers],0))</f>
        <v>Martensdale-St Marys</v>
      </c>
      <c r="C186" s="21">
        <f>INDEX(Data[],MATCH($A186,Data[Dist],0),MATCH(C$4,Data[#Headers],0))</f>
        <v>3577771</v>
      </c>
      <c r="D186" s="21">
        <f>INDEX(Data[],MATCH($A186,Data[Dist],0),MATCH(D$4,Data[#Headers],0))</f>
        <v>464</v>
      </c>
      <c r="E186" s="21">
        <f>INDEX(Data[],MATCH($A186,Data[Dist],0),MATCH(E$4,Data[#Headers],0))</f>
        <v>0</v>
      </c>
      <c r="F186" s="21">
        <f>IF(Notes!$B$3="Pay 1 Regular State Payment Budget",0,INDEX(Data[],MATCH($A186,Data[Dist],0),MATCH(F$4,Data[#Headers],0)))</f>
        <v>10981</v>
      </c>
      <c r="G186" s="21">
        <f>IF(OR(Notes!$B$3="Pay 1 Regular State Payment Budget",Notes!$B$3="Pay 2 Regular State Payment Budget"),0,INDEX(Data[],MATCH($A186,Data[Dist],0),MATCH(G$4,Data[#Headers],0)))</f>
        <v>0</v>
      </c>
      <c r="H186" s="21">
        <f>INDEX(Data[],MATCH($A186,Data[Dist],0),MATCH(H$4,Data[#Headers],0))</f>
        <v>3566326</v>
      </c>
    </row>
    <row r="187" spans="1:8" s="20" customFormat="1" ht="12.75" x14ac:dyDescent="0.2">
      <c r="A187" s="19" t="str">
        <f>Data!B183</f>
        <v>4131</v>
      </c>
      <c r="B187" s="20" t="str">
        <f>INDEX(Data[],MATCH($A187,Data[Dist],0),MATCH(B$4,Data[#Headers],0))</f>
        <v>Mason City</v>
      </c>
      <c r="C187" s="21">
        <f>INDEX(Data[],MATCH($A187,Data[Dist],0),MATCH(C$4,Data[#Headers],0))</f>
        <v>25711843</v>
      </c>
      <c r="D187" s="21">
        <f>INDEX(Data[],MATCH($A187,Data[Dist],0),MATCH(D$4,Data[#Headers],0))</f>
        <v>2488</v>
      </c>
      <c r="E187" s="21">
        <f>INDEX(Data[],MATCH($A187,Data[Dist],0),MATCH(E$4,Data[#Headers],0))</f>
        <v>0</v>
      </c>
      <c r="F187" s="21">
        <f>IF(Notes!$B$3="Pay 1 Regular State Payment Budget",0,INDEX(Data[],MATCH($A187,Data[Dist],0),MATCH(F$4,Data[#Headers],0)))</f>
        <v>75484</v>
      </c>
      <c r="G187" s="21">
        <f>IF(OR(Notes!$B$3="Pay 1 Regular State Payment Budget",Notes!$B$3="Pay 2 Regular State Payment Budget"),0,INDEX(Data[],MATCH($A187,Data[Dist],0),MATCH(G$4,Data[#Headers],0)))</f>
        <v>0</v>
      </c>
      <c r="H187" s="21">
        <f>INDEX(Data[],MATCH($A187,Data[Dist],0),MATCH(H$4,Data[#Headers],0))</f>
        <v>25633871</v>
      </c>
    </row>
    <row r="188" spans="1:8" s="20" customFormat="1" ht="12.75" x14ac:dyDescent="0.2">
      <c r="A188" s="19" t="str">
        <f>Data!B184</f>
        <v>4149</v>
      </c>
      <c r="B188" s="20" t="str">
        <f>INDEX(Data[],MATCH($A188,Data[Dist],0),MATCH(B$4,Data[#Headers],0))</f>
        <v>Moc-Floyd Valley</v>
      </c>
      <c r="C188" s="21">
        <f>INDEX(Data[],MATCH($A188,Data[Dist],0),MATCH(C$4,Data[#Headers],0))</f>
        <v>10217877</v>
      </c>
      <c r="D188" s="21">
        <f>INDEX(Data[],MATCH($A188,Data[Dist],0),MATCH(D$4,Data[#Headers],0))</f>
        <v>846</v>
      </c>
      <c r="E188" s="21">
        <f>INDEX(Data[],MATCH($A188,Data[Dist],0),MATCH(E$4,Data[#Headers],0))</f>
        <v>0</v>
      </c>
      <c r="F188" s="21">
        <f>IF(Notes!$B$3="Pay 1 Regular State Payment Budget",0,INDEX(Data[],MATCH($A188,Data[Dist],0),MATCH(F$4,Data[#Headers],0)))</f>
        <v>33931</v>
      </c>
      <c r="G188" s="21">
        <f>IF(OR(Notes!$B$3="Pay 1 Regular State Payment Budget",Notes!$B$3="Pay 2 Regular State Payment Budget"),0,INDEX(Data[],MATCH($A188,Data[Dist],0),MATCH(G$4,Data[#Headers],0)))</f>
        <v>0</v>
      </c>
      <c r="H188" s="21">
        <f>INDEX(Data[],MATCH($A188,Data[Dist],0),MATCH(H$4,Data[#Headers],0))</f>
        <v>10183100</v>
      </c>
    </row>
    <row r="189" spans="1:8" s="20" customFormat="1" ht="12.75" x14ac:dyDescent="0.2">
      <c r="A189" s="19" t="str">
        <f>Data!B185</f>
        <v>4203</v>
      </c>
      <c r="B189" s="20" t="str">
        <f>INDEX(Data[],MATCH($A189,Data[Dist],0),MATCH(B$4,Data[#Headers],0))</f>
        <v>Mediapolis</v>
      </c>
      <c r="C189" s="21">
        <f>INDEX(Data[],MATCH($A189,Data[Dist],0),MATCH(C$4,Data[#Headers],0))</f>
        <v>6142112</v>
      </c>
      <c r="D189" s="21">
        <f>INDEX(Data[],MATCH($A189,Data[Dist],0),MATCH(D$4,Data[#Headers],0))</f>
        <v>0</v>
      </c>
      <c r="E189" s="21">
        <f>INDEX(Data[],MATCH($A189,Data[Dist],0),MATCH(E$4,Data[#Headers],0))</f>
        <v>0</v>
      </c>
      <c r="F189" s="21">
        <f>IF(Notes!$B$3="Pay 1 Regular State Payment Budget",0,INDEX(Data[],MATCH($A189,Data[Dist],0),MATCH(F$4,Data[#Headers],0)))</f>
        <v>19956</v>
      </c>
      <c r="G189" s="21">
        <f>IF(OR(Notes!$B$3="Pay 1 Regular State Payment Budget",Notes!$B$3="Pay 2 Regular State Payment Budget"),0,INDEX(Data[],MATCH($A189,Data[Dist],0),MATCH(G$4,Data[#Headers],0)))</f>
        <v>0</v>
      </c>
      <c r="H189" s="21">
        <f>INDEX(Data[],MATCH($A189,Data[Dist],0),MATCH(H$4,Data[#Headers],0))</f>
        <v>6122156</v>
      </c>
    </row>
    <row r="190" spans="1:8" s="20" customFormat="1" ht="12.75" x14ac:dyDescent="0.2">
      <c r="A190" s="19" t="str">
        <f>Data!B186</f>
        <v>4212</v>
      </c>
      <c r="B190" s="20" t="str">
        <f>INDEX(Data[],MATCH($A190,Data[Dist],0),MATCH(B$4,Data[#Headers],0))</f>
        <v>Melcher-Dallas</v>
      </c>
      <c r="C190" s="21">
        <f>INDEX(Data[],MATCH($A190,Data[Dist],0),MATCH(C$4,Data[#Headers],0))</f>
        <v>2530551</v>
      </c>
      <c r="D190" s="21">
        <f>INDEX(Data[],MATCH($A190,Data[Dist],0),MATCH(D$4,Data[#Headers],0))</f>
        <v>282</v>
      </c>
      <c r="E190" s="21">
        <f>INDEX(Data[],MATCH($A190,Data[Dist],0),MATCH(E$4,Data[#Headers],0))</f>
        <v>0</v>
      </c>
      <c r="F190" s="21">
        <f>IF(Notes!$B$3="Pay 1 Regular State Payment Budget",0,INDEX(Data[],MATCH($A190,Data[Dist],0),MATCH(F$4,Data[#Headers],0)))</f>
        <v>6384</v>
      </c>
      <c r="G190" s="21">
        <f>IF(OR(Notes!$B$3="Pay 1 Regular State Payment Budget",Notes!$B$3="Pay 2 Regular State Payment Budget"),0,INDEX(Data[],MATCH($A190,Data[Dist],0),MATCH(G$4,Data[#Headers],0)))</f>
        <v>0</v>
      </c>
      <c r="H190" s="21">
        <f>INDEX(Data[],MATCH($A190,Data[Dist],0),MATCH(H$4,Data[#Headers],0))</f>
        <v>2523885</v>
      </c>
    </row>
    <row r="191" spans="1:8" s="20" customFormat="1" ht="12.75" x14ac:dyDescent="0.2">
      <c r="A191" s="19" t="str">
        <f>Data!B187</f>
        <v>4269</v>
      </c>
      <c r="B191" s="20" t="str">
        <f>INDEX(Data[],MATCH($A191,Data[Dist],0),MATCH(B$4,Data[#Headers],0))</f>
        <v>Midland</v>
      </c>
      <c r="C191" s="21">
        <f>INDEX(Data[],MATCH($A191,Data[Dist],0),MATCH(C$4,Data[#Headers],0))</f>
        <v>3324229</v>
      </c>
      <c r="D191" s="21">
        <f>INDEX(Data[],MATCH($A191,Data[Dist],0),MATCH(D$4,Data[#Headers],0))</f>
        <v>299</v>
      </c>
      <c r="E191" s="21">
        <f>INDEX(Data[],MATCH($A191,Data[Dist],0),MATCH(E$4,Data[#Headers],0))</f>
        <v>0</v>
      </c>
      <c r="F191" s="21">
        <f>IF(Notes!$B$3="Pay 1 Regular State Payment Budget",0,INDEX(Data[],MATCH($A191,Data[Dist],0),MATCH(F$4,Data[#Headers],0)))</f>
        <v>11029</v>
      </c>
      <c r="G191" s="21">
        <f>IF(OR(Notes!$B$3="Pay 1 Regular State Payment Budget",Notes!$B$3="Pay 2 Regular State Payment Budget"),0,INDEX(Data[],MATCH($A191,Data[Dist],0),MATCH(G$4,Data[#Headers],0)))</f>
        <v>0</v>
      </c>
      <c r="H191" s="21">
        <f>INDEX(Data[],MATCH($A191,Data[Dist],0),MATCH(H$4,Data[#Headers],0))</f>
        <v>3312901</v>
      </c>
    </row>
    <row r="192" spans="1:8" s="20" customFormat="1" ht="12.75" x14ac:dyDescent="0.2">
      <c r="A192" s="19" t="str">
        <f>Data!B188</f>
        <v>4271</v>
      </c>
      <c r="B192" s="20" t="str">
        <f>INDEX(Data[],MATCH($A192,Data[Dist],0),MATCH(B$4,Data[#Headers],0))</f>
        <v>Mid-Prairie</v>
      </c>
      <c r="C192" s="21">
        <f>INDEX(Data[],MATCH($A192,Data[Dist],0),MATCH(C$4,Data[#Headers],0))</f>
        <v>8321318</v>
      </c>
      <c r="D192" s="21">
        <f>INDEX(Data[],MATCH($A192,Data[Dist],0),MATCH(D$4,Data[#Headers],0))</f>
        <v>1028</v>
      </c>
      <c r="E192" s="21">
        <f>INDEX(Data[],MATCH($A192,Data[Dist],0),MATCH(E$4,Data[#Headers],0))</f>
        <v>0</v>
      </c>
      <c r="F192" s="21">
        <f>IF(Notes!$B$3="Pay 1 Regular State Payment Budget",0,INDEX(Data[],MATCH($A192,Data[Dist],0),MATCH(F$4,Data[#Headers],0)))</f>
        <v>26898</v>
      </c>
      <c r="G192" s="21">
        <f>IF(OR(Notes!$B$3="Pay 1 Regular State Payment Budget",Notes!$B$3="Pay 2 Regular State Payment Budget"),0,INDEX(Data[],MATCH($A192,Data[Dist],0),MATCH(G$4,Data[#Headers],0)))</f>
        <v>0</v>
      </c>
      <c r="H192" s="21">
        <f>INDEX(Data[],MATCH($A192,Data[Dist],0),MATCH(H$4,Data[#Headers],0))</f>
        <v>8293392</v>
      </c>
    </row>
    <row r="193" spans="1:8" s="20" customFormat="1" ht="12.75" x14ac:dyDescent="0.2">
      <c r="A193" s="19" t="str">
        <f>Data!B189</f>
        <v>4356</v>
      </c>
      <c r="B193" s="20" t="str">
        <f>INDEX(Data[],MATCH($A193,Data[Dist],0),MATCH(B$4,Data[#Headers],0))</f>
        <v>Missouri Valley</v>
      </c>
      <c r="C193" s="21">
        <f>INDEX(Data[],MATCH($A193,Data[Dist],0),MATCH(C$4,Data[#Headers],0))</f>
        <v>5238525</v>
      </c>
      <c r="D193" s="21">
        <f>INDEX(Data[],MATCH($A193,Data[Dist],0),MATCH(D$4,Data[#Headers],0))</f>
        <v>630</v>
      </c>
      <c r="E193" s="21">
        <f>INDEX(Data[],MATCH($A193,Data[Dist],0),MATCH(E$4,Data[#Headers],0))</f>
        <v>0</v>
      </c>
      <c r="F193" s="21">
        <f>IF(Notes!$B$3="Pay 1 Regular State Payment Budget",0,INDEX(Data[],MATCH($A193,Data[Dist],0),MATCH(F$4,Data[#Headers],0)))</f>
        <v>16349</v>
      </c>
      <c r="G193" s="21">
        <f>IF(OR(Notes!$B$3="Pay 1 Regular State Payment Budget",Notes!$B$3="Pay 2 Regular State Payment Budget"),0,INDEX(Data[],MATCH($A193,Data[Dist],0),MATCH(G$4,Data[#Headers],0)))</f>
        <v>0</v>
      </c>
      <c r="H193" s="21">
        <f>INDEX(Data[],MATCH($A193,Data[Dist],0),MATCH(H$4,Data[#Headers],0))</f>
        <v>5221546</v>
      </c>
    </row>
    <row r="194" spans="1:8" s="20" customFormat="1" ht="12.75" x14ac:dyDescent="0.2">
      <c r="A194" s="19" t="str">
        <f>Data!B190</f>
        <v>4419</v>
      </c>
      <c r="B194" s="20" t="str">
        <f>INDEX(Data[],MATCH($A194,Data[Dist],0),MATCH(B$4,Data[#Headers],0))</f>
        <v>MFL Mar Mac</v>
      </c>
      <c r="C194" s="21">
        <f>INDEX(Data[],MATCH($A194,Data[Dist],0),MATCH(C$4,Data[#Headers],0))</f>
        <v>6331425</v>
      </c>
      <c r="D194" s="21">
        <f>INDEX(Data[],MATCH($A194,Data[Dist],0),MATCH(D$4,Data[#Headers],0))</f>
        <v>630</v>
      </c>
      <c r="E194" s="21">
        <f>INDEX(Data[],MATCH($A194,Data[Dist],0),MATCH(E$4,Data[#Headers],0))</f>
        <v>0</v>
      </c>
      <c r="F194" s="21">
        <f>IF(Notes!$B$3="Pay 1 Regular State Payment Budget",0,INDEX(Data[],MATCH($A194,Data[Dist],0),MATCH(F$4,Data[#Headers],0)))</f>
        <v>18298</v>
      </c>
      <c r="G194" s="21">
        <f>IF(OR(Notes!$B$3="Pay 1 Regular State Payment Budget",Notes!$B$3="Pay 2 Regular State Payment Budget"),0,INDEX(Data[],MATCH($A194,Data[Dist],0),MATCH(G$4,Data[#Headers],0)))</f>
        <v>0</v>
      </c>
      <c r="H194" s="21">
        <f>INDEX(Data[],MATCH($A194,Data[Dist],0),MATCH(H$4,Data[#Headers],0))</f>
        <v>6312497</v>
      </c>
    </row>
    <row r="195" spans="1:8" s="20" customFormat="1" ht="12.75" x14ac:dyDescent="0.2">
      <c r="A195" s="19" t="str">
        <f>Data!B191</f>
        <v>4437</v>
      </c>
      <c r="B195" s="20" t="str">
        <f>INDEX(Data[],MATCH($A195,Data[Dist],0),MATCH(B$4,Data[#Headers],0))</f>
        <v>Montezuma</v>
      </c>
      <c r="C195" s="21">
        <f>INDEX(Data[],MATCH($A195,Data[Dist],0),MATCH(C$4,Data[#Headers],0))</f>
        <v>2223311</v>
      </c>
      <c r="D195" s="21">
        <f>INDEX(Data[],MATCH($A195,Data[Dist],0),MATCH(D$4,Data[#Headers],0))</f>
        <v>332</v>
      </c>
      <c r="E195" s="21">
        <f>INDEX(Data[],MATCH($A195,Data[Dist],0),MATCH(E$4,Data[#Headers],0))</f>
        <v>0</v>
      </c>
      <c r="F195" s="21">
        <f>IF(Notes!$B$3="Pay 1 Regular State Payment Budget",0,INDEX(Data[],MATCH($A195,Data[Dist],0),MATCH(F$4,Data[#Headers],0)))</f>
        <v>10490</v>
      </c>
      <c r="G195" s="21">
        <f>IF(OR(Notes!$B$3="Pay 1 Regular State Payment Budget",Notes!$B$3="Pay 2 Regular State Payment Budget"),0,INDEX(Data[],MATCH($A195,Data[Dist],0),MATCH(G$4,Data[#Headers],0)))</f>
        <v>0</v>
      </c>
      <c r="H195" s="21">
        <f>INDEX(Data[],MATCH($A195,Data[Dist],0),MATCH(H$4,Data[#Headers],0))</f>
        <v>2212489</v>
      </c>
    </row>
    <row r="196" spans="1:8" s="20" customFormat="1" ht="12.75" x14ac:dyDescent="0.2">
      <c r="A196" s="19" t="str">
        <f>Data!B192</f>
        <v>4446</v>
      </c>
      <c r="B196" s="20" t="str">
        <f>INDEX(Data[],MATCH($A196,Data[Dist],0),MATCH(B$4,Data[#Headers],0))</f>
        <v>Monticello</v>
      </c>
      <c r="C196" s="21">
        <f>INDEX(Data[],MATCH($A196,Data[Dist],0),MATCH(C$4,Data[#Headers],0))</f>
        <v>7086079</v>
      </c>
      <c r="D196" s="21">
        <f>INDEX(Data[],MATCH($A196,Data[Dist],0),MATCH(D$4,Data[#Headers],0))</f>
        <v>979</v>
      </c>
      <c r="E196" s="21">
        <f>INDEX(Data[],MATCH($A196,Data[Dist],0),MATCH(E$4,Data[#Headers],0))</f>
        <v>0</v>
      </c>
      <c r="F196" s="21">
        <f>IF(Notes!$B$3="Pay 1 Regular State Payment Budget",0,INDEX(Data[],MATCH($A196,Data[Dist],0),MATCH(F$4,Data[#Headers],0)))</f>
        <v>21819</v>
      </c>
      <c r="G196" s="21">
        <f>IF(OR(Notes!$B$3="Pay 1 Regular State Payment Budget",Notes!$B$3="Pay 2 Regular State Payment Budget"),0,INDEX(Data[],MATCH($A196,Data[Dist],0),MATCH(G$4,Data[#Headers],0)))</f>
        <v>0</v>
      </c>
      <c r="H196" s="21">
        <f>INDEX(Data[],MATCH($A196,Data[Dist],0),MATCH(H$4,Data[#Headers],0))</f>
        <v>7063281</v>
      </c>
    </row>
    <row r="197" spans="1:8" s="20" customFormat="1" ht="12.75" x14ac:dyDescent="0.2">
      <c r="A197" s="19" t="str">
        <f>Data!B193</f>
        <v>4491</v>
      </c>
      <c r="B197" s="20" t="str">
        <f>INDEX(Data[],MATCH($A197,Data[Dist],0),MATCH(B$4,Data[#Headers],0))</f>
        <v>Moravia</v>
      </c>
      <c r="C197" s="21">
        <f>INDEX(Data[],MATCH($A197,Data[Dist],0),MATCH(C$4,Data[#Headers],0))</f>
        <v>2570779</v>
      </c>
      <c r="D197" s="21">
        <f>INDEX(Data[],MATCH($A197,Data[Dist],0),MATCH(D$4,Data[#Headers],0))</f>
        <v>381</v>
      </c>
      <c r="E197" s="21">
        <f>INDEX(Data[],MATCH($A197,Data[Dist],0),MATCH(E$4,Data[#Headers],0))</f>
        <v>0</v>
      </c>
      <c r="F197" s="21">
        <f>IF(Notes!$B$3="Pay 1 Regular State Payment Budget",0,INDEX(Data[],MATCH($A197,Data[Dist],0),MATCH(F$4,Data[#Headers],0)))</f>
        <v>7206</v>
      </c>
      <c r="G197" s="21">
        <f>IF(OR(Notes!$B$3="Pay 1 Regular State Payment Budget",Notes!$B$3="Pay 2 Regular State Payment Budget"),0,INDEX(Data[],MATCH($A197,Data[Dist],0),MATCH(G$4,Data[#Headers],0)))</f>
        <v>0</v>
      </c>
      <c r="H197" s="21">
        <f>INDEX(Data[],MATCH($A197,Data[Dist],0),MATCH(H$4,Data[#Headers],0))</f>
        <v>2563192</v>
      </c>
    </row>
    <row r="198" spans="1:8" s="20" customFormat="1" ht="12.75" x14ac:dyDescent="0.2">
      <c r="A198" s="19" t="str">
        <f>Data!B194</f>
        <v>4505</v>
      </c>
      <c r="B198" s="20" t="str">
        <f>INDEX(Data[],MATCH($A198,Data[Dist],0),MATCH(B$4,Data[#Headers],0))</f>
        <v>Mormon Trail</v>
      </c>
      <c r="C198" s="21">
        <f>INDEX(Data[],MATCH($A198,Data[Dist],0),MATCH(C$4,Data[#Headers],0))</f>
        <v>1919644</v>
      </c>
      <c r="D198" s="21">
        <f>INDEX(Data[],MATCH($A198,Data[Dist],0),MATCH(D$4,Data[#Headers],0))</f>
        <v>100</v>
      </c>
      <c r="E198" s="21">
        <f>INDEX(Data[],MATCH($A198,Data[Dist],0),MATCH(E$4,Data[#Headers],0))</f>
        <v>0</v>
      </c>
      <c r="F198" s="21">
        <f>IF(Notes!$B$3="Pay 1 Regular State Payment Budget",0,INDEX(Data[],MATCH($A198,Data[Dist],0),MATCH(F$4,Data[#Headers],0)))</f>
        <v>4985</v>
      </c>
      <c r="G198" s="21">
        <f>IF(OR(Notes!$B$3="Pay 1 Regular State Payment Budget",Notes!$B$3="Pay 2 Regular State Payment Budget"),0,INDEX(Data[],MATCH($A198,Data[Dist],0),MATCH(G$4,Data[#Headers],0)))</f>
        <v>0</v>
      </c>
      <c r="H198" s="21">
        <f>INDEX(Data[],MATCH($A198,Data[Dist],0),MATCH(H$4,Data[#Headers],0))</f>
        <v>1914559</v>
      </c>
    </row>
    <row r="199" spans="1:8" s="20" customFormat="1" ht="12.75" x14ac:dyDescent="0.2">
      <c r="A199" s="19" t="str">
        <f>Data!B195</f>
        <v>4509</v>
      </c>
      <c r="B199" s="20" t="str">
        <f>INDEX(Data[],MATCH($A199,Data[Dist],0),MATCH(B$4,Data[#Headers],0))</f>
        <v>Morning Sun</v>
      </c>
      <c r="C199" s="21">
        <f>INDEX(Data[],MATCH($A199,Data[Dist],0),MATCH(C$4,Data[#Headers],0))</f>
        <v>1689100</v>
      </c>
      <c r="D199" s="21">
        <f>INDEX(Data[],MATCH($A199,Data[Dist],0),MATCH(D$4,Data[#Headers],0))</f>
        <v>182</v>
      </c>
      <c r="E199" s="21">
        <f>INDEX(Data[],MATCH($A199,Data[Dist],0),MATCH(E$4,Data[#Headers],0))</f>
        <v>0</v>
      </c>
      <c r="F199" s="21">
        <f>IF(Notes!$B$3="Pay 1 Regular State Payment Budget",0,INDEX(Data[],MATCH($A199,Data[Dist],0),MATCH(F$4,Data[#Headers],0)))</f>
        <v>4483</v>
      </c>
      <c r="G199" s="21">
        <f>IF(OR(Notes!$B$3="Pay 1 Regular State Payment Budget",Notes!$B$3="Pay 2 Regular State Payment Budget"),0,INDEX(Data[],MATCH($A199,Data[Dist],0),MATCH(G$4,Data[#Headers],0)))</f>
        <v>0</v>
      </c>
      <c r="H199" s="21">
        <f>INDEX(Data[],MATCH($A199,Data[Dist],0),MATCH(H$4,Data[#Headers],0))</f>
        <v>1684435</v>
      </c>
    </row>
    <row r="200" spans="1:8" s="20" customFormat="1" ht="12.75" x14ac:dyDescent="0.2">
      <c r="A200" s="19" t="str">
        <f>Data!B196</f>
        <v>4518</v>
      </c>
      <c r="B200" s="20" t="str">
        <f>INDEX(Data[],MATCH($A200,Data[Dist],0),MATCH(B$4,Data[#Headers],0))</f>
        <v>Moulton-Udell</v>
      </c>
      <c r="C200" s="21">
        <f>INDEX(Data[],MATCH($A200,Data[Dist],0),MATCH(C$4,Data[#Headers],0))</f>
        <v>1553033</v>
      </c>
      <c r="D200" s="21">
        <f>INDEX(Data[],MATCH($A200,Data[Dist],0),MATCH(D$4,Data[#Headers],0))</f>
        <v>182</v>
      </c>
      <c r="E200" s="21">
        <f>INDEX(Data[],MATCH($A200,Data[Dist],0),MATCH(E$4,Data[#Headers],0))</f>
        <v>0</v>
      </c>
      <c r="F200" s="21">
        <f>IF(Notes!$B$3="Pay 1 Regular State Payment Budget",0,INDEX(Data[],MATCH($A200,Data[Dist],0),MATCH(F$4,Data[#Headers],0)))</f>
        <v>4384</v>
      </c>
      <c r="G200" s="21">
        <f>IF(OR(Notes!$B$3="Pay 1 Regular State Payment Budget",Notes!$B$3="Pay 2 Regular State Payment Budget"),0,INDEX(Data[],MATCH($A200,Data[Dist],0),MATCH(G$4,Data[#Headers],0)))</f>
        <v>0</v>
      </c>
      <c r="H200" s="21">
        <f>INDEX(Data[],MATCH($A200,Data[Dist],0),MATCH(H$4,Data[#Headers],0))</f>
        <v>1548467</v>
      </c>
    </row>
    <row r="201" spans="1:8" s="20" customFormat="1" ht="12.75" x14ac:dyDescent="0.2">
      <c r="A201" s="19" t="str">
        <f>Data!B197</f>
        <v>4527</v>
      </c>
      <c r="B201" s="20" t="str">
        <f>INDEX(Data[],MATCH($A201,Data[Dist],0),MATCH(B$4,Data[#Headers],0))</f>
        <v>Mount Ayr</v>
      </c>
      <c r="C201" s="21">
        <f>INDEX(Data[],MATCH($A201,Data[Dist],0),MATCH(C$4,Data[#Headers],0))</f>
        <v>4186284</v>
      </c>
      <c r="D201" s="21">
        <f>INDEX(Data[],MATCH($A201,Data[Dist],0),MATCH(D$4,Data[#Headers],0))</f>
        <v>647</v>
      </c>
      <c r="E201" s="21">
        <f>INDEX(Data[],MATCH($A201,Data[Dist],0),MATCH(E$4,Data[#Headers],0))</f>
        <v>0</v>
      </c>
      <c r="F201" s="21">
        <f>IF(Notes!$B$3="Pay 1 Regular State Payment Budget",0,INDEX(Data[],MATCH($A201,Data[Dist],0),MATCH(F$4,Data[#Headers],0)))</f>
        <v>13479</v>
      </c>
      <c r="G201" s="21">
        <f>IF(OR(Notes!$B$3="Pay 1 Regular State Payment Budget",Notes!$B$3="Pay 2 Regular State Payment Budget"),0,INDEX(Data[],MATCH($A201,Data[Dist],0),MATCH(G$4,Data[#Headers],0)))</f>
        <v>0</v>
      </c>
      <c r="H201" s="21">
        <f>INDEX(Data[],MATCH($A201,Data[Dist],0),MATCH(H$4,Data[#Headers],0))</f>
        <v>4172158</v>
      </c>
    </row>
    <row r="202" spans="1:8" s="20" customFormat="1" ht="12.75" x14ac:dyDescent="0.2">
      <c r="A202" s="19" t="str">
        <f>Data!B198</f>
        <v>4536</v>
      </c>
      <c r="B202" s="20" t="str">
        <f>INDEX(Data[],MATCH($A202,Data[Dist],0),MATCH(B$4,Data[#Headers],0))</f>
        <v>Mount Pleasant</v>
      </c>
      <c r="C202" s="21">
        <f>INDEX(Data[],MATCH($A202,Data[Dist],0),MATCH(C$4,Data[#Headers],0))</f>
        <v>13295837</v>
      </c>
      <c r="D202" s="21">
        <f>INDEX(Data[],MATCH($A202,Data[Dist],0),MATCH(D$4,Data[#Headers],0))</f>
        <v>1410</v>
      </c>
      <c r="E202" s="21">
        <f>INDEX(Data[],MATCH($A202,Data[Dist],0),MATCH(E$4,Data[#Headers],0))</f>
        <v>0</v>
      </c>
      <c r="F202" s="21">
        <f>IF(Notes!$B$3="Pay 1 Regular State Payment Budget",0,INDEX(Data[],MATCH($A202,Data[Dist],0),MATCH(F$4,Data[#Headers],0)))</f>
        <v>39044</v>
      </c>
      <c r="G202" s="21">
        <f>IF(OR(Notes!$B$3="Pay 1 Regular State Payment Budget",Notes!$B$3="Pay 2 Regular State Payment Budget"),0,INDEX(Data[],MATCH($A202,Data[Dist],0),MATCH(G$4,Data[#Headers],0)))</f>
        <v>0</v>
      </c>
      <c r="H202" s="21">
        <f>INDEX(Data[],MATCH($A202,Data[Dist],0),MATCH(H$4,Data[#Headers],0))</f>
        <v>13255383</v>
      </c>
    </row>
    <row r="203" spans="1:8" s="20" customFormat="1" ht="12.75" x14ac:dyDescent="0.2">
      <c r="A203" s="19" t="str">
        <f>Data!B199</f>
        <v>4554</v>
      </c>
      <c r="B203" s="20" t="str">
        <f>INDEX(Data[],MATCH($A203,Data[Dist],0),MATCH(B$4,Data[#Headers],0))</f>
        <v>Mount Vernon</v>
      </c>
      <c r="C203" s="21">
        <f>INDEX(Data[],MATCH($A203,Data[Dist],0),MATCH(C$4,Data[#Headers],0))</f>
        <v>8185149</v>
      </c>
      <c r="D203" s="21">
        <f>INDEX(Data[],MATCH($A203,Data[Dist],0),MATCH(D$4,Data[#Headers],0))</f>
        <v>979</v>
      </c>
      <c r="E203" s="21">
        <f>INDEX(Data[],MATCH($A203,Data[Dist],0),MATCH(E$4,Data[#Headers],0))</f>
        <v>0</v>
      </c>
      <c r="F203" s="21">
        <f>IF(Notes!$B$3="Pay 1 Regular State Payment Budget",0,INDEX(Data[],MATCH($A203,Data[Dist],0),MATCH(F$4,Data[#Headers],0)))</f>
        <v>24724</v>
      </c>
      <c r="G203" s="21">
        <f>IF(OR(Notes!$B$3="Pay 1 Regular State Payment Budget",Notes!$B$3="Pay 2 Regular State Payment Budget"),0,INDEX(Data[],MATCH($A203,Data[Dist],0),MATCH(G$4,Data[#Headers],0)))</f>
        <v>0</v>
      </c>
      <c r="H203" s="21">
        <f>INDEX(Data[],MATCH($A203,Data[Dist],0),MATCH(H$4,Data[#Headers],0))</f>
        <v>8159446</v>
      </c>
    </row>
    <row r="204" spans="1:8" s="20" customFormat="1" ht="12.75" x14ac:dyDescent="0.2">
      <c r="A204" s="19" t="str">
        <f>Data!B200</f>
        <v>4572</v>
      </c>
      <c r="B204" s="20" t="str">
        <f>INDEX(Data[],MATCH($A204,Data[Dist],0),MATCH(B$4,Data[#Headers],0))</f>
        <v>Murray</v>
      </c>
      <c r="C204" s="21">
        <f>INDEX(Data[],MATCH($A204,Data[Dist],0),MATCH(C$4,Data[#Headers],0))</f>
        <v>2038733</v>
      </c>
      <c r="D204" s="21">
        <f>INDEX(Data[],MATCH($A204,Data[Dist],0),MATCH(D$4,Data[#Headers],0))</f>
        <v>415</v>
      </c>
      <c r="E204" s="21">
        <f>INDEX(Data[],MATCH($A204,Data[Dist],0),MATCH(E$4,Data[#Headers],0))</f>
        <v>0</v>
      </c>
      <c r="F204" s="21">
        <f>IF(Notes!$B$3="Pay 1 Regular State Payment Budget",0,INDEX(Data[],MATCH($A204,Data[Dist],0),MATCH(F$4,Data[#Headers],0)))</f>
        <v>4965</v>
      </c>
      <c r="G204" s="21">
        <f>IF(OR(Notes!$B$3="Pay 1 Regular State Payment Budget",Notes!$B$3="Pay 2 Regular State Payment Budget"),0,INDEX(Data[],MATCH($A204,Data[Dist],0),MATCH(G$4,Data[#Headers],0)))</f>
        <v>0</v>
      </c>
      <c r="H204" s="21">
        <f>INDEX(Data[],MATCH($A204,Data[Dist],0),MATCH(H$4,Data[#Headers],0))</f>
        <v>2033353</v>
      </c>
    </row>
    <row r="205" spans="1:8" s="20" customFormat="1" ht="12.75" x14ac:dyDescent="0.2">
      <c r="A205" s="19" t="str">
        <f>Data!B201</f>
        <v>4581</v>
      </c>
      <c r="B205" s="20" t="str">
        <f>INDEX(Data[],MATCH($A205,Data[Dist],0),MATCH(B$4,Data[#Headers],0))</f>
        <v>Muscatine</v>
      </c>
      <c r="C205" s="21">
        <f>INDEX(Data[],MATCH($A205,Data[Dist],0),MATCH(C$4,Data[#Headers],0))</f>
        <v>35471122</v>
      </c>
      <c r="D205" s="21">
        <f>INDEX(Data[],MATCH($A205,Data[Dist],0),MATCH(D$4,Data[#Headers],0))</f>
        <v>3980</v>
      </c>
      <c r="E205" s="21">
        <f>INDEX(Data[],MATCH($A205,Data[Dist],0),MATCH(E$4,Data[#Headers],0))</f>
        <v>46451</v>
      </c>
      <c r="F205" s="21">
        <f>IF(Notes!$B$3="Pay 1 Regular State Payment Budget",0,INDEX(Data[],MATCH($A205,Data[Dist],0),MATCH(F$4,Data[#Headers],0)))</f>
        <v>99627</v>
      </c>
      <c r="G205" s="21">
        <f>IF(OR(Notes!$B$3="Pay 1 Regular State Payment Budget",Notes!$B$3="Pay 2 Regular State Payment Budget"),0,INDEX(Data[],MATCH($A205,Data[Dist],0),MATCH(G$4,Data[#Headers],0)))</f>
        <v>0</v>
      </c>
      <c r="H205" s="21">
        <f>INDEX(Data[],MATCH($A205,Data[Dist],0),MATCH(H$4,Data[#Headers],0))</f>
        <v>35321064</v>
      </c>
    </row>
    <row r="206" spans="1:8" s="20" customFormat="1" ht="12.75" x14ac:dyDescent="0.2">
      <c r="A206" s="19" t="str">
        <f>Data!B202</f>
        <v>4599</v>
      </c>
      <c r="B206" s="20" t="str">
        <f>INDEX(Data[],MATCH($A206,Data[Dist],0),MATCH(B$4,Data[#Headers],0))</f>
        <v>Nashua-Plainfield</v>
      </c>
      <c r="C206" s="21">
        <f>INDEX(Data[],MATCH($A206,Data[Dist],0),MATCH(C$4,Data[#Headers],0))</f>
        <v>4223234</v>
      </c>
      <c r="D206" s="21">
        <f>INDEX(Data[],MATCH($A206,Data[Dist],0),MATCH(D$4,Data[#Headers],0))</f>
        <v>564</v>
      </c>
      <c r="E206" s="21">
        <f>INDEX(Data[],MATCH($A206,Data[Dist],0),MATCH(E$4,Data[#Headers],0))</f>
        <v>0</v>
      </c>
      <c r="F206" s="21">
        <f>IF(Notes!$B$3="Pay 1 Regular State Payment Budget",0,INDEX(Data[],MATCH($A206,Data[Dist],0),MATCH(F$4,Data[#Headers],0)))</f>
        <v>13376</v>
      </c>
      <c r="G206" s="21">
        <f>IF(OR(Notes!$B$3="Pay 1 Regular State Payment Budget",Notes!$B$3="Pay 2 Regular State Payment Budget"),0,INDEX(Data[],MATCH($A206,Data[Dist],0),MATCH(G$4,Data[#Headers],0)))</f>
        <v>0</v>
      </c>
      <c r="H206" s="21">
        <f>INDEX(Data[],MATCH($A206,Data[Dist],0),MATCH(H$4,Data[#Headers],0))</f>
        <v>4209294</v>
      </c>
    </row>
    <row r="207" spans="1:8" s="20" customFormat="1" ht="12.75" x14ac:dyDescent="0.2">
      <c r="A207" s="19" t="str">
        <f>Data!B203</f>
        <v>4617</v>
      </c>
      <c r="B207" s="20" t="str">
        <f>INDEX(Data[],MATCH($A207,Data[Dist],0),MATCH(B$4,Data[#Headers],0))</f>
        <v>Nevada</v>
      </c>
      <c r="C207" s="21">
        <f>INDEX(Data[],MATCH($A207,Data[Dist],0),MATCH(C$4,Data[#Headers],0))</f>
        <v>10243802</v>
      </c>
      <c r="D207" s="21">
        <f>INDEX(Data[],MATCH($A207,Data[Dist],0),MATCH(D$4,Data[#Headers],0))</f>
        <v>1542</v>
      </c>
      <c r="E207" s="21">
        <f>INDEX(Data[],MATCH($A207,Data[Dist],0),MATCH(E$4,Data[#Headers],0))</f>
        <v>0</v>
      </c>
      <c r="F207" s="21">
        <f>IF(Notes!$B$3="Pay 1 Regular State Payment Budget",0,INDEX(Data[],MATCH($A207,Data[Dist],0),MATCH(F$4,Data[#Headers],0)))</f>
        <v>31219</v>
      </c>
      <c r="G207" s="21">
        <f>IF(OR(Notes!$B$3="Pay 1 Regular State Payment Budget",Notes!$B$3="Pay 2 Regular State Payment Budget"),0,INDEX(Data[],MATCH($A207,Data[Dist],0),MATCH(G$4,Data[#Headers],0)))</f>
        <v>0</v>
      </c>
      <c r="H207" s="21">
        <f>INDEX(Data[],MATCH($A207,Data[Dist],0),MATCH(H$4,Data[#Headers],0))</f>
        <v>10211041</v>
      </c>
    </row>
    <row r="208" spans="1:8" s="20" customFormat="1" ht="12.75" x14ac:dyDescent="0.2">
      <c r="A208" s="19" t="str">
        <f>Data!B204</f>
        <v>4644</v>
      </c>
      <c r="B208" s="20" t="str">
        <f>INDEX(Data[],MATCH($A208,Data[Dist],0),MATCH(B$4,Data[#Headers],0))</f>
        <v>Newell-Fonda</v>
      </c>
      <c r="C208" s="21">
        <f>INDEX(Data[],MATCH($A208,Data[Dist],0),MATCH(C$4,Data[#Headers],0))</f>
        <v>3021677</v>
      </c>
      <c r="D208" s="21">
        <f>INDEX(Data[],MATCH($A208,Data[Dist],0),MATCH(D$4,Data[#Headers],0))</f>
        <v>481</v>
      </c>
      <c r="E208" s="21">
        <f>INDEX(Data[],MATCH($A208,Data[Dist],0),MATCH(E$4,Data[#Headers],0))</f>
        <v>0</v>
      </c>
      <c r="F208" s="21">
        <f>IF(Notes!$B$3="Pay 1 Regular State Payment Budget",0,INDEX(Data[],MATCH($A208,Data[Dist],0),MATCH(F$4,Data[#Headers],0)))</f>
        <v>10734</v>
      </c>
      <c r="G208" s="21">
        <f>IF(OR(Notes!$B$3="Pay 1 Regular State Payment Budget",Notes!$B$3="Pay 2 Regular State Payment Budget"),0,INDEX(Data[],MATCH($A208,Data[Dist],0),MATCH(G$4,Data[#Headers],0)))</f>
        <v>0</v>
      </c>
      <c r="H208" s="21">
        <f>INDEX(Data[],MATCH($A208,Data[Dist],0),MATCH(H$4,Data[#Headers],0))</f>
        <v>3010462</v>
      </c>
    </row>
    <row r="209" spans="1:8" s="20" customFormat="1" ht="12.75" x14ac:dyDescent="0.2">
      <c r="A209" s="19" t="str">
        <f>Data!B205</f>
        <v>4662</v>
      </c>
      <c r="B209" s="20" t="str">
        <f>INDEX(Data[],MATCH($A209,Data[Dist],0),MATCH(B$4,Data[#Headers],0))</f>
        <v>New Hampton</v>
      </c>
      <c r="C209" s="21">
        <f>INDEX(Data[],MATCH($A209,Data[Dist],0),MATCH(C$4,Data[#Headers],0))</f>
        <v>6427916</v>
      </c>
      <c r="D209" s="21">
        <f>INDEX(Data[],MATCH($A209,Data[Dist],0),MATCH(D$4,Data[#Headers],0))</f>
        <v>1128</v>
      </c>
      <c r="E209" s="21">
        <f>INDEX(Data[],MATCH($A209,Data[Dist],0),MATCH(E$4,Data[#Headers],0))</f>
        <v>0</v>
      </c>
      <c r="F209" s="21">
        <f>IF(Notes!$B$3="Pay 1 Regular State Payment Budget",0,INDEX(Data[],MATCH($A209,Data[Dist],0),MATCH(F$4,Data[#Headers],0)))</f>
        <v>21864</v>
      </c>
      <c r="G209" s="21">
        <f>IF(OR(Notes!$B$3="Pay 1 Regular State Payment Budget",Notes!$B$3="Pay 2 Regular State Payment Budget"),0,INDEX(Data[],MATCH($A209,Data[Dist],0),MATCH(G$4,Data[#Headers],0)))</f>
        <v>0</v>
      </c>
      <c r="H209" s="21">
        <f>INDEX(Data[],MATCH($A209,Data[Dist],0),MATCH(H$4,Data[#Headers],0))</f>
        <v>6404924</v>
      </c>
    </row>
    <row r="210" spans="1:8" s="20" customFormat="1" ht="12.75" x14ac:dyDescent="0.2">
      <c r="A210" s="19" t="str">
        <f>Data!B206</f>
        <v>4689</v>
      </c>
      <c r="B210" s="20" t="str">
        <f>INDEX(Data[],MATCH($A210,Data[Dist],0),MATCH(B$4,Data[#Headers],0))</f>
        <v>New London</v>
      </c>
      <c r="C210" s="21">
        <f>INDEX(Data[],MATCH($A210,Data[Dist],0),MATCH(C$4,Data[#Headers],0))</f>
        <v>4558028</v>
      </c>
      <c r="D210" s="21">
        <f>INDEX(Data[],MATCH($A210,Data[Dist],0),MATCH(D$4,Data[#Headers],0))</f>
        <v>531</v>
      </c>
      <c r="E210" s="21">
        <f>INDEX(Data[],MATCH($A210,Data[Dist],0),MATCH(E$4,Data[#Headers],0))</f>
        <v>0</v>
      </c>
      <c r="F210" s="21">
        <f>IF(Notes!$B$3="Pay 1 Regular State Payment Budget",0,INDEX(Data[],MATCH($A210,Data[Dist],0),MATCH(F$4,Data[#Headers],0)))</f>
        <v>12009</v>
      </c>
      <c r="G210" s="21">
        <f>IF(OR(Notes!$B$3="Pay 1 Regular State Payment Budget",Notes!$B$3="Pay 2 Regular State Payment Budget"),0,INDEX(Data[],MATCH($A210,Data[Dist],0),MATCH(G$4,Data[#Headers],0)))</f>
        <v>0</v>
      </c>
      <c r="H210" s="21">
        <f>INDEX(Data[],MATCH($A210,Data[Dist],0),MATCH(H$4,Data[#Headers],0))</f>
        <v>4545488</v>
      </c>
    </row>
    <row r="211" spans="1:8" s="20" customFormat="1" ht="12.75" x14ac:dyDescent="0.2">
      <c r="A211" s="19" t="str">
        <f>Data!B207</f>
        <v>4725</v>
      </c>
      <c r="B211" s="20" t="str">
        <f>INDEX(Data[],MATCH($A211,Data[Dist],0),MATCH(B$4,Data[#Headers],0))</f>
        <v>Newton</v>
      </c>
      <c r="C211" s="21">
        <f>INDEX(Data[],MATCH($A211,Data[Dist],0),MATCH(C$4,Data[#Headers],0))</f>
        <v>24205441</v>
      </c>
      <c r="D211" s="21">
        <f>INDEX(Data[],MATCH($A211,Data[Dist],0),MATCH(D$4,Data[#Headers],0))</f>
        <v>1741</v>
      </c>
      <c r="E211" s="21">
        <f>INDEX(Data[],MATCH($A211,Data[Dist],0),MATCH(E$4,Data[#Headers],0))</f>
        <v>0</v>
      </c>
      <c r="F211" s="21">
        <f>IF(Notes!$B$3="Pay 1 Regular State Payment Budget",0,INDEX(Data[],MATCH($A211,Data[Dist],0),MATCH(F$4,Data[#Headers],0)))</f>
        <v>65589</v>
      </c>
      <c r="G211" s="21">
        <f>IF(OR(Notes!$B$3="Pay 1 Regular State Payment Budget",Notes!$B$3="Pay 2 Regular State Payment Budget"),0,INDEX(Data[],MATCH($A211,Data[Dist],0),MATCH(G$4,Data[#Headers],0)))</f>
        <v>0</v>
      </c>
      <c r="H211" s="21">
        <f>INDEX(Data[],MATCH($A211,Data[Dist],0),MATCH(H$4,Data[#Headers],0))</f>
        <v>24138111</v>
      </c>
    </row>
    <row r="212" spans="1:8" s="20" customFormat="1" ht="12.75" x14ac:dyDescent="0.2">
      <c r="A212" s="19" t="str">
        <f>Data!B208</f>
        <v>4772</v>
      </c>
      <c r="B212" s="20" t="str">
        <f>INDEX(Data[],MATCH($A212,Data[Dist],0),MATCH(B$4,Data[#Headers],0))</f>
        <v>Central Springs</v>
      </c>
      <c r="C212" s="21">
        <f>INDEX(Data[],MATCH($A212,Data[Dist],0),MATCH(C$4,Data[#Headers],0))</f>
        <v>5258317</v>
      </c>
      <c r="D212" s="21">
        <f>INDEX(Data[],MATCH($A212,Data[Dist],0),MATCH(D$4,Data[#Headers],0))</f>
        <v>580</v>
      </c>
      <c r="E212" s="21">
        <f>INDEX(Data[],MATCH($A212,Data[Dist],0),MATCH(E$4,Data[#Headers],0))</f>
        <v>0</v>
      </c>
      <c r="F212" s="21">
        <f>IF(Notes!$B$3="Pay 1 Regular State Payment Budget",0,INDEX(Data[],MATCH($A212,Data[Dist],0),MATCH(F$4,Data[#Headers],0)))</f>
        <v>17633</v>
      </c>
      <c r="G212" s="21">
        <f>IF(OR(Notes!$B$3="Pay 1 Regular State Payment Budget",Notes!$B$3="Pay 2 Regular State Payment Budget"),0,INDEX(Data[],MATCH($A212,Data[Dist],0),MATCH(G$4,Data[#Headers],0)))</f>
        <v>0</v>
      </c>
      <c r="H212" s="21">
        <f>INDEX(Data[],MATCH($A212,Data[Dist],0),MATCH(H$4,Data[#Headers],0))</f>
        <v>5240104</v>
      </c>
    </row>
    <row r="213" spans="1:8" s="20" customFormat="1" ht="12.75" x14ac:dyDescent="0.2">
      <c r="A213" s="19" t="str">
        <f>Data!B209</f>
        <v>4773</v>
      </c>
      <c r="B213" s="20" t="str">
        <f>INDEX(Data[],MATCH($A213,Data[Dist],0),MATCH(B$4,Data[#Headers],0))</f>
        <v>Northeast</v>
      </c>
      <c r="C213" s="21">
        <f>INDEX(Data[],MATCH($A213,Data[Dist],0),MATCH(C$4,Data[#Headers],0))</f>
        <v>3787929</v>
      </c>
      <c r="D213" s="21">
        <f>INDEX(Data[],MATCH($A213,Data[Dist],0),MATCH(D$4,Data[#Headers],0))</f>
        <v>630</v>
      </c>
      <c r="E213" s="21">
        <f>INDEX(Data[],MATCH($A213,Data[Dist],0),MATCH(E$4,Data[#Headers],0))</f>
        <v>0</v>
      </c>
      <c r="F213" s="21">
        <f>IF(Notes!$B$3="Pay 1 Regular State Payment Budget",0,INDEX(Data[],MATCH($A213,Data[Dist],0),MATCH(F$4,Data[#Headers],0)))</f>
        <v>11412</v>
      </c>
      <c r="G213" s="21">
        <f>IF(OR(Notes!$B$3="Pay 1 Regular State Payment Budget",Notes!$B$3="Pay 2 Regular State Payment Budget"),0,INDEX(Data[],MATCH($A213,Data[Dist],0),MATCH(G$4,Data[#Headers],0)))</f>
        <v>0</v>
      </c>
      <c r="H213" s="21">
        <f>INDEX(Data[],MATCH($A213,Data[Dist],0),MATCH(H$4,Data[#Headers],0))</f>
        <v>3775887</v>
      </c>
    </row>
    <row r="214" spans="1:8" s="20" customFormat="1" ht="12.75" x14ac:dyDescent="0.2">
      <c r="A214" s="19" t="str">
        <f>Data!B210</f>
        <v>4774</v>
      </c>
      <c r="B214" s="20" t="str">
        <f>INDEX(Data[],MATCH($A214,Data[Dist],0),MATCH(B$4,Data[#Headers],0))</f>
        <v>North Fayette Valley</v>
      </c>
      <c r="C214" s="21">
        <f>INDEX(Data[],MATCH($A214,Data[Dist],0),MATCH(C$4,Data[#Headers],0))</f>
        <v>8297119</v>
      </c>
      <c r="D214" s="21">
        <f>INDEX(Data[],MATCH($A214,Data[Dist],0),MATCH(D$4,Data[#Headers],0))</f>
        <v>829</v>
      </c>
      <c r="E214" s="21">
        <f>INDEX(Data[],MATCH($A214,Data[Dist],0),MATCH(E$4,Data[#Headers],0))</f>
        <v>0</v>
      </c>
      <c r="F214" s="21">
        <f>IF(Notes!$B$3="Pay 1 Regular State Payment Budget",0,INDEX(Data[],MATCH($A214,Data[Dist],0),MATCH(F$4,Data[#Headers],0)))</f>
        <v>24927</v>
      </c>
      <c r="G214" s="21">
        <f>IF(OR(Notes!$B$3="Pay 1 Regular State Payment Budget",Notes!$B$3="Pay 2 Regular State Payment Budget"),0,INDEX(Data[],MATCH($A214,Data[Dist],0),MATCH(G$4,Data[#Headers],0)))</f>
        <v>0</v>
      </c>
      <c r="H214" s="21">
        <f>INDEX(Data[],MATCH($A214,Data[Dist],0),MATCH(H$4,Data[#Headers],0))</f>
        <v>8271363</v>
      </c>
    </row>
    <row r="215" spans="1:8" s="20" customFormat="1" ht="12.75" x14ac:dyDescent="0.2">
      <c r="A215" s="19" t="str">
        <f>Data!B211</f>
        <v>4776</v>
      </c>
      <c r="B215" s="20" t="str">
        <f>INDEX(Data[],MATCH($A215,Data[Dist],0),MATCH(B$4,Data[#Headers],0))</f>
        <v>North Mahaska</v>
      </c>
      <c r="C215" s="21">
        <f>INDEX(Data[],MATCH($A215,Data[Dist],0),MATCH(C$4,Data[#Headers],0))</f>
        <v>3251304</v>
      </c>
      <c r="D215" s="21">
        <f>INDEX(Data[],MATCH($A215,Data[Dist],0),MATCH(D$4,Data[#Headers],0))</f>
        <v>614</v>
      </c>
      <c r="E215" s="21">
        <f>INDEX(Data[],MATCH($A215,Data[Dist],0),MATCH(E$4,Data[#Headers],0))</f>
        <v>0</v>
      </c>
      <c r="F215" s="21">
        <f>IF(Notes!$B$3="Pay 1 Regular State Payment Budget",0,INDEX(Data[],MATCH($A215,Data[Dist],0),MATCH(F$4,Data[#Headers],0)))</f>
        <v>10621</v>
      </c>
      <c r="G215" s="21">
        <f>IF(OR(Notes!$B$3="Pay 1 Regular State Payment Budget",Notes!$B$3="Pay 2 Regular State Payment Budget"),0,INDEX(Data[],MATCH($A215,Data[Dist],0),MATCH(G$4,Data[#Headers],0)))</f>
        <v>0</v>
      </c>
      <c r="H215" s="21">
        <f>INDEX(Data[],MATCH($A215,Data[Dist],0),MATCH(H$4,Data[#Headers],0))</f>
        <v>3240069</v>
      </c>
    </row>
    <row r="216" spans="1:8" s="20" customFormat="1" ht="12.75" x14ac:dyDescent="0.2">
      <c r="A216" s="19" t="str">
        <f>Data!B212</f>
        <v>4777</v>
      </c>
      <c r="B216" s="20" t="str">
        <f>INDEX(Data[],MATCH($A216,Data[Dist],0),MATCH(B$4,Data[#Headers],0))</f>
        <v>North Linn</v>
      </c>
      <c r="C216" s="21">
        <f>INDEX(Data[],MATCH($A216,Data[Dist],0),MATCH(C$4,Data[#Headers],0))</f>
        <v>3687537</v>
      </c>
      <c r="D216" s="21">
        <f>INDEX(Data[],MATCH($A216,Data[Dist],0),MATCH(D$4,Data[#Headers],0))</f>
        <v>614</v>
      </c>
      <c r="E216" s="21">
        <f>INDEX(Data[],MATCH($A216,Data[Dist],0),MATCH(E$4,Data[#Headers],0))</f>
        <v>0</v>
      </c>
      <c r="F216" s="21">
        <f>IF(Notes!$B$3="Pay 1 Regular State Payment Budget",0,INDEX(Data[],MATCH($A216,Data[Dist],0),MATCH(F$4,Data[#Headers],0)))</f>
        <v>12281</v>
      </c>
      <c r="G216" s="21">
        <f>IF(OR(Notes!$B$3="Pay 1 Regular State Payment Budget",Notes!$B$3="Pay 2 Regular State Payment Budget"),0,INDEX(Data[],MATCH($A216,Data[Dist],0),MATCH(G$4,Data[#Headers],0)))</f>
        <v>0</v>
      </c>
      <c r="H216" s="21">
        <f>INDEX(Data[],MATCH($A216,Data[Dist],0),MATCH(H$4,Data[#Headers],0))</f>
        <v>3674642</v>
      </c>
    </row>
    <row r="217" spans="1:8" s="20" customFormat="1" ht="12.75" x14ac:dyDescent="0.2">
      <c r="A217" s="19" t="str">
        <f>Data!B213</f>
        <v>4778</v>
      </c>
      <c r="B217" s="20" t="str">
        <f>INDEX(Data[],MATCH($A217,Data[Dist],0),MATCH(B$4,Data[#Headers],0))</f>
        <v>North Kossuth</v>
      </c>
      <c r="C217" s="21">
        <f>INDEX(Data[],MATCH($A217,Data[Dist],0),MATCH(C$4,Data[#Headers],0))</f>
        <v>982617</v>
      </c>
      <c r="D217" s="21">
        <f>INDEX(Data[],MATCH($A217,Data[Dist],0),MATCH(D$4,Data[#Headers],0))</f>
        <v>365</v>
      </c>
      <c r="E217" s="21">
        <f>INDEX(Data[],MATCH($A217,Data[Dist],0),MATCH(E$4,Data[#Headers],0))</f>
        <v>0</v>
      </c>
      <c r="F217" s="21">
        <f>IF(Notes!$B$3="Pay 1 Regular State Payment Budget",0,INDEX(Data[],MATCH($A217,Data[Dist],0),MATCH(F$4,Data[#Headers],0)))</f>
        <v>5478</v>
      </c>
      <c r="G217" s="21">
        <f>IF(OR(Notes!$B$3="Pay 1 Regular State Payment Budget",Notes!$B$3="Pay 2 Regular State Payment Budget"),0,INDEX(Data[],MATCH($A217,Data[Dist],0),MATCH(G$4,Data[#Headers],0)))</f>
        <v>0</v>
      </c>
      <c r="H217" s="21">
        <f>INDEX(Data[],MATCH($A217,Data[Dist],0),MATCH(H$4,Data[#Headers],0))</f>
        <v>976774</v>
      </c>
    </row>
    <row r="218" spans="1:8" s="20" customFormat="1" ht="12.75" x14ac:dyDescent="0.2">
      <c r="A218" s="19" t="str">
        <f>Data!B214</f>
        <v>4779</v>
      </c>
      <c r="B218" s="20" t="str">
        <f>INDEX(Data[],MATCH($A218,Data[Dist],0),MATCH(B$4,Data[#Headers],0))</f>
        <v>North Polk</v>
      </c>
      <c r="C218" s="21">
        <f>INDEX(Data[],MATCH($A218,Data[Dist],0),MATCH(C$4,Data[#Headers],0))</f>
        <v>16084956</v>
      </c>
      <c r="D218" s="21">
        <f>INDEX(Data[],MATCH($A218,Data[Dist],0),MATCH(D$4,Data[#Headers],0))</f>
        <v>1659</v>
      </c>
      <c r="E218" s="21">
        <f>INDEX(Data[],MATCH($A218,Data[Dist],0),MATCH(E$4,Data[#Headers],0))</f>
        <v>0</v>
      </c>
      <c r="F218" s="21">
        <f>IF(Notes!$B$3="Pay 1 Regular State Payment Budget",0,INDEX(Data[],MATCH($A218,Data[Dist],0),MATCH(F$4,Data[#Headers],0)))</f>
        <v>48329</v>
      </c>
      <c r="G218" s="21">
        <f>IF(OR(Notes!$B$3="Pay 1 Regular State Payment Budget",Notes!$B$3="Pay 2 Regular State Payment Budget"),0,INDEX(Data[],MATCH($A218,Data[Dist],0),MATCH(G$4,Data[#Headers],0)))</f>
        <v>0</v>
      </c>
      <c r="H218" s="21">
        <f>INDEX(Data[],MATCH($A218,Data[Dist],0),MATCH(H$4,Data[#Headers],0))</f>
        <v>16034968</v>
      </c>
    </row>
    <row r="219" spans="1:8" s="20" customFormat="1" ht="12.75" x14ac:dyDescent="0.2">
      <c r="A219" s="19" t="str">
        <f>Data!B215</f>
        <v>4784</v>
      </c>
      <c r="B219" s="20" t="str">
        <f>INDEX(Data[],MATCH($A219,Data[Dist],0),MATCH(B$4,Data[#Headers],0))</f>
        <v>North Scott</v>
      </c>
      <c r="C219" s="21">
        <f>INDEX(Data[],MATCH($A219,Data[Dist],0),MATCH(C$4,Data[#Headers],0))</f>
        <v>20335626</v>
      </c>
      <c r="D219" s="21">
        <f>INDEX(Data[],MATCH($A219,Data[Dist],0),MATCH(D$4,Data[#Headers],0))</f>
        <v>2604</v>
      </c>
      <c r="E219" s="21">
        <f>INDEX(Data[],MATCH($A219,Data[Dist],0),MATCH(E$4,Data[#Headers],0))</f>
        <v>6432</v>
      </c>
      <c r="F219" s="21">
        <f>IF(Notes!$B$3="Pay 1 Regular State Payment Budget",0,INDEX(Data[],MATCH($A219,Data[Dist],0),MATCH(F$4,Data[#Headers],0)))</f>
        <v>67988</v>
      </c>
      <c r="G219" s="21">
        <f>IF(OR(Notes!$B$3="Pay 1 Regular State Payment Budget",Notes!$B$3="Pay 2 Regular State Payment Budget"),0,INDEX(Data[],MATCH($A219,Data[Dist],0),MATCH(G$4,Data[#Headers],0)))</f>
        <v>0</v>
      </c>
      <c r="H219" s="21">
        <f>INDEX(Data[],MATCH($A219,Data[Dist],0),MATCH(H$4,Data[#Headers],0))</f>
        <v>20258602</v>
      </c>
    </row>
    <row r="220" spans="1:8" s="20" customFormat="1" ht="12.75" x14ac:dyDescent="0.2">
      <c r="A220" s="19" t="str">
        <f>Data!B216</f>
        <v>4785</v>
      </c>
      <c r="B220" s="20" t="str">
        <f>INDEX(Data[],MATCH($A220,Data[Dist],0),MATCH(B$4,Data[#Headers],0))</f>
        <v>North Tama</v>
      </c>
      <c r="C220" s="21">
        <f>INDEX(Data[],MATCH($A220,Data[Dist],0),MATCH(C$4,Data[#Headers],0))</f>
        <v>3082875</v>
      </c>
      <c r="D220" s="21">
        <f>INDEX(Data[],MATCH($A220,Data[Dist],0),MATCH(D$4,Data[#Headers],0))</f>
        <v>464</v>
      </c>
      <c r="E220" s="21">
        <f>INDEX(Data[],MATCH($A220,Data[Dist],0),MATCH(E$4,Data[#Headers],0))</f>
        <v>0</v>
      </c>
      <c r="F220" s="21">
        <f>IF(Notes!$B$3="Pay 1 Regular State Payment Budget",0,INDEX(Data[],MATCH($A220,Data[Dist],0),MATCH(F$4,Data[#Headers],0)))</f>
        <v>10141</v>
      </c>
      <c r="G220" s="21">
        <f>IF(OR(Notes!$B$3="Pay 1 Regular State Payment Budget",Notes!$B$3="Pay 2 Regular State Payment Budget"),0,INDEX(Data[],MATCH($A220,Data[Dist],0),MATCH(G$4,Data[#Headers],0)))</f>
        <v>0</v>
      </c>
      <c r="H220" s="21">
        <f>INDEX(Data[],MATCH($A220,Data[Dist],0),MATCH(H$4,Data[#Headers],0))</f>
        <v>3072270</v>
      </c>
    </row>
    <row r="221" spans="1:8" s="20" customFormat="1" ht="12.75" x14ac:dyDescent="0.2">
      <c r="A221" s="19" t="str">
        <f>Data!B217</f>
        <v>4788</v>
      </c>
      <c r="B221" s="20" t="str">
        <f>INDEX(Data[],MATCH($A221,Data[Dist],0),MATCH(B$4,Data[#Headers],0))</f>
        <v>Northwood-Kensett</v>
      </c>
      <c r="C221" s="21">
        <f>INDEX(Data[],MATCH($A221,Data[Dist],0),MATCH(C$4,Data[#Headers],0))</f>
        <v>3500147</v>
      </c>
      <c r="D221" s="21">
        <f>INDEX(Data[],MATCH($A221,Data[Dist],0),MATCH(D$4,Data[#Headers],0))</f>
        <v>531</v>
      </c>
      <c r="E221" s="21">
        <f>INDEX(Data[],MATCH($A221,Data[Dist],0),MATCH(E$4,Data[#Headers],0))</f>
        <v>0</v>
      </c>
      <c r="F221" s="21">
        <f>IF(Notes!$B$3="Pay 1 Regular State Payment Budget",0,INDEX(Data[],MATCH($A221,Data[Dist],0),MATCH(F$4,Data[#Headers],0)))</f>
        <v>11547</v>
      </c>
      <c r="G221" s="21">
        <f>IF(OR(Notes!$B$3="Pay 1 Regular State Payment Budget",Notes!$B$3="Pay 2 Regular State Payment Budget"),0,INDEX(Data[],MATCH($A221,Data[Dist],0),MATCH(G$4,Data[#Headers],0)))</f>
        <v>0</v>
      </c>
      <c r="H221" s="21">
        <f>INDEX(Data[],MATCH($A221,Data[Dist],0),MATCH(H$4,Data[#Headers],0))</f>
        <v>3488069</v>
      </c>
    </row>
    <row r="222" spans="1:8" s="20" customFormat="1" ht="12.75" x14ac:dyDescent="0.2">
      <c r="A222" s="19" t="str">
        <f>Data!B218</f>
        <v>4797</v>
      </c>
      <c r="B222" s="20" t="str">
        <f>INDEX(Data[],MATCH($A222,Data[Dist],0),MATCH(B$4,Data[#Headers],0))</f>
        <v>Norwalk</v>
      </c>
      <c r="C222" s="21">
        <f>INDEX(Data[],MATCH($A222,Data[Dist],0),MATCH(C$4,Data[#Headers],0))</f>
        <v>27400414</v>
      </c>
      <c r="D222" s="21">
        <f>INDEX(Data[],MATCH($A222,Data[Dist],0),MATCH(D$4,Data[#Headers],0))</f>
        <v>2455</v>
      </c>
      <c r="E222" s="21">
        <f>INDEX(Data[],MATCH($A222,Data[Dist],0),MATCH(E$4,Data[#Headers],0))</f>
        <v>47681</v>
      </c>
      <c r="F222" s="21">
        <f>IF(Notes!$B$3="Pay 1 Regular State Payment Budget",0,INDEX(Data[],MATCH($A222,Data[Dist],0),MATCH(F$4,Data[#Headers],0)))</f>
        <v>77282</v>
      </c>
      <c r="G222" s="21">
        <f>IF(OR(Notes!$B$3="Pay 1 Regular State Payment Budget",Notes!$B$3="Pay 2 Regular State Payment Budget"),0,INDEX(Data[],MATCH($A222,Data[Dist],0),MATCH(G$4,Data[#Headers],0)))</f>
        <v>0</v>
      </c>
      <c r="H222" s="21">
        <f>INDEX(Data[],MATCH($A222,Data[Dist],0),MATCH(H$4,Data[#Headers],0))</f>
        <v>27272996</v>
      </c>
    </row>
    <row r="223" spans="1:8" s="20" customFormat="1" ht="12.75" x14ac:dyDescent="0.2">
      <c r="A223" s="19" t="str">
        <f>Data!B219</f>
        <v>4824</v>
      </c>
      <c r="B223" s="20" t="str">
        <f>INDEX(Data[],MATCH($A223,Data[Dist],0),MATCH(B$4,Data[#Headers],0))</f>
        <v>Riverside</v>
      </c>
      <c r="C223" s="21">
        <f>INDEX(Data[],MATCH($A223,Data[Dist],0),MATCH(C$4,Data[#Headers],0))</f>
        <v>4756261</v>
      </c>
      <c r="D223" s="21">
        <f>INDEX(Data[],MATCH($A223,Data[Dist],0),MATCH(D$4,Data[#Headers],0))</f>
        <v>514</v>
      </c>
      <c r="E223" s="21">
        <f>INDEX(Data[],MATCH($A223,Data[Dist],0),MATCH(E$4,Data[#Headers],0))</f>
        <v>0</v>
      </c>
      <c r="F223" s="21">
        <f>IF(Notes!$B$3="Pay 1 Regular State Payment Budget",0,INDEX(Data[],MATCH($A223,Data[Dist],0),MATCH(F$4,Data[#Headers],0)))</f>
        <v>16002</v>
      </c>
      <c r="G223" s="21">
        <f>IF(OR(Notes!$B$3="Pay 1 Regular State Payment Budget",Notes!$B$3="Pay 2 Regular State Payment Budget"),0,INDEX(Data[],MATCH($A223,Data[Dist],0),MATCH(G$4,Data[#Headers],0)))</f>
        <v>0</v>
      </c>
      <c r="H223" s="21">
        <f>INDEX(Data[],MATCH($A223,Data[Dist],0),MATCH(H$4,Data[#Headers],0))</f>
        <v>4739745</v>
      </c>
    </row>
    <row r="224" spans="1:8" s="20" customFormat="1" ht="12.75" x14ac:dyDescent="0.2">
      <c r="A224" s="19" t="str">
        <f>Data!B220</f>
        <v>4860</v>
      </c>
      <c r="B224" s="20" t="str">
        <f>INDEX(Data[],MATCH($A224,Data[Dist],0),MATCH(B$4,Data[#Headers],0))</f>
        <v>Odebolt Arthur Battle Creek Ida Gr</v>
      </c>
      <c r="C224" s="21">
        <f>INDEX(Data[],MATCH($A224,Data[Dist],0),MATCH(C$4,Data[#Headers],0))</f>
        <v>5637526</v>
      </c>
      <c r="D224" s="21">
        <f>INDEX(Data[],MATCH($A224,Data[Dist],0),MATCH(D$4,Data[#Headers],0))</f>
        <v>779</v>
      </c>
      <c r="E224" s="21">
        <f>INDEX(Data[],MATCH($A224,Data[Dist],0),MATCH(E$4,Data[#Headers],0))</f>
        <v>0</v>
      </c>
      <c r="F224" s="21">
        <f>IF(Notes!$B$3="Pay 1 Regular State Payment Budget",0,INDEX(Data[],MATCH($A224,Data[Dist],0),MATCH(F$4,Data[#Headers],0)))</f>
        <v>20352</v>
      </c>
      <c r="G224" s="21">
        <f>IF(OR(Notes!$B$3="Pay 1 Regular State Payment Budget",Notes!$B$3="Pay 2 Regular State Payment Budget"),0,INDEX(Data[],MATCH($A224,Data[Dist],0),MATCH(G$4,Data[#Headers],0)))</f>
        <v>0</v>
      </c>
      <c r="H224" s="21">
        <f>INDEX(Data[],MATCH($A224,Data[Dist],0),MATCH(H$4,Data[#Headers],0))</f>
        <v>5616395</v>
      </c>
    </row>
    <row r="225" spans="1:8" s="20" customFormat="1" ht="12.75" x14ac:dyDescent="0.2">
      <c r="A225" s="19" t="str">
        <f>Data!B221</f>
        <v>4869</v>
      </c>
      <c r="B225" s="20" t="str">
        <f>INDEX(Data[],MATCH($A225,Data[Dist],0),MATCH(B$4,Data[#Headers],0))</f>
        <v>Oelwein</v>
      </c>
      <c r="C225" s="21">
        <f>INDEX(Data[],MATCH($A225,Data[Dist],0),MATCH(C$4,Data[#Headers],0))</f>
        <v>11577144</v>
      </c>
      <c r="D225" s="21">
        <f>INDEX(Data[],MATCH($A225,Data[Dist],0),MATCH(D$4,Data[#Headers],0))</f>
        <v>647</v>
      </c>
      <c r="E225" s="21">
        <f>INDEX(Data[],MATCH($A225,Data[Dist],0),MATCH(E$4,Data[#Headers],0))</f>
        <v>0</v>
      </c>
      <c r="F225" s="21">
        <f>IF(Notes!$B$3="Pay 1 Regular State Payment Budget",0,INDEX(Data[],MATCH($A225,Data[Dist],0),MATCH(F$4,Data[#Headers],0)))</f>
        <v>29709</v>
      </c>
      <c r="G225" s="21">
        <f>IF(OR(Notes!$B$3="Pay 1 Regular State Payment Budget",Notes!$B$3="Pay 2 Regular State Payment Budget"),0,INDEX(Data[],MATCH($A225,Data[Dist],0),MATCH(G$4,Data[#Headers],0)))</f>
        <v>0</v>
      </c>
      <c r="H225" s="21">
        <f>INDEX(Data[],MATCH($A225,Data[Dist],0),MATCH(H$4,Data[#Headers],0))</f>
        <v>11546788</v>
      </c>
    </row>
    <row r="226" spans="1:8" s="20" customFormat="1" ht="12.75" x14ac:dyDescent="0.2">
      <c r="A226" s="19" t="str">
        <f>Data!B222</f>
        <v>4878</v>
      </c>
      <c r="B226" s="20" t="str">
        <f>INDEX(Data[],MATCH($A226,Data[Dist],0),MATCH(B$4,Data[#Headers],0))</f>
        <v>Ogden</v>
      </c>
      <c r="C226" s="21">
        <f>INDEX(Data[],MATCH($A226,Data[Dist],0),MATCH(C$4,Data[#Headers],0))</f>
        <v>3348908</v>
      </c>
      <c r="D226" s="21">
        <f>INDEX(Data[],MATCH($A226,Data[Dist],0),MATCH(D$4,Data[#Headers],0))</f>
        <v>597</v>
      </c>
      <c r="E226" s="21">
        <f>INDEX(Data[],MATCH($A226,Data[Dist],0),MATCH(E$4,Data[#Headers],0))</f>
        <v>0</v>
      </c>
      <c r="F226" s="21">
        <f>IF(Notes!$B$3="Pay 1 Regular State Payment Budget",0,INDEX(Data[],MATCH($A226,Data[Dist],0),MATCH(F$4,Data[#Headers],0)))</f>
        <v>13297</v>
      </c>
      <c r="G226" s="21">
        <f>IF(OR(Notes!$B$3="Pay 1 Regular State Payment Budget",Notes!$B$3="Pay 2 Regular State Payment Budget"),0,INDEX(Data[],MATCH($A226,Data[Dist],0),MATCH(G$4,Data[#Headers],0)))</f>
        <v>0</v>
      </c>
      <c r="H226" s="21">
        <f>INDEX(Data[],MATCH($A226,Data[Dist],0),MATCH(H$4,Data[#Headers],0))</f>
        <v>3335014</v>
      </c>
    </row>
    <row r="227" spans="1:8" s="20" customFormat="1" ht="12.75" x14ac:dyDescent="0.2">
      <c r="A227" s="19" t="str">
        <f>Data!B223</f>
        <v>4890</v>
      </c>
      <c r="B227" s="20" t="str">
        <f>INDEX(Data[],MATCH($A227,Data[Dist],0),MATCH(B$4,Data[#Headers],0))</f>
        <v>Okoboji</v>
      </c>
      <c r="C227" s="21">
        <f>INDEX(Data[],MATCH($A227,Data[Dist],0),MATCH(C$4,Data[#Headers],0))</f>
        <v>359308</v>
      </c>
      <c r="D227" s="21">
        <f>INDEX(Data[],MATCH($A227,Data[Dist],0),MATCH(D$4,Data[#Headers],0))</f>
        <v>1028</v>
      </c>
      <c r="E227" s="21">
        <f>INDEX(Data[],MATCH($A227,Data[Dist],0),MATCH(E$4,Data[#Headers],0))</f>
        <v>0</v>
      </c>
      <c r="F227" s="21">
        <f>IF(Notes!$B$3="Pay 1 Regular State Payment Budget",0,INDEX(Data[],MATCH($A227,Data[Dist],0),MATCH(F$4,Data[#Headers],0)))</f>
        <v>23076</v>
      </c>
      <c r="G227" s="21">
        <f>IF(OR(Notes!$B$3="Pay 1 Regular State Payment Budget",Notes!$B$3="Pay 2 Regular State Payment Budget"),0,INDEX(Data[],MATCH($A227,Data[Dist],0),MATCH(G$4,Data[#Headers],0)))</f>
        <v>0</v>
      </c>
      <c r="H227" s="21">
        <f>INDEX(Data[],MATCH($A227,Data[Dist],0),MATCH(H$4,Data[#Headers],0))</f>
        <v>335204</v>
      </c>
    </row>
    <row r="228" spans="1:8" s="20" customFormat="1" ht="12.75" x14ac:dyDescent="0.2">
      <c r="A228" s="19" t="str">
        <f>Data!B224</f>
        <v>4905</v>
      </c>
      <c r="B228" s="20" t="str">
        <f>INDEX(Data[],MATCH($A228,Data[Dist],0),MATCH(B$4,Data[#Headers],0))</f>
        <v>Olin</v>
      </c>
      <c r="C228" s="21">
        <f>INDEX(Data[],MATCH($A228,Data[Dist],0),MATCH(C$4,Data[#Headers],0))</f>
        <v>1475999</v>
      </c>
      <c r="D228" s="21">
        <f>INDEX(Data[],MATCH($A228,Data[Dist],0),MATCH(D$4,Data[#Headers],0))</f>
        <v>166</v>
      </c>
      <c r="E228" s="21">
        <f>INDEX(Data[],MATCH($A228,Data[Dist],0),MATCH(E$4,Data[#Headers],0))</f>
        <v>0</v>
      </c>
      <c r="F228" s="21">
        <f>IF(Notes!$B$3="Pay 1 Regular State Payment Budget",0,INDEX(Data[],MATCH($A228,Data[Dist],0),MATCH(F$4,Data[#Headers],0)))</f>
        <v>4361</v>
      </c>
      <c r="G228" s="21">
        <f>IF(OR(Notes!$B$3="Pay 1 Regular State Payment Budget",Notes!$B$3="Pay 2 Regular State Payment Budget"),0,INDEX(Data[],MATCH($A228,Data[Dist],0),MATCH(G$4,Data[#Headers],0)))</f>
        <v>0</v>
      </c>
      <c r="H228" s="21">
        <f>INDEX(Data[],MATCH($A228,Data[Dist],0),MATCH(H$4,Data[#Headers],0))</f>
        <v>1471472</v>
      </c>
    </row>
    <row r="229" spans="1:8" s="20" customFormat="1" ht="12.75" x14ac:dyDescent="0.2">
      <c r="A229" s="19" t="str">
        <f>Data!B225</f>
        <v>4978</v>
      </c>
      <c r="B229" s="20" t="str">
        <f>INDEX(Data[],MATCH($A229,Data[Dist],0),MATCH(B$4,Data[#Headers],0))</f>
        <v>Orient-Macksburg</v>
      </c>
      <c r="C229" s="21">
        <f>INDEX(Data[],MATCH($A229,Data[Dist],0),MATCH(C$4,Data[#Headers],0))</f>
        <v>717022</v>
      </c>
      <c r="D229" s="21">
        <f>INDEX(Data[],MATCH($A229,Data[Dist],0),MATCH(D$4,Data[#Headers],0))</f>
        <v>166</v>
      </c>
      <c r="E229" s="21">
        <f>INDEX(Data[],MATCH($A229,Data[Dist],0),MATCH(E$4,Data[#Headers],0))</f>
        <v>0</v>
      </c>
      <c r="F229" s="21">
        <f>IF(Notes!$B$3="Pay 1 Regular State Payment Budget",0,INDEX(Data[],MATCH($A229,Data[Dist],0),MATCH(F$4,Data[#Headers],0)))</f>
        <v>3692</v>
      </c>
      <c r="G229" s="21">
        <f>IF(OR(Notes!$B$3="Pay 1 Regular State Payment Budget",Notes!$B$3="Pay 2 Regular State Payment Budget"),0,INDEX(Data[],MATCH($A229,Data[Dist],0),MATCH(G$4,Data[#Headers],0)))</f>
        <v>0</v>
      </c>
      <c r="H229" s="21">
        <f>INDEX(Data[],MATCH($A229,Data[Dist],0),MATCH(H$4,Data[#Headers],0))</f>
        <v>713164</v>
      </c>
    </row>
    <row r="230" spans="1:8" s="20" customFormat="1" ht="12.75" x14ac:dyDescent="0.2">
      <c r="A230" s="19" t="str">
        <f>Data!B226</f>
        <v>4995</v>
      </c>
      <c r="B230" s="20" t="str">
        <f>INDEX(Data[],MATCH($A230,Data[Dist],0),MATCH(B$4,Data[#Headers],0))</f>
        <v>Osage</v>
      </c>
      <c r="C230" s="21">
        <f>INDEX(Data[],MATCH($A230,Data[Dist],0),MATCH(C$4,Data[#Headers],0))</f>
        <v>6285819</v>
      </c>
      <c r="D230" s="21">
        <f>INDEX(Data[],MATCH($A230,Data[Dist],0),MATCH(D$4,Data[#Headers],0))</f>
        <v>862</v>
      </c>
      <c r="E230" s="21">
        <f>INDEX(Data[],MATCH($A230,Data[Dist],0),MATCH(E$4,Data[#Headers],0))</f>
        <v>0</v>
      </c>
      <c r="F230" s="21">
        <f>IF(Notes!$B$3="Pay 1 Regular State Payment Budget",0,INDEX(Data[],MATCH($A230,Data[Dist],0),MATCH(F$4,Data[#Headers],0)))</f>
        <v>20321</v>
      </c>
      <c r="G230" s="21">
        <f>IF(OR(Notes!$B$3="Pay 1 Regular State Payment Budget",Notes!$B$3="Pay 2 Regular State Payment Budget"),0,INDEX(Data[],MATCH($A230,Data[Dist],0),MATCH(G$4,Data[#Headers],0)))</f>
        <v>0</v>
      </c>
      <c r="H230" s="21">
        <f>INDEX(Data[],MATCH($A230,Data[Dist],0),MATCH(H$4,Data[#Headers],0))</f>
        <v>6264636</v>
      </c>
    </row>
    <row r="231" spans="1:8" s="20" customFormat="1" ht="12.75" x14ac:dyDescent="0.2">
      <c r="A231" s="19" t="str">
        <f>Data!B227</f>
        <v>5013</v>
      </c>
      <c r="B231" s="20" t="str">
        <f>INDEX(Data[],MATCH($A231,Data[Dist],0),MATCH(B$4,Data[#Headers],0))</f>
        <v>Oskaloosa</v>
      </c>
      <c r="C231" s="21">
        <f>INDEX(Data[],MATCH($A231,Data[Dist],0),MATCH(C$4,Data[#Headers],0))</f>
        <v>17733371</v>
      </c>
      <c r="D231" s="21">
        <f>INDEX(Data[],MATCH($A231,Data[Dist],0),MATCH(D$4,Data[#Headers],0))</f>
        <v>2471</v>
      </c>
      <c r="E231" s="21">
        <f>INDEX(Data[],MATCH($A231,Data[Dist],0),MATCH(E$4,Data[#Headers],0))</f>
        <v>0</v>
      </c>
      <c r="F231" s="21">
        <f>IF(Notes!$B$3="Pay 1 Regular State Payment Budget",0,INDEX(Data[],MATCH($A231,Data[Dist],0),MATCH(F$4,Data[#Headers],0)))</f>
        <v>50048</v>
      </c>
      <c r="G231" s="21">
        <f>IF(OR(Notes!$B$3="Pay 1 Regular State Payment Budget",Notes!$B$3="Pay 2 Regular State Payment Budget"),0,INDEX(Data[],MATCH($A231,Data[Dist],0),MATCH(G$4,Data[#Headers],0)))</f>
        <v>0</v>
      </c>
      <c r="H231" s="21">
        <f>INDEX(Data[],MATCH($A231,Data[Dist],0),MATCH(H$4,Data[#Headers],0))</f>
        <v>17680852</v>
      </c>
    </row>
    <row r="232" spans="1:8" s="20" customFormat="1" ht="12.75" x14ac:dyDescent="0.2">
      <c r="A232" s="19" t="str">
        <f>Data!B228</f>
        <v>5049</v>
      </c>
      <c r="B232" s="20" t="str">
        <f>INDEX(Data[],MATCH($A232,Data[Dist],0),MATCH(B$4,Data[#Headers],0))</f>
        <v>Ottumwa</v>
      </c>
      <c r="C232" s="21">
        <f>INDEX(Data[],MATCH($A232,Data[Dist],0),MATCH(C$4,Data[#Headers],0))</f>
        <v>47081875</v>
      </c>
      <c r="D232" s="21">
        <f>INDEX(Data[],MATCH($A232,Data[Dist],0),MATCH(D$4,Data[#Headers],0))</f>
        <v>4113</v>
      </c>
      <c r="E232" s="21">
        <f>INDEX(Data[],MATCH($A232,Data[Dist],0),MATCH(E$4,Data[#Headers],0))</f>
        <v>0</v>
      </c>
      <c r="F232" s="21">
        <f>IF(Notes!$B$3="Pay 1 Regular State Payment Budget",0,INDEX(Data[],MATCH($A232,Data[Dist],0),MATCH(F$4,Data[#Headers],0)))</f>
        <v>115184</v>
      </c>
      <c r="G232" s="21">
        <f>IF(OR(Notes!$B$3="Pay 1 Regular State Payment Budget",Notes!$B$3="Pay 2 Regular State Payment Budget"),0,INDEX(Data[],MATCH($A232,Data[Dist],0),MATCH(G$4,Data[#Headers],0)))</f>
        <v>0</v>
      </c>
      <c r="H232" s="21">
        <f>INDEX(Data[],MATCH($A232,Data[Dist],0),MATCH(H$4,Data[#Headers],0))</f>
        <v>46962578</v>
      </c>
    </row>
    <row r="233" spans="1:8" s="20" customFormat="1" ht="12.75" x14ac:dyDescent="0.2">
      <c r="A233" s="19" t="str">
        <f>Data!B229</f>
        <v>5121</v>
      </c>
      <c r="B233" s="20" t="str">
        <f>INDEX(Data[],MATCH($A233,Data[Dist],0),MATCH(B$4,Data[#Headers],0))</f>
        <v>Panorama</v>
      </c>
      <c r="C233" s="21">
        <f>INDEX(Data[],MATCH($A233,Data[Dist],0),MATCH(C$4,Data[#Headers],0))</f>
        <v>3475722</v>
      </c>
      <c r="D233" s="21">
        <f>INDEX(Data[],MATCH($A233,Data[Dist],0),MATCH(D$4,Data[#Headers],0))</f>
        <v>564</v>
      </c>
      <c r="E233" s="21">
        <f>INDEX(Data[],MATCH($A233,Data[Dist],0),MATCH(E$4,Data[#Headers],0))</f>
        <v>0</v>
      </c>
      <c r="F233" s="21">
        <f>IF(Notes!$B$3="Pay 1 Regular State Payment Budget",0,INDEX(Data[],MATCH($A233,Data[Dist],0),MATCH(F$4,Data[#Headers],0)))</f>
        <v>14473</v>
      </c>
      <c r="G233" s="21">
        <f>IF(OR(Notes!$B$3="Pay 1 Regular State Payment Budget",Notes!$B$3="Pay 2 Regular State Payment Budget"),0,INDEX(Data[],MATCH($A233,Data[Dist],0),MATCH(G$4,Data[#Headers],0)))</f>
        <v>0</v>
      </c>
      <c r="H233" s="21">
        <f>INDEX(Data[],MATCH($A233,Data[Dist],0),MATCH(H$4,Data[#Headers],0))</f>
        <v>3460685</v>
      </c>
    </row>
    <row r="234" spans="1:8" s="20" customFormat="1" ht="12.75" x14ac:dyDescent="0.2">
      <c r="A234" s="19" t="str">
        <f>Data!B230</f>
        <v>5139</v>
      </c>
      <c r="B234" s="20" t="str">
        <f>INDEX(Data[],MATCH($A234,Data[Dist],0),MATCH(B$4,Data[#Headers],0))</f>
        <v>Paton-Churdan</v>
      </c>
      <c r="C234" s="21">
        <f>INDEX(Data[],MATCH($A234,Data[Dist],0),MATCH(C$4,Data[#Headers],0))</f>
        <v>1133813</v>
      </c>
      <c r="D234" s="21">
        <f>INDEX(Data[],MATCH($A234,Data[Dist],0),MATCH(D$4,Data[#Headers],0))</f>
        <v>166</v>
      </c>
      <c r="E234" s="21">
        <f>INDEX(Data[],MATCH($A234,Data[Dist],0),MATCH(E$4,Data[#Headers],0))</f>
        <v>0</v>
      </c>
      <c r="F234" s="21">
        <f>IF(Notes!$B$3="Pay 1 Regular State Payment Budget",0,INDEX(Data[],MATCH($A234,Data[Dist],0),MATCH(F$4,Data[#Headers],0)))</f>
        <v>4239</v>
      </c>
      <c r="G234" s="21">
        <f>IF(OR(Notes!$B$3="Pay 1 Regular State Payment Budget",Notes!$B$3="Pay 2 Regular State Payment Budget"),0,INDEX(Data[],MATCH($A234,Data[Dist],0),MATCH(G$4,Data[#Headers],0)))</f>
        <v>0</v>
      </c>
      <c r="H234" s="21">
        <f>INDEX(Data[],MATCH($A234,Data[Dist],0),MATCH(H$4,Data[#Headers],0))</f>
        <v>1129408</v>
      </c>
    </row>
    <row r="235" spans="1:8" s="20" customFormat="1" ht="12.75" x14ac:dyDescent="0.2">
      <c r="A235" s="19" t="str">
        <f>Data!B231</f>
        <v>5157</v>
      </c>
      <c r="B235" s="20" t="str">
        <f>INDEX(Data[],MATCH($A235,Data[Dist],0),MATCH(B$4,Data[#Headers],0))</f>
        <v>South O'Brien</v>
      </c>
      <c r="C235" s="21">
        <f>INDEX(Data[],MATCH($A235,Data[Dist],0),MATCH(C$4,Data[#Headers],0))</f>
        <v>1882145</v>
      </c>
      <c r="D235" s="21">
        <f>INDEX(Data[],MATCH($A235,Data[Dist],0),MATCH(D$4,Data[#Headers],0))</f>
        <v>431</v>
      </c>
      <c r="E235" s="21">
        <f>INDEX(Data[],MATCH($A235,Data[Dist],0),MATCH(E$4,Data[#Headers],0))</f>
        <v>0</v>
      </c>
      <c r="F235" s="21">
        <f>IF(Notes!$B$3="Pay 1 Regular State Payment Budget",0,INDEX(Data[],MATCH($A235,Data[Dist],0),MATCH(F$4,Data[#Headers],0)))</f>
        <v>13042</v>
      </c>
      <c r="G235" s="21">
        <f>IF(OR(Notes!$B$3="Pay 1 Regular State Payment Budget",Notes!$B$3="Pay 2 Regular State Payment Budget"),0,INDEX(Data[],MATCH($A235,Data[Dist],0),MATCH(G$4,Data[#Headers],0)))</f>
        <v>0</v>
      </c>
      <c r="H235" s="21">
        <f>INDEX(Data[],MATCH($A235,Data[Dist],0),MATCH(H$4,Data[#Headers],0))</f>
        <v>1868672</v>
      </c>
    </row>
    <row r="236" spans="1:8" s="20" customFormat="1" ht="12.75" x14ac:dyDescent="0.2">
      <c r="A236" s="19" t="str">
        <f>Data!B232</f>
        <v>5163</v>
      </c>
      <c r="B236" s="20" t="str">
        <f>INDEX(Data[],MATCH($A236,Data[Dist],0),MATCH(B$4,Data[#Headers],0))</f>
        <v>Pekin</v>
      </c>
      <c r="C236" s="21">
        <f>INDEX(Data[],MATCH($A236,Data[Dist],0),MATCH(C$4,Data[#Headers],0))</f>
        <v>3274037</v>
      </c>
      <c r="D236" s="21">
        <f>INDEX(Data[],MATCH($A236,Data[Dist],0),MATCH(D$4,Data[#Headers],0))</f>
        <v>531</v>
      </c>
      <c r="E236" s="21">
        <f>INDEX(Data[],MATCH($A236,Data[Dist],0),MATCH(E$4,Data[#Headers],0))</f>
        <v>0</v>
      </c>
      <c r="F236" s="21">
        <f>IF(Notes!$B$3="Pay 1 Regular State Payment Budget",0,INDEX(Data[],MATCH($A236,Data[Dist],0),MATCH(F$4,Data[#Headers],0)))</f>
        <v>11954</v>
      </c>
      <c r="G236" s="21">
        <f>IF(OR(Notes!$B$3="Pay 1 Regular State Payment Budget",Notes!$B$3="Pay 2 Regular State Payment Budget"),0,INDEX(Data[],MATCH($A236,Data[Dist],0),MATCH(G$4,Data[#Headers],0)))</f>
        <v>0</v>
      </c>
      <c r="H236" s="21">
        <f>INDEX(Data[],MATCH($A236,Data[Dist],0),MATCH(H$4,Data[#Headers],0))</f>
        <v>3261552</v>
      </c>
    </row>
    <row r="237" spans="1:8" s="20" customFormat="1" ht="12.75" x14ac:dyDescent="0.2">
      <c r="A237" s="19" t="str">
        <f>Data!B233</f>
        <v>5166</v>
      </c>
      <c r="B237" s="20" t="str">
        <f>INDEX(Data[],MATCH($A237,Data[Dist],0),MATCH(B$4,Data[#Headers],0))</f>
        <v>Pella</v>
      </c>
      <c r="C237" s="21">
        <f>INDEX(Data[],MATCH($A237,Data[Dist],0),MATCH(C$4,Data[#Headers],0))</f>
        <v>14729827</v>
      </c>
      <c r="D237" s="21">
        <f>INDEX(Data[],MATCH($A237,Data[Dist],0),MATCH(D$4,Data[#Headers],0))</f>
        <v>2239</v>
      </c>
      <c r="E237" s="21">
        <f>INDEX(Data[],MATCH($A237,Data[Dist],0),MATCH(E$4,Data[#Headers],0))</f>
        <v>0</v>
      </c>
      <c r="F237" s="21">
        <f>IF(Notes!$B$3="Pay 1 Regular State Payment Budget",0,INDEX(Data[],MATCH($A237,Data[Dist],0),MATCH(F$4,Data[#Headers],0)))</f>
        <v>48113</v>
      </c>
      <c r="G237" s="21">
        <f>IF(OR(Notes!$B$3="Pay 1 Regular State Payment Budget",Notes!$B$3="Pay 2 Regular State Payment Budget"),0,INDEX(Data[],MATCH($A237,Data[Dist],0),MATCH(G$4,Data[#Headers],0)))</f>
        <v>0</v>
      </c>
      <c r="H237" s="21">
        <f>INDEX(Data[],MATCH($A237,Data[Dist],0),MATCH(H$4,Data[#Headers],0))</f>
        <v>14679475</v>
      </c>
    </row>
    <row r="238" spans="1:8" s="20" customFormat="1" ht="12.75" x14ac:dyDescent="0.2">
      <c r="A238" s="19" t="str">
        <f>Data!B234</f>
        <v>5184</v>
      </c>
      <c r="B238" s="20" t="str">
        <f>INDEX(Data[],MATCH($A238,Data[Dist],0),MATCH(B$4,Data[#Headers],0))</f>
        <v>Perry</v>
      </c>
      <c r="C238" s="21">
        <f>INDEX(Data[],MATCH($A238,Data[Dist],0),MATCH(C$4,Data[#Headers],0))</f>
        <v>17495992</v>
      </c>
      <c r="D238" s="21">
        <f>INDEX(Data[],MATCH($A238,Data[Dist],0),MATCH(D$4,Data[#Headers],0))</f>
        <v>1410</v>
      </c>
      <c r="E238" s="21">
        <f>INDEX(Data[],MATCH($A238,Data[Dist],0),MATCH(E$4,Data[#Headers],0))</f>
        <v>0</v>
      </c>
      <c r="F238" s="21">
        <f>IF(Notes!$B$3="Pay 1 Regular State Payment Budget",0,INDEX(Data[],MATCH($A238,Data[Dist],0),MATCH(F$4,Data[#Headers],0)))</f>
        <v>43220</v>
      </c>
      <c r="G238" s="21">
        <f>IF(OR(Notes!$B$3="Pay 1 Regular State Payment Budget",Notes!$B$3="Pay 2 Regular State Payment Budget"),0,INDEX(Data[],MATCH($A238,Data[Dist],0),MATCH(G$4,Data[#Headers],0)))</f>
        <v>0</v>
      </c>
      <c r="H238" s="21">
        <f>INDEX(Data[],MATCH($A238,Data[Dist],0),MATCH(H$4,Data[#Headers],0))</f>
        <v>17451362</v>
      </c>
    </row>
    <row r="239" spans="1:8" s="20" customFormat="1" ht="12.75" x14ac:dyDescent="0.2">
      <c r="A239" s="19" t="str">
        <f>Data!B235</f>
        <v>5250</v>
      </c>
      <c r="B239" s="20" t="str">
        <f>INDEX(Data[],MATCH($A239,Data[Dist],0),MATCH(B$4,Data[#Headers],0))</f>
        <v>Pleasant Valley</v>
      </c>
      <c r="C239" s="21">
        <f>INDEX(Data[],MATCH($A239,Data[Dist],0),MATCH(C$4,Data[#Headers],0))</f>
        <v>38900444</v>
      </c>
      <c r="D239" s="21">
        <f>INDEX(Data[],MATCH($A239,Data[Dist],0),MATCH(D$4,Data[#Headers],0))</f>
        <v>3433</v>
      </c>
      <c r="E239" s="21">
        <f>INDEX(Data[],MATCH($A239,Data[Dist],0),MATCH(E$4,Data[#Headers],0))</f>
        <v>0</v>
      </c>
      <c r="F239" s="21">
        <f>IF(Notes!$B$3="Pay 1 Regular State Payment Budget",0,INDEX(Data[],MATCH($A239,Data[Dist],0),MATCH(F$4,Data[#Headers],0)))</f>
        <v>124746</v>
      </c>
      <c r="G239" s="21">
        <f>IF(OR(Notes!$B$3="Pay 1 Regular State Payment Budget",Notes!$B$3="Pay 2 Regular State Payment Budget"),0,INDEX(Data[],MATCH($A239,Data[Dist],0),MATCH(G$4,Data[#Headers],0)))</f>
        <v>0</v>
      </c>
      <c r="H239" s="21">
        <f>INDEX(Data[],MATCH($A239,Data[Dist],0),MATCH(H$4,Data[#Headers],0))</f>
        <v>38772265</v>
      </c>
    </row>
    <row r="240" spans="1:8" s="20" customFormat="1" ht="12.75" x14ac:dyDescent="0.2">
      <c r="A240" s="19" t="str">
        <f>Data!B236</f>
        <v>5256</v>
      </c>
      <c r="B240" s="20" t="str">
        <f>INDEX(Data[],MATCH($A240,Data[Dist],0),MATCH(B$4,Data[#Headers],0))</f>
        <v>Pleasantville</v>
      </c>
      <c r="C240" s="21">
        <f>INDEX(Data[],MATCH($A240,Data[Dist],0),MATCH(C$4,Data[#Headers],0))</f>
        <v>5917971</v>
      </c>
      <c r="D240" s="21">
        <f>INDEX(Data[],MATCH($A240,Data[Dist],0),MATCH(D$4,Data[#Headers],0))</f>
        <v>846</v>
      </c>
      <c r="E240" s="21">
        <f>INDEX(Data[],MATCH($A240,Data[Dist],0),MATCH(E$4,Data[#Headers],0))</f>
        <v>0</v>
      </c>
      <c r="F240" s="21">
        <f>IF(Notes!$B$3="Pay 1 Regular State Payment Budget",0,INDEX(Data[],MATCH($A240,Data[Dist],0),MATCH(F$4,Data[#Headers],0)))</f>
        <v>15610</v>
      </c>
      <c r="G240" s="21">
        <f>IF(OR(Notes!$B$3="Pay 1 Regular State Payment Budget",Notes!$B$3="Pay 2 Regular State Payment Budget"),0,INDEX(Data[],MATCH($A240,Data[Dist],0),MATCH(G$4,Data[#Headers],0)))</f>
        <v>0</v>
      </c>
      <c r="H240" s="21">
        <f>INDEX(Data[],MATCH($A240,Data[Dist],0),MATCH(H$4,Data[#Headers],0))</f>
        <v>5901515</v>
      </c>
    </row>
    <row r="241" spans="1:8" s="20" customFormat="1" ht="12.75" x14ac:dyDescent="0.2">
      <c r="A241" s="19" t="str">
        <f>Data!B237</f>
        <v>5283</v>
      </c>
      <c r="B241" s="20" t="str">
        <f>INDEX(Data[],MATCH($A241,Data[Dist],0),MATCH(B$4,Data[#Headers],0))</f>
        <v>Pocahontas Area</v>
      </c>
      <c r="C241" s="21">
        <f>INDEX(Data[],MATCH($A241,Data[Dist],0),MATCH(C$4,Data[#Headers],0))</f>
        <v>2631882</v>
      </c>
      <c r="D241" s="21">
        <f>INDEX(Data[],MATCH($A241,Data[Dist],0),MATCH(D$4,Data[#Headers],0))</f>
        <v>647</v>
      </c>
      <c r="E241" s="21">
        <f>INDEX(Data[],MATCH($A241,Data[Dist],0),MATCH(E$4,Data[#Headers],0))</f>
        <v>12433</v>
      </c>
      <c r="F241" s="21">
        <f>IF(Notes!$B$3="Pay 1 Regular State Payment Budget",0,INDEX(Data[],MATCH($A241,Data[Dist],0),MATCH(F$4,Data[#Headers],0)))</f>
        <v>14642</v>
      </c>
      <c r="G241" s="21">
        <f>IF(OR(Notes!$B$3="Pay 1 Regular State Payment Budget",Notes!$B$3="Pay 2 Regular State Payment Budget"),0,INDEX(Data[],MATCH($A241,Data[Dist],0),MATCH(G$4,Data[#Headers],0)))</f>
        <v>0</v>
      </c>
      <c r="H241" s="21">
        <f>INDEX(Data[],MATCH($A241,Data[Dist],0),MATCH(H$4,Data[#Headers],0))</f>
        <v>2604160</v>
      </c>
    </row>
    <row r="242" spans="1:8" s="20" customFormat="1" ht="12.75" x14ac:dyDescent="0.2">
      <c r="A242" s="19" t="str">
        <f>Data!B238</f>
        <v>5310</v>
      </c>
      <c r="B242" s="20" t="str">
        <f>INDEX(Data[],MATCH($A242,Data[Dist],0),MATCH(B$4,Data[#Headers],0))</f>
        <v>Postville</v>
      </c>
      <c r="C242" s="21">
        <f>INDEX(Data[],MATCH($A242,Data[Dist],0),MATCH(C$4,Data[#Headers],0))</f>
        <v>6850477</v>
      </c>
      <c r="D242" s="21">
        <f>INDEX(Data[],MATCH($A242,Data[Dist],0),MATCH(D$4,Data[#Headers],0))</f>
        <v>282</v>
      </c>
      <c r="E242" s="21">
        <f>INDEX(Data[],MATCH($A242,Data[Dist],0),MATCH(E$4,Data[#Headers],0))</f>
        <v>0</v>
      </c>
      <c r="F242" s="21">
        <f>IF(Notes!$B$3="Pay 1 Regular State Payment Budget",0,INDEX(Data[],MATCH($A242,Data[Dist],0),MATCH(F$4,Data[#Headers],0)))</f>
        <v>17059</v>
      </c>
      <c r="G242" s="21">
        <f>IF(OR(Notes!$B$3="Pay 1 Regular State Payment Budget",Notes!$B$3="Pay 2 Regular State Payment Budget"),0,INDEX(Data[],MATCH($A242,Data[Dist],0),MATCH(G$4,Data[#Headers],0)))</f>
        <v>0</v>
      </c>
      <c r="H242" s="21">
        <f>INDEX(Data[],MATCH($A242,Data[Dist],0),MATCH(H$4,Data[#Headers],0))</f>
        <v>6833136</v>
      </c>
    </row>
    <row r="243" spans="1:8" s="20" customFormat="1" ht="12.75" x14ac:dyDescent="0.2">
      <c r="A243" s="19" t="str">
        <f>Data!B239</f>
        <v>5319</v>
      </c>
      <c r="B243" s="20" t="str">
        <f>INDEX(Data[],MATCH($A243,Data[Dist],0),MATCH(B$4,Data[#Headers],0))</f>
        <v>PCM</v>
      </c>
      <c r="C243" s="21">
        <f>INDEX(Data[],MATCH($A243,Data[Dist],0),MATCH(C$4,Data[#Headers],0))</f>
        <v>7504993</v>
      </c>
      <c r="D243" s="21">
        <f>INDEX(Data[],MATCH($A243,Data[Dist],0),MATCH(D$4,Data[#Headers],0))</f>
        <v>945</v>
      </c>
      <c r="E243" s="21">
        <f>INDEX(Data[],MATCH($A243,Data[Dist],0),MATCH(E$4,Data[#Headers],0))</f>
        <v>0</v>
      </c>
      <c r="F243" s="21">
        <f>IF(Notes!$B$3="Pay 1 Regular State Payment Budget",0,INDEX(Data[],MATCH($A243,Data[Dist],0),MATCH(F$4,Data[#Headers],0)))</f>
        <v>22510</v>
      </c>
      <c r="G243" s="21">
        <f>IF(OR(Notes!$B$3="Pay 1 Regular State Payment Budget",Notes!$B$3="Pay 2 Regular State Payment Budget"),0,INDEX(Data[],MATCH($A243,Data[Dist],0),MATCH(G$4,Data[#Headers],0)))</f>
        <v>0</v>
      </c>
      <c r="H243" s="21">
        <f>INDEX(Data[],MATCH($A243,Data[Dist],0),MATCH(H$4,Data[#Headers],0))</f>
        <v>7481538</v>
      </c>
    </row>
    <row r="244" spans="1:8" s="20" customFormat="1" ht="12.75" x14ac:dyDescent="0.2">
      <c r="A244" s="19" t="str">
        <f>Data!B240</f>
        <v>5463</v>
      </c>
      <c r="B244" s="20" t="str">
        <f>INDEX(Data[],MATCH($A244,Data[Dist],0),MATCH(B$4,Data[#Headers],0))</f>
        <v>Red Oak</v>
      </c>
      <c r="C244" s="21">
        <f>INDEX(Data[],MATCH($A244,Data[Dist],0),MATCH(C$4,Data[#Headers],0))</f>
        <v>7793526</v>
      </c>
      <c r="D244" s="21">
        <f>INDEX(Data[],MATCH($A244,Data[Dist],0),MATCH(D$4,Data[#Headers],0))</f>
        <v>796</v>
      </c>
      <c r="E244" s="21">
        <f>INDEX(Data[],MATCH($A244,Data[Dist],0),MATCH(E$4,Data[#Headers],0))</f>
        <v>7771</v>
      </c>
      <c r="F244" s="21">
        <f>IF(Notes!$B$3="Pay 1 Regular State Payment Budget",0,INDEX(Data[],MATCH($A244,Data[Dist],0),MATCH(F$4,Data[#Headers],0)))</f>
        <v>23868</v>
      </c>
      <c r="G244" s="21">
        <f>IF(OR(Notes!$B$3="Pay 1 Regular State Payment Budget",Notes!$B$3="Pay 2 Regular State Payment Budget"),0,INDEX(Data[],MATCH($A244,Data[Dist],0),MATCH(G$4,Data[#Headers],0)))</f>
        <v>0</v>
      </c>
      <c r="H244" s="21">
        <f>INDEX(Data[],MATCH($A244,Data[Dist],0),MATCH(H$4,Data[#Headers],0))</f>
        <v>7761091</v>
      </c>
    </row>
    <row r="245" spans="1:8" s="20" customFormat="1" ht="12.75" x14ac:dyDescent="0.2">
      <c r="A245" s="19" t="str">
        <f>Data!B241</f>
        <v>5486</v>
      </c>
      <c r="B245" s="20" t="str">
        <f>INDEX(Data[],MATCH($A245,Data[Dist],0),MATCH(B$4,Data[#Headers],0))</f>
        <v>Remsen-Union</v>
      </c>
      <c r="C245" s="21">
        <f>INDEX(Data[],MATCH($A245,Data[Dist],0),MATCH(C$4,Data[#Headers],0))</f>
        <v>1666686</v>
      </c>
      <c r="D245" s="21">
        <f>INDEX(Data[],MATCH($A245,Data[Dist],0),MATCH(D$4,Data[#Headers],0))</f>
        <v>348</v>
      </c>
      <c r="E245" s="21">
        <f>INDEX(Data[],MATCH($A245,Data[Dist],0),MATCH(E$4,Data[#Headers],0))</f>
        <v>0</v>
      </c>
      <c r="F245" s="21">
        <f>IF(Notes!$B$3="Pay 1 Regular State Payment Budget",0,INDEX(Data[],MATCH($A245,Data[Dist],0),MATCH(F$4,Data[#Headers],0)))</f>
        <v>7141</v>
      </c>
      <c r="G245" s="21">
        <f>IF(OR(Notes!$B$3="Pay 1 Regular State Payment Budget",Notes!$B$3="Pay 2 Regular State Payment Budget"),0,INDEX(Data[],MATCH($A245,Data[Dist],0),MATCH(G$4,Data[#Headers],0)))</f>
        <v>0</v>
      </c>
      <c r="H245" s="21">
        <f>INDEX(Data[],MATCH($A245,Data[Dist],0),MATCH(H$4,Data[#Headers],0))</f>
        <v>1659197</v>
      </c>
    </row>
    <row r="246" spans="1:8" s="20" customFormat="1" ht="12.75" x14ac:dyDescent="0.2">
      <c r="A246" s="19" t="str">
        <f>Data!B242</f>
        <v>5508</v>
      </c>
      <c r="B246" s="20" t="str">
        <f>INDEX(Data[],MATCH($A246,Data[Dist],0),MATCH(B$4,Data[#Headers],0))</f>
        <v>Riceville</v>
      </c>
      <c r="C246" s="21">
        <f>INDEX(Data[],MATCH($A246,Data[Dist],0),MATCH(C$4,Data[#Headers],0))</f>
        <v>1979469</v>
      </c>
      <c r="D246" s="21">
        <f>INDEX(Data[],MATCH($A246,Data[Dist],0),MATCH(D$4,Data[#Headers],0))</f>
        <v>531</v>
      </c>
      <c r="E246" s="21">
        <f>INDEX(Data[],MATCH($A246,Data[Dist],0),MATCH(E$4,Data[#Headers],0))</f>
        <v>0</v>
      </c>
      <c r="F246" s="21">
        <f>IF(Notes!$B$3="Pay 1 Regular State Payment Budget",0,INDEX(Data[],MATCH($A246,Data[Dist],0),MATCH(F$4,Data[#Headers],0)))</f>
        <v>7753</v>
      </c>
      <c r="G246" s="21">
        <f>IF(OR(Notes!$B$3="Pay 1 Regular State Payment Budget",Notes!$B$3="Pay 2 Regular State Payment Budget"),0,INDEX(Data[],MATCH($A246,Data[Dist],0),MATCH(G$4,Data[#Headers],0)))</f>
        <v>0</v>
      </c>
      <c r="H246" s="21">
        <f>INDEX(Data[],MATCH($A246,Data[Dist],0),MATCH(H$4,Data[#Headers],0))</f>
        <v>1971185</v>
      </c>
    </row>
    <row r="247" spans="1:8" s="20" customFormat="1" ht="12.75" x14ac:dyDescent="0.2">
      <c r="A247" s="19" t="str">
        <f>Data!B243</f>
        <v>5607</v>
      </c>
      <c r="B247" s="20" t="str">
        <f>INDEX(Data[],MATCH($A247,Data[Dist],0),MATCH(B$4,Data[#Headers],0))</f>
        <v>Rock Valley</v>
      </c>
      <c r="C247" s="21">
        <f>INDEX(Data[],MATCH($A247,Data[Dist],0),MATCH(C$4,Data[#Headers],0))</f>
        <v>6326944</v>
      </c>
      <c r="D247" s="21">
        <f>INDEX(Data[],MATCH($A247,Data[Dist],0),MATCH(D$4,Data[#Headers],0))</f>
        <v>1343</v>
      </c>
      <c r="E247" s="21">
        <f>INDEX(Data[],MATCH($A247,Data[Dist],0),MATCH(E$4,Data[#Headers],0))</f>
        <v>0</v>
      </c>
      <c r="F247" s="21">
        <f>IF(Notes!$B$3="Pay 1 Regular State Payment Budget",0,INDEX(Data[],MATCH($A247,Data[Dist],0),MATCH(F$4,Data[#Headers],0)))</f>
        <v>18489</v>
      </c>
      <c r="G247" s="21">
        <f>IF(OR(Notes!$B$3="Pay 1 Regular State Payment Budget",Notes!$B$3="Pay 2 Regular State Payment Budget"),0,INDEX(Data[],MATCH($A247,Data[Dist],0),MATCH(G$4,Data[#Headers],0)))</f>
        <v>0</v>
      </c>
      <c r="H247" s="21">
        <f>INDEX(Data[],MATCH($A247,Data[Dist],0),MATCH(H$4,Data[#Headers],0))</f>
        <v>6307112</v>
      </c>
    </row>
    <row r="248" spans="1:8" s="20" customFormat="1" ht="12.75" x14ac:dyDescent="0.2">
      <c r="A248" s="19" t="str">
        <f>Data!B244</f>
        <v>5643</v>
      </c>
      <c r="B248" s="20" t="str">
        <f>INDEX(Data[],MATCH($A248,Data[Dist],0),MATCH(B$4,Data[#Headers],0))</f>
        <v>Roland-Story</v>
      </c>
      <c r="C248" s="21">
        <f>INDEX(Data[],MATCH($A248,Data[Dist],0),MATCH(C$4,Data[#Headers],0))</f>
        <v>6965193</v>
      </c>
      <c r="D248" s="21">
        <f>INDEX(Data[],MATCH($A248,Data[Dist],0),MATCH(D$4,Data[#Headers],0))</f>
        <v>1078</v>
      </c>
      <c r="E248" s="21">
        <f>INDEX(Data[],MATCH($A248,Data[Dist],0),MATCH(E$4,Data[#Headers],0))</f>
        <v>0</v>
      </c>
      <c r="F248" s="21">
        <f>IF(Notes!$B$3="Pay 1 Regular State Payment Budget",0,INDEX(Data[],MATCH($A248,Data[Dist],0),MATCH(F$4,Data[#Headers],0)))</f>
        <v>22147</v>
      </c>
      <c r="G248" s="21">
        <f>IF(OR(Notes!$B$3="Pay 1 Regular State Payment Budget",Notes!$B$3="Pay 2 Regular State Payment Budget"),0,INDEX(Data[],MATCH($A248,Data[Dist],0),MATCH(G$4,Data[#Headers],0)))</f>
        <v>0</v>
      </c>
      <c r="H248" s="21">
        <f>INDEX(Data[],MATCH($A248,Data[Dist],0),MATCH(H$4,Data[#Headers],0))</f>
        <v>6941968</v>
      </c>
    </row>
    <row r="249" spans="1:8" s="20" customFormat="1" ht="12.75" x14ac:dyDescent="0.2">
      <c r="A249" s="19" t="str">
        <f>Data!B245</f>
        <v>5697</v>
      </c>
      <c r="B249" s="20" t="str">
        <f>INDEX(Data[],MATCH($A249,Data[Dist],0),MATCH(B$4,Data[#Headers],0))</f>
        <v>Rudd-Rockford-Marble Rock</v>
      </c>
      <c r="C249" s="21">
        <f>INDEX(Data[],MATCH($A249,Data[Dist],0),MATCH(C$4,Data[#Headers],0))</f>
        <v>3063583</v>
      </c>
      <c r="D249" s="21">
        <f>INDEX(Data[],MATCH($A249,Data[Dist],0),MATCH(D$4,Data[#Headers],0))</f>
        <v>315</v>
      </c>
      <c r="E249" s="21">
        <f>INDEX(Data[],MATCH($A249,Data[Dist],0),MATCH(E$4,Data[#Headers],0))</f>
        <v>0</v>
      </c>
      <c r="F249" s="21">
        <f>IF(Notes!$B$3="Pay 1 Regular State Payment Budget",0,INDEX(Data[],MATCH($A249,Data[Dist],0),MATCH(F$4,Data[#Headers],0)))</f>
        <v>9461</v>
      </c>
      <c r="G249" s="21">
        <f>IF(OR(Notes!$B$3="Pay 1 Regular State Payment Budget",Notes!$B$3="Pay 2 Regular State Payment Budget"),0,INDEX(Data[],MATCH($A249,Data[Dist],0),MATCH(G$4,Data[#Headers],0)))</f>
        <v>0</v>
      </c>
      <c r="H249" s="21">
        <f>INDEX(Data[],MATCH($A249,Data[Dist],0),MATCH(H$4,Data[#Headers],0))</f>
        <v>3053807</v>
      </c>
    </row>
    <row r="250" spans="1:8" s="20" customFormat="1" ht="12.75" x14ac:dyDescent="0.2">
      <c r="A250" s="19" t="str">
        <f>Data!B246</f>
        <v>5724</v>
      </c>
      <c r="B250" s="20" t="str">
        <f>INDEX(Data[],MATCH($A250,Data[Dist],0),MATCH(B$4,Data[#Headers],0))</f>
        <v>Ruthven-Ayrshire</v>
      </c>
      <c r="C250" s="21">
        <f>INDEX(Data[],MATCH($A250,Data[Dist],0),MATCH(C$4,Data[#Headers],0))</f>
        <v>1172600</v>
      </c>
      <c r="D250" s="21">
        <f>INDEX(Data[],MATCH($A250,Data[Dist],0),MATCH(D$4,Data[#Headers],0))</f>
        <v>166</v>
      </c>
      <c r="E250" s="21">
        <f>INDEX(Data[],MATCH($A250,Data[Dist],0),MATCH(E$4,Data[#Headers],0))</f>
        <v>5461</v>
      </c>
      <c r="F250" s="21">
        <f>IF(Notes!$B$3="Pay 1 Regular State Payment Budget",0,INDEX(Data[],MATCH($A250,Data[Dist],0),MATCH(F$4,Data[#Headers],0)))</f>
        <v>3987</v>
      </c>
      <c r="G250" s="21">
        <f>IF(OR(Notes!$B$3="Pay 1 Regular State Payment Budget",Notes!$B$3="Pay 2 Regular State Payment Budget"),0,INDEX(Data[],MATCH($A250,Data[Dist],0),MATCH(G$4,Data[#Headers],0)))</f>
        <v>0</v>
      </c>
      <c r="H250" s="21">
        <f>INDEX(Data[],MATCH($A250,Data[Dist],0),MATCH(H$4,Data[#Headers],0))</f>
        <v>1162986</v>
      </c>
    </row>
    <row r="251" spans="1:8" s="20" customFormat="1" ht="12.75" x14ac:dyDescent="0.2">
      <c r="A251" s="19" t="str">
        <f>Data!B247</f>
        <v>5751</v>
      </c>
      <c r="B251" s="20" t="str">
        <f>INDEX(Data[],MATCH($A251,Data[Dist],0),MATCH(B$4,Data[#Headers],0))</f>
        <v>St Ansgar</v>
      </c>
      <c r="C251" s="21">
        <f>INDEX(Data[],MATCH($A251,Data[Dist],0),MATCH(C$4,Data[#Headers],0))</f>
        <v>3319929</v>
      </c>
      <c r="D251" s="21">
        <f>INDEX(Data[],MATCH($A251,Data[Dist],0),MATCH(D$4,Data[#Headers],0))</f>
        <v>580</v>
      </c>
      <c r="E251" s="21">
        <f>INDEX(Data[],MATCH($A251,Data[Dist],0),MATCH(E$4,Data[#Headers],0))</f>
        <v>0</v>
      </c>
      <c r="F251" s="21">
        <f>IF(Notes!$B$3="Pay 1 Regular State Payment Budget",0,INDEX(Data[],MATCH($A251,Data[Dist],0),MATCH(F$4,Data[#Headers],0)))</f>
        <v>12934</v>
      </c>
      <c r="G251" s="21">
        <f>IF(OR(Notes!$B$3="Pay 1 Regular State Payment Budget",Notes!$B$3="Pay 2 Regular State Payment Budget"),0,INDEX(Data[],MATCH($A251,Data[Dist],0),MATCH(G$4,Data[#Headers],0)))</f>
        <v>0</v>
      </c>
      <c r="H251" s="21">
        <f>INDEX(Data[],MATCH($A251,Data[Dist],0),MATCH(H$4,Data[#Headers],0))</f>
        <v>3306415</v>
      </c>
    </row>
    <row r="252" spans="1:8" s="20" customFormat="1" ht="12.75" x14ac:dyDescent="0.2">
      <c r="A252" s="19" t="str">
        <f>Data!B248</f>
        <v>5805</v>
      </c>
      <c r="B252" s="20" t="str">
        <f>INDEX(Data[],MATCH($A252,Data[Dist],0),MATCH(B$4,Data[#Headers],0))</f>
        <v>Saydel</v>
      </c>
      <c r="C252" s="21">
        <f>INDEX(Data[],MATCH($A252,Data[Dist],0),MATCH(C$4,Data[#Headers],0))</f>
        <v>1766340</v>
      </c>
      <c r="D252" s="21">
        <f>INDEX(Data[],MATCH($A252,Data[Dist],0),MATCH(D$4,Data[#Headers],0))</f>
        <v>929</v>
      </c>
      <c r="E252" s="21">
        <f>INDEX(Data[],MATCH($A252,Data[Dist],0),MATCH(E$4,Data[#Headers],0))</f>
        <v>44832</v>
      </c>
      <c r="F252" s="21">
        <f>IF(Notes!$B$3="Pay 1 Regular State Payment Budget",0,INDEX(Data[],MATCH($A252,Data[Dist],0),MATCH(F$4,Data[#Headers],0)))</f>
        <v>23044</v>
      </c>
      <c r="G252" s="21">
        <f>IF(OR(Notes!$B$3="Pay 1 Regular State Payment Budget",Notes!$B$3="Pay 2 Regular State Payment Budget"),0,INDEX(Data[],MATCH($A252,Data[Dist],0),MATCH(G$4,Data[#Headers],0)))</f>
        <v>0</v>
      </c>
      <c r="H252" s="21">
        <f>INDEX(Data[],MATCH($A252,Data[Dist],0),MATCH(H$4,Data[#Headers],0))</f>
        <v>1697535</v>
      </c>
    </row>
    <row r="253" spans="1:8" s="20" customFormat="1" ht="12.75" x14ac:dyDescent="0.2">
      <c r="A253" s="19" t="str">
        <f>Data!B249</f>
        <v>5823</v>
      </c>
      <c r="B253" s="20" t="str">
        <f>INDEX(Data[],MATCH($A253,Data[Dist],0),MATCH(B$4,Data[#Headers],0))</f>
        <v>Schaller-Crestland</v>
      </c>
      <c r="C253" s="21">
        <f>INDEX(Data[],MATCH($A253,Data[Dist],0),MATCH(C$4,Data[#Headers],0))</f>
        <v>2274297</v>
      </c>
      <c r="D253" s="21">
        <f>INDEX(Data[],MATCH($A253,Data[Dist],0),MATCH(D$4,Data[#Headers],0))</f>
        <v>415</v>
      </c>
      <c r="E253" s="21">
        <f>INDEX(Data[],MATCH($A253,Data[Dist],0),MATCH(E$4,Data[#Headers],0))</f>
        <v>0</v>
      </c>
      <c r="F253" s="21">
        <f>IF(Notes!$B$3="Pay 1 Regular State Payment Budget",0,INDEX(Data[],MATCH($A253,Data[Dist],0),MATCH(F$4,Data[#Headers],0)))</f>
        <v>8222</v>
      </c>
      <c r="G253" s="21">
        <f>IF(OR(Notes!$B$3="Pay 1 Regular State Payment Budget",Notes!$B$3="Pay 2 Regular State Payment Budget"),0,INDEX(Data[],MATCH($A253,Data[Dist],0),MATCH(G$4,Data[#Headers],0)))</f>
        <v>0</v>
      </c>
      <c r="H253" s="21">
        <f>INDEX(Data[],MATCH($A253,Data[Dist],0),MATCH(H$4,Data[#Headers],0))</f>
        <v>2265660</v>
      </c>
    </row>
    <row r="254" spans="1:8" s="20" customFormat="1" ht="12.75" x14ac:dyDescent="0.2">
      <c r="A254" s="19" t="str">
        <f>Data!B250</f>
        <v>5832</v>
      </c>
      <c r="B254" s="20" t="str">
        <f>INDEX(Data[],MATCH($A254,Data[Dist],0),MATCH(B$4,Data[#Headers],0))</f>
        <v>Schleswig</v>
      </c>
      <c r="C254" s="21">
        <f>INDEX(Data[],MATCH($A254,Data[Dist],0),MATCH(C$4,Data[#Headers],0))</f>
        <v>1339119</v>
      </c>
      <c r="D254" s="21">
        <f>INDEX(Data[],MATCH($A254,Data[Dist],0),MATCH(D$4,Data[#Headers],0))</f>
        <v>249</v>
      </c>
      <c r="E254" s="21">
        <f>INDEX(Data[],MATCH($A254,Data[Dist],0),MATCH(E$4,Data[#Headers],0))</f>
        <v>0</v>
      </c>
      <c r="F254" s="21">
        <f>IF(Notes!$B$3="Pay 1 Regular State Payment Budget",0,INDEX(Data[],MATCH($A254,Data[Dist],0),MATCH(F$4,Data[#Headers],0)))</f>
        <v>5361</v>
      </c>
      <c r="G254" s="21">
        <f>IF(OR(Notes!$B$3="Pay 1 Regular State Payment Budget",Notes!$B$3="Pay 2 Regular State Payment Budget"),0,INDEX(Data[],MATCH($A254,Data[Dist],0),MATCH(G$4,Data[#Headers],0)))</f>
        <v>0</v>
      </c>
      <c r="H254" s="21">
        <f>INDEX(Data[],MATCH($A254,Data[Dist],0),MATCH(H$4,Data[#Headers],0))</f>
        <v>1333509</v>
      </c>
    </row>
    <row r="255" spans="1:8" s="20" customFormat="1" ht="12.75" x14ac:dyDescent="0.2">
      <c r="A255" s="19" t="str">
        <f>Data!B251</f>
        <v>5877</v>
      </c>
      <c r="B255" s="20" t="str">
        <f>INDEX(Data[],MATCH($A255,Data[Dist],0),MATCH(B$4,Data[#Headers],0))</f>
        <v>Sergeant Bluff-Luton</v>
      </c>
      <c r="C255" s="21">
        <f>INDEX(Data[],MATCH($A255,Data[Dist],0),MATCH(C$4,Data[#Headers],0))</f>
        <v>8482372</v>
      </c>
      <c r="D255" s="21">
        <f>INDEX(Data[],MATCH($A255,Data[Dist],0),MATCH(D$4,Data[#Headers],0))</f>
        <v>1061</v>
      </c>
      <c r="E255" s="21">
        <f>INDEX(Data[],MATCH($A255,Data[Dist],0),MATCH(E$4,Data[#Headers],0))</f>
        <v>0</v>
      </c>
      <c r="F255" s="21">
        <f>IF(Notes!$B$3="Pay 1 Regular State Payment Budget",0,INDEX(Data[],MATCH($A255,Data[Dist],0),MATCH(F$4,Data[#Headers],0)))</f>
        <v>32385</v>
      </c>
      <c r="G255" s="21">
        <f>IF(OR(Notes!$B$3="Pay 1 Regular State Payment Budget",Notes!$B$3="Pay 2 Regular State Payment Budget"),0,INDEX(Data[],MATCH($A255,Data[Dist],0),MATCH(G$4,Data[#Headers],0)))</f>
        <v>0</v>
      </c>
      <c r="H255" s="21">
        <f>INDEX(Data[],MATCH($A255,Data[Dist],0),MATCH(H$4,Data[#Headers],0))</f>
        <v>8448926</v>
      </c>
    </row>
    <row r="256" spans="1:8" s="20" customFormat="1" ht="12.75" x14ac:dyDescent="0.2">
      <c r="A256" s="19" t="str">
        <f>Data!B252</f>
        <v>5895</v>
      </c>
      <c r="B256" s="20" t="str">
        <f>INDEX(Data[],MATCH($A256,Data[Dist],0),MATCH(B$4,Data[#Headers],0))</f>
        <v>Seymour</v>
      </c>
      <c r="C256" s="21">
        <f>INDEX(Data[],MATCH($A256,Data[Dist],0),MATCH(C$4,Data[#Headers],0))</f>
        <v>1802258</v>
      </c>
      <c r="D256" s="21">
        <f>INDEX(Data[],MATCH($A256,Data[Dist],0),MATCH(D$4,Data[#Headers],0))</f>
        <v>166</v>
      </c>
      <c r="E256" s="21">
        <f>INDEX(Data[],MATCH($A256,Data[Dist],0),MATCH(E$4,Data[#Headers],0))</f>
        <v>0</v>
      </c>
      <c r="F256" s="21">
        <f>IF(Notes!$B$3="Pay 1 Regular State Payment Budget",0,INDEX(Data[],MATCH($A256,Data[Dist],0),MATCH(F$4,Data[#Headers],0)))</f>
        <v>5253</v>
      </c>
      <c r="G256" s="21">
        <f>IF(OR(Notes!$B$3="Pay 1 Regular State Payment Budget",Notes!$B$3="Pay 2 Regular State Payment Budget"),0,INDEX(Data[],MATCH($A256,Data[Dist],0),MATCH(G$4,Data[#Headers],0)))</f>
        <v>0</v>
      </c>
      <c r="H256" s="21">
        <f>INDEX(Data[],MATCH($A256,Data[Dist],0),MATCH(H$4,Data[#Headers],0))</f>
        <v>1796839</v>
      </c>
    </row>
    <row r="257" spans="1:8" s="20" customFormat="1" ht="12.75" x14ac:dyDescent="0.2">
      <c r="A257" s="19" t="str">
        <f>Data!B253</f>
        <v>5922</v>
      </c>
      <c r="B257" s="20" t="str">
        <f>INDEX(Data[],MATCH($A257,Data[Dist],0),MATCH(B$4,Data[#Headers],0))</f>
        <v>West Fork</v>
      </c>
      <c r="C257" s="21">
        <f>INDEX(Data[],MATCH($A257,Data[Dist],0),MATCH(C$4,Data[#Headers],0))</f>
        <v>4785771</v>
      </c>
      <c r="D257" s="21">
        <f>INDEX(Data[],MATCH($A257,Data[Dist],0),MATCH(D$4,Data[#Headers],0))</f>
        <v>746</v>
      </c>
      <c r="E257" s="21">
        <f>INDEX(Data[],MATCH($A257,Data[Dist],0),MATCH(E$4,Data[#Headers],0))</f>
        <v>0</v>
      </c>
      <c r="F257" s="21">
        <f>IF(Notes!$B$3="Pay 1 Regular State Payment Budget",0,INDEX(Data[],MATCH($A257,Data[Dist],0),MATCH(F$4,Data[#Headers],0)))</f>
        <v>16899</v>
      </c>
      <c r="G257" s="21">
        <f>IF(OR(Notes!$B$3="Pay 1 Regular State Payment Budget",Notes!$B$3="Pay 2 Regular State Payment Budget"),0,INDEX(Data[],MATCH($A257,Data[Dist],0),MATCH(G$4,Data[#Headers],0)))</f>
        <v>0</v>
      </c>
      <c r="H257" s="21">
        <f>INDEX(Data[],MATCH($A257,Data[Dist],0),MATCH(H$4,Data[#Headers],0))</f>
        <v>4768126</v>
      </c>
    </row>
    <row r="258" spans="1:8" s="20" customFormat="1" ht="12.75" x14ac:dyDescent="0.2">
      <c r="A258" s="19" t="str">
        <f>Data!B254</f>
        <v>5949</v>
      </c>
      <c r="B258" s="20" t="str">
        <f>INDEX(Data[],MATCH($A258,Data[Dist],0),MATCH(B$4,Data[#Headers],0))</f>
        <v>Sheldon</v>
      </c>
      <c r="C258" s="21">
        <f>INDEX(Data[],MATCH($A258,Data[Dist],0),MATCH(C$4,Data[#Headers],0))</f>
        <v>8776933</v>
      </c>
      <c r="D258" s="21">
        <f>INDEX(Data[],MATCH($A258,Data[Dist],0),MATCH(D$4,Data[#Headers],0))</f>
        <v>1592</v>
      </c>
      <c r="E258" s="21">
        <f>INDEX(Data[],MATCH($A258,Data[Dist],0),MATCH(E$4,Data[#Headers],0))</f>
        <v>0</v>
      </c>
      <c r="F258" s="21">
        <f>IF(Notes!$B$3="Pay 1 Regular State Payment Budget",0,INDEX(Data[],MATCH($A258,Data[Dist],0),MATCH(F$4,Data[#Headers],0)))</f>
        <v>25290</v>
      </c>
      <c r="G258" s="21">
        <f>IF(OR(Notes!$B$3="Pay 1 Regular State Payment Budget",Notes!$B$3="Pay 2 Regular State Payment Budget"),0,INDEX(Data[],MATCH($A258,Data[Dist],0),MATCH(G$4,Data[#Headers],0)))</f>
        <v>0</v>
      </c>
      <c r="H258" s="21">
        <f>INDEX(Data[],MATCH($A258,Data[Dist],0),MATCH(H$4,Data[#Headers],0))</f>
        <v>8750051</v>
      </c>
    </row>
    <row r="259" spans="1:8" s="20" customFormat="1" ht="12.75" x14ac:dyDescent="0.2">
      <c r="A259" s="19" t="str">
        <f>Data!B255</f>
        <v>5976</v>
      </c>
      <c r="B259" s="20" t="str">
        <f>INDEX(Data[],MATCH($A259,Data[Dist],0),MATCH(B$4,Data[#Headers],0))</f>
        <v>Shenandoah</v>
      </c>
      <c r="C259" s="21">
        <f>INDEX(Data[],MATCH($A259,Data[Dist],0),MATCH(C$4,Data[#Headers],0))</f>
        <v>7776330</v>
      </c>
      <c r="D259" s="21">
        <f>INDEX(Data[],MATCH($A259,Data[Dist],0),MATCH(D$4,Data[#Headers],0))</f>
        <v>929</v>
      </c>
      <c r="E259" s="21">
        <f>INDEX(Data[],MATCH($A259,Data[Dist],0),MATCH(E$4,Data[#Headers],0))</f>
        <v>18564</v>
      </c>
      <c r="F259" s="21">
        <f>IF(Notes!$B$3="Pay 1 Regular State Payment Budget",0,INDEX(Data[],MATCH($A259,Data[Dist],0),MATCH(F$4,Data[#Headers],0)))</f>
        <v>23810</v>
      </c>
      <c r="G259" s="21">
        <f>IF(OR(Notes!$B$3="Pay 1 Regular State Payment Budget",Notes!$B$3="Pay 2 Regular State Payment Budget"),0,INDEX(Data[],MATCH($A259,Data[Dist],0),MATCH(G$4,Data[#Headers],0)))</f>
        <v>0</v>
      </c>
      <c r="H259" s="21">
        <f>INDEX(Data[],MATCH($A259,Data[Dist],0),MATCH(H$4,Data[#Headers],0))</f>
        <v>7733027</v>
      </c>
    </row>
    <row r="260" spans="1:8" s="20" customFormat="1" ht="12.75" x14ac:dyDescent="0.2">
      <c r="A260" s="19" t="str">
        <f>Data!B256</f>
        <v>5994</v>
      </c>
      <c r="B260" s="20" t="str">
        <f>INDEX(Data[],MATCH($A260,Data[Dist],0),MATCH(B$4,Data[#Headers],0))</f>
        <v>Sibley-Ocheyedan</v>
      </c>
      <c r="C260" s="21">
        <f>INDEX(Data[],MATCH($A260,Data[Dist],0),MATCH(C$4,Data[#Headers],0))</f>
        <v>4518120</v>
      </c>
      <c r="D260" s="21">
        <f>INDEX(Data[],MATCH($A260,Data[Dist],0),MATCH(D$4,Data[#Headers],0))</f>
        <v>813</v>
      </c>
      <c r="E260" s="21">
        <f>INDEX(Data[],MATCH($A260,Data[Dist],0),MATCH(E$4,Data[#Headers],0))</f>
        <v>0</v>
      </c>
      <c r="F260" s="21">
        <f>IF(Notes!$B$3="Pay 1 Regular State Payment Budget",0,INDEX(Data[],MATCH($A260,Data[Dist],0),MATCH(F$4,Data[#Headers],0)))</f>
        <v>14615</v>
      </c>
      <c r="G260" s="21">
        <f>IF(OR(Notes!$B$3="Pay 1 Regular State Payment Budget",Notes!$B$3="Pay 2 Regular State Payment Budget"),0,INDEX(Data[],MATCH($A260,Data[Dist],0),MATCH(G$4,Data[#Headers],0)))</f>
        <v>0</v>
      </c>
      <c r="H260" s="21">
        <f>INDEX(Data[],MATCH($A260,Data[Dist],0),MATCH(H$4,Data[#Headers],0))</f>
        <v>4502692</v>
      </c>
    </row>
    <row r="261" spans="1:8" s="20" customFormat="1" ht="12.75" x14ac:dyDescent="0.2">
      <c r="A261" s="19" t="str">
        <f>Data!B257</f>
        <v>6003</v>
      </c>
      <c r="B261" s="20" t="str">
        <f>INDEX(Data[],MATCH($A261,Data[Dist],0),MATCH(B$4,Data[#Headers],0))</f>
        <v>Sidney</v>
      </c>
      <c r="C261" s="21">
        <f>INDEX(Data[],MATCH($A261,Data[Dist],0),MATCH(C$4,Data[#Headers],0))</f>
        <v>2770185</v>
      </c>
      <c r="D261" s="21">
        <f>INDEX(Data[],MATCH($A261,Data[Dist],0),MATCH(D$4,Data[#Headers],0))</f>
        <v>265</v>
      </c>
      <c r="E261" s="21">
        <f>INDEX(Data[],MATCH($A261,Data[Dist],0),MATCH(E$4,Data[#Headers],0))</f>
        <v>54396</v>
      </c>
      <c r="F261" s="21">
        <f>IF(Notes!$B$3="Pay 1 Regular State Payment Budget",0,INDEX(Data[],MATCH($A261,Data[Dist],0),MATCH(F$4,Data[#Headers],0)))</f>
        <v>8763</v>
      </c>
      <c r="G261" s="21">
        <f>IF(OR(Notes!$B$3="Pay 1 Regular State Payment Budget",Notes!$B$3="Pay 2 Regular State Payment Budget"),0,INDEX(Data[],MATCH($A261,Data[Dist],0),MATCH(G$4,Data[#Headers],0)))</f>
        <v>0</v>
      </c>
      <c r="H261" s="21">
        <f>INDEX(Data[],MATCH($A261,Data[Dist],0),MATCH(H$4,Data[#Headers],0))</f>
        <v>2706761</v>
      </c>
    </row>
    <row r="262" spans="1:8" s="20" customFormat="1" ht="12.75" x14ac:dyDescent="0.2">
      <c r="A262" s="19" t="str">
        <f>Data!B258</f>
        <v>6012</v>
      </c>
      <c r="B262" s="20" t="str">
        <f>INDEX(Data[],MATCH($A262,Data[Dist],0),MATCH(B$4,Data[#Headers],0))</f>
        <v>Sigourney</v>
      </c>
      <c r="C262" s="21">
        <f>INDEX(Data[],MATCH($A262,Data[Dist],0),MATCH(C$4,Data[#Headers],0))</f>
        <v>4309719</v>
      </c>
      <c r="D262" s="21">
        <f>INDEX(Data[],MATCH($A262,Data[Dist],0),MATCH(D$4,Data[#Headers],0))</f>
        <v>332</v>
      </c>
      <c r="E262" s="21">
        <f>INDEX(Data[],MATCH($A262,Data[Dist],0),MATCH(E$4,Data[#Headers],0))</f>
        <v>0</v>
      </c>
      <c r="F262" s="21">
        <f>IF(Notes!$B$3="Pay 1 Regular State Payment Budget",0,INDEX(Data[],MATCH($A262,Data[Dist],0),MATCH(F$4,Data[#Headers],0)))</f>
        <v>12711</v>
      </c>
      <c r="G262" s="21">
        <f>IF(OR(Notes!$B$3="Pay 1 Regular State Payment Budget",Notes!$B$3="Pay 2 Regular State Payment Budget"),0,INDEX(Data[],MATCH($A262,Data[Dist],0),MATCH(G$4,Data[#Headers],0)))</f>
        <v>0</v>
      </c>
      <c r="H262" s="21">
        <f>INDEX(Data[],MATCH($A262,Data[Dist],0),MATCH(H$4,Data[#Headers],0))</f>
        <v>4296676</v>
      </c>
    </row>
    <row r="263" spans="1:8" s="20" customFormat="1" ht="12.75" x14ac:dyDescent="0.2">
      <c r="A263" s="19" t="str">
        <f>Data!B259</f>
        <v>6030</v>
      </c>
      <c r="B263" s="20" t="str">
        <f>INDEX(Data[],MATCH($A263,Data[Dist],0),MATCH(B$4,Data[#Headers],0))</f>
        <v>Sioux Center</v>
      </c>
      <c r="C263" s="21">
        <f>INDEX(Data[],MATCH($A263,Data[Dist],0),MATCH(C$4,Data[#Headers],0))</f>
        <v>12339899</v>
      </c>
      <c r="D263" s="21">
        <f>INDEX(Data[],MATCH($A263,Data[Dist],0),MATCH(D$4,Data[#Headers],0))</f>
        <v>2372</v>
      </c>
      <c r="E263" s="21">
        <f>INDEX(Data[],MATCH($A263,Data[Dist],0),MATCH(E$4,Data[#Headers],0))</f>
        <v>0</v>
      </c>
      <c r="F263" s="21">
        <f>IF(Notes!$B$3="Pay 1 Regular State Payment Budget",0,INDEX(Data[],MATCH($A263,Data[Dist],0),MATCH(F$4,Data[#Headers],0)))</f>
        <v>33642</v>
      </c>
      <c r="G263" s="21">
        <f>IF(OR(Notes!$B$3="Pay 1 Regular State Payment Budget",Notes!$B$3="Pay 2 Regular State Payment Budget"),0,INDEX(Data[],MATCH($A263,Data[Dist],0),MATCH(G$4,Data[#Headers],0)))</f>
        <v>0</v>
      </c>
      <c r="H263" s="21">
        <f>INDEX(Data[],MATCH($A263,Data[Dist],0),MATCH(H$4,Data[#Headers],0))</f>
        <v>12303885</v>
      </c>
    </row>
    <row r="264" spans="1:8" s="20" customFormat="1" ht="12.75" x14ac:dyDescent="0.2">
      <c r="A264" s="19" t="str">
        <f>Data!B260</f>
        <v>6039</v>
      </c>
      <c r="B264" s="20" t="str">
        <f>INDEX(Data[],MATCH($A264,Data[Dist],0),MATCH(B$4,Data[#Headers],0))</f>
        <v>Sioux City</v>
      </c>
      <c r="C264" s="21">
        <f>INDEX(Data[],MATCH($A264,Data[Dist],0),MATCH(C$4,Data[#Headers],0))</f>
        <v>134133314</v>
      </c>
      <c r="D264" s="21">
        <f>INDEX(Data[],MATCH($A264,Data[Dist],0),MATCH(D$4,Data[#Headers],0))</f>
        <v>10764</v>
      </c>
      <c r="E264" s="21">
        <f>INDEX(Data[],MATCH($A264,Data[Dist],0),MATCH(E$4,Data[#Headers],0))</f>
        <v>0</v>
      </c>
      <c r="F264" s="21">
        <f>IF(Notes!$B$3="Pay 1 Regular State Payment Budget",0,INDEX(Data[],MATCH($A264,Data[Dist],0),MATCH(F$4,Data[#Headers],0)))</f>
        <v>328621</v>
      </c>
      <c r="G264" s="21">
        <f>IF(OR(Notes!$B$3="Pay 1 Regular State Payment Budget",Notes!$B$3="Pay 2 Regular State Payment Budget"),0,INDEX(Data[],MATCH($A264,Data[Dist],0),MATCH(G$4,Data[#Headers],0)))</f>
        <v>0</v>
      </c>
      <c r="H264" s="21">
        <f>INDEX(Data[],MATCH($A264,Data[Dist],0),MATCH(H$4,Data[#Headers],0))</f>
        <v>133793929</v>
      </c>
    </row>
    <row r="265" spans="1:8" s="20" customFormat="1" ht="12.75" x14ac:dyDescent="0.2">
      <c r="A265" s="19" t="str">
        <f>Data!B261</f>
        <v>6048</v>
      </c>
      <c r="B265" s="20" t="str">
        <f>INDEX(Data[],MATCH($A265,Data[Dist],0),MATCH(B$4,Data[#Headers],0))</f>
        <v>Sioux Central</v>
      </c>
      <c r="C265" s="21">
        <f>INDEX(Data[],MATCH($A265,Data[Dist],0),MATCH(C$4,Data[#Headers],0))</f>
        <v>2833857</v>
      </c>
      <c r="D265" s="21">
        <f>INDEX(Data[],MATCH($A265,Data[Dist],0),MATCH(D$4,Data[#Headers],0))</f>
        <v>381</v>
      </c>
      <c r="E265" s="21">
        <f>INDEX(Data[],MATCH($A265,Data[Dist],0),MATCH(E$4,Data[#Headers],0))</f>
        <v>7771</v>
      </c>
      <c r="F265" s="21">
        <f>IF(Notes!$B$3="Pay 1 Regular State Payment Budget",0,INDEX(Data[],MATCH($A265,Data[Dist],0),MATCH(F$4,Data[#Headers],0)))</f>
        <v>9821</v>
      </c>
      <c r="G265" s="21">
        <f>IF(OR(Notes!$B$3="Pay 1 Regular State Payment Budget",Notes!$B$3="Pay 2 Regular State Payment Budget"),0,INDEX(Data[],MATCH($A265,Data[Dist],0),MATCH(G$4,Data[#Headers],0)))</f>
        <v>0</v>
      </c>
      <c r="H265" s="21">
        <f>INDEX(Data[],MATCH($A265,Data[Dist],0),MATCH(H$4,Data[#Headers],0))</f>
        <v>2815884</v>
      </c>
    </row>
    <row r="266" spans="1:8" s="20" customFormat="1" ht="12.75" x14ac:dyDescent="0.2">
      <c r="A266" s="19" t="str">
        <f>Data!B262</f>
        <v>6091</v>
      </c>
      <c r="B266" s="20" t="str">
        <f>INDEX(Data[],MATCH($A266,Data[Dist],0),MATCH(B$4,Data[#Headers],0))</f>
        <v>South Central Calhoun</v>
      </c>
      <c r="C266" s="21">
        <f>INDEX(Data[],MATCH($A266,Data[Dist],0),MATCH(C$4,Data[#Headers],0))</f>
        <v>5371497</v>
      </c>
      <c r="D266" s="21">
        <f>INDEX(Data[],MATCH($A266,Data[Dist],0),MATCH(D$4,Data[#Headers],0))</f>
        <v>614</v>
      </c>
      <c r="E266" s="21">
        <f>INDEX(Data[],MATCH($A266,Data[Dist],0),MATCH(E$4,Data[#Headers],0))</f>
        <v>0</v>
      </c>
      <c r="F266" s="21">
        <f>IF(Notes!$B$3="Pay 1 Regular State Payment Budget",0,INDEX(Data[],MATCH($A266,Data[Dist],0),MATCH(F$4,Data[#Headers],0)))</f>
        <v>20861</v>
      </c>
      <c r="G266" s="21">
        <f>IF(OR(Notes!$B$3="Pay 1 Regular State Payment Budget",Notes!$B$3="Pay 2 Regular State Payment Budget"),0,INDEX(Data[],MATCH($A266,Data[Dist],0),MATCH(G$4,Data[#Headers],0)))</f>
        <v>0</v>
      </c>
      <c r="H266" s="21">
        <f>INDEX(Data[],MATCH($A266,Data[Dist],0),MATCH(H$4,Data[#Headers],0))</f>
        <v>5350022</v>
      </c>
    </row>
    <row r="267" spans="1:8" s="20" customFormat="1" ht="12.75" x14ac:dyDescent="0.2">
      <c r="A267" s="19" t="str">
        <f>Data!B263</f>
        <v>6093</v>
      </c>
      <c r="B267" s="20" t="str">
        <f>INDEX(Data[],MATCH($A267,Data[Dist],0),MATCH(B$4,Data[#Headers],0))</f>
        <v>Solon</v>
      </c>
      <c r="C267" s="21">
        <f>INDEX(Data[],MATCH($A267,Data[Dist],0),MATCH(C$4,Data[#Headers],0))</f>
        <v>9799184</v>
      </c>
      <c r="D267" s="21">
        <f>INDEX(Data[],MATCH($A267,Data[Dist],0),MATCH(D$4,Data[#Headers],0))</f>
        <v>1310</v>
      </c>
      <c r="E267" s="21">
        <f>INDEX(Data[],MATCH($A267,Data[Dist],0),MATCH(E$4,Data[#Headers],0))</f>
        <v>0</v>
      </c>
      <c r="F267" s="21">
        <f>IF(Notes!$B$3="Pay 1 Regular State Payment Budget",0,INDEX(Data[],MATCH($A267,Data[Dist],0),MATCH(F$4,Data[#Headers],0)))</f>
        <v>32491</v>
      </c>
      <c r="G267" s="21">
        <f>IF(OR(Notes!$B$3="Pay 1 Regular State Payment Budget",Notes!$B$3="Pay 2 Regular State Payment Budget"),0,INDEX(Data[],MATCH($A267,Data[Dist],0),MATCH(G$4,Data[#Headers],0)))</f>
        <v>0</v>
      </c>
      <c r="H267" s="21">
        <f>INDEX(Data[],MATCH($A267,Data[Dist],0),MATCH(H$4,Data[#Headers],0))</f>
        <v>9765383</v>
      </c>
    </row>
    <row r="268" spans="1:8" s="20" customFormat="1" ht="12.75" x14ac:dyDescent="0.2">
      <c r="A268" s="19" t="str">
        <f>Data!B264</f>
        <v>6094</v>
      </c>
      <c r="B268" s="20" t="str">
        <f>INDEX(Data[],MATCH($A268,Data[Dist],0),MATCH(B$4,Data[#Headers],0))</f>
        <v>Southeast Warren</v>
      </c>
      <c r="C268" s="21">
        <f>INDEX(Data[],MATCH($A268,Data[Dist],0),MATCH(C$4,Data[#Headers],0))</f>
        <v>3887143</v>
      </c>
      <c r="D268" s="21">
        <f>INDEX(Data[],MATCH($A268,Data[Dist],0),MATCH(D$4,Data[#Headers],0))</f>
        <v>398</v>
      </c>
      <c r="E268" s="21">
        <f>INDEX(Data[],MATCH($A268,Data[Dist],0),MATCH(E$4,Data[#Headers],0))</f>
        <v>0</v>
      </c>
      <c r="F268" s="21">
        <f>IF(Notes!$B$3="Pay 1 Regular State Payment Budget",0,INDEX(Data[],MATCH($A268,Data[Dist],0),MATCH(F$4,Data[#Headers],0)))</f>
        <v>10988</v>
      </c>
      <c r="G268" s="21">
        <f>IF(OR(Notes!$B$3="Pay 1 Regular State Payment Budget",Notes!$B$3="Pay 2 Regular State Payment Budget"),0,INDEX(Data[],MATCH($A268,Data[Dist],0),MATCH(G$4,Data[#Headers],0)))</f>
        <v>0</v>
      </c>
      <c r="H268" s="21">
        <f>INDEX(Data[],MATCH($A268,Data[Dist],0),MATCH(H$4,Data[#Headers],0))</f>
        <v>3875757</v>
      </c>
    </row>
    <row r="269" spans="1:8" s="20" customFormat="1" ht="12.75" x14ac:dyDescent="0.2">
      <c r="A269" s="19" t="str">
        <f>Data!B265</f>
        <v>6095</v>
      </c>
      <c r="B269" s="20" t="str">
        <f>INDEX(Data[],MATCH($A269,Data[Dist],0),MATCH(B$4,Data[#Headers],0))</f>
        <v>South Hamilton</v>
      </c>
      <c r="C269" s="21">
        <f>INDEX(Data[],MATCH($A269,Data[Dist],0),MATCH(C$4,Data[#Headers],0))</f>
        <v>3673511</v>
      </c>
      <c r="D269" s="21">
        <f>INDEX(Data[],MATCH($A269,Data[Dist],0),MATCH(D$4,Data[#Headers],0))</f>
        <v>514</v>
      </c>
      <c r="E269" s="21">
        <f>INDEX(Data[],MATCH($A269,Data[Dist],0),MATCH(E$4,Data[#Headers],0))</f>
        <v>0</v>
      </c>
      <c r="F269" s="21">
        <f>IF(Notes!$B$3="Pay 1 Regular State Payment Budget",0,INDEX(Data[],MATCH($A269,Data[Dist],0),MATCH(F$4,Data[#Headers],0)))</f>
        <v>13707</v>
      </c>
      <c r="G269" s="21">
        <f>IF(OR(Notes!$B$3="Pay 1 Regular State Payment Budget",Notes!$B$3="Pay 2 Regular State Payment Budget"),0,INDEX(Data[],MATCH($A269,Data[Dist],0),MATCH(G$4,Data[#Headers],0)))</f>
        <v>0</v>
      </c>
      <c r="H269" s="21">
        <f>INDEX(Data[],MATCH($A269,Data[Dist],0),MATCH(H$4,Data[#Headers],0))</f>
        <v>3659290</v>
      </c>
    </row>
    <row r="270" spans="1:8" s="20" customFormat="1" ht="12.75" x14ac:dyDescent="0.2">
      <c r="A270" s="19" t="str">
        <f>Data!B266</f>
        <v>6096</v>
      </c>
      <c r="B270" s="20" t="str">
        <f>INDEX(Data[],MATCH($A270,Data[Dist],0),MATCH(B$4,Data[#Headers],0))</f>
        <v>Southeast Valley</v>
      </c>
      <c r="C270" s="21">
        <f>INDEX(Data[],MATCH($A270,Data[Dist],0),MATCH(C$4,Data[#Headers],0))</f>
        <v>6944102</v>
      </c>
      <c r="D270" s="21">
        <f>INDEX(Data[],MATCH($A270,Data[Dist],0),MATCH(D$4,Data[#Headers],0))</f>
        <v>1095</v>
      </c>
      <c r="E270" s="21">
        <f>INDEX(Data[],MATCH($A270,Data[Dist],0),MATCH(E$4,Data[#Headers],0))</f>
        <v>0</v>
      </c>
      <c r="F270" s="21">
        <f>IF(Notes!$B$3="Pay 1 Regular State Payment Budget",0,INDEX(Data[],MATCH($A270,Data[Dist],0),MATCH(F$4,Data[#Headers],0)))</f>
        <v>24882</v>
      </c>
      <c r="G270" s="21">
        <f>IF(OR(Notes!$B$3="Pay 1 Regular State Payment Budget",Notes!$B$3="Pay 2 Regular State Payment Budget"),0,INDEX(Data[],MATCH($A270,Data[Dist],0),MATCH(G$4,Data[#Headers],0)))</f>
        <v>0</v>
      </c>
      <c r="H270" s="21">
        <f>INDEX(Data[],MATCH($A270,Data[Dist],0),MATCH(H$4,Data[#Headers],0))</f>
        <v>6918125</v>
      </c>
    </row>
    <row r="271" spans="1:8" s="20" customFormat="1" ht="12.75" x14ac:dyDescent="0.2">
      <c r="A271" s="19" t="str">
        <f>Data!B267</f>
        <v>6097</v>
      </c>
      <c r="B271" s="20" t="str">
        <f>INDEX(Data[],MATCH($A271,Data[Dist],0),MATCH(B$4,Data[#Headers],0))</f>
        <v>South Page</v>
      </c>
      <c r="C271" s="21">
        <f>INDEX(Data[],MATCH($A271,Data[Dist],0),MATCH(C$4,Data[#Headers],0))</f>
        <v>1400095</v>
      </c>
      <c r="D271" s="21">
        <f>INDEX(Data[],MATCH($A271,Data[Dist],0),MATCH(D$4,Data[#Headers],0))</f>
        <v>33</v>
      </c>
      <c r="E271" s="21">
        <f>INDEX(Data[],MATCH($A271,Data[Dist],0),MATCH(E$4,Data[#Headers],0))</f>
        <v>7771</v>
      </c>
      <c r="F271" s="21">
        <f>IF(Notes!$B$3="Pay 1 Regular State Payment Budget",0,INDEX(Data[],MATCH($A271,Data[Dist],0),MATCH(F$4,Data[#Headers],0)))</f>
        <v>4444</v>
      </c>
      <c r="G271" s="21">
        <f>IF(OR(Notes!$B$3="Pay 1 Regular State Payment Budget",Notes!$B$3="Pay 2 Regular State Payment Budget"),0,INDEX(Data[],MATCH($A271,Data[Dist],0),MATCH(G$4,Data[#Headers],0)))</f>
        <v>0</v>
      </c>
      <c r="H271" s="21">
        <f>INDEX(Data[],MATCH($A271,Data[Dist],0),MATCH(H$4,Data[#Headers],0))</f>
        <v>1387847</v>
      </c>
    </row>
    <row r="272" spans="1:8" s="20" customFormat="1" ht="12.75" x14ac:dyDescent="0.2">
      <c r="A272" s="19" t="str">
        <f>Data!B268</f>
        <v>6098</v>
      </c>
      <c r="B272" s="20" t="str">
        <f>INDEX(Data[],MATCH($A272,Data[Dist],0),MATCH(B$4,Data[#Headers],0))</f>
        <v>South Tama</v>
      </c>
      <c r="C272" s="21">
        <f>INDEX(Data[],MATCH($A272,Data[Dist],0),MATCH(C$4,Data[#Headers],0))</f>
        <v>12110802</v>
      </c>
      <c r="D272" s="21">
        <f>INDEX(Data[],MATCH($A272,Data[Dist],0),MATCH(D$4,Data[#Headers],0))</f>
        <v>1061</v>
      </c>
      <c r="E272" s="21">
        <f>INDEX(Data[],MATCH($A272,Data[Dist],0),MATCH(E$4,Data[#Headers],0))</f>
        <v>0</v>
      </c>
      <c r="F272" s="21">
        <f>IF(Notes!$B$3="Pay 1 Regular State Payment Budget",0,INDEX(Data[],MATCH($A272,Data[Dist],0),MATCH(F$4,Data[#Headers],0)))</f>
        <v>31547</v>
      </c>
      <c r="G272" s="21">
        <f>IF(OR(Notes!$B$3="Pay 1 Regular State Payment Budget",Notes!$B$3="Pay 2 Regular State Payment Budget"),0,INDEX(Data[],MATCH($A272,Data[Dist],0),MATCH(G$4,Data[#Headers],0)))</f>
        <v>0</v>
      </c>
      <c r="H272" s="21">
        <f>INDEX(Data[],MATCH($A272,Data[Dist],0),MATCH(H$4,Data[#Headers],0))</f>
        <v>12078194</v>
      </c>
    </row>
    <row r="273" spans="1:8" s="20" customFormat="1" ht="12.75" x14ac:dyDescent="0.2">
      <c r="A273" s="19" t="str">
        <f>Data!B269</f>
        <v>6100</v>
      </c>
      <c r="B273" s="20" t="str">
        <f>INDEX(Data[],MATCH($A273,Data[Dist],0),MATCH(B$4,Data[#Headers],0))</f>
        <v>South Winneshiek</v>
      </c>
      <c r="C273" s="21">
        <f>INDEX(Data[],MATCH($A273,Data[Dist],0),MATCH(C$4,Data[#Headers],0))</f>
        <v>4174980</v>
      </c>
      <c r="D273" s="21">
        <f>INDEX(Data[],MATCH($A273,Data[Dist],0),MATCH(D$4,Data[#Headers],0))</f>
        <v>962</v>
      </c>
      <c r="E273" s="21">
        <f>INDEX(Data[],MATCH($A273,Data[Dist],0),MATCH(E$4,Data[#Headers],0))</f>
        <v>0</v>
      </c>
      <c r="F273" s="21">
        <f>IF(Notes!$B$3="Pay 1 Regular State Payment Budget",0,INDEX(Data[],MATCH($A273,Data[Dist],0),MATCH(F$4,Data[#Headers],0)))</f>
        <v>12004</v>
      </c>
      <c r="G273" s="21">
        <f>IF(OR(Notes!$B$3="Pay 1 Regular State Payment Budget",Notes!$B$3="Pay 2 Regular State Payment Budget"),0,INDEX(Data[],MATCH($A273,Data[Dist],0),MATCH(G$4,Data[#Headers],0)))</f>
        <v>0</v>
      </c>
      <c r="H273" s="21">
        <f>INDEX(Data[],MATCH($A273,Data[Dist],0),MATCH(H$4,Data[#Headers],0))</f>
        <v>4162014</v>
      </c>
    </row>
    <row r="274" spans="1:8" s="20" customFormat="1" ht="12.75" x14ac:dyDescent="0.2">
      <c r="A274" s="19" t="str">
        <f>Data!B270</f>
        <v>6101</v>
      </c>
      <c r="B274" s="20" t="str">
        <f>INDEX(Data[],MATCH($A274,Data[Dist],0),MATCH(B$4,Data[#Headers],0))</f>
        <v>Southeast Polk</v>
      </c>
      <c r="C274" s="21">
        <f>INDEX(Data[],MATCH($A274,Data[Dist],0),MATCH(C$4,Data[#Headers],0))</f>
        <v>56519924</v>
      </c>
      <c r="D274" s="21">
        <f>INDEX(Data[],MATCH($A274,Data[Dist],0),MATCH(D$4,Data[#Headers],0))</f>
        <v>4213</v>
      </c>
      <c r="E274" s="21">
        <f>INDEX(Data[],MATCH($A274,Data[Dist],0),MATCH(E$4,Data[#Headers],0))</f>
        <v>37148</v>
      </c>
      <c r="F274" s="21">
        <f>IF(Notes!$B$3="Pay 1 Regular State Payment Budget",0,INDEX(Data[],MATCH($A274,Data[Dist],0),MATCH(F$4,Data[#Headers],0)))</f>
        <v>162177</v>
      </c>
      <c r="G274" s="21">
        <f>IF(OR(Notes!$B$3="Pay 1 Regular State Payment Budget",Notes!$B$3="Pay 2 Regular State Payment Budget"),0,INDEX(Data[],MATCH($A274,Data[Dist],0),MATCH(G$4,Data[#Headers],0)))</f>
        <v>0</v>
      </c>
      <c r="H274" s="21">
        <f>INDEX(Data[],MATCH($A274,Data[Dist],0),MATCH(H$4,Data[#Headers],0))</f>
        <v>56316386</v>
      </c>
    </row>
    <row r="275" spans="1:8" s="20" customFormat="1" ht="12.75" x14ac:dyDescent="0.2">
      <c r="A275" s="19" t="str">
        <f>Data!B271</f>
        <v>6102</v>
      </c>
      <c r="B275" s="20" t="str">
        <f>INDEX(Data[],MATCH($A275,Data[Dist],0),MATCH(B$4,Data[#Headers],0))</f>
        <v>Spencer</v>
      </c>
      <c r="C275" s="21">
        <f>INDEX(Data[],MATCH($A275,Data[Dist],0),MATCH(C$4,Data[#Headers],0))</f>
        <v>16451130</v>
      </c>
      <c r="D275" s="21">
        <f>INDEX(Data[],MATCH($A275,Data[Dist],0),MATCH(D$4,Data[#Headers],0))</f>
        <v>2587</v>
      </c>
      <c r="E275" s="21">
        <f>INDEX(Data[],MATCH($A275,Data[Dist],0),MATCH(E$4,Data[#Headers],0))</f>
        <v>13383</v>
      </c>
      <c r="F275" s="21">
        <f>IF(Notes!$B$3="Pay 1 Regular State Payment Budget",0,INDEX(Data[],MATCH($A275,Data[Dist],0),MATCH(F$4,Data[#Headers],0)))</f>
        <v>45320</v>
      </c>
      <c r="G275" s="21">
        <f>IF(OR(Notes!$B$3="Pay 1 Regular State Payment Budget",Notes!$B$3="Pay 2 Regular State Payment Budget"),0,INDEX(Data[],MATCH($A275,Data[Dist],0),MATCH(G$4,Data[#Headers],0)))</f>
        <v>0</v>
      </c>
      <c r="H275" s="21">
        <f>INDEX(Data[],MATCH($A275,Data[Dist],0),MATCH(H$4,Data[#Headers],0))</f>
        <v>16389840</v>
      </c>
    </row>
    <row r="276" spans="1:8" s="20" customFormat="1" ht="12.75" x14ac:dyDescent="0.2">
      <c r="A276" s="19" t="str">
        <f>Data!B272</f>
        <v>6120</v>
      </c>
      <c r="B276" s="20" t="str">
        <f>INDEX(Data[],MATCH($A276,Data[Dist],0),MATCH(B$4,Data[#Headers],0))</f>
        <v>Spirit Lake</v>
      </c>
      <c r="C276" s="21">
        <f>INDEX(Data[],MATCH($A276,Data[Dist],0),MATCH(C$4,Data[#Headers],0))</f>
        <v>2084983</v>
      </c>
      <c r="D276" s="21">
        <f>INDEX(Data[],MATCH($A276,Data[Dist],0),MATCH(D$4,Data[#Headers],0))</f>
        <v>1343</v>
      </c>
      <c r="E276" s="21">
        <f>INDEX(Data[],MATCH($A276,Data[Dist],0),MATCH(E$4,Data[#Headers],0))</f>
        <v>0</v>
      </c>
      <c r="F276" s="21">
        <f>IF(Notes!$B$3="Pay 1 Regular State Payment Budget",0,INDEX(Data[],MATCH($A276,Data[Dist],0),MATCH(F$4,Data[#Headers],0)))</f>
        <v>26371</v>
      </c>
      <c r="G276" s="21">
        <f>IF(OR(Notes!$B$3="Pay 1 Regular State Payment Budget",Notes!$B$3="Pay 2 Regular State Payment Budget"),0,INDEX(Data[],MATCH($A276,Data[Dist],0),MATCH(G$4,Data[#Headers],0)))</f>
        <v>0</v>
      </c>
      <c r="H276" s="21">
        <f>INDEX(Data[],MATCH($A276,Data[Dist],0),MATCH(H$4,Data[#Headers],0))</f>
        <v>2057269</v>
      </c>
    </row>
    <row r="277" spans="1:8" s="20" customFormat="1" ht="12.75" x14ac:dyDescent="0.2">
      <c r="A277" s="19" t="str">
        <f>Data!B273</f>
        <v>6138</v>
      </c>
      <c r="B277" s="20" t="str">
        <f>INDEX(Data[],MATCH($A277,Data[Dist],0),MATCH(B$4,Data[#Headers],0))</f>
        <v>Springville</v>
      </c>
      <c r="C277" s="21">
        <f>INDEX(Data[],MATCH($A277,Data[Dist],0),MATCH(C$4,Data[#Headers],0))</f>
        <v>3164700</v>
      </c>
      <c r="D277" s="21">
        <f>INDEX(Data[],MATCH($A277,Data[Dist],0),MATCH(D$4,Data[#Headers],0))</f>
        <v>431</v>
      </c>
      <c r="E277" s="21">
        <f>INDEX(Data[],MATCH($A277,Data[Dist],0),MATCH(E$4,Data[#Headers],0))</f>
        <v>0</v>
      </c>
      <c r="F277" s="21">
        <f>IF(Notes!$B$3="Pay 1 Regular State Payment Budget",0,INDEX(Data[],MATCH($A277,Data[Dist],0),MATCH(F$4,Data[#Headers],0)))</f>
        <v>9260</v>
      </c>
      <c r="G277" s="21">
        <f>IF(OR(Notes!$B$3="Pay 1 Regular State Payment Budget",Notes!$B$3="Pay 2 Regular State Payment Budget"),0,INDEX(Data[],MATCH($A277,Data[Dist],0),MATCH(G$4,Data[#Headers],0)))</f>
        <v>0</v>
      </c>
      <c r="H277" s="21">
        <f>INDEX(Data[],MATCH($A277,Data[Dist],0),MATCH(H$4,Data[#Headers],0))</f>
        <v>3155009</v>
      </c>
    </row>
    <row r="278" spans="1:8" s="20" customFormat="1" ht="12.75" x14ac:dyDescent="0.2">
      <c r="A278" s="19" t="str">
        <f>Data!B274</f>
        <v>6165</v>
      </c>
      <c r="B278" s="20" t="str">
        <f>INDEX(Data[],MATCH($A278,Data[Dist],0),MATCH(B$4,Data[#Headers],0))</f>
        <v>Stanton</v>
      </c>
      <c r="C278" s="21">
        <f>INDEX(Data[],MATCH($A278,Data[Dist],0),MATCH(C$4,Data[#Headers],0))</f>
        <v>1509361</v>
      </c>
      <c r="D278" s="21">
        <f>INDEX(Data[],MATCH($A278,Data[Dist],0),MATCH(D$4,Data[#Headers],0))</f>
        <v>315</v>
      </c>
      <c r="E278" s="21">
        <f>INDEX(Data[],MATCH($A278,Data[Dist],0),MATCH(E$4,Data[#Headers],0))</f>
        <v>0</v>
      </c>
      <c r="F278" s="21">
        <f>IF(Notes!$B$3="Pay 1 Regular State Payment Budget",0,INDEX(Data[],MATCH($A278,Data[Dist],0),MATCH(F$4,Data[#Headers],0)))</f>
        <v>4215</v>
      </c>
      <c r="G278" s="21">
        <f>IF(OR(Notes!$B$3="Pay 1 Regular State Payment Budget",Notes!$B$3="Pay 2 Regular State Payment Budget"),0,INDEX(Data[],MATCH($A278,Data[Dist],0),MATCH(G$4,Data[#Headers],0)))</f>
        <v>0</v>
      </c>
      <c r="H278" s="21">
        <f>INDEX(Data[],MATCH($A278,Data[Dist],0),MATCH(H$4,Data[#Headers],0))</f>
        <v>1504831</v>
      </c>
    </row>
    <row r="279" spans="1:8" s="20" customFormat="1" ht="12.75" x14ac:dyDescent="0.2">
      <c r="A279" s="19" t="str">
        <f>Data!B275</f>
        <v>6175</v>
      </c>
      <c r="B279" s="20" t="str">
        <f>INDEX(Data[],MATCH($A279,Data[Dist],0),MATCH(B$4,Data[#Headers],0))</f>
        <v>Starmont</v>
      </c>
      <c r="C279" s="21">
        <f>INDEX(Data[],MATCH($A279,Data[Dist],0),MATCH(C$4,Data[#Headers],0))</f>
        <v>4269990</v>
      </c>
      <c r="D279" s="21">
        <f>INDEX(Data[],MATCH($A279,Data[Dist],0),MATCH(D$4,Data[#Headers],0))</f>
        <v>531</v>
      </c>
      <c r="E279" s="21">
        <f>INDEX(Data[],MATCH($A279,Data[Dist],0),MATCH(E$4,Data[#Headers],0))</f>
        <v>6173</v>
      </c>
      <c r="F279" s="21">
        <f>IF(Notes!$B$3="Pay 1 Regular State Payment Budget",0,INDEX(Data[],MATCH($A279,Data[Dist],0),MATCH(F$4,Data[#Headers],0)))</f>
        <v>12950</v>
      </c>
      <c r="G279" s="21">
        <f>IF(OR(Notes!$B$3="Pay 1 Regular State Payment Budget",Notes!$B$3="Pay 2 Regular State Payment Budget"),0,INDEX(Data[],MATCH($A279,Data[Dist],0),MATCH(G$4,Data[#Headers],0)))</f>
        <v>0</v>
      </c>
      <c r="H279" s="21">
        <f>INDEX(Data[],MATCH($A279,Data[Dist],0),MATCH(H$4,Data[#Headers],0))</f>
        <v>4250336</v>
      </c>
    </row>
    <row r="280" spans="1:8" s="20" customFormat="1" ht="12.75" x14ac:dyDescent="0.2">
      <c r="A280" s="19" t="str">
        <f>Data!B276</f>
        <v>6219</v>
      </c>
      <c r="B280" s="20" t="str">
        <f>INDEX(Data[],MATCH($A280,Data[Dist],0),MATCH(B$4,Data[#Headers],0))</f>
        <v>Storm Lake</v>
      </c>
      <c r="C280" s="21">
        <f>INDEX(Data[],MATCH($A280,Data[Dist],0),MATCH(C$4,Data[#Headers],0))</f>
        <v>24081592</v>
      </c>
      <c r="D280" s="21">
        <f>INDEX(Data[],MATCH($A280,Data[Dist],0),MATCH(D$4,Data[#Headers],0))</f>
        <v>2620</v>
      </c>
      <c r="E280" s="21">
        <f>INDEX(Data[],MATCH($A280,Data[Dist],0),MATCH(E$4,Data[#Headers],0))</f>
        <v>5893</v>
      </c>
      <c r="F280" s="21">
        <f>IF(Notes!$B$3="Pay 1 Regular State Payment Budget",0,INDEX(Data[],MATCH($A280,Data[Dist],0),MATCH(F$4,Data[#Headers],0)))</f>
        <v>58164</v>
      </c>
      <c r="G280" s="21">
        <f>IF(OR(Notes!$B$3="Pay 1 Regular State Payment Budget",Notes!$B$3="Pay 2 Regular State Payment Budget"),0,INDEX(Data[],MATCH($A280,Data[Dist],0),MATCH(G$4,Data[#Headers],0)))</f>
        <v>0</v>
      </c>
      <c r="H280" s="21">
        <f>INDEX(Data[],MATCH($A280,Data[Dist],0),MATCH(H$4,Data[#Headers],0))</f>
        <v>24014915</v>
      </c>
    </row>
    <row r="281" spans="1:8" s="20" customFormat="1" ht="12.75" x14ac:dyDescent="0.2">
      <c r="A281" s="19" t="str">
        <f>Data!B277</f>
        <v>6246</v>
      </c>
      <c r="B281" s="20" t="str">
        <f>INDEX(Data[],MATCH($A281,Data[Dist],0),MATCH(B$4,Data[#Headers],0))</f>
        <v>Stratford</v>
      </c>
      <c r="C281" s="21">
        <f>INDEX(Data[],MATCH($A281,Data[Dist],0),MATCH(C$4,Data[#Headers],0))</f>
        <v>1117135</v>
      </c>
      <c r="D281" s="21">
        <f>INDEX(Data[],MATCH($A281,Data[Dist],0),MATCH(D$4,Data[#Headers],0))</f>
        <v>199</v>
      </c>
      <c r="E281" s="21">
        <f>INDEX(Data[],MATCH($A281,Data[Dist],0),MATCH(E$4,Data[#Headers],0))</f>
        <v>0</v>
      </c>
      <c r="F281" s="21">
        <f>IF(Notes!$B$3="Pay 1 Regular State Payment Budget",0,INDEX(Data[],MATCH($A281,Data[Dist],0),MATCH(F$4,Data[#Headers],0)))</f>
        <v>3287</v>
      </c>
      <c r="G281" s="21">
        <f>IF(OR(Notes!$B$3="Pay 1 Regular State Payment Budget",Notes!$B$3="Pay 2 Regular State Payment Budget"),0,INDEX(Data[],MATCH($A281,Data[Dist],0),MATCH(G$4,Data[#Headers],0)))</f>
        <v>0</v>
      </c>
      <c r="H281" s="21">
        <f>INDEX(Data[],MATCH($A281,Data[Dist],0),MATCH(H$4,Data[#Headers],0))</f>
        <v>1113649</v>
      </c>
    </row>
    <row r="282" spans="1:8" s="20" customFormat="1" ht="12.75" x14ac:dyDescent="0.2">
      <c r="A282" s="19" t="str">
        <f>Data!B278</f>
        <v>6264</v>
      </c>
      <c r="B282" s="20" t="str">
        <f>INDEX(Data[],MATCH($A282,Data[Dist],0),MATCH(B$4,Data[#Headers],0))</f>
        <v>West Central Valley</v>
      </c>
      <c r="C282" s="21">
        <f>INDEX(Data[],MATCH($A282,Data[Dist],0),MATCH(C$4,Data[#Headers],0))</f>
        <v>5646351</v>
      </c>
      <c r="D282" s="21">
        <f>INDEX(Data[],MATCH($A282,Data[Dist],0),MATCH(D$4,Data[#Headers],0))</f>
        <v>846</v>
      </c>
      <c r="E282" s="21">
        <f>INDEX(Data[],MATCH($A282,Data[Dist],0),MATCH(E$4,Data[#Headers],0))</f>
        <v>0</v>
      </c>
      <c r="F282" s="21">
        <f>IF(Notes!$B$3="Pay 1 Regular State Payment Budget",0,INDEX(Data[],MATCH($A282,Data[Dist],0),MATCH(F$4,Data[#Headers],0)))</f>
        <v>21192</v>
      </c>
      <c r="G282" s="21">
        <f>IF(OR(Notes!$B$3="Pay 1 Regular State Payment Budget",Notes!$B$3="Pay 2 Regular State Payment Budget"),0,INDEX(Data[],MATCH($A282,Data[Dist],0),MATCH(G$4,Data[#Headers],0)))</f>
        <v>0</v>
      </c>
      <c r="H282" s="21">
        <f>INDEX(Data[],MATCH($A282,Data[Dist],0),MATCH(H$4,Data[#Headers],0))</f>
        <v>5624313</v>
      </c>
    </row>
    <row r="283" spans="1:8" s="20" customFormat="1" ht="12.75" x14ac:dyDescent="0.2">
      <c r="A283" s="19" t="str">
        <f>Data!B279</f>
        <v>6273</v>
      </c>
      <c r="B283" s="20" t="str">
        <f>INDEX(Data[],MATCH($A283,Data[Dist],0),MATCH(B$4,Data[#Headers],0))</f>
        <v>Sumner-Fredericksburg</v>
      </c>
      <c r="C283" s="21">
        <f>INDEX(Data[],MATCH($A283,Data[Dist],0),MATCH(C$4,Data[#Headers],0))</f>
        <v>5693374</v>
      </c>
      <c r="D283" s="21">
        <f>INDEX(Data[],MATCH($A283,Data[Dist],0),MATCH(D$4,Data[#Headers],0))</f>
        <v>647</v>
      </c>
      <c r="E283" s="21">
        <f>INDEX(Data[],MATCH($A283,Data[Dist],0),MATCH(E$4,Data[#Headers],0))</f>
        <v>0</v>
      </c>
      <c r="F283" s="21">
        <f>IF(Notes!$B$3="Pay 1 Regular State Payment Budget",0,INDEX(Data[],MATCH($A283,Data[Dist],0),MATCH(F$4,Data[#Headers],0)))</f>
        <v>17509</v>
      </c>
      <c r="G283" s="21">
        <f>IF(OR(Notes!$B$3="Pay 1 Regular State Payment Budget",Notes!$B$3="Pay 2 Regular State Payment Budget"),0,INDEX(Data[],MATCH($A283,Data[Dist],0),MATCH(G$4,Data[#Headers],0)))</f>
        <v>0</v>
      </c>
      <c r="H283" s="21">
        <f>INDEX(Data[],MATCH($A283,Data[Dist],0),MATCH(H$4,Data[#Headers],0))</f>
        <v>5675218</v>
      </c>
    </row>
    <row r="284" spans="1:8" s="20" customFormat="1" ht="12.75" x14ac:dyDescent="0.2">
      <c r="A284" s="19" t="str">
        <f>Data!B280</f>
        <v>6408</v>
      </c>
      <c r="B284" s="20" t="str">
        <f>INDEX(Data[],MATCH($A284,Data[Dist],0),MATCH(B$4,Data[#Headers],0))</f>
        <v>Tipton</v>
      </c>
      <c r="C284" s="21">
        <f>INDEX(Data[],MATCH($A284,Data[Dist],0),MATCH(C$4,Data[#Headers],0))</f>
        <v>5986308</v>
      </c>
      <c r="D284" s="21">
        <f>INDEX(Data[],MATCH($A284,Data[Dist],0),MATCH(D$4,Data[#Headers],0))</f>
        <v>514</v>
      </c>
      <c r="E284" s="21">
        <f>INDEX(Data[],MATCH($A284,Data[Dist],0),MATCH(E$4,Data[#Headers],0))</f>
        <v>0</v>
      </c>
      <c r="F284" s="21">
        <f>IF(Notes!$B$3="Pay 1 Regular State Payment Budget",0,INDEX(Data[],MATCH($A284,Data[Dist],0),MATCH(F$4,Data[#Headers],0)))</f>
        <v>18241</v>
      </c>
      <c r="G284" s="21">
        <f>IF(OR(Notes!$B$3="Pay 1 Regular State Payment Budget",Notes!$B$3="Pay 2 Regular State Payment Budget"),0,INDEX(Data[],MATCH($A284,Data[Dist],0),MATCH(G$4,Data[#Headers],0)))</f>
        <v>0</v>
      </c>
      <c r="H284" s="21">
        <f>INDEX(Data[],MATCH($A284,Data[Dist],0),MATCH(H$4,Data[#Headers],0))</f>
        <v>5967553</v>
      </c>
    </row>
    <row r="285" spans="1:8" s="20" customFormat="1" ht="12.75" x14ac:dyDescent="0.2">
      <c r="A285" s="19" t="str">
        <f>Data!B281</f>
        <v>6453</v>
      </c>
      <c r="B285" s="20" t="str">
        <f>INDEX(Data[],MATCH($A285,Data[Dist],0),MATCH(B$4,Data[#Headers],0))</f>
        <v>Treynor</v>
      </c>
      <c r="C285" s="21">
        <f>INDEX(Data[],MATCH($A285,Data[Dist],0),MATCH(C$4,Data[#Headers],0))</f>
        <v>3639082</v>
      </c>
      <c r="D285" s="21">
        <f>INDEX(Data[],MATCH($A285,Data[Dist],0),MATCH(D$4,Data[#Headers],0))</f>
        <v>0</v>
      </c>
      <c r="E285" s="21">
        <f>INDEX(Data[],MATCH($A285,Data[Dist],0),MATCH(E$4,Data[#Headers],0))</f>
        <v>0</v>
      </c>
      <c r="F285" s="21">
        <f>IF(Notes!$B$3="Pay 1 Regular State Payment Budget",0,INDEX(Data[],MATCH($A285,Data[Dist],0),MATCH(F$4,Data[#Headers],0)))</f>
        <v>12914</v>
      </c>
      <c r="G285" s="21">
        <f>IF(OR(Notes!$B$3="Pay 1 Regular State Payment Budget",Notes!$B$3="Pay 2 Regular State Payment Budget"),0,INDEX(Data[],MATCH($A285,Data[Dist],0),MATCH(G$4,Data[#Headers],0)))</f>
        <v>0</v>
      </c>
      <c r="H285" s="21">
        <f>INDEX(Data[],MATCH($A285,Data[Dist],0),MATCH(H$4,Data[#Headers],0))</f>
        <v>3626168</v>
      </c>
    </row>
    <row r="286" spans="1:8" s="20" customFormat="1" ht="12.75" x14ac:dyDescent="0.2">
      <c r="A286" s="19" t="str">
        <f>Data!B282</f>
        <v>6460</v>
      </c>
      <c r="B286" s="20" t="str">
        <f>INDEX(Data[],MATCH($A286,Data[Dist],0),MATCH(B$4,Data[#Headers],0))</f>
        <v>Tri-Center</v>
      </c>
      <c r="C286" s="21">
        <f>INDEX(Data[],MATCH($A286,Data[Dist],0),MATCH(C$4,Data[#Headers],0))</f>
        <v>4934202</v>
      </c>
      <c r="D286" s="21">
        <f>INDEX(Data[],MATCH($A286,Data[Dist],0),MATCH(D$4,Data[#Headers],0))</f>
        <v>713</v>
      </c>
      <c r="E286" s="21">
        <f>INDEX(Data[],MATCH($A286,Data[Dist],0),MATCH(E$4,Data[#Headers],0))</f>
        <v>0</v>
      </c>
      <c r="F286" s="21">
        <f>IF(Notes!$B$3="Pay 1 Regular State Payment Budget",0,INDEX(Data[],MATCH($A286,Data[Dist],0),MATCH(F$4,Data[#Headers],0)))</f>
        <v>14766</v>
      </c>
      <c r="G286" s="21">
        <f>IF(OR(Notes!$B$3="Pay 1 Regular State Payment Budget",Notes!$B$3="Pay 2 Regular State Payment Budget"),0,INDEX(Data[],MATCH($A286,Data[Dist],0),MATCH(G$4,Data[#Headers],0)))</f>
        <v>0</v>
      </c>
      <c r="H286" s="21">
        <f>INDEX(Data[],MATCH($A286,Data[Dist],0),MATCH(H$4,Data[#Headers],0))</f>
        <v>4918723</v>
      </c>
    </row>
    <row r="287" spans="1:8" s="20" customFormat="1" ht="12.75" x14ac:dyDescent="0.2">
      <c r="A287" s="19" t="str">
        <f>Data!B283</f>
        <v>6462</v>
      </c>
      <c r="B287" s="20" t="str">
        <f>INDEX(Data[],MATCH($A287,Data[Dist],0),MATCH(B$4,Data[#Headers],0))</f>
        <v>Tri-County</v>
      </c>
      <c r="C287" s="21">
        <f>INDEX(Data[],MATCH($A287,Data[Dist],0),MATCH(C$4,Data[#Headers],0))</f>
        <v>1901629</v>
      </c>
      <c r="D287" s="21">
        <f>INDEX(Data[],MATCH($A287,Data[Dist],0),MATCH(D$4,Data[#Headers],0))</f>
        <v>166</v>
      </c>
      <c r="E287" s="21">
        <f>INDEX(Data[],MATCH($A287,Data[Dist],0),MATCH(E$4,Data[#Headers],0))</f>
        <v>0</v>
      </c>
      <c r="F287" s="21">
        <f>IF(Notes!$B$3="Pay 1 Regular State Payment Budget",0,INDEX(Data[],MATCH($A287,Data[Dist],0),MATCH(F$4,Data[#Headers],0)))</f>
        <v>5785</v>
      </c>
      <c r="G287" s="21">
        <f>IF(OR(Notes!$B$3="Pay 1 Regular State Payment Budget",Notes!$B$3="Pay 2 Regular State Payment Budget"),0,INDEX(Data[],MATCH($A287,Data[Dist],0),MATCH(G$4,Data[#Headers],0)))</f>
        <v>0</v>
      </c>
      <c r="H287" s="21">
        <f>INDEX(Data[],MATCH($A287,Data[Dist],0),MATCH(H$4,Data[#Headers],0))</f>
        <v>1895678</v>
      </c>
    </row>
    <row r="288" spans="1:8" s="20" customFormat="1" ht="12.75" x14ac:dyDescent="0.2">
      <c r="A288" s="19" t="str">
        <f>Data!B284</f>
        <v>6471</v>
      </c>
      <c r="B288" s="20" t="str">
        <f>INDEX(Data[],MATCH($A288,Data[Dist],0),MATCH(B$4,Data[#Headers],0))</f>
        <v>Tripoli</v>
      </c>
      <c r="C288" s="21">
        <f>INDEX(Data[],MATCH($A288,Data[Dist],0),MATCH(C$4,Data[#Headers],0))</f>
        <v>3158617</v>
      </c>
      <c r="D288" s="21">
        <f>INDEX(Data[],MATCH($A288,Data[Dist],0),MATCH(D$4,Data[#Headers],0))</f>
        <v>0</v>
      </c>
      <c r="E288" s="21">
        <f>INDEX(Data[],MATCH($A288,Data[Dist],0),MATCH(E$4,Data[#Headers],0))</f>
        <v>0</v>
      </c>
      <c r="F288" s="21">
        <f>IF(Notes!$B$3="Pay 1 Regular State Payment Budget",0,INDEX(Data[],MATCH($A288,Data[Dist],0),MATCH(F$4,Data[#Headers],0)))</f>
        <v>8589</v>
      </c>
      <c r="G288" s="21">
        <f>IF(OR(Notes!$B$3="Pay 1 Regular State Payment Budget",Notes!$B$3="Pay 2 Regular State Payment Budget"),0,INDEX(Data[],MATCH($A288,Data[Dist],0),MATCH(G$4,Data[#Headers],0)))</f>
        <v>0</v>
      </c>
      <c r="H288" s="21">
        <f>INDEX(Data[],MATCH($A288,Data[Dist],0),MATCH(H$4,Data[#Headers],0))</f>
        <v>3150028</v>
      </c>
    </row>
    <row r="289" spans="1:8" s="20" customFormat="1" ht="12.75" x14ac:dyDescent="0.2">
      <c r="A289" s="19" t="str">
        <f>Data!B285</f>
        <v>6509</v>
      </c>
      <c r="B289" s="20" t="str">
        <f>INDEX(Data[],MATCH($A289,Data[Dist],0),MATCH(B$4,Data[#Headers],0))</f>
        <v>Turkey Valley</v>
      </c>
      <c r="C289" s="21">
        <f>INDEX(Data[],MATCH($A289,Data[Dist],0),MATCH(C$4,Data[#Headers],0))</f>
        <v>2486095</v>
      </c>
      <c r="D289" s="21">
        <f>INDEX(Data[],MATCH($A289,Data[Dist],0),MATCH(D$4,Data[#Headers],0))</f>
        <v>597</v>
      </c>
      <c r="E289" s="21">
        <f>INDEX(Data[],MATCH($A289,Data[Dist],0),MATCH(E$4,Data[#Headers],0))</f>
        <v>0</v>
      </c>
      <c r="F289" s="21">
        <f>IF(Notes!$B$3="Pay 1 Regular State Payment Budget",0,INDEX(Data[],MATCH($A289,Data[Dist],0),MATCH(F$4,Data[#Headers],0)))</f>
        <v>8026</v>
      </c>
      <c r="G289" s="21">
        <f>IF(OR(Notes!$B$3="Pay 1 Regular State Payment Budget",Notes!$B$3="Pay 2 Regular State Payment Budget"),0,INDEX(Data[],MATCH($A289,Data[Dist],0),MATCH(G$4,Data[#Headers],0)))</f>
        <v>0</v>
      </c>
      <c r="H289" s="21">
        <f>INDEX(Data[],MATCH($A289,Data[Dist],0),MATCH(H$4,Data[#Headers],0))</f>
        <v>2477472</v>
      </c>
    </row>
    <row r="290" spans="1:8" s="20" customFormat="1" ht="12.75" x14ac:dyDescent="0.2">
      <c r="A290" s="19" t="str">
        <f>Data!B286</f>
        <v>6512</v>
      </c>
      <c r="B290" s="20" t="str">
        <f>INDEX(Data[],MATCH($A290,Data[Dist],0),MATCH(B$4,Data[#Headers],0))</f>
        <v>Twin Cedars</v>
      </c>
      <c r="C290" s="21">
        <f>INDEX(Data[],MATCH($A290,Data[Dist],0),MATCH(C$4,Data[#Headers],0))</f>
        <v>2713846</v>
      </c>
      <c r="D290" s="21">
        <f>INDEX(Data[],MATCH($A290,Data[Dist],0),MATCH(D$4,Data[#Headers],0))</f>
        <v>299</v>
      </c>
      <c r="E290" s="21">
        <f>INDEX(Data[],MATCH($A290,Data[Dist],0),MATCH(E$4,Data[#Headers],0))</f>
        <v>0</v>
      </c>
      <c r="F290" s="21">
        <f>IF(Notes!$B$3="Pay 1 Regular State Payment Budget",0,INDEX(Data[],MATCH($A290,Data[Dist],0),MATCH(F$4,Data[#Headers],0)))</f>
        <v>7078</v>
      </c>
      <c r="G290" s="21">
        <f>IF(OR(Notes!$B$3="Pay 1 Regular State Payment Budget",Notes!$B$3="Pay 2 Regular State Payment Budget"),0,INDEX(Data[],MATCH($A290,Data[Dist],0),MATCH(G$4,Data[#Headers],0)))</f>
        <v>0</v>
      </c>
      <c r="H290" s="21">
        <f>INDEX(Data[],MATCH($A290,Data[Dist],0),MATCH(H$4,Data[#Headers],0))</f>
        <v>2706469</v>
      </c>
    </row>
    <row r="291" spans="1:8" s="20" customFormat="1" ht="12.75" x14ac:dyDescent="0.2">
      <c r="A291" s="19" t="str">
        <f>Data!B287</f>
        <v>6516</v>
      </c>
      <c r="B291" s="20" t="str">
        <f>INDEX(Data[],MATCH($A291,Data[Dist],0),MATCH(B$4,Data[#Headers],0))</f>
        <v>Twin Rivers</v>
      </c>
      <c r="C291" s="21">
        <f>INDEX(Data[],MATCH($A291,Data[Dist],0),MATCH(C$4,Data[#Headers],0))</f>
        <v>783817</v>
      </c>
      <c r="D291" s="21">
        <f>INDEX(Data[],MATCH($A291,Data[Dist],0),MATCH(D$4,Data[#Headers],0))</f>
        <v>133</v>
      </c>
      <c r="E291" s="21">
        <f>INDEX(Data[],MATCH($A291,Data[Dist],0),MATCH(E$4,Data[#Headers],0))</f>
        <v>0</v>
      </c>
      <c r="F291" s="21">
        <f>IF(Notes!$B$3="Pay 1 Regular State Payment Budget",0,INDEX(Data[],MATCH($A291,Data[Dist],0),MATCH(F$4,Data[#Headers],0)))</f>
        <v>3514</v>
      </c>
      <c r="G291" s="21">
        <f>IF(OR(Notes!$B$3="Pay 1 Regular State Payment Budget",Notes!$B$3="Pay 2 Regular State Payment Budget"),0,INDEX(Data[],MATCH($A291,Data[Dist],0),MATCH(G$4,Data[#Headers],0)))</f>
        <v>0</v>
      </c>
      <c r="H291" s="21">
        <f>INDEX(Data[],MATCH($A291,Data[Dist],0),MATCH(H$4,Data[#Headers],0))</f>
        <v>780170</v>
      </c>
    </row>
    <row r="292" spans="1:8" s="20" customFormat="1" ht="12.75" x14ac:dyDescent="0.2">
      <c r="A292" s="19" t="str">
        <f>Data!B288</f>
        <v>6534</v>
      </c>
      <c r="B292" s="20" t="str">
        <f>INDEX(Data[],MATCH($A292,Data[Dist],0),MATCH(B$4,Data[#Headers],0))</f>
        <v>Underwood</v>
      </c>
      <c r="C292" s="21">
        <f>INDEX(Data[],MATCH($A292,Data[Dist],0),MATCH(C$4,Data[#Headers],0))</f>
        <v>5330810</v>
      </c>
      <c r="D292" s="21">
        <f>INDEX(Data[],MATCH($A292,Data[Dist],0),MATCH(D$4,Data[#Headers],0))</f>
        <v>763</v>
      </c>
      <c r="E292" s="21">
        <f>INDEX(Data[],MATCH($A292,Data[Dist],0),MATCH(E$4,Data[#Headers],0))</f>
        <v>0</v>
      </c>
      <c r="F292" s="21">
        <f>IF(Notes!$B$3="Pay 1 Regular State Payment Budget",0,INDEX(Data[],MATCH($A292,Data[Dist],0),MATCH(F$4,Data[#Headers],0)))</f>
        <v>16541</v>
      </c>
      <c r="G292" s="21">
        <f>IF(OR(Notes!$B$3="Pay 1 Regular State Payment Budget",Notes!$B$3="Pay 2 Regular State Payment Budget"),0,INDEX(Data[],MATCH($A292,Data[Dist],0),MATCH(G$4,Data[#Headers],0)))</f>
        <v>0</v>
      </c>
      <c r="H292" s="21">
        <f>INDEX(Data[],MATCH($A292,Data[Dist],0),MATCH(H$4,Data[#Headers],0))</f>
        <v>5313506</v>
      </c>
    </row>
    <row r="293" spans="1:8" s="20" customFormat="1" ht="12.75" x14ac:dyDescent="0.2">
      <c r="A293" s="19" t="str">
        <f>Data!B289</f>
        <v>6561</v>
      </c>
      <c r="B293" s="20" t="str">
        <f>INDEX(Data[],MATCH($A293,Data[Dist],0),MATCH(B$4,Data[#Headers],0))</f>
        <v>United</v>
      </c>
      <c r="C293" s="21">
        <f>INDEX(Data[],MATCH($A293,Data[Dist],0),MATCH(C$4,Data[#Headers],0))</f>
        <v>1635673</v>
      </c>
      <c r="D293" s="21">
        <f>INDEX(Data[],MATCH($A293,Data[Dist],0),MATCH(D$4,Data[#Headers],0))</f>
        <v>813</v>
      </c>
      <c r="E293" s="21">
        <f>INDEX(Data[],MATCH($A293,Data[Dist],0),MATCH(E$4,Data[#Headers],0))</f>
        <v>0</v>
      </c>
      <c r="F293" s="21">
        <f>IF(Notes!$B$3="Pay 1 Regular State Payment Budget",0,INDEX(Data[],MATCH($A293,Data[Dist],0),MATCH(F$4,Data[#Headers],0)))</f>
        <v>8188</v>
      </c>
      <c r="G293" s="21">
        <f>IF(OR(Notes!$B$3="Pay 1 Regular State Payment Budget",Notes!$B$3="Pay 2 Regular State Payment Budget"),0,INDEX(Data[],MATCH($A293,Data[Dist],0),MATCH(G$4,Data[#Headers],0)))</f>
        <v>0</v>
      </c>
      <c r="H293" s="21">
        <f>INDEX(Data[],MATCH($A293,Data[Dist],0),MATCH(H$4,Data[#Headers],0))</f>
        <v>1626672</v>
      </c>
    </row>
    <row r="294" spans="1:8" s="20" customFormat="1" ht="12.75" x14ac:dyDescent="0.2">
      <c r="A294" s="19" t="str">
        <f>Data!B290</f>
        <v>6579</v>
      </c>
      <c r="B294" s="20" t="str">
        <f>INDEX(Data[],MATCH($A294,Data[Dist],0),MATCH(B$4,Data[#Headers],0))</f>
        <v>Urbandale</v>
      </c>
      <c r="C294" s="21">
        <f>INDEX(Data[],MATCH($A294,Data[Dist],0),MATCH(C$4,Data[#Headers],0))</f>
        <v>24940960</v>
      </c>
      <c r="D294" s="21">
        <f>INDEX(Data[],MATCH($A294,Data[Dist],0),MATCH(D$4,Data[#Headers],0))</f>
        <v>3549</v>
      </c>
      <c r="E294" s="21">
        <f>INDEX(Data[],MATCH($A294,Data[Dist],0),MATCH(E$4,Data[#Headers],0))</f>
        <v>19707</v>
      </c>
      <c r="F294" s="21">
        <f>IF(Notes!$B$3="Pay 1 Regular State Payment Budget",0,INDEX(Data[],MATCH($A294,Data[Dist],0),MATCH(F$4,Data[#Headers],0)))</f>
        <v>77523</v>
      </c>
      <c r="G294" s="21">
        <f>IF(OR(Notes!$B$3="Pay 1 Regular State Payment Budget",Notes!$B$3="Pay 2 Regular State Payment Budget"),0,INDEX(Data[],MATCH($A294,Data[Dist],0),MATCH(G$4,Data[#Headers],0)))</f>
        <v>0</v>
      </c>
      <c r="H294" s="21">
        <f>INDEX(Data[],MATCH($A294,Data[Dist],0),MATCH(H$4,Data[#Headers],0))</f>
        <v>24840181</v>
      </c>
    </row>
    <row r="295" spans="1:8" s="20" customFormat="1" ht="12.75" x14ac:dyDescent="0.2">
      <c r="A295" s="19" t="str">
        <f>Data!B291</f>
        <v>6592</v>
      </c>
      <c r="B295" s="20" t="str">
        <f>INDEX(Data[],MATCH($A295,Data[Dist],0),MATCH(B$4,Data[#Headers],0))</f>
        <v>Van Buren County</v>
      </c>
      <c r="C295" s="21">
        <f>INDEX(Data[],MATCH($A295,Data[Dist],0),MATCH(C$4,Data[#Headers],0))</f>
        <v>6555077</v>
      </c>
      <c r="D295" s="21">
        <f>INDEX(Data[],MATCH($A295,Data[Dist],0),MATCH(D$4,Data[#Headers],0))</f>
        <v>879</v>
      </c>
      <c r="E295" s="21">
        <f>INDEX(Data[],MATCH($A295,Data[Dist],0),MATCH(E$4,Data[#Headers],0))</f>
        <v>31989</v>
      </c>
      <c r="F295" s="21">
        <f>IF(Notes!$B$3="Pay 1 Regular State Payment Budget",0,INDEX(Data[],MATCH($A295,Data[Dist],0),MATCH(F$4,Data[#Headers],0)))</f>
        <v>21618</v>
      </c>
      <c r="G295" s="21">
        <f>IF(OR(Notes!$B$3="Pay 1 Regular State Payment Budget",Notes!$B$3="Pay 2 Regular State Payment Budget"),0,INDEX(Data[],MATCH($A295,Data[Dist],0),MATCH(G$4,Data[#Headers],0)))</f>
        <v>0</v>
      </c>
      <c r="H295" s="21">
        <f>INDEX(Data[],MATCH($A295,Data[Dist],0),MATCH(H$4,Data[#Headers],0))</f>
        <v>6500591</v>
      </c>
    </row>
    <row r="296" spans="1:8" s="20" customFormat="1" ht="12.75" x14ac:dyDescent="0.2">
      <c r="A296" s="19" t="str">
        <f>Data!B292</f>
        <v>6615</v>
      </c>
      <c r="B296" s="20" t="str">
        <f>INDEX(Data[],MATCH($A296,Data[Dist],0),MATCH(B$4,Data[#Headers],0))</f>
        <v>Van Meter</v>
      </c>
      <c r="C296" s="21">
        <f>INDEX(Data[],MATCH($A296,Data[Dist],0),MATCH(C$4,Data[#Headers],0))</f>
        <v>6755429</v>
      </c>
      <c r="D296" s="21">
        <f>INDEX(Data[],MATCH($A296,Data[Dist],0),MATCH(D$4,Data[#Headers],0))</f>
        <v>879</v>
      </c>
      <c r="E296" s="21">
        <f>INDEX(Data[],MATCH($A296,Data[Dist],0),MATCH(E$4,Data[#Headers],0))</f>
        <v>0</v>
      </c>
      <c r="F296" s="21">
        <f>IF(Notes!$B$3="Pay 1 Regular State Payment Budget",0,INDEX(Data[],MATCH($A296,Data[Dist],0),MATCH(F$4,Data[#Headers],0)))</f>
        <v>21082</v>
      </c>
      <c r="G296" s="21">
        <f>IF(OR(Notes!$B$3="Pay 1 Regular State Payment Budget",Notes!$B$3="Pay 2 Regular State Payment Budget"),0,INDEX(Data[],MATCH($A296,Data[Dist],0),MATCH(G$4,Data[#Headers],0)))</f>
        <v>0</v>
      </c>
      <c r="H296" s="21">
        <f>INDEX(Data[],MATCH($A296,Data[Dist],0),MATCH(H$4,Data[#Headers],0))</f>
        <v>6733468</v>
      </c>
    </row>
    <row r="297" spans="1:8" s="20" customFormat="1" ht="12.75" x14ac:dyDescent="0.2">
      <c r="A297" s="19" t="str">
        <f>Data!B293</f>
        <v>6651</v>
      </c>
      <c r="B297" s="20" t="str">
        <f>INDEX(Data[],MATCH($A297,Data[Dist],0),MATCH(B$4,Data[#Headers],0))</f>
        <v>Villisca</v>
      </c>
      <c r="C297" s="21">
        <f>INDEX(Data[],MATCH($A297,Data[Dist],0),MATCH(C$4,Data[#Headers],0))</f>
        <v>1997208</v>
      </c>
      <c r="D297" s="21">
        <f>INDEX(Data[],MATCH($A297,Data[Dist],0),MATCH(D$4,Data[#Headers],0))</f>
        <v>199</v>
      </c>
      <c r="E297" s="21">
        <f>INDEX(Data[],MATCH($A297,Data[Dist],0),MATCH(E$4,Data[#Headers],0))</f>
        <v>0</v>
      </c>
      <c r="F297" s="21">
        <f>IF(Notes!$B$3="Pay 1 Regular State Payment Budget",0,INDEX(Data[],MATCH($A297,Data[Dist],0),MATCH(F$4,Data[#Headers],0)))</f>
        <v>6352</v>
      </c>
      <c r="G297" s="21">
        <f>IF(OR(Notes!$B$3="Pay 1 Regular State Payment Budget",Notes!$B$3="Pay 2 Regular State Payment Budget"),0,INDEX(Data[],MATCH($A297,Data[Dist],0),MATCH(G$4,Data[#Headers],0)))</f>
        <v>0</v>
      </c>
      <c r="H297" s="21">
        <f>INDEX(Data[],MATCH($A297,Data[Dist],0),MATCH(H$4,Data[#Headers],0))</f>
        <v>1990657</v>
      </c>
    </row>
    <row r="298" spans="1:8" s="20" customFormat="1" ht="12.75" x14ac:dyDescent="0.2">
      <c r="A298" s="19" t="str">
        <f>Data!B294</f>
        <v>6660</v>
      </c>
      <c r="B298" s="20" t="str">
        <f>INDEX(Data[],MATCH($A298,Data[Dist],0),MATCH(B$4,Data[#Headers],0))</f>
        <v>Vinton-Shellsburg</v>
      </c>
      <c r="C298" s="21">
        <f>INDEX(Data[],MATCH($A298,Data[Dist],0),MATCH(C$4,Data[#Headers],0))</f>
        <v>12042549</v>
      </c>
      <c r="D298" s="21">
        <f>INDEX(Data[],MATCH($A298,Data[Dist],0),MATCH(D$4,Data[#Headers],0))</f>
        <v>1360</v>
      </c>
      <c r="E298" s="21">
        <f>INDEX(Data[],MATCH($A298,Data[Dist],0),MATCH(E$4,Data[#Headers],0))</f>
        <v>12239</v>
      </c>
      <c r="F298" s="21">
        <f>IF(Notes!$B$3="Pay 1 Regular State Payment Budget",0,INDEX(Data[],MATCH($A298,Data[Dist],0),MATCH(F$4,Data[#Headers],0)))</f>
        <v>36321</v>
      </c>
      <c r="G298" s="21">
        <f>IF(OR(Notes!$B$3="Pay 1 Regular State Payment Budget",Notes!$B$3="Pay 2 Regular State Payment Budget"),0,INDEX(Data[],MATCH($A298,Data[Dist],0),MATCH(G$4,Data[#Headers],0)))</f>
        <v>0</v>
      </c>
      <c r="H298" s="21">
        <f>INDEX(Data[],MATCH($A298,Data[Dist],0),MATCH(H$4,Data[#Headers],0))</f>
        <v>11992629</v>
      </c>
    </row>
    <row r="299" spans="1:8" s="20" customFormat="1" ht="12.75" x14ac:dyDescent="0.2">
      <c r="A299" s="19" t="str">
        <f>Data!B295</f>
        <v>6700</v>
      </c>
      <c r="B299" s="20" t="str">
        <f>INDEX(Data[],MATCH($A299,Data[Dist],0),MATCH(B$4,Data[#Headers],0))</f>
        <v>Waco</v>
      </c>
      <c r="C299" s="21">
        <f>INDEX(Data[],MATCH($A299,Data[Dist],0),MATCH(C$4,Data[#Headers],0))</f>
        <v>3942469</v>
      </c>
      <c r="D299" s="21">
        <f>INDEX(Data[],MATCH($A299,Data[Dist],0),MATCH(D$4,Data[#Headers],0))</f>
        <v>630</v>
      </c>
      <c r="E299" s="21">
        <f>INDEX(Data[],MATCH($A299,Data[Dist],0),MATCH(E$4,Data[#Headers],0))</f>
        <v>0</v>
      </c>
      <c r="F299" s="21">
        <f>IF(Notes!$B$3="Pay 1 Regular State Payment Budget",0,INDEX(Data[],MATCH($A299,Data[Dist],0),MATCH(F$4,Data[#Headers],0)))</f>
        <v>10353</v>
      </c>
      <c r="G299" s="21">
        <f>IF(OR(Notes!$B$3="Pay 1 Regular State Payment Budget",Notes!$B$3="Pay 2 Regular State Payment Budget"),0,INDEX(Data[],MATCH($A299,Data[Dist],0),MATCH(G$4,Data[#Headers],0)))</f>
        <v>0</v>
      </c>
      <c r="H299" s="21">
        <f>INDEX(Data[],MATCH($A299,Data[Dist],0),MATCH(H$4,Data[#Headers],0))</f>
        <v>3931486</v>
      </c>
    </row>
    <row r="300" spans="1:8" s="20" customFormat="1" ht="12.75" x14ac:dyDescent="0.2">
      <c r="A300" s="19" t="str">
        <f>Data!B296</f>
        <v>6741</v>
      </c>
      <c r="B300" s="20" t="str">
        <f>INDEX(Data[],MATCH($A300,Data[Dist],0),MATCH(B$4,Data[#Headers],0))</f>
        <v>East Sac County</v>
      </c>
      <c r="C300" s="21">
        <f>INDEX(Data[],MATCH($A300,Data[Dist],0),MATCH(C$4,Data[#Headers],0))</f>
        <v>5364330</v>
      </c>
      <c r="D300" s="21">
        <f>INDEX(Data[],MATCH($A300,Data[Dist],0),MATCH(D$4,Data[#Headers],0))</f>
        <v>879</v>
      </c>
      <c r="E300" s="21">
        <f>INDEX(Data[],MATCH($A300,Data[Dist],0),MATCH(E$4,Data[#Headers],0))</f>
        <v>0</v>
      </c>
      <c r="F300" s="21">
        <f>IF(Notes!$B$3="Pay 1 Regular State Payment Budget",0,INDEX(Data[],MATCH($A300,Data[Dist],0),MATCH(F$4,Data[#Headers],0)))</f>
        <v>19021</v>
      </c>
      <c r="G300" s="21">
        <f>IF(OR(Notes!$B$3="Pay 1 Regular State Payment Budget",Notes!$B$3="Pay 2 Regular State Payment Budget"),0,INDEX(Data[],MATCH($A300,Data[Dist],0),MATCH(G$4,Data[#Headers],0)))</f>
        <v>0</v>
      </c>
      <c r="H300" s="21">
        <f>INDEX(Data[],MATCH($A300,Data[Dist],0),MATCH(H$4,Data[#Headers],0))</f>
        <v>5344430</v>
      </c>
    </row>
    <row r="301" spans="1:8" s="20" customFormat="1" ht="12.75" x14ac:dyDescent="0.2">
      <c r="A301" s="19" t="str">
        <f>Data!B297</f>
        <v>6759</v>
      </c>
      <c r="B301" s="20" t="str">
        <f>INDEX(Data[],MATCH($A301,Data[Dist],0),MATCH(B$4,Data[#Headers],0))</f>
        <v>Wapello</v>
      </c>
      <c r="C301" s="21">
        <f>INDEX(Data[],MATCH($A301,Data[Dist],0),MATCH(C$4,Data[#Headers],0))</f>
        <v>3761061</v>
      </c>
      <c r="D301" s="21">
        <f>INDEX(Data[],MATCH($A301,Data[Dist],0),MATCH(D$4,Data[#Headers],0))</f>
        <v>481</v>
      </c>
      <c r="E301" s="21">
        <f>INDEX(Data[],MATCH($A301,Data[Dist],0),MATCH(E$4,Data[#Headers],0))</f>
        <v>0</v>
      </c>
      <c r="F301" s="21">
        <f>IF(Notes!$B$3="Pay 1 Regular State Payment Budget",0,INDEX(Data[],MATCH($A301,Data[Dist],0),MATCH(F$4,Data[#Headers],0)))</f>
        <v>11416</v>
      </c>
      <c r="G301" s="21">
        <f>IF(OR(Notes!$B$3="Pay 1 Regular State Payment Budget",Notes!$B$3="Pay 2 Regular State Payment Budget"),0,INDEX(Data[],MATCH($A301,Data[Dist],0),MATCH(G$4,Data[#Headers],0)))</f>
        <v>0</v>
      </c>
      <c r="H301" s="21">
        <f>INDEX(Data[],MATCH($A301,Data[Dist],0),MATCH(H$4,Data[#Headers],0))</f>
        <v>3749164</v>
      </c>
    </row>
    <row r="302" spans="1:8" s="20" customFormat="1" ht="12.75" x14ac:dyDescent="0.2">
      <c r="A302" s="19" t="str">
        <f>Data!B298</f>
        <v>6762</v>
      </c>
      <c r="B302" s="20" t="str">
        <f>INDEX(Data[],MATCH($A302,Data[Dist],0),MATCH(B$4,Data[#Headers],0))</f>
        <v>Wapsie Valley</v>
      </c>
      <c r="C302" s="21">
        <f>INDEX(Data[],MATCH($A302,Data[Dist],0),MATCH(C$4,Data[#Headers],0))</f>
        <v>4944157</v>
      </c>
      <c r="D302" s="21">
        <f>INDEX(Data[],MATCH($A302,Data[Dist],0),MATCH(D$4,Data[#Headers],0))</f>
        <v>464</v>
      </c>
      <c r="E302" s="21">
        <f>INDEX(Data[],MATCH($A302,Data[Dist],0),MATCH(E$4,Data[#Headers],0))</f>
        <v>0</v>
      </c>
      <c r="F302" s="21">
        <f>IF(Notes!$B$3="Pay 1 Regular State Payment Budget",0,INDEX(Data[],MATCH($A302,Data[Dist],0),MATCH(F$4,Data[#Headers],0)))</f>
        <v>14414</v>
      </c>
      <c r="G302" s="21">
        <f>IF(OR(Notes!$B$3="Pay 1 Regular State Payment Budget",Notes!$B$3="Pay 2 Regular State Payment Budget"),0,INDEX(Data[],MATCH($A302,Data[Dist],0),MATCH(G$4,Data[#Headers],0)))</f>
        <v>0</v>
      </c>
      <c r="H302" s="21">
        <f>INDEX(Data[],MATCH($A302,Data[Dist],0),MATCH(H$4,Data[#Headers],0))</f>
        <v>4929279</v>
      </c>
    </row>
    <row r="303" spans="1:8" s="20" customFormat="1" ht="12.75" x14ac:dyDescent="0.2">
      <c r="A303" s="19" t="str">
        <f>Data!B299</f>
        <v>6768</v>
      </c>
      <c r="B303" s="20" t="str">
        <f>INDEX(Data[],MATCH($A303,Data[Dist],0),MATCH(B$4,Data[#Headers],0))</f>
        <v>Washington</v>
      </c>
      <c r="C303" s="21">
        <f>INDEX(Data[],MATCH($A303,Data[Dist],0),MATCH(C$4,Data[#Headers],0))</f>
        <v>13602897</v>
      </c>
      <c r="D303" s="21">
        <f>INDEX(Data[],MATCH($A303,Data[Dist],0),MATCH(D$4,Data[#Headers],0))</f>
        <v>1111</v>
      </c>
      <c r="E303" s="21">
        <f>INDEX(Data[],MATCH($A303,Data[Dist],0),MATCH(E$4,Data[#Headers],0))</f>
        <v>7771</v>
      </c>
      <c r="F303" s="21">
        <f>IF(Notes!$B$3="Pay 1 Regular State Payment Budget",0,INDEX(Data[],MATCH($A303,Data[Dist],0),MATCH(F$4,Data[#Headers],0)))</f>
        <v>37123</v>
      </c>
      <c r="G303" s="21">
        <f>IF(OR(Notes!$B$3="Pay 1 Regular State Payment Budget",Notes!$B$3="Pay 2 Regular State Payment Budget"),0,INDEX(Data[],MATCH($A303,Data[Dist],0),MATCH(G$4,Data[#Headers],0)))</f>
        <v>0</v>
      </c>
      <c r="H303" s="21">
        <f>INDEX(Data[],MATCH($A303,Data[Dist],0),MATCH(H$4,Data[#Headers],0))</f>
        <v>13556892</v>
      </c>
    </row>
    <row r="304" spans="1:8" s="20" customFormat="1" ht="12.75" x14ac:dyDescent="0.2">
      <c r="A304" s="19" t="str">
        <f>Data!B300</f>
        <v>6795</v>
      </c>
      <c r="B304" s="20" t="str">
        <f>INDEX(Data[],MATCH($A304,Data[Dist],0),MATCH(B$4,Data[#Headers],0))</f>
        <v>Waterloo</v>
      </c>
      <c r="C304" s="21">
        <f>INDEX(Data[],MATCH($A304,Data[Dist],0),MATCH(C$4,Data[#Headers],0))</f>
        <v>98556254</v>
      </c>
      <c r="D304" s="21">
        <f>INDEX(Data[],MATCH($A304,Data[Dist],0),MATCH(D$4,Data[#Headers],0))</f>
        <v>7729</v>
      </c>
      <c r="E304" s="21">
        <f>INDEX(Data[],MATCH($A304,Data[Dist],0),MATCH(E$4,Data[#Headers],0))</f>
        <v>27953</v>
      </c>
      <c r="F304" s="21">
        <f>IF(Notes!$B$3="Pay 1 Regular State Payment Budget",0,INDEX(Data[],MATCH($A304,Data[Dist],0),MATCH(F$4,Data[#Headers],0)))</f>
        <v>241741</v>
      </c>
      <c r="G304" s="21">
        <f>IF(OR(Notes!$B$3="Pay 1 Regular State Payment Budget",Notes!$B$3="Pay 2 Regular State Payment Budget"),0,INDEX(Data[],MATCH($A304,Data[Dist],0),MATCH(G$4,Data[#Headers],0)))</f>
        <v>0</v>
      </c>
      <c r="H304" s="21">
        <f>INDEX(Data[],MATCH($A304,Data[Dist],0),MATCH(H$4,Data[#Headers],0))</f>
        <v>98278831</v>
      </c>
    </row>
    <row r="305" spans="1:8" s="20" customFormat="1" ht="12.75" x14ac:dyDescent="0.2">
      <c r="A305" s="19" t="str">
        <f>Data!B301</f>
        <v>6822</v>
      </c>
      <c r="B305" s="20" t="str">
        <f>INDEX(Data[],MATCH($A305,Data[Dist],0),MATCH(B$4,Data[#Headers],0))</f>
        <v>Waukee</v>
      </c>
      <c r="C305" s="21">
        <f>INDEX(Data[],MATCH($A305,Data[Dist],0),MATCH(C$4,Data[#Headers],0))</f>
        <v>92614395</v>
      </c>
      <c r="D305" s="21">
        <f>INDEX(Data[],MATCH($A305,Data[Dist],0),MATCH(D$4,Data[#Headers],0))</f>
        <v>3864</v>
      </c>
      <c r="E305" s="21">
        <f>INDEX(Data[],MATCH($A305,Data[Dist],0),MATCH(E$4,Data[#Headers],0))</f>
        <v>6972</v>
      </c>
      <c r="F305" s="21">
        <f>IF(Notes!$B$3="Pay 1 Regular State Payment Budget",0,INDEX(Data[],MATCH($A305,Data[Dist],0),MATCH(F$4,Data[#Headers],0)))</f>
        <v>308019</v>
      </c>
      <c r="G305" s="21">
        <f>IF(OR(Notes!$B$3="Pay 1 Regular State Payment Budget",Notes!$B$3="Pay 2 Regular State Payment Budget"),0,INDEX(Data[],MATCH($A305,Data[Dist],0),MATCH(G$4,Data[#Headers],0)))</f>
        <v>0</v>
      </c>
      <c r="H305" s="21">
        <f>INDEX(Data[],MATCH($A305,Data[Dist],0),MATCH(H$4,Data[#Headers],0))</f>
        <v>92295540</v>
      </c>
    </row>
    <row r="306" spans="1:8" s="20" customFormat="1" ht="12.75" x14ac:dyDescent="0.2">
      <c r="A306" s="19" t="str">
        <f>Data!B302</f>
        <v>6840</v>
      </c>
      <c r="B306" s="20" t="str">
        <f>INDEX(Data[],MATCH($A306,Data[Dist],0),MATCH(B$4,Data[#Headers],0))</f>
        <v>Waverly-Shell Rock</v>
      </c>
      <c r="C306" s="21">
        <f>INDEX(Data[],MATCH($A306,Data[Dist],0),MATCH(C$4,Data[#Headers],0))</f>
        <v>16504615</v>
      </c>
      <c r="D306" s="21">
        <f>INDEX(Data[],MATCH($A306,Data[Dist],0),MATCH(D$4,Data[#Headers],0))</f>
        <v>1642</v>
      </c>
      <c r="E306" s="21">
        <f>INDEX(Data[],MATCH($A306,Data[Dist],0),MATCH(E$4,Data[#Headers],0))</f>
        <v>0</v>
      </c>
      <c r="F306" s="21">
        <f>IF(Notes!$B$3="Pay 1 Regular State Payment Budget",0,INDEX(Data[],MATCH($A306,Data[Dist],0),MATCH(F$4,Data[#Headers],0)))</f>
        <v>49190</v>
      </c>
      <c r="G306" s="21">
        <f>IF(OR(Notes!$B$3="Pay 1 Regular State Payment Budget",Notes!$B$3="Pay 2 Regular State Payment Budget"),0,INDEX(Data[],MATCH($A306,Data[Dist],0),MATCH(G$4,Data[#Headers],0)))</f>
        <v>0</v>
      </c>
      <c r="H306" s="21">
        <f>INDEX(Data[],MATCH($A306,Data[Dist],0),MATCH(H$4,Data[#Headers],0))</f>
        <v>16453783</v>
      </c>
    </row>
    <row r="307" spans="1:8" s="20" customFormat="1" ht="12.75" x14ac:dyDescent="0.2">
      <c r="A307" s="19" t="str">
        <f>Data!B303</f>
        <v>6854</v>
      </c>
      <c r="B307" s="20" t="str">
        <f>INDEX(Data[],MATCH($A307,Data[Dist],0),MATCH(B$4,Data[#Headers],0))</f>
        <v>Wayne</v>
      </c>
      <c r="C307" s="21">
        <f>INDEX(Data[],MATCH($A307,Data[Dist],0),MATCH(C$4,Data[#Headers],0))</f>
        <v>4187090</v>
      </c>
      <c r="D307" s="21">
        <f>INDEX(Data[],MATCH($A307,Data[Dist],0),MATCH(D$4,Data[#Headers],0))</f>
        <v>547</v>
      </c>
      <c r="E307" s="21">
        <f>INDEX(Data[],MATCH($A307,Data[Dist],0),MATCH(E$4,Data[#Headers],0))</f>
        <v>0</v>
      </c>
      <c r="F307" s="21">
        <f>IF(Notes!$B$3="Pay 1 Regular State Payment Budget",0,INDEX(Data[],MATCH($A307,Data[Dist],0),MATCH(F$4,Data[#Headers],0)))</f>
        <v>12858</v>
      </c>
      <c r="G307" s="21">
        <f>IF(OR(Notes!$B$3="Pay 1 Regular State Payment Budget",Notes!$B$3="Pay 2 Regular State Payment Budget"),0,INDEX(Data[],MATCH($A307,Data[Dist],0),MATCH(G$4,Data[#Headers],0)))</f>
        <v>0</v>
      </c>
      <c r="H307" s="21">
        <f>INDEX(Data[],MATCH($A307,Data[Dist],0),MATCH(H$4,Data[#Headers],0))</f>
        <v>4173685</v>
      </c>
    </row>
    <row r="308" spans="1:8" s="20" customFormat="1" ht="12.75" x14ac:dyDescent="0.2">
      <c r="A308" s="19" t="str">
        <f>Data!B304</f>
        <v>6867</v>
      </c>
      <c r="B308" s="20" t="str">
        <f>INDEX(Data[],MATCH($A308,Data[Dist],0),MATCH(B$4,Data[#Headers],0))</f>
        <v>Webster City</v>
      </c>
      <c r="C308" s="21">
        <f>INDEX(Data[],MATCH($A308,Data[Dist],0),MATCH(C$4,Data[#Headers],0))</f>
        <v>12662750</v>
      </c>
      <c r="D308" s="21">
        <f>INDEX(Data[],MATCH($A308,Data[Dist],0),MATCH(D$4,Data[#Headers],0))</f>
        <v>1841</v>
      </c>
      <c r="E308" s="21">
        <f>INDEX(Data[],MATCH($A308,Data[Dist],0),MATCH(E$4,Data[#Headers],0))</f>
        <v>626</v>
      </c>
      <c r="F308" s="21">
        <f>IF(Notes!$B$3="Pay 1 Regular State Payment Budget",0,INDEX(Data[],MATCH($A308,Data[Dist],0),MATCH(F$4,Data[#Headers],0)))</f>
        <v>39571</v>
      </c>
      <c r="G308" s="21">
        <f>IF(OR(Notes!$B$3="Pay 1 Regular State Payment Budget",Notes!$B$3="Pay 2 Regular State Payment Budget"),0,INDEX(Data[],MATCH($A308,Data[Dist],0),MATCH(G$4,Data[#Headers],0)))</f>
        <v>0</v>
      </c>
      <c r="H308" s="21">
        <f>INDEX(Data[],MATCH($A308,Data[Dist],0),MATCH(H$4,Data[#Headers],0))</f>
        <v>12620712</v>
      </c>
    </row>
    <row r="309" spans="1:8" s="20" customFormat="1" ht="12.75" x14ac:dyDescent="0.2">
      <c r="A309" s="19" t="str">
        <f>Data!B305</f>
        <v>6921</v>
      </c>
      <c r="B309" s="20" t="str">
        <f>INDEX(Data[],MATCH($A309,Data[Dist],0),MATCH(B$4,Data[#Headers],0))</f>
        <v>West Bend-Mallard</v>
      </c>
      <c r="C309" s="21">
        <f>INDEX(Data[],MATCH($A309,Data[Dist],0),MATCH(C$4,Data[#Headers],0))</f>
        <v>2152028</v>
      </c>
      <c r="D309" s="21">
        <f>INDEX(Data[],MATCH($A309,Data[Dist],0),MATCH(D$4,Data[#Headers],0))</f>
        <v>381</v>
      </c>
      <c r="E309" s="21">
        <f>INDEX(Data[],MATCH($A309,Data[Dist],0),MATCH(E$4,Data[#Headers],0))</f>
        <v>0</v>
      </c>
      <c r="F309" s="21">
        <f>IF(Notes!$B$3="Pay 1 Regular State Payment Budget",0,INDEX(Data[],MATCH($A309,Data[Dist],0),MATCH(F$4,Data[#Headers],0)))</f>
        <v>7661</v>
      </c>
      <c r="G309" s="21">
        <f>IF(OR(Notes!$B$3="Pay 1 Regular State Payment Budget",Notes!$B$3="Pay 2 Regular State Payment Budget"),0,INDEX(Data[],MATCH($A309,Data[Dist],0),MATCH(G$4,Data[#Headers],0)))</f>
        <v>0</v>
      </c>
      <c r="H309" s="21">
        <f>INDEX(Data[],MATCH($A309,Data[Dist],0),MATCH(H$4,Data[#Headers],0))</f>
        <v>2143986</v>
      </c>
    </row>
    <row r="310" spans="1:8" s="20" customFormat="1" ht="12.75" x14ac:dyDescent="0.2">
      <c r="A310" s="19" t="str">
        <f>Data!B306</f>
        <v>6930</v>
      </c>
      <c r="B310" s="20" t="str">
        <f>INDEX(Data[],MATCH($A310,Data[Dist],0),MATCH(B$4,Data[#Headers],0))</f>
        <v>West Branch</v>
      </c>
      <c r="C310" s="21">
        <f>INDEX(Data[],MATCH($A310,Data[Dist],0),MATCH(C$4,Data[#Headers],0))</f>
        <v>5058045</v>
      </c>
      <c r="D310" s="21">
        <f>INDEX(Data[],MATCH($A310,Data[Dist],0),MATCH(D$4,Data[#Headers],0))</f>
        <v>713</v>
      </c>
      <c r="E310" s="21">
        <f>INDEX(Data[],MATCH($A310,Data[Dist],0),MATCH(E$4,Data[#Headers],0))</f>
        <v>0</v>
      </c>
      <c r="F310" s="21">
        <f>IF(Notes!$B$3="Pay 1 Regular State Payment Budget",0,INDEX(Data[],MATCH($A310,Data[Dist],0),MATCH(F$4,Data[#Headers],0)))</f>
        <v>17559</v>
      </c>
      <c r="G310" s="21">
        <f>IF(OR(Notes!$B$3="Pay 1 Regular State Payment Budget",Notes!$B$3="Pay 2 Regular State Payment Budget"),0,INDEX(Data[],MATCH($A310,Data[Dist],0),MATCH(G$4,Data[#Headers],0)))</f>
        <v>0</v>
      </c>
      <c r="H310" s="21">
        <f>INDEX(Data[],MATCH($A310,Data[Dist],0),MATCH(H$4,Data[#Headers],0))</f>
        <v>5039773</v>
      </c>
    </row>
    <row r="311" spans="1:8" s="20" customFormat="1" ht="12.75" x14ac:dyDescent="0.2">
      <c r="A311" s="19" t="str">
        <f>Data!B307</f>
        <v>6937</v>
      </c>
      <c r="B311" s="20" t="str">
        <f>INDEX(Data[],MATCH($A311,Data[Dist],0),MATCH(B$4,Data[#Headers],0))</f>
        <v>West Burlington</v>
      </c>
      <c r="C311" s="21">
        <f>INDEX(Data[],MATCH($A311,Data[Dist],0),MATCH(C$4,Data[#Headers],0))</f>
        <v>2781386</v>
      </c>
      <c r="D311" s="21">
        <f>INDEX(Data[],MATCH($A311,Data[Dist],0),MATCH(D$4,Data[#Headers],0))</f>
        <v>514</v>
      </c>
      <c r="E311" s="21">
        <f>INDEX(Data[],MATCH($A311,Data[Dist],0),MATCH(E$4,Data[#Headers],0))</f>
        <v>0</v>
      </c>
      <c r="F311" s="21">
        <f>IF(Notes!$B$3="Pay 1 Regular State Payment Budget",0,INDEX(Data[],MATCH($A311,Data[Dist],0),MATCH(F$4,Data[#Headers],0)))</f>
        <v>8650</v>
      </c>
      <c r="G311" s="21">
        <f>IF(OR(Notes!$B$3="Pay 1 Regular State Payment Budget",Notes!$B$3="Pay 2 Regular State Payment Budget"),0,INDEX(Data[],MATCH($A311,Data[Dist],0),MATCH(G$4,Data[#Headers],0)))</f>
        <v>0</v>
      </c>
      <c r="H311" s="21">
        <f>INDEX(Data[],MATCH($A311,Data[Dist],0),MATCH(H$4,Data[#Headers],0))</f>
        <v>2772222</v>
      </c>
    </row>
    <row r="312" spans="1:8" s="20" customFormat="1" ht="12.75" x14ac:dyDescent="0.2">
      <c r="A312" s="19" t="str">
        <f>Data!B308</f>
        <v>6943</v>
      </c>
      <c r="B312" s="20" t="str">
        <f>INDEX(Data[],MATCH($A312,Data[Dist],0),MATCH(B$4,Data[#Headers],0))</f>
        <v>West Central</v>
      </c>
      <c r="C312" s="21">
        <f>INDEX(Data[],MATCH($A312,Data[Dist],0),MATCH(C$4,Data[#Headers],0))</f>
        <v>1877416</v>
      </c>
      <c r="D312" s="21">
        <f>INDEX(Data[],MATCH($A312,Data[Dist],0),MATCH(D$4,Data[#Headers],0))</f>
        <v>514</v>
      </c>
      <c r="E312" s="21">
        <f>INDEX(Data[],MATCH($A312,Data[Dist],0),MATCH(E$4,Data[#Headers],0))</f>
        <v>0</v>
      </c>
      <c r="F312" s="21">
        <f>IF(Notes!$B$3="Pay 1 Regular State Payment Budget",0,INDEX(Data[],MATCH($A312,Data[Dist],0),MATCH(F$4,Data[#Headers],0)))</f>
        <v>5728</v>
      </c>
      <c r="G312" s="21">
        <f>IF(OR(Notes!$B$3="Pay 1 Regular State Payment Budget",Notes!$B$3="Pay 2 Regular State Payment Budget"),0,INDEX(Data[],MATCH($A312,Data[Dist],0),MATCH(G$4,Data[#Headers],0)))</f>
        <v>0</v>
      </c>
      <c r="H312" s="21">
        <f>INDEX(Data[],MATCH($A312,Data[Dist],0),MATCH(H$4,Data[#Headers],0))</f>
        <v>1871174</v>
      </c>
    </row>
    <row r="313" spans="1:8" s="20" customFormat="1" ht="12.75" x14ac:dyDescent="0.2">
      <c r="A313" s="19" t="str">
        <f>Data!B309</f>
        <v>6950</v>
      </c>
      <c r="B313" s="20" t="str">
        <f>INDEX(Data[],MATCH($A313,Data[Dist],0),MATCH(B$4,Data[#Headers],0))</f>
        <v>West Delaware Co</v>
      </c>
      <c r="C313" s="21">
        <f>INDEX(Data[],MATCH($A313,Data[Dist],0),MATCH(C$4,Data[#Headers],0))</f>
        <v>8971699</v>
      </c>
      <c r="D313" s="21">
        <f>INDEX(Data[],MATCH($A313,Data[Dist],0),MATCH(D$4,Data[#Headers],0))</f>
        <v>995</v>
      </c>
      <c r="E313" s="21">
        <f>INDEX(Data[],MATCH($A313,Data[Dist],0),MATCH(E$4,Data[#Headers],0))</f>
        <v>0</v>
      </c>
      <c r="F313" s="21">
        <f>IF(Notes!$B$3="Pay 1 Regular State Payment Budget",0,INDEX(Data[],MATCH($A313,Data[Dist],0),MATCH(F$4,Data[#Headers],0)))</f>
        <v>29903</v>
      </c>
      <c r="G313" s="21">
        <f>IF(OR(Notes!$B$3="Pay 1 Regular State Payment Budget",Notes!$B$3="Pay 2 Regular State Payment Budget"),0,INDEX(Data[],MATCH($A313,Data[Dist],0),MATCH(G$4,Data[#Headers],0)))</f>
        <v>0</v>
      </c>
      <c r="H313" s="21">
        <f>INDEX(Data[],MATCH($A313,Data[Dist],0),MATCH(H$4,Data[#Headers],0))</f>
        <v>8940801</v>
      </c>
    </row>
    <row r="314" spans="1:8" s="20" customFormat="1" ht="12.75" x14ac:dyDescent="0.2">
      <c r="A314" s="19" t="str">
        <f>Data!B310</f>
        <v>6957</v>
      </c>
      <c r="B314" s="20" t="str">
        <f>INDEX(Data[],MATCH($A314,Data[Dist],0),MATCH(B$4,Data[#Headers],0))</f>
        <v>West Des Moines</v>
      </c>
      <c r="C314" s="21">
        <f>INDEX(Data[],MATCH($A314,Data[Dist],0),MATCH(C$4,Data[#Headers],0))</f>
        <v>52599125</v>
      </c>
      <c r="D314" s="21">
        <f>INDEX(Data[],MATCH($A314,Data[Dist],0),MATCH(D$4,Data[#Headers],0))</f>
        <v>5921</v>
      </c>
      <c r="E314" s="21">
        <f>INDEX(Data[],MATCH($A314,Data[Dist],0),MATCH(E$4,Data[#Headers],0))</f>
        <v>9174</v>
      </c>
      <c r="F314" s="21">
        <f>IF(Notes!$B$3="Pay 1 Regular State Payment Budget",0,INDEX(Data[],MATCH($A314,Data[Dist],0),MATCH(F$4,Data[#Headers],0)))</f>
        <v>194042</v>
      </c>
      <c r="G314" s="21">
        <f>IF(OR(Notes!$B$3="Pay 1 Regular State Payment Budget",Notes!$B$3="Pay 2 Regular State Payment Budget"),0,INDEX(Data[],MATCH($A314,Data[Dist],0),MATCH(G$4,Data[#Headers],0)))</f>
        <v>0</v>
      </c>
      <c r="H314" s="21">
        <f>INDEX(Data[],MATCH($A314,Data[Dist],0),MATCH(H$4,Data[#Headers],0))</f>
        <v>52389988</v>
      </c>
    </row>
    <row r="315" spans="1:8" s="20" customFormat="1" ht="12.75" x14ac:dyDescent="0.2">
      <c r="A315" s="19" t="str">
        <f>Data!B311</f>
        <v>6961</v>
      </c>
      <c r="B315" s="20" t="str">
        <f>INDEX(Data[],MATCH($A315,Data[Dist],0),MATCH(B$4,Data[#Headers],0))</f>
        <v>Western Dubuque Co</v>
      </c>
      <c r="C315" s="21">
        <f>INDEX(Data[],MATCH($A315,Data[Dist],0),MATCH(C$4,Data[#Headers],0))</f>
        <v>21654694</v>
      </c>
      <c r="D315" s="21">
        <f>INDEX(Data[],MATCH($A315,Data[Dist],0),MATCH(D$4,Data[#Headers],0))</f>
        <v>4826</v>
      </c>
      <c r="E315" s="21">
        <f>INDEX(Data[],MATCH($A315,Data[Dist],0),MATCH(E$4,Data[#Headers],0))</f>
        <v>0</v>
      </c>
      <c r="F315" s="21">
        <f>IF(Notes!$B$3="Pay 1 Regular State Payment Budget",0,INDEX(Data[],MATCH($A315,Data[Dist],0),MATCH(F$4,Data[#Headers],0)))</f>
        <v>71851</v>
      </c>
      <c r="G315" s="21">
        <f>IF(OR(Notes!$B$3="Pay 1 Regular State Payment Budget",Notes!$B$3="Pay 2 Regular State Payment Budget"),0,INDEX(Data[],MATCH($A315,Data[Dist],0),MATCH(G$4,Data[#Headers],0)))</f>
        <v>0</v>
      </c>
      <c r="H315" s="21">
        <f>INDEX(Data[],MATCH($A315,Data[Dist],0),MATCH(H$4,Data[#Headers],0))</f>
        <v>21578017</v>
      </c>
    </row>
    <row r="316" spans="1:8" s="20" customFormat="1" ht="12.75" x14ac:dyDescent="0.2">
      <c r="A316" s="19" t="str">
        <f>Data!B312</f>
        <v>6969</v>
      </c>
      <c r="B316" s="20" t="str">
        <f>INDEX(Data[],MATCH($A316,Data[Dist],0),MATCH(B$4,Data[#Headers],0))</f>
        <v>West Harrison</v>
      </c>
      <c r="C316" s="21">
        <f>INDEX(Data[],MATCH($A316,Data[Dist],0),MATCH(C$4,Data[#Headers],0))</f>
        <v>2057196</v>
      </c>
      <c r="D316" s="21">
        <f>INDEX(Data[],MATCH($A316,Data[Dist],0),MATCH(D$4,Data[#Headers],0))</f>
        <v>315</v>
      </c>
      <c r="E316" s="21">
        <f>INDEX(Data[],MATCH($A316,Data[Dist],0),MATCH(E$4,Data[#Headers],0))</f>
        <v>0</v>
      </c>
      <c r="F316" s="21">
        <f>IF(Notes!$B$3="Pay 1 Regular State Payment Budget",0,INDEX(Data[],MATCH($A316,Data[Dist],0),MATCH(F$4,Data[#Headers],0)))</f>
        <v>7900</v>
      </c>
      <c r="G316" s="21">
        <f>IF(OR(Notes!$B$3="Pay 1 Regular State Payment Budget",Notes!$B$3="Pay 2 Regular State Payment Budget"),0,INDEX(Data[],MATCH($A316,Data[Dist],0),MATCH(G$4,Data[#Headers],0)))</f>
        <v>0</v>
      </c>
      <c r="H316" s="21">
        <f>INDEX(Data[],MATCH($A316,Data[Dist],0),MATCH(H$4,Data[#Headers],0))</f>
        <v>2048981</v>
      </c>
    </row>
    <row r="317" spans="1:8" s="20" customFormat="1" ht="12.75" x14ac:dyDescent="0.2">
      <c r="A317" s="19" t="str">
        <f>Data!B313</f>
        <v>6975</v>
      </c>
      <c r="B317" s="20" t="str">
        <f>INDEX(Data[],MATCH($A317,Data[Dist],0),MATCH(B$4,Data[#Headers],0))</f>
        <v>West Liberty</v>
      </c>
      <c r="C317" s="21">
        <f>INDEX(Data[],MATCH($A317,Data[Dist],0),MATCH(C$4,Data[#Headers],0))</f>
        <v>10764372</v>
      </c>
      <c r="D317" s="21">
        <f>INDEX(Data[],MATCH($A317,Data[Dist],0),MATCH(D$4,Data[#Headers],0))</f>
        <v>896</v>
      </c>
      <c r="E317" s="21">
        <f>INDEX(Data[],MATCH($A317,Data[Dist],0),MATCH(E$4,Data[#Headers],0))</f>
        <v>0</v>
      </c>
      <c r="F317" s="21">
        <f>IF(Notes!$B$3="Pay 1 Regular State Payment Budget",0,INDEX(Data[],MATCH($A317,Data[Dist],0),MATCH(F$4,Data[#Headers],0)))</f>
        <v>28166</v>
      </c>
      <c r="G317" s="21">
        <f>IF(OR(Notes!$B$3="Pay 1 Regular State Payment Budget",Notes!$B$3="Pay 2 Regular State Payment Budget"),0,INDEX(Data[],MATCH($A317,Data[Dist],0),MATCH(G$4,Data[#Headers],0)))</f>
        <v>0</v>
      </c>
      <c r="H317" s="21">
        <f>INDEX(Data[],MATCH($A317,Data[Dist],0),MATCH(H$4,Data[#Headers],0))</f>
        <v>10735310</v>
      </c>
    </row>
    <row r="318" spans="1:8" s="20" customFormat="1" ht="12.75" x14ac:dyDescent="0.2">
      <c r="A318" s="19" t="str">
        <f>Data!B314</f>
        <v>6983</v>
      </c>
      <c r="B318" s="20" t="str">
        <f>INDEX(Data[],MATCH($A318,Data[Dist],0),MATCH(B$4,Data[#Headers],0))</f>
        <v>West Lyon</v>
      </c>
      <c r="C318" s="21">
        <f>INDEX(Data[],MATCH($A318,Data[Dist],0),MATCH(C$4,Data[#Headers],0))</f>
        <v>5867764</v>
      </c>
      <c r="D318" s="21">
        <f>INDEX(Data[],MATCH($A318,Data[Dist],0),MATCH(D$4,Data[#Headers],0))</f>
        <v>962</v>
      </c>
      <c r="E318" s="21">
        <f>INDEX(Data[],MATCH($A318,Data[Dist],0),MATCH(E$4,Data[#Headers],0))</f>
        <v>0</v>
      </c>
      <c r="F318" s="21">
        <f>IF(Notes!$B$3="Pay 1 Regular State Payment Budget",0,INDEX(Data[],MATCH($A318,Data[Dist],0),MATCH(F$4,Data[#Headers],0)))</f>
        <v>21388</v>
      </c>
      <c r="G318" s="21">
        <f>IF(OR(Notes!$B$3="Pay 1 Regular State Payment Budget",Notes!$B$3="Pay 2 Regular State Payment Budget"),0,INDEX(Data[],MATCH($A318,Data[Dist],0),MATCH(G$4,Data[#Headers],0)))</f>
        <v>0</v>
      </c>
      <c r="H318" s="21">
        <f>INDEX(Data[],MATCH($A318,Data[Dist],0),MATCH(H$4,Data[#Headers],0))</f>
        <v>5845414</v>
      </c>
    </row>
    <row r="319" spans="1:8" s="20" customFormat="1" ht="12.75" x14ac:dyDescent="0.2">
      <c r="A319" s="19" t="str">
        <f>Data!B315</f>
        <v>6985</v>
      </c>
      <c r="B319" s="20" t="str">
        <f>INDEX(Data[],MATCH($A319,Data[Dist],0),MATCH(B$4,Data[#Headers],0))</f>
        <v>West Marshall</v>
      </c>
      <c r="C319" s="21">
        <f>INDEX(Data[],MATCH($A319,Data[Dist],0),MATCH(C$4,Data[#Headers],0))</f>
        <v>5173696</v>
      </c>
      <c r="D319" s="21">
        <f>INDEX(Data[],MATCH($A319,Data[Dist],0),MATCH(D$4,Data[#Headers],0))</f>
        <v>663</v>
      </c>
      <c r="E319" s="21">
        <f>INDEX(Data[],MATCH($A319,Data[Dist],0),MATCH(E$4,Data[#Headers],0))</f>
        <v>0</v>
      </c>
      <c r="F319" s="21">
        <f>IF(Notes!$B$3="Pay 1 Regular State Payment Budget",0,INDEX(Data[],MATCH($A319,Data[Dist],0),MATCH(F$4,Data[#Headers],0)))</f>
        <v>17066</v>
      </c>
      <c r="G319" s="21">
        <f>IF(OR(Notes!$B$3="Pay 1 Regular State Payment Budget",Notes!$B$3="Pay 2 Regular State Payment Budget"),0,INDEX(Data[],MATCH($A319,Data[Dist],0),MATCH(G$4,Data[#Headers],0)))</f>
        <v>0</v>
      </c>
      <c r="H319" s="21">
        <f>INDEX(Data[],MATCH($A319,Data[Dist],0),MATCH(H$4,Data[#Headers],0))</f>
        <v>5155967</v>
      </c>
    </row>
    <row r="320" spans="1:8" s="20" customFormat="1" ht="12.75" x14ac:dyDescent="0.2">
      <c r="A320" s="19" t="str">
        <f>Data!B316</f>
        <v>6987</v>
      </c>
      <c r="B320" s="20" t="str">
        <f>INDEX(Data[],MATCH($A320,Data[Dist],0),MATCH(B$4,Data[#Headers],0))</f>
        <v>West Monona</v>
      </c>
      <c r="C320" s="21">
        <f>INDEX(Data[],MATCH($A320,Data[Dist],0),MATCH(C$4,Data[#Headers],0))</f>
        <v>4032538</v>
      </c>
      <c r="D320" s="21">
        <f>INDEX(Data[],MATCH($A320,Data[Dist],0),MATCH(D$4,Data[#Headers],0))</f>
        <v>730</v>
      </c>
      <c r="E320" s="21">
        <f>INDEX(Data[],MATCH($A320,Data[Dist],0),MATCH(E$4,Data[#Headers],0))</f>
        <v>0</v>
      </c>
      <c r="F320" s="21">
        <f>IF(Notes!$B$3="Pay 1 Regular State Payment Budget",0,INDEX(Data[],MATCH($A320,Data[Dist],0),MATCH(F$4,Data[#Headers],0)))</f>
        <v>13038</v>
      </c>
      <c r="G320" s="21">
        <f>IF(OR(Notes!$B$3="Pay 1 Regular State Payment Budget",Notes!$B$3="Pay 2 Regular State Payment Budget"),0,INDEX(Data[],MATCH($A320,Data[Dist],0),MATCH(G$4,Data[#Headers],0)))</f>
        <v>0</v>
      </c>
      <c r="H320" s="21">
        <f>INDEX(Data[],MATCH($A320,Data[Dist],0),MATCH(H$4,Data[#Headers],0))</f>
        <v>4018770</v>
      </c>
    </row>
    <row r="321" spans="1:10" s="20" customFormat="1" ht="12.75" x14ac:dyDescent="0.2">
      <c r="A321" s="19" t="str">
        <f>Data!B317</f>
        <v>6990</v>
      </c>
      <c r="B321" s="20" t="str">
        <f>INDEX(Data[],MATCH($A321,Data[Dist],0),MATCH(B$4,Data[#Headers],0))</f>
        <v>West Sioux</v>
      </c>
      <c r="C321" s="21">
        <f>INDEX(Data[],MATCH($A321,Data[Dist],0),MATCH(C$4,Data[#Headers],0))</f>
        <v>6290634</v>
      </c>
      <c r="D321" s="21">
        <f>INDEX(Data[],MATCH($A321,Data[Dist],0),MATCH(D$4,Data[#Headers],0))</f>
        <v>779</v>
      </c>
      <c r="E321" s="21">
        <f>INDEX(Data[],MATCH($A321,Data[Dist],0),MATCH(E$4,Data[#Headers],0))</f>
        <v>0</v>
      </c>
      <c r="F321" s="21">
        <f>IF(Notes!$B$3="Pay 1 Regular State Payment Budget",0,INDEX(Data[],MATCH($A321,Data[Dist],0),MATCH(F$4,Data[#Headers],0)))</f>
        <v>17059</v>
      </c>
      <c r="G321" s="21">
        <f>IF(OR(Notes!$B$3="Pay 1 Regular State Payment Budget",Notes!$B$3="Pay 2 Regular State Payment Budget"),0,INDEX(Data[],MATCH($A321,Data[Dist],0),MATCH(G$4,Data[#Headers],0)))</f>
        <v>0</v>
      </c>
      <c r="H321" s="21">
        <f>INDEX(Data[],MATCH($A321,Data[Dist],0),MATCH(H$4,Data[#Headers],0))</f>
        <v>6272796</v>
      </c>
    </row>
    <row r="322" spans="1:10" s="20" customFormat="1" ht="12.75" x14ac:dyDescent="0.2">
      <c r="A322" s="19" t="str">
        <f>Data!B318</f>
        <v>6992</v>
      </c>
      <c r="B322" s="20" t="str">
        <f>INDEX(Data[],MATCH($A322,Data[Dist],0),MATCH(B$4,Data[#Headers],0))</f>
        <v>Westwood</v>
      </c>
      <c r="C322" s="21">
        <f>INDEX(Data[],MATCH($A322,Data[Dist],0),MATCH(C$4,Data[#Headers],0))</f>
        <v>3039887</v>
      </c>
      <c r="D322" s="21">
        <f>INDEX(Data[],MATCH($A322,Data[Dist],0),MATCH(D$4,Data[#Headers],0))</f>
        <v>464</v>
      </c>
      <c r="E322" s="21">
        <f>INDEX(Data[],MATCH($A322,Data[Dist],0),MATCH(E$4,Data[#Headers],0))</f>
        <v>0</v>
      </c>
      <c r="F322" s="21">
        <f>IF(Notes!$B$3="Pay 1 Regular State Payment Budget",0,INDEX(Data[],MATCH($A322,Data[Dist],0),MATCH(F$4,Data[#Headers],0)))</f>
        <v>12004</v>
      </c>
      <c r="G322" s="21">
        <f>IF(OR(Notes!$B$3="Pay 1 Regular State Payment Budget",Notes!$B$3="Pay 2 Regular State Payment Budget"),0,INDEX(Data[],MATCH($A322,Data[Dist],0),MATCH(G$4,Data[#Headers],0)))</f>
        <v>0</v>
      </c>
      <c r="H322" s="21">
        <f>INDEX(Data[],MATCH($A322,Data[Dist],0),MATCH(H$4,Data[#Headers],0))</f>
        <v>3027419</v>
      </c>
    </row>
    <row r="323" spans="1:10" s="20" customFormat="1" ht="12.75" x14ac:dyDescent="0.2">
      <c r="A323" s="19" t="str">
        <f>Data!B319</f>
        <v>7002</v>
      </c>
      <c r="B323" s="20" t="str">
        <f>INDEX(Data[],MATCH($A323,Data[Dist],0),MATCH(B$4,Data[#Headers],0))</f>
        <v>Whiting</v>
      </c>
      <c r="C323" s="21">
        <f>INDEX(Data[],MATCH($A323,Data[Dist],0),MATCH(C$4,Data[#Headers],0))</f>
        <v>1244276</v>
      </c>
      <c r="D323" s="21">
        <f>INDEX(Data[],MATCH($A323,Data[Dist],0),MATCH(D$4,Data[#Headers],0))</f>
        <v>133</v>
      </c>
      <c r="E323" s="21">
        <f>INDEX(Data[],MATCH($A323,Data[Dist],0),MATCH(E$4,Data[#Headers],0))</f>
        <v>0</v>
      </c>
      <c r="F323" s="21">
        <f>IF(Notes!$B$3="Pay 1 Regular State Payment Budget",0,INDEX(Data[],MATCH($A323,Data[Dist],0),MATCH(F$4,Data[#Headers],0)))</f>
        <v>4341</v>
      </c>
      <c r="G323" s="21">
        <f>IF(OR(Notes!$B$3="Pay 1 Regular State Payment Budget",Notes!$B$3="Pay 2 Regular State Payment Budget"),0,INDEX(Data[],MATCH($A323,Data[Dist],0),MATCH(G$4,Data[#Headers],0)))</f>
        <v>0</v>
      </c>
      <c r="H323" s="21">
        <f>INDEX(Data[],MATCH($A323,Data[Dist],0),MATCH(H$4,Data[#Headers],0))</f>
        <v>1239802</v>
      </c>
    </row>
    <row r="324" spans="1:10" s="20" customFormat="1" ht="12.75" x14ac:dyDescent="0.2">
      <c r="A324" s="19" t="str">
        <f>Data!B320</f>
        <v>7029</v>
      </c>
      <c r="B324" s="20" t="str">
        <f>INDEX(Data[],MATCH($A324,Data[Dist],0),MATCH(B$4,Data[#Headers],0))</f>
        <v>Williamsburg</v>
      </c>
      <c r="C324" s="21">
        <f>INDEX(Data[],MATCH($A324,Data[Dist],0),MATCH(C$4,Data[#Headers],0))</f>
        <v>8249714</v>
      </c>
      <c r="D324" s="21">
        <f>INDEX(Data[],MATCH($A324,Data[Dist],0),MATCH(D$4,Data[#Headers],0))</f>
        <v>796</v>
      </c>
      <c r="E324" s="21">
        <f>INDEX(Data[],MATCH($A324,Data[Dist],0),MATCH(E$4,Data[#Headers],0))</f>
        <v>0</v>
      </c>
      <c r="F324" s="21">
        <f>IF(Notes!$B$3="Pay 1 Regular State Payment Budget",0,INDEX(Data[],MATCH($A324,Data[Dist],0),MATCH(F$4,Data[#Headers],0)))</f>
        <v>25927</v>
      </c>
      <c r="G324" s="21">
        <f>IF(OR(Notes!$B$3="Pay 1 Regular State Payment Budget",Notes!$B$3="Pay 2 Regular State Payment Budget"),0,INDEX(Data[],MATCH($A324,Data[Dist],0),MATCH(G$4,Data[#Headers],0)))</f>
        <v>0</v>
      </c>
      <c r="H324" s="21">
        <f>INDEX(Data[],MATCH($A324,Data[Dist],0),MATCH(H$4,Data[#Headers],0))</f>
        <v>8222991</v>
      </c>
    </row>
    <row r="325" spans="1:10" s="20" customFormat="1" ht="12.75" x14ac:dyDescent="0.2">
      <c r="A325" s="19" t="str">
        <f>Data!B321</f>
        <v>7038</v>
      </c>
      <c r="B325" s="20" t="str">
        <f>INDEX(Data[],MATCH($A325,Data[Dist],0),MATCH(B$4,Data[#Headers],0))</f>
        <v>Wilton</v>
      </c>
      <c r="C325" s="21">
        <f>INDEX(Data[],MATCH($A325,Data[Dist],0),MATCH(C$4,Data[#Headers],0))</f>
        <v>6721826</v>
      </c>
      <c r="D325" s="21">
        <f>INDEX(Data[],MATCH($A325,Data[Dist],0),MATCH(D$4,Data[#Headers],0))</f>
        <v>663</v>
      </c>
      <c r="E325" s="21">
        <f>INDEX(Data[],MATCH($A325,Data[Dist],0),MATCH(E$4,Data[#Headers],0))</f>
        <v>0</v>
      </c>
      <c r="F325" s="21">
        <f>IF(Notes!$B$3="Pay 1 Regular State Payment Budget",0,INDEX(Data[],MATCH($A325,Data[Dist],0),MATCH(F$4,Data[#Headers],0)))</f>
        <v>19181</v>
      </c>
      <c r="G325" s="21">
        <f>IF(OR(Notes!$B$3="Pay 1 Regular State Payment Budget",Notes!$B$3="Pay 2 Regular State Payment Budget"),0,INDEX(Data[],MATCH($A325,Data[Dist],0),MATCH(G$4,Data[#Headers],0)))</f>
        <v>0</v>
      </c>
      <c r="H325" s="21">
        <f>INDEX(Data[],MATCH($A325,Data[Dist],0),MATCH(H$4,Data[#Headers],0))</f>
        <v>6701982</v>
      </c>
    </row>
    <row r="326" spans="1:10" s="20" customFormat="1" ht="12.75" x14ac:dyDescent="0.2">
      <c r="A326" s="19" t="str">
        <f>Data!B322</f>
        <v>7047</v>
      </c>
      <c r="B326" s="20" t="str">
        <f>INDEX(Data[],MATCH($A326,Data[Dist],0),MATCH(B$4,Data[#Headers],0))</f>
        <v>Winfield-Mt Union</v>
      </c>
      <c r="C326" s="21">
        <f>INDEX(Data[],MATCH($A326,Data[Dist],0),MATCH(C$4,Data[#Headers],0))</f>
        <v>2550818</v>
      </c>
      <c r="D326" s="21">
        <f>INDEX(Data[],MATCH($A326,Data[Dist],0),MATCH(D$4,Data[#Headers],0))</f>
        <v>315</v>
      </c>
      <c r="E326" s="21">
        <f>INDEX(Data[],MATCH($A326,Data[Dist],0),MATCH(E$4,Data[#Headers],0))</f>
        <v>0</v>
      </c>
      <c r="F326" s="21">
        <f>IF(Notes!$B$3="Pay 1 Regular State Payment Budget",0,INDEX(Data[],MATCH($A326,Data[Dist],0),MATCH(F$4,Data[#Headers],0)))</f>
        <v>7132</v>
      </c>
      <c r="G326" s="21">
        <f>IF(OR(Notes!$B$3="Pay 1 Regular State Payment Budget",Notes!$B$3="Pay 2 Regular State Payment Budget"),0,INDEX(Data[],MATCH($A326,Data[Dist],0),MATCH(G$4,Data[#Headers],0)))</f>
        <v>0</v>
      </c>
      <c r="H326" s="21">
        <f>INDEX(Data[],MATCH($A326,Data[Dist],0),MATCH(H$4,Data[#Headers],0))</f>
        <v>2543371</v>
      </c>
    </row>
    <row r="327" spans="1:10" s="20" customFormat="1" ht="12.75" x14ac:dyDescent="0.2">
      <c r="A327" s="19" t="str">
        <f>Data!B323</f>
        <v>7056</v>
      </c>
      <c r="B327" s="20" t="str">
        <f>INDEX(Data[],MATCH($A327,Data[Dist],0),MATCH(B$4,Data[#Headers],0))</f>
        <v>Winterset</v>
      </c>
      <c r="C327" s="21">
        <f>INDEX(Data[],MATCH($A327,Data[Dist],0),MATCH(C$4,Data[#Headers],0))</f>
        <v>12348647</v>
      </c>
      <c r="D327" s="21">
        <f>INDEX(Data[],MATCH($A327,Data[Dist],0),MATCH(D$4,Data[#Headers],0))</f>
        <v>1227</v>
      </c>
      <c r="E327" s="21">
        <f>INDEX(Data[],MATCH($A327,Data[Dist],0),MATCH(E$4,Data[#Headers],0))</f>
        <v>0</v>
      </c>
      <c r="F327" s="21">
        <f>IF(Notes!$B$3="Pay 1 Regular State Payment Budget",0,INDEX(Data[],MATCH($A327,Data[Dist],0),MATCH(F$4,Data[#Headers],0)))</f>
        <v>37569</v>
      </c>
      <c r="G327" s="21">
        <f>IF(OR(Notes!$B$3="Pay 1 Regular State Payment Budget",Notes!$B$3="Pay 2 Regular State Payment Budget"),0,INDEX(Data[],MATCH($A327,Data[Dist],0),MATCH(G$4,Data[#Headers],0)))</f>
        <v>0</v>
      </c>
      <c r="H327" s="21">
        <f>INDEX(Data[],MATCH($A327,Data[Dist],0),MATCH(H$4,Data[#Headers],0))</f>
        <v>12309851</v>
      </c>
    </row>
    <row r="328" spans="1:10" s="20" customFormat="1" ht="12.75" x14ac:dyDescent="0.2">
      <c r="A328" s="19" t="str">
        <f>Data!B324</f>
        <v>7092</v>
      </c>
      <c r="B328" s="20" t="str">
        <f>INDEX(Data[],MATCH($A328,Data[Dist],0),MATCH(B$4,Data[#Headers],0))</f>
        <v>Woodbine</v>
      </c>
      <c r="C328" s="21">
        <f>INDEX(Data[],MATCH($A328,Data[Dist],0),MATCH(C$4,Data[#Headers],0))</f>
        <v>3845923</v>
      </c>
      <c r="D328" s="21">
        <f>INDEX(Data[],MATCH($A328,Data[Dist],0),MATCH(D$4,Data[#Headers],0))</f>
        <v>481</v>
      </c>
      <c r="E328" s="21">
        <f>INDEX(Data[],MATCH($A328,Data[Dist],0),MATCH(E$4,Data[#Headers],0))</f>
        <v>0</v>
      </c>
      <c r="F328" s="21">
        <f>IF(Notes!$B$3="Pay 1 Regular State Payment Budget",0,INDEX(Data[],MATCH($A328,Data[Dist],0),MATCH(F$4,Data[#Headers],0)))</f>
        <v>11421</v>
      </c>
      <c r="G328" s="21">
        <f>IF(OR(Notes!$B$3="Pay 1 Regular State Payment Budget",Notes!$B$3="Pay 2 Regular State Payment Budget"),0,INDEX(Data[],MATCH($A328,Data[Dist],0),MATCH(G$4,Data[#Headers],0)))</f>
        <v>0</v>
      </c>
      <c r="H328" s="21">
        <f>INDEX(Data[],MATCH($A328,Data[Dist],0),MATCH(H$4,Data[#Headers],0))</f>
        <v>3834021</v>
      </c>
    </row>
    <row r="329" spans="1:10" s="20" customFormat="1" ht="12.75" x14ac:dyDescent="0.2">
      <c r="A329" s="19" t="str">
        <f>Data!B325</f>
        <v>7098</v>
      </c>
      <c r="B329" s="20" t="str">
        <f>INDEX(Data[],MATCH($A329,Data[Dist],0),MATCH(B$4,Data[#Headers],0))</f>
        <v>Woodbury Central</v>
      </c>
      <c r="C329" s="21">
        <f>INDEX(Data[],MATCH($A329,Data[Dist],0),MATCH(C$4,Data[#Headers],0))</f>
        <v>3873035</v>
      </c>
      <c r="D329" s="21">
        <f>INDEX(Data[],MATCH($A329,Data[Dist],0),MATCH(D$4,Data[#Headers],0))</f>
        <v>464</v>
      </c>
      <c r="E329" s="21">
        <f>INDEX(Data[],MATCH($A329,Data[Dist],0),MATCH(E$4,Data[#Headers],0))</f>
        <v>0</v>
      </c>
      <c r="F329" s="21">
        <f>IF(Notes!$B$3="Pay 1 Regular State Payment Budget",0,INDEX(Data[],MATCH($A329,Data[Dist],0),MATCH(F$4,Data[#Headers],0)))</f>
        <v>11470</v>
      </c>
      <c r="G329" s="21">
        <f>IF(OR(Notes!$B$3="Pay 1 Regular State Payment Budget",Notes!$B$3="Pay 2 Regular State Payment Budget"),0,INDEX(Data[],MATCH($A329,Data[Dist],0),MATCH(G$4,Data[#Headers],0)))</f>
        <v>0</v>
      </c>
      <c r="H329" s="21">
        <f>INDEX(Data[],MATCH($A329,Data[Dist],0),MATCH(H$4,Data[#Headers],0))</f>
        <v>3861101</v>
      </c>
    </row>
    <row r="330" spans="1:10" s="20" customFormat="1" ht="12.75" x14ac:dyDescent="0.2">
      <c r="A330" s="19" t="str">
        <f>Data!B326</f>
        <v>7110</v>
      </c>
      <c r="B330" s="20" t="str">
        <f>INDEX(Data[],MATCH($A330,Data[Dist],0),MATCH(B$4,Data[#Headers],0))</f>
        <v>Woodward-Granger</v>
      </c>
      <c r="C330" s="21">
        <f>INDEX(Data[],MATCH($A330,Data[Dist],0),MATCH(C$4,Data[#Headers],0))</f>
        <v>7876040</v>
      </c>
      <c r="D330" s="21">
        <f>INDEX(Data[],MATCH($A330,Data[Dist],0),MATCH(D$4,Data[#Headers],0))</f>
        <v>979</v>
      </c>
      <c r="E330" s="21">
        <f>INDEX(Data[],MATCH($A330,Data[Dist],0),MATCH(E$4,Data[#Headers],0))</f>
        <v>0</v>
      </c>
      <c r="F330" s="21">
        <f>IF(Notes!$B$3="Pay 1 Regular State Payment Budget",0,INDEX(Data[],MATCH($A330,Data[Dist],0),MATCH(F$4,Data[#Headers],0)))</f>
        <v>24296</v>
      </c>
      <c r="G330" s="21">
        <f>IF(OR(Notes!$B$3="Pay 1 Regular State Payment Budget",Notes!$B$3="Pay 2 Regular State Payment Budget"),0,INDEX(Data[],MATCH($A330,Data[Dist],0),MATCH(G$4,Data[#Headers],0)))</f>
        <v>0</v>
      </c>
      <c r="H330" s="21">
        <f>INDEX(Data[],MATCH($A330,Data[Dist],0),MATCH(H$4,Data[#Headers],0))</f>
        <v>7850765</v>
      </c>
    </row>
    <row r="331" spans="1:10" s="20" customFormat="1" ht="13.5" thickBot="1" x14ac:dyDescent="0.25">
      <c r="A331" s="109" t="s">
        <v>779</v>
      </c>
      <c r="B331" s="20" t="s">
        <v>778</v>
      </c>
      <c r="C331" s="23">
        <f t="shared" ref="C331:H331" si="0">SUM(C6:C330)</f>
        <v>3644273711</v>
      </c>
      <c r="D331" s="23">
        <f t="shared" si="0"/>
        <v>387427</v>
      </c>
      <c r="E331" s="23">
        <f t="shared" si="0"/>
        <v>1891910</v>
      </c>
      <c r="F331" s="23">
        <f t="shared" si="0"/>
        <v>10895736</v>
      </c>
      <c r="G331" s="23">
        <f t="shared" si="0"/>
        <v>0</v>
      </c>
      <c r="H331" s="23">
        <f t="shared" si="0"/>
        <v>3631098638</v>
      </c>
      <c r="J331" s="21"/>
    </row>
    <row r="332" spans="1:10" s="20" customFormat="1" ht="13.5" thickTop="1" x14ac:dyDescent="0.2">
      <c r="A332" s="22"/>
      <c r="C332" s="21"/>
      <c r="D332" s="21"/>
      <c r="E332" s="21"/>
      <c r="F332" s="21"/>
      <c r="G332" s="21"/>
      <c r="H332" s="21"/>
    </row>
    <row r="333" spans="1:10" s="20" customFormat="1" ht="12.75" x14ac:dyDescent="0.2">
      <c r="A333" s="22"/>
      <c r="C333" s="21"/>
      <c r="D333" s="21"/>
      <c r="E333" s="21"/>
      <c r="F333" s="21"/>
      <c r="G333" s="21"/>
      <c r="H333" s="21"/>
    </row>
    <row r="334" spans="1:10" s="20" customFormat="1" ht="12.75" x14ac:dyDescent="0.2">
      <c r="A334" s="22"/>
      <c r="C334" s="21"/>
      <c r="D334" s="21"/>
      <c r="E334" s="21"/>
      <c r="F334" s="21"/>
      <c r="G334" s="21"/>
      <c r="H334" s="21"/>
    </row>
    <row r="335" spans="1:10" s="20" customFormat="1" ht="12.75" x14ac:dyDescent="0.2">
      <c r="A335" s="22"/>
      <c r="C335" s="21"/>
      <c r="D335" s="21"/>
      <c r="E335" s="21"/>
      <c r="F335" s="21"/>
      <c r="G335" s="21"/>
      <c r="H335" s="21"/>
    </row>
    <row r="336" spans="1:10" s="20" customFormat="1" ht="12.75" x14ac:dyDescent="0.2">
      <c r="A336" s="22"/>
      <c r="C336" s="21"/>
      <c r="D336" s="21"/>
      <c r="E336" s="21"/>
      <c r="F336" s="21"/>
      <c r="G336" s="21"/>
      <c r="H336" s="21"/>
    </row>
    <row r="337" spans="1:8" s="20" customFormat="1" ht="12.75" x14ac:dyDescent="0.2">
      <c r="A337" s="22"/>
      <c r="C337" s="21"/>
      <c r="D337" s="21"/>
      <c r="E337" s="21"/>
      <c r="F337" s="21"/>
      <c r="G337" s="21"/>
      <c r="H337" s="21"/>
    </row>
    <row r="338" spans="1:8" s="20" customFormat="1" ht="12.75" x14ac:dyDescent="0.2">
      <c r="A338" s="22"/>
      <c r="C338" s="21"/>
      <c r="D338" s="21"/>
      <c r="E338" s="21"/>
      <c r="F338" s="21"/>
      <c r="G338" s="21"/>
      <c r="H338" s="21"/>
    </row>
    <row r="339" spans="1:8" s="20" customFormat="1" ht="12.75" x14ac:dyDescent="0.2">
      <c r="A339" s="22"/>
      <c r="C339" s="21"/>
      <c r="D339" s="21"/>
      <c r="E339" s="21"/>
      <c r="F339" s="21"/>
      <c r="G339" s="21"/>
      <c r="H339" s="21"/>
    </row>
    <row r="340" spans="1:8" s="20" customFormat="1" ht="12.75" x14ac:dyDescent="0.2">
      <c r="A340" s="22"/>
      <c r="C340" s="21"/>
      <c r="D340" s="21"/>
      <c r="E340" s="21"/>
      <c r="F340" s="21"/>
      <c r="G340" s="21"/>
      <c r="H340" s="21"/>
    </row>
    <row r="341" spans="1:8" s="20" customFormat="1" ht="12.75" x14ac:dyDescent="0.2">
      <c r="A341" s="22"/>
      <c r="C341" s="21"/>
      <c r="D341" s="21"/>
      <c r="E341" s="21"/>
      <c r="F341" s="21"/>
      <c r="G341" s="21"/>
      <c r="H341" s="21"/>
    </row>
    <row r="342" spans="1:8" s="20" customFormat="1" ht="12.75" x14ac:dyDescent="0.2">
      <c r="A342" s="22"/>
      <c r="C342" s="21"/>
      <c r="D342" s="21"/>
      <c r="E342" s="21"/>
      <c r="F342" s="21"/>
      <c r="G342" s="21"/>
      <c r="H342" s="21"/>
    </row>
    <row r="343" spans="1:8" s="20" customFormat="1" ht="12.75" x14ac:dyDescent="0.2">
      <c r="A343" s="22"/>
      <c r="C343" s="21"/>
      <c r="D343" s="21"/>
      <c r="E343" s="21"/>
      <c r="F343" s="21"/>
      <c r="G343" s="21"/>
      <c r="H343" s="21"/>
    </row>
    <row r="344" spans="1:8" s="20" customFormat="1" ht="12.75" x14ac:dyDescent="0.2">
      <c r="A344" s="22"/>
      <c r="C344" s="21"/>
      <c r="D344" s="21"/>
      <c r="E344" s="21"/>
      <c r="F344" s="21"/>
      <c r="G344" s="21"/>
      <c r="H344" s="21"/>
    </row>
    <row r="345" spans="1:8" s="20" customFormat="1" ht="12.75" x14ac:dyDescent="0.2">
      <c r="A345" s="22"/>
      <c r="C345" s="21"/>
      <c r="D345" s="21"/>
      <c r="E345" s="21"/>
      <c r="F345" s="21"/>
      <c r="G345" s="21"/>
      <c r="H345" s="21"/>
    </row>
    <row r="346" spans="1:8" s="20" customFormat="1" ht="12.75" x14ac:dyDescent="0.2">
      <c r="A346" s="22"/>
      <c r="C346" s="21"/>
      <c r="D346" s="21"/>
      <c r="E346" s="21"/>
      <c r="F346" s="21"/>
      <c r="G346" s="21"/>
      <c r="H346" s="21"/>
    </row>
    <row r="347" spans="1:8" s="20" customFormat="1" ht="12.75" x14ac:dyDescent="0.2">
      <c r="A347" s="22"/>
      <c r="C347" s="21"/>
      <c r="D347" s="21"/>
      <c r="E347" s="21"/>
      <c r="F347" s="21"/>
      <c r="G347" s="21"/>
      <c r="H347" s="21"/>
    </row>
    <row r="348" spans="1:8" s="20" customFormat="1" ht="12.75" x14ac:dyDescent="0.2">
      <c r="A348" s="22"/>
      <c r="C348" s="21"/>
      <c r="D348" s="21"/>
      <c r="E348" s="21"/>
      <c r="F348" s="21"/>
      <c r="G348" s="21"/>
      <c r="H348" s="21"/>
    </row>
    <row r="349" spans="1:8" s="20" customFormat="1" ht="12.75" x14ac:dyDescent="0.2">
      <c r="A349" s="22"/>
      <c r="C349" s="21"/>
      <c r="D349" s="21"/>
      <c r="E349" s="21"/>
      <c r="F349" s="21"/>
      <c r="G349" s="21"/>
      <c r="H349" s="21"/>
    </row>
    <row r="350" spans="1:8" s="20" customFormat="1" ht="12.75" x14ac:dyDescent="0.2">
      <c r="A350" s="22"/>
      <c r="C350" s="21"/>
      <c r="D350" s="21"/>
      <c r="E350" s="21"/>
      <c r="F350" s="21"/>
      <c r="G350" s="21"/>
      <c r="H350" s="21"/>
    </row>
    <row r="351" spans="1:8" s="20" customFormat="1" ht="12.75" x14ac:dyDescent="0.2">
      <c r="A351" s="22"/>
      <c r="C351" s="21"/>
      <c r="D351" s="21"/>
      <c r="E351" s="21"/>
      <c r="F351" s="21"/>
      <c r="G351" s="21"/>
      <c r="H351" s="21"/>
    </row>
    <row r="352" spans="1:8" s="20" customFormat="1" ht="12.75" x14ac:dyDescent="0.2">
      <c r="A352" s="22"/>
      <c r="C352" s="21"/>
      <c r="D352" s="21"/>
      <c r="E352" s="21"/>
      <c r="F352" s="21"/>
      <c r="G352" s="21"/>
      <c r="H352" s="21"/>
    </row>
    <row r="353" spans="1:8" s="20" customFormat="1" ht="12.75" x14ac:dyDescent="0.2">
      <c r="A353" s="22"/>
      <c r="C353" s="21"/>
      <c r="D353" s="21"/>
      <c r="E353" s="21"/>
      <c r="F353" s="21"/>
      <c r="G353" s="21"/>
      <c r="H353" s="21"/>
    </row>
    <row r="354" spans="1:8" s="20" customFormat="1" ht="12.75" x14ac:dyDescent="0.2">
      <c r="A354" s="22"/>
      <c r="C354" s="21"/>
      <c r="D354" s="21"/>
      <c r="E354" s="21"/>
      <c r="F354" s="21"/>
      <c r="G354" s="21"/>
      <c r="H354" s="21"/>
    </row>
    <row r="355" spans="1:8" s="20" customFormat="1" ht="12.75" x14ac:dyDescent="0.2">
      <c r="A355" s="22"/>
      <c r="C355" s="21"/>
      <c r="D355" s="21"/>
      <c r="E355" s="21"/>
      <c r="F355" s="21"/>
      <c r="G355" s="21"/>
      <c r="H355" s="21"/>
    </row>
    <row r="356" spans="1:8" s="20" customFormat="1" ht="12.75" x14ac:dyDescent="0.2">
      <c r="A356" s="22"/>
      <c r="C356" s="21"/>
      <c r="D356" s="21"/>
      <c r="E356" s="21"/>
      <c r="F356" s="21"/>
      <c r="G356" s="21"/>
      <c r="H356" s="21"/>
    </row>
    <row r="357" spans="1:8" s="20" customFormat="1" ht="12.75" x14ac:dyDescent="0.2">
      <c r="A357" s="22"/>
      <c r="C357" s="21"/>
      <c r="D357" s="21"/>
      <c r="E357" s="21"/>
      <c r="F357" s="21"/>
      <c r="G357" s="21"/>
      <c r="H357" s="21"/>
    </row>
    <row r="358" spans="1:8" s="20" customFormat="1" ht="12.75" x14ac:dyDescent="0.2">
      <c r="A358" s="22"/>
      <c r="C358" s="21"/>
      <c r="D358" s="21"/>
      <c r="E358" s="21"/>
      <c r="F358" s="21"/>
      <c r="G358" s="21"/>
      <c r="H358" s="21"/>
    </row>
    <row r="359" spans="1:8" s="20" customFormat="1" ht="12.75" x14ac:dyDescent="0.2">
      <c r="A359" s="22"/>
      <c r="C359" s="21"/>
      <c r="D359" s="21"/>
      <c r="E359" s="21"/>
      <c r="F359" s="21"/>
      <c r="G359" s="21"/>
      <c r="H359" s="21"/>
    </row>
    <row r="360" spans="1:8" s="20" customFormat="1" ht="12.75" x14ac:dyDescent="0.2">
      <c r="A360" s="22"/>
      <c r="C360" s="21"/>
      <c r="D360" s="21"/>
      <c r="E360" s="21"/>
      <c r="F360" s="21"/>
      <c r="G360" s="21"/>
      <c r="H360" s="21"/>
    </row>
    <row r="361" spans="1:8" s="20" customFormat="1" ht="12.75" x14ac:dyDescent="0.2">
      <c r="A361" s="22"/>
      <c r="C361" s="21"/>
      <c r="D361" s="21"/>
      <c r="E361" s="21"/>
      <c r="F361" s="21"/>
      <c r="G361" s="21"/>
      <c r="H361" s="21"/>
    </row>
    <row r="362" spans="1:8" s="20" customFormat="1" ht="12.75" x14ac:dyDescent="0.2">
      <c r="A362" s="22"/>
      <c r="C362" s="21"/>
      <c r="D362" s="21"/>
      <c r="E362" s="21"/>
      <c r="F362" s="21"/>
      <c r="G362" s="21"/>
      <c r="H362" s="21"/>
    </row>
    <row r="363" spans="1:8" s="20" customFormat="1" ht="12.75" x14ac:dyDescent="0.2">
      <c r="A363" s="22"/>
      <c r="C363" s="21"/>
      <c r="D363" s="21"/>
      <c r="E363" s="21"/>
      <c r="F363" s="21"/>
      <c r="G363" s="21"/>
      <c r="H363" s="21"/>
    </row>
    <row r="364" spans="1:8" s="20" customFormat="1" ht="12.75" x14ac:dyDescent="0.2">
      <c r="A364" s="22"/>
      <c r="C364" s="21"/>
      <c r="D364" s="21"/>
      <c r="E364" s="21"/>
      <c r="F364" s="21"/>
      <c r="G364" s="21"/>
      <c r="H364" s="21"/>
    </row>
    <row r="365" spans="1:8" s="20" customFormat="1" ht="12.75" x14ac:dyDescent="0.2">
      <c r="A365" s="22"/>
      <c r="C365" s="21"/>
      <c r="D365" s="21"/>
      <c r="E365" s="21"/>
      <c r="F365" s="21"/>
      <c r="G365" s="21"/>
      <c r="H365" s="21"/>
    </row>
    <row r="366" spans="1:8" s="20" customFormat="1" ht="12.75" x14ac:dyDescent="0.2">
      <c r="A366" s="22"/>
      <c r="C366" s="21"/>
      <c r="D366" s="21"/>
      <c r="E366" s="21"/>
      <c r="F366" s="21"/>
      <c r="G366" s="21"/>
      <c r="H366" s="21"/>
    </row>
    <row r="367" spans="1:8" s="20" customFormat="1" ht="12.75" x14ac:dyDescent="0.2">
      <c r="A367" s="22"/>
      <c r="C367" s="21"/>
      <c r="D367" s="21"/>
      <c r="E367" s="21"/>
      <c r="F367" s="21"/>
      <c r="G367" s="21"/>
      <c r="H367" s="21"/>
    </row>
    <row r="368" spans="1:8" s="20" customFormat="1" ht="12.75" x14ac:dyDescent="0.2">
      <c r="A368" s="22"/>
      <c r="C368" s="21"/>
      <c r="D368" s="21"/>
      <c r="E368" s="21"/>
      <c r="F368" s="21"/>
      <c r="G368" s="21"/>
      <c r="H368" s="21"/>
    </row>
    <row r="369" spans="1:8" s="20" customFormat="1" ht="12.75" x14ac:dyDescent="0.2">
      <c r="A369" s="22"/>
      <c r="C369" s="21"/>
      <c r="D369" s="21"/>
      <c r="E369" s="21"/>
      <c r="F369" s="21"/>
      <c r="G369" s="21"/>
      <c r="H369" s="21"/>
    </row>
    <row r="370" spans="1:8" s="20" customFormat="1" ht="12.75" x14ac:dyDescent="0.2">
      <c r="A370" s="22"/>
      <c r="C370" s="21"/>
      <c r="D370" s="21"/>
      <c r="E370" s="21"/>
      <c r="F370" s="21"/>
      <c r="G370" s="21"/>
      <c r="H370" s="21"/>
    </row>
    <row r="371" spans="1:8" s="20" customFormat="1" ht="12.75" x14ac:dyDescent="0.2">
      <c r="A371" s="22"/>
      <c r="C371" s="21"/>
      <c r="D371" s="21"/>
      <c r="E371" s="21"/>
      <c r="F371" s="21"/>
      <c r="G371" s="21"/>
      <c r="H371" s="21"/>
    </row>
    <row r="372" spans="1:8" s="20" customFormat="1" ht="12.75" x14ac:dyDescent="0.2">
      <c r="A372" s="22"/>
      <c r="C372" s="21"/>
      <c r="D372" s="21"/>
      <c r="E372" s="21"/>
      <c r="F372" s="21"/>
      <c r="G372" s="21"/>
      <c r="H372" s="21"/>
    </row>
    <row r="373" spans="1:8" s="20" customFormat="1" ht="12.75" x14ac:dyDescent="0.2">
      <c r="A373" s="22"/>
      <c r="C373" s="21"/>
      <c r="D373" s="21"/>
      <c r="E373" s="21"/>
      <c r="F373" s="21"/>
      <c r="G373" s="21"/>
      <c r="H373" s="21"/>
    </row>
    <row r="374" spans="1:8" s="20" customFormat="1" ht="12.75" x14ac:dyDescent="0.2">
      <c r="A374" s="22"/>
      <c r="C374" s="21"/>
      <c r="D374" s="21"/>
      <c r="E374" s="21"/>
      <c r="F374" s="21"/>
      <c r="G374" s="21"/>
      <c r="H374" s="21"/>
    </row>
    <row r="375" spans="1:8" s="20" customFormat="1" ht="12.75" x14ac:dyDescent="0.2">
      <c r="A375" s="22"/>
      <c r="C375" s="21"/>
      <c r="D375" s="21"/>
      <c r="E375" s="21"/>
      <c r="F375" s="21"/>
      <c r="G375" s="21"/>
      <c r="H375" s="21"/>
    </row>
    <row r="376" spans="1:8" s="20" customFormat="1" ht="12.75" x14ac:dyDescent="0.2">
      <c r="A376" s="22"/>
      <c r="C376" s="21"/>
      <c r="D376" s="21"/>
      <c r="E376" s="21"/>
      <c r="F376" s="21"/>
      <c r="G376" s="21"/>
      <c r="H376" s="21"/>
    </row>
    <row r="377" spans="1:8" s="20" customFormat="1" ht="12.75" x14ac:dyDescent="0.2">
      <c r="A377" s="22"/>
      <c r="C377" s="21"/>
      <c r="D377" s="21"/>
      <c r="E377" s="21"/>
      <c r="F377" s="21"/>
      <c r="G377" s="21"/>
      <c r="H377" s="21"/>
    </row>
    <row r="378" spans="1:8" s="20" customFormat="1" ht="12.75" x14ac:dyDescent="0.2">
      <c r="A378" s="22"/>
      <c r="C378" s="21"/>
      <c r="D378" s="21"/>
      <c r="E378" s="21"/>
      <c r="F378" s="21"/>
      <c r="G378" s="21"/>
      <c r="H378" s="21"/>
    </row>
    <row r="379" spans="1:8" s="20" customFormat="1" ht="12.75" x14ac:dyDescent="0.2">
      <c r="A379" s="22"/>
      <c r="C379" s="21"/>
      <c r="D379" s="21"/>
      <c r="E379" s="21"/>
      <c r="F379" s="21"/>
      <c r="G379" s="21"/>
      <c r="H379" s="21"/>
    </row>
    <row r="380" spans="1:8" s="20" customFormat="1" ht="12.75" x14ac:dyDescent="0.2">
      <c r="A380" s="22"/>
      <c r="C380" s="21"/>
      <c r="D380" s="21"/>
      <c r="E380" s="21"/>
      <c r="F380" s="21"/>
      <c r="G380" s="21"/>
      <c r="H380" s="21"/>
    </row>
    <row r="381" spans="1:8" s="20" customFormat="1" ht="12.75" x14ac:dyDescent="0.2">
      <c r="A381" s="22"/>
      <c r="C381" s="21"/>
      <c r="D381" s="21"/>
      <c r="E381" s="21"/>
      <c r="F381" s="21"/>
      <c r="G381" s="21"/>
      <c r="H381" s="21"/>
    </row>
    <row r="382" spans="1:8" s="20" customFormat="1" ht="12.75" x14ac:dyDescent="0.2">
      <c r="A382" s="22"/>
      <c r="C382" s="21"/>
      <c r="D382" s="21"/>
      <c r="E382" s="21"/>
      <c r="F382" s="21"/>
      <c r="G382" s="21"/>
      <c r="H382" s="21"/>
    </row>
    <row r="383" spans="1:8" s="20" customFormat="1" ht="12.75" x14ac:dyDescent="0.2">
      <c r="A383" s="22"/>
      <c r="C383" s="21"/>
      <c r="D383" s="21"/>
      <c r="E383" s="21"/>
      <c r="F383" s="21"/>
      <c r="G383" s="21"/>
      <c r="H383" s="21"/>
    </row>
    <row r="384" spans="1:8" s="20" customFormat="1" ht="12.75" x14ac:dyDescent="0.2">
      <c r="A384" s="22"/>
      <c r="C384" s="21"/>
      <c r="D384" s="21"/>
      <c r="E384" s="21"/>
      <c r="F384" s="21"/>
      <c r="G384" s="21"/>
      <c r="H384" s="21"/>
    </row>
    <row r="385" spans="1:8" s="20" customFormat="1" ht="12.75" x14ac:dyDescent="0.2">
      <c r="A385" s="22"/>
      <c r="C385" s="21"/>
      <c r="D385" s="21"/>
      <c r="E385" s="21"/>
      <c r="F385" s="21"/>
      <c r="G385" s="21"/>
      <c r="H385" s="21"/>
    </row>
    <row r="386" spans="1:8" s="20" customFormat="1" ht="12.75" x14ac:dyDescent="0.2">
      <c r="A386" s="22"/>
      <c r="C386" s="21"/>
      <c r="D386" s="21"/>
      <c r="E386" s="21"/>
      <c r="F386" s="21"/>
      <c r="G386" s="21"/>
      <c r="H386" s="21"/>
    </row>
    <row r="387" spans="1:8" s="20" customFormat="1" ht="12.75" x14ac:dyDescent="0.2">
      <c r="A387" s="22"/>
      <c r="C387" s="21"/>
      <c r="D387" s="21"/>
      <c r="E387" s="21"/>
      <c r="F387" s="21"/>
      <c r="G387" s="21"/>
      <c r="H387" s="21"/>
    </row>
    <row r="388" spans="1:8" s="20" customFormat="1" ht="12.75" x14ac:dyDescent="0.2">
      <c r="A388" s="22"/>
      <c r="C388" s="21"/>
      <c r="D388" s="21"/>
      <c r="E388" s="21"/>
      <c r="F388" s="21"/>
      <c r="G388" s="21"/>
      <c r="H388" s="21"/>
    </row>
    <row r="389" spans="1:8" s="20" customFormat="1" ht="12.75" x14ac:dyDescent="0.2">
      <c r="A389" s="22"/>
      <c r="C389" s="21"/>
      <c r="D389" s="21"/>
      <c r="E389" s="21"/>
      <c r="F389" s="21"/>
      <c r="G389" s="21"/>
      <c r="H389" s="21"/>
    </row>
    <row r="390" spans="1:8" s="20" customFormat="1" ht="12.75" x14ac:dyDescent="0.2">
      <c r="A390" s="22"/>
      <c r="C390" s="21"/>
      <c r="D390" s="21"/>
      <c r="E390" s="21"/>
      <c r="F390" s="21"/>
      <c r="G390" s="21"/>
      <c r="H390" s="21"/>
    </row>
    <row r="391" spans="1:8" s="20" customFormat="1" ht="12.75" x14ac:dyDescent="0.2">
      <c r="A391" s="22"/>
      <c r="C391" s="21"/>
      <c r="D391" s="21"/>
      <c r="E391" s="21"/>
      <c r="F391" s="21"/>
      <c r="G391" s="21"/>
      <c r="H391" s="21"/>
    </row>
    <row r="392" spans="1:8" s="20" customFormat="1" ht="12.75" x14ac:dyDescent="0.2">
      <c r="A392" s="22"/>
      <c r="C392" s="21"/>
      <c r="D392" s="21"/>
      <c r="E392" s="21"/>
      <c r="F392" s="21"/>
      <c r="G392" s="21"/>
      <c r="H392" s="21"/>
    </row>
    <row r="393" spans="1:8" s="20" customFormat="1" ht="12.75" x14ac:dyDescent="0.2">
      <c r="A393" s="22"/>
      <c r="C393" s="21"/>
      <c r="D393" s="21"/>
      <c r="E393" s="21"/>
      <c r="F393" s="21"/>
      <c r="G393" s="21"/>
      <c r="H393" s="21"/>
    </row>
    <row r="394" spans="1:8" s="20" customFormat="1" ht="12.75" x14ac:dyDescent="0.2">
      <c r="A394" s="22"/>
      <c r="C394" s="21"/>
      <c r="D394" s="21"/>
      <c r="E394" s="21"/>
      <c r="F394" s="21"/>
      <c r="G394" s="21"/>
      <c r="H394" s="21"/>
    </row>
    <row r="395" spans="1:8" s="20" customFormat="1" ht="12.75" x14ac:dyDescent="0.2">
      <c r="A395" s="22"/>
      <c r="C395" s="21"/>
      <c r="D395" s="21"/>
      <c r="E395" s="21"/>
      <c r="F395" s="21"/>
      <c r="G395" s="21"/>
      <c r="H395" s="21"/>
    </row>
    <row r="396" spans="1:8" s="20" customFormat="1" ht="12.75" x14ac:dyDescent="0.2">
      <c r="A396" s="22"/>
      <c r="C396" s="21"/>
      <c r="D396" s="21"/>
      <c r="E396" s="21"/>
      <c r="F396" s="21"/>
      <c r="G396" s="21"/>
      <c r="H396" s="21"/>
    </row>
    <row r="397" spans="1:8" s="20" customFormat="1" ht="12.75" x14ac:dyDescent="0.2">
      <c r="A397" s="22"/>
      <c r="C397" s="21"/>
      <c r="D397" s="21"/>
      <c r="E397" s="21"/>
      <c r="F397" s="21"/>
      <c r="G397" s="21"/>
      <c r="H397" s="21"/>
    </row>
    <row r="398" spans="1:8" s="20" customFormat="1" ht="12.75" x14ac:dyDescent="0.2">
      <c r="A398" s="22"/>
      <c r="C398" s="21"/>
      <c r="D398" s="21"/>
      <c r="E398" s="21"/>
      <c r="F398" s="21"/>
      <c r="G398" s="21"/>
      <c r="H398" s="21"/>
    </row>
    <row r="399" spans="1:8" s="20" customFormat="1" ht="12.75" x14ac:dyDescent="0.2">
      <c r="A399" s="22"/>
      <c r="C399" s="21"/>
      <c r="D399" s="21"/>
      <c r="E399" s="21"/>
      <c r="F399" s="21"/>
      <c r="G399" s="21"/>
      <c r="H399" s="21"/>
    </row>
    <row r="400" spans="1:8" s="20" customFormat="1" ht="12.75" x14ac:dyDescent="0.2">
      <c r="A400" s="22"/>
      <c r="C400" s="21"/>
      <c r="D400" s="21"/>
      <c r="E400" s="21"/>
      <c r="F400" s="21"/>
      <c r="G400" s="21"/>
      <c r="H400" s="21"/>
    </row>
    <row r="401" spans="1:8" s="20" customFormat="1" ht="12.75" x14ac:dyDescent="0.2">
      <c r="A401" s="22"/>
      <c r="C401" s="21"/>
      <c r="D401" s="21"/>
      <c r="E401" s="21"/>
      <c r="F401" s="21"/>
      <c r="G401" s="21"/>
      <c r="H401" s="21"/>
    </row>
    <row r="402" spans="1:8" s="20" customFormat="1" ht="12.75" x14ac:dyDescent="0.2">
      <c r="A402" s="22"/>
      <c r="C402" s="21"/>
      <c r="D402" s="21"/>
      <c r="E402" s="21"/>
      <c r="F402" s="21"/>
      <c r="G402" s="21"/>
      <c r="H402" s="21"/>
    </row>
    <row r="403" spans="1:8" s="20" customFormat="1" ht="12.75" x14ac:dyDescent="0.2">
      <c r="A403" s="22"/>
      <c r="C403" s="21"/>
      <c r="D403" s="21"/>
      <c r="E403" s="21"/>
      <c r="F403" s="21"/>
      <c r="G403" s="21"/>
      <c r="H403" s="21"/>
    </row>
    <row r="404" spans="1:8" s="20" customFormat="1" ht="12.75" x14ac:dyDescent="0.2">
      <c r="A404" s="22"/>
      <c r="C404" s="21"/>
      <c r="D404" s="21"/>
      <c r="E404" s="21"/>
      <c r="F404" s="21"/>
      <c r="G404" s="21"/>
      <c r="H404" s="21"/>
    </row>
    <row r="405" spans="1:8" s="20" customFormat="1" ht="12.75" x14ac:dyDescent="0.2">
      <c r="A405" s="22"/>
      <c r="C405" s="21"/>
      <c r="D405" s="21"/>
      <c r="E405" s="21"/>
      <c r="F405" s="21"/>
      <c r="G405" s="21"/>
      <c r="H405" s="21"/>
    </row>
    <row r="406" spans="1:8" s="20" customFormat="1" ht="12.75" x14ac:dyDescent="0.2">
      <c r="A406" s="22"/>
      <c r="C406" s="21"/>
      <c r="D406" s="21"/>
      <c r="E406" s="21"/>
      <c r="F406" s="21"/>
      <c r="G406" s="21"/>
      <c r="H406" s="21"/>
    </row>
    <row r="407" spans="1:8" s="20" customFormat="1" ht="12.75" x14ac:dyDescent="0.2">
      <c r="A407" s="22"/>
      <c r="C407" s="21"/>
      <c r="D407" s="21"/>
      <c r="E407" s="21"/>
      <c r="F407" s="21"/>
      <c r="G407" s="21"/>
      <c r="H407" s="21"/>
    </row>
    <row r="408" spans="1:8" s="20" customFormat="1" ht="12.75" x14ac:dyDescent="0.2">
      <c r="A408" s="22"/>
      <c r="C408" s="21"/>
      <c r="D408" s="21"/>
      <c r="E408" s="21"/>
      <c r="F408" s="21"/>
      <c r="G408" s="21"/>
      <c r="H408" s="21"/>
    </row>
    <row r="409" spans="1:8" s="20" customFormat="1" ht="12.75" x14ac:dyDescent="0.2">
      <c r="A409" s="22"/>
      <c r="C409" s="21"/>
      <c r="D409" s="21"/>
      <c r="E409" s="21"/>
      <c r="F409" s="21"/>
      <c r="G409" s="21"/>
      <c r="H409" s="21"/>
    </row>
    <row r="410" spans="1:8" s="20" customFormat="1" ht="12.75" x14ac:dyDescent="0.2">
      <c r="A410" s="22"/>
      <c r="C410" s="21"/>
      <c r="D410" s="21"/>
      <c r="E410" s="21"/>
      <c r="F410" s="21"/>
      <c r="G410" s="21"/>
      <c r="H410" s="21"/>
    </row>
    <row r="411" spans="1:8" s="20" customFormat="1" ht="12.75" x14ac:dyDescent="0.2">
      <c r="A411" s="22"/>
      <c r="C411" s="21"/>
      <c r="D411" s="21"/>
      <c r="E411" s="21"/>
      <c r="F411" s="21"/>
      <c r="G411" s="21"/>
      <c r="H411" s="21"/>
    </row>
    <row r="412" spans="1:8" s="20" customFormat="1" ht="12.75" x14ac:dyDescent="0.2">
      <c r="A412" s="22"/>
      <c r="C412" s="21"/>
      <c r="D412" s="21"/>
      <c r="E412" s="21"/>
      <c r="F412" s="21"/>
      <c r="G412" s="21"/>
      <c r="H412" s="21"/>
    </row>
    <row r="413" spans="1:8" s="20" customFormat="1" ht="12.75" x14ac:dyDescent="0.2">
      <c r="A413" s="22"/>
      <c r="C413" s="21"/>
      <c r="D413" s="21"/>
      <c r="E413" s="21"/>
      <c r="F413" s="21"/>
      <c r="G413" s="21"/>
      <c r="H413" s="21"/>
    </row>
    <row r="414" spans="1:8" s="20" customFormat="1" ht="12.75" x14ac:dyDescent="0.2">
      <c r="A414" s="22"/>
      <c r="C414" s="21"/>
      <c r="D414" s="21"/>
      <c r="E414" s="21"/>
      <c r="F414" s="21"/>
      <c r="G414" s="21"/>
      <c r="H414" s="21"/>
    </row>
    <row r="415" spans="1:8" s="20" customFormat="1" ht="12.75" x14ac:dyDescent="0.2">
      <c r="A415" s="22"/>
      <c r="C415" s="21"/>
      <c r="D415" s="21"/>
      <c r="E415" s="21"/>
      <c r="F415" s="21"/>
      <c r="G415" s="21"/>
      <c r="H415" s="21"/>
    </row>
    <row r="416" spans="1:8" s="20" customFormat="1" ht="12.75" x14ac:dyDescent="0.2">
      <c r="A416" s="22"/>
      <c r="C416" s="21"/>
      <c r="D416" s="21"/>
      <c r="E416" s="21"/>
      <c r="F416" s="21"/>
      <c r="G416" s="21"/>
      <c r="H416" s="21"/>
    </row>
    <row r="417" spans="1:8" s="20" customFormat="1" ht="12.75" x14ac:dyDescent="0.2">
      <c r="A417" s="22"/>
      <c r="C417" s="21"/>
      <c r="D417" s="21"/>
      <c r="E417" s="21"/>
      <c r="F417" s="21"/>
      <c r="G417" s="21"/>
      <c r="H417" s="21"/>
    </row>
    <row r="418" spans="1:8" s="20" customFormat="1" ht="12.75" x14ac:dyDescent="0.2">
      <c r="A418" s="22"/>
      <c r="C418" s="21"/>
      <c r="D418" s="21"/>
      <c r="E418" s="21"/>
      <c r="F418" s="21"/>
      <c r="G418" s="21"/>
      <c r="H418" s="21"/>
    </row>
    <row r="419" spans="1:8" s="20" customFormat="1" ht="12.75" x14ac:dyDescent="0.2">
      <c r="A419" s="22"/>
      <c r="C419" s="21"/>
      <c r="D419" s="21"/>
      <c r="E419" s="21"/>
      <c r="F419" s="21"/>
      <c r="G419" s="21"/>
      <c r="H419" s="21"/>
    </row>
    <row r="420" spans="1:8" s="20" customFormat="1" ht="12.75" x14ac:dyDescent="0.2">
      <c r="A420" s="22"/>
      <c r="C420" s="21"/>
      <c r="D420" s="21"/>
      <c r="E420" s="21"/>
      <c r="F420" s="21"/>
      <c r="G420" s="21"/>
      <c r="H420" s="21"/>
    </row>
    <row r="421" spans="1:8" s="20" customFormat="1" ht="12.75" x14ac:dyDescent="0.2">
      <c r="A421" s="22"/>
      <c r="C421" s="21"/>
      <c r="D421" s="21"/>
      <c r="E421" s="21"/>
      <c r="F421" s="21"/>
      <c r="G421" s="21"/>
      <c r="H421" s="21"/>
    </row>
    <row r="422" spans="1:8" s="20" customFormat="1" ht="12.75" x14ac:dyDescent="0.2">
      <c r="A422" s="22"/>
      <c r="C422" s="21"/>
      <c r="D422" s="21"/>
      <c r="E422" s="21"/>
      <c r="F422" s="21"/>
      <c r="G422" s="21"/>
      <c r="H422" s="21"/>
    </row>
    <row r="423" spans="1:8" s="20" customFormat="1" ht="12.75" x14ac:dyDescent="0.2">
      <c r="A423" s="22"/>
      <c r="C423" s="21"/>
      <c r="D423" s="21"/>
      <c r="E423" s="21"/>
      <c r="F423" s="21"/>
      <c r="G423" s="21"/>
      <c r="H423" s="21"/>
    </row>
    <row r="424" spans="1:8" s="20" customFormat="1" ht="12.75" x14ac:dyDescent="0.2">
      <c r="A424" s="22"/>
      <c r="C424" s="21"/>
      <c r="D424" s="21"/>
      <c r="E424" s="21"/>
      <c r="F424" s="21"/>
      <c r="G424" s="21"/>
      <c r="H424" s="21"/>
    </row>
    <row r="425" spans="1:8" s="20" customFormat="1" ht="12.75" x14ac:dyDescent="0.2">
      <c r="A425" s="22"/>
      <c r="C425" s="21"/>
      <c r="D425" s="21"/>
      <c r="E425" s="21"/>
      <c r="F425" s="21"/>
      <c r="G425" s="21"/>
      <c r="H425" s="21"/>
    </row>
    <row r="426" spans="1:8" s="20" customFormat="1" ht="12.75" x14ac:dyDescent="0.2">
      <c r="A426" s="22"/>
      <c r="C426" s="21"/>
      <c r="D426" s="21"/>
      <c r="E426" s="21"/>
      <c r="F426" s="21"/>
      <c r="G426" s="21"/>
      <c r="H426" s="21"/>
    </row>
    <row r="427" spans="1:8" s="20" customFormat="1" ht="12.75" x14ac:dyDescent="0.2">
      <c r="A427" s="22"/>
      <c r="C427" s="21"/>
      <c r="D427" s="21"/>
      <c r="E427" s="21"/>
      <c r="F427" s="21"/>
      <c r="G427" s="21"/>
      <c r="H427" s="21"/>
    </row>
    <row r="428" spans="1:8" s="20" customFormat="1" ht="12.75" x14ac:dyDescent="0.2">
      <c r="A428" s="22"/>
      <c r="C428" s="21"/>
      <c r="D428" s="21"/>
      <c r="E428" s="21"/>
      <c r="F428" s="21"/>
      <c r="G428" s="21"/>
      <c r="H428" s="21"/>
    </row>
    <row r="429" spans="1:8" s="20" customFormat="1" ht="12.75" x14ac:dyDescent="0.2">
      <c r="A429" s="22"/>
      <c r="C429" s="21"/>
      <c r="D429" s="21"/>
      <c r="E429" s="21"/>
      <c r="F429" s="21"/>
      <c r="G429" s="21"/>
      <c r="H429" s="21"/>
    </row>
    <row r="430" spans="1:8" s="20" customFormat="1" ht="12.75" x14ac:dyDescent="0.2">
      <c r="A430" s="22"/>
      <c r="C430" s="21"/>
      <c r="D430" s="21"/>
      <c r="E430" s="21"/>
      <c r="F430" s="21"/>
      <c r="G430" s="21"/>
      <c r="H430" s="21"/>
    </row>
  </sheetData>
  <sheetProtection sheet="1" objects="1" scenarios="1"/>
  <mergeCells count="2">
    <mergeCell ref="A1:H1"/>
    <mergeCell ref="A2:H2"/>
  </mergeCells>
  <pageMargins left="1" right="0.45" top="0.5" bottom="0.6" header="0.3" footer="0.3"/>
  <pageSetup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J332"/>
  <sheetViews>
    <sheetView workbookViewId="0">
      <pane xSplit="2" ySplit="5" topLeftCell="C299" activePane="bottomRight" state="frozen"/>
      <selection pane="topRight" activeCell="C1" sqref="C1"/>
      <selection pane="bottomLeft" activeCell="A7" sqref="A7"/>
      <selection pane="bottomRight" sqref="A1:I1"/>
    </sheetView>
  </sheetViews>
  <sheetFormatPr defaultRowHeight="12.75" x14ac:dyDescent="0.2"/>
  <cols>
    <col min="1" max="1" width="9.140625" style="22" customWidth="1"/>
    <col min="2" max="2" width="24.5703125" style="20" bestFit="1" customWidth="1"/>
    <col min="3" max="8" width="15.140625" style="21" customWidth="1"/>
    <col min="9" max="9" width="16" style="21" bestFit="1" customWidth="1"/>
    <col min="10" max="16384" width="9.140625" style="20"/>
  </cols>
  <sheetData>
    <row r="1" spans="1:10" s="14" customFormat="1" ht="17.25" customHeight="1" x14ac:dyDescent="0.3">
      <c r="A1" s="190" t="str">
        <f>CONCATENATE("FY ",Notes!B1," Budget for State Payment to School Districts (Budget by Source)")</f>
        <v>FY 2025 Budget for State Payment to School Districts (Budget by Source)</v>
      </c>
      <c r="B1" s="190"/>
      <c r="C1" s="190"/>
      <c r="D1" s="190"/>
      <c r="E1" s="190"/>
      <c r="F1" s="190"/>
      <c r="G1" s="190"/>
      <c r="H1" s="190"/>
      <c r="I1" s="190"/>
      <c r="J1" s="27"/>
    </row>
    <row r="2" spans="1:10" s="14" customFormat="1" ht="11.25" customHeight="1" x14ac:dyDescent="0.2">
      <c r="A2" s="13"/>
      <c r="B2" s="27"/>
      <c r="C2" s="28" t="s">
        <v>7</v>
      </c>
      <c r="D2" s="29" t="s">
        <v>8</v>
      </c>
      <c r="E2" s="29" t="s">
        <v>9</v>
      </c>
      <c r="F2" s="29" t="s">
        <v>10</v>
      </c>
      <c r="G2" s="29" t="s">
        <v>13</v>
      </c>
      <c r="H2" s="29" t="s">
        <v>14</v>
      </c>
      <c r="I2" s="29" t="s">
        <v>15</v>
      </c>
    </row>
    <row r="3" spans="1:10" s="14" customFormat="1" x14ac:dyDescent="0.2">
      <c r="A3" s="13"/>
      <c r="C3" s="30"/>
      <c r="D3" s="30"/>
      <c r="E3" s="30"/>
      <c r="F3" s="30"/>
      <c r="G3" s="30"/>
      <c r="H3" s="30"/>
      <c r="I3" s="30" t="s">
        <v>16</v>
      </c>
    </row>
    <row r="4" spans="1:10" s="14" customFormat="1" ht="38.25" hidden="1" x14ac:dyDescent="0.2">
      <c r="A4" s="16"/>
      <c r="B4" s="17" t="str">
        <f>Data[[#Headers],[Label]]</f>
        <v>Label</v>
      </c>
      <c r="C4" s="17" t="str">
        <f>Data[[#Headers],[Preschool State Aid (Code 3117)]]</f>
        <v>Preschool State Aid (Code 3117)</v>
      </c>
      <c r="D4" s="17" t="str">
        <f>Data[[#Headers],[Teacher Salary (Code 3204)]]</f>
        <v>Teacher Salary (Code 3204)</v>
      </c>
      <c r="E4" s="17" t="str">
        <f>Data[[#Headers],[Early Intervention (Code 3216)]]</f>
        <v>Early Intervention (Code 3216)</v>
      </c>
      <c r="F4" s="17" t="str">
        <f>Data[[#Headers],[Professional Development (Code 3376)]]</f>
        <v>Professional Development (Code 3376)</v>
      </c>
      <c r="G4" s="17" t="str">
        <f>Data[[#Headers],[Teacher Leadership (Code 3116)]]</f>
        <v>Teacher Leadership (Code 3116)</v>
      </c>
      <c r="H4" s="17" t="str">
        <f>Notes!B4</f>
        <v>Pay 2 State Foundation Aid (Code 3111)</v>
      </c>
      <c r="I4" s="17" t="str">
        <f>Notes!B3</f>
        <v>Pay 2 Regular State Payment Budget</v>
      </c>
    </row>
    <row r="5" spans="1:10" s="14" customFormat="1" ht="42" customHeight="1" x14ac:dyDescent="0.2">
      <c r="A5" s="13"/>
      <c r="C5" s="31" t="s">
        <v>746</v>
      </c>
      <c r="D5" s="31" t="s">
        <v>698</v>
      </c>
      <c r="E5" s="31" t="s">
        <v>356</v>
      </c>
      <c r="F5" s="31" t="s">
        <v>357</v>
      </c>
      <c r="G5" s="31" t="s">
        <v>745</v>
      </c>
      <c r="H5" s="31" t="s">
        <v>747</v>
      </c>
      <c r="I5" s="31" t="s">
        <v>354</v>
      </c>
    </row>
    <row r="6" spans="1:10" x14ac:dyDescent="0.2">
      <c r="A6" s="19" t="str">
        <f>Data!B2</f>
        <v>0009</v>
      </c>
      <c r="B6" s="20" t="str">
        <f>INDEX(Data[],MATCH($A6,Data[Dist],0),MATCH(B$4,Data[#Headers],0))</f>
        <v>AGWSR</v>
      </c>
      <c r="C6" s="21">
        <f>INDEX(Data[],MATCH($A6,Data[Dist],0),MATCH(C$4,Data[#Headers],0))</f>
        <v>124685</v>
      </c>
      <c r="D6" s="21">
        <f>INDEX(Data[],MATCH($A6,Data[Dist],0),MATCH(D$4,Data[#Headers],0))</f>
        <v>641999</v>
      </c>
      <c r="E6" s="21">
        <f>INDEX(Data[],MATCH($A6,Data[Dist],0),MATCH(E$4,Data[#Headers],0))</f>
        <v>49619</v>
      </c>
      <c r="F6" s="21">
        <f>INDEX(Data[],MATCH($A6,Data[Dist],0),MATCH(F$4,Data[#Headers],0))</f>
        <v>54876</v>
      </c>
      <c r="G6" s="21">
        <f>INDEX(Data[],MATCH($A6,Data[Dist],0),MATCH(G$4,Data[#Headers],0))</f>
        <v>273182</v>
      </c>
      <c r="H6" s="21">
        <f>INDEX(Data[],MATCH($A6,Data[Dist],0),MATCH(H$4,Data[#Headers],0))</f>
        <v>3180091</v>
      </c>
      <c r="I6" s="21">
        <f>INDEX(Data[],MATCH($A6,Data[Dist],0),MATCH(I$4,Data[#Headers],0))</f>
        <v>4324452</v>
      </c>
      <c r="J6" s="22"/>
    </row>
    <row r="7" spans="1:10" x14ac:dyDescent="0.2">
      <c r="A7" s="19" t="str">
        <f>Data!B3</f>
        <v>0018</v>
      </c>
      <c r="B7" s="20" t="str">
        <f>INDEX(Data[],MATCH($A7,Data[Dist],0),MATCH(B$4,Data[#Headers],0))</f>
        <v>Adair-Casey</v>
      </c>
      <c r="C7" s="21">
        <f>INDEX(Data[],MATCH($A7,Data[Dist],0),MATCH(C$4,Data[#Headers],0))</f>
        <v>54550</v>
      </c>
      <c r="D7" s="21">
        <f>INDEX(Data[],MATCH($A7,Data[Dist],0),MATCH(D$4,Data[#Headers],0))</f>
        <v>342486</v>
      </c>
      <c r="E7" s="21">
        <f>INDEX(Data[],MATCH($A7,Data[Dist],0),MATCH(E$4,Data[#Headers],0))</f>
        <v>24155</v>
      </c>
      <c r="F7" s="21">
        <f>INDEX(Data[],MATCH($A7,Data[Dist],0),MATCH(F$4,Data[#Headers],0))</f>
        <v>21907</v>
      </c>
      <c r="G7" s="21">
        <f>INDEX(Data[],MATCH($A7,Data[Dist],0),MATCH(G$4,Data[#Headers],0))</f>
        <v>112881</v>
      </c>
      <c r="H7" s="21">
        <f>INDEX(Data[],MATCH($A7,Data[Dist],0),MATCH(H$4,Data[#Headers],0))</f>
        <v>1434337</v>
      </c>
      <c r="I7" s="21">
        <f>INDEX(Data[],MATCH($A7,Data[Dist],0),MATCH(I$4,Data[#Headers],0))</f>
        <v>1990316</v>
      </c>
      <c r="J7" s="22"/>
    </row>
    <row r="8" spans="1:10" x14ac:dyDescent="0.2">
      <c r="A8" s="19" t="str">
        <f>Data!B4</f>
        <v>0027</v>
      </c>
      <c r="B8" s="20" t="str">
        <f>INDEX(Data[],MATCH($A8,Data[Dist],0),MATCH(B$4,Data[#Headers],0))</f>
        <v>Adel-Desoto-Minburn</v>
      </c>
      <c r="C8" s="21">
        <f>INDEX(Data[],MATCH($A8,Data[Dist],0),MATCH(C$4,Data[#Headers],0))</f>
        <v>218199</v>
      </c>
      <c r="D8" s="21">
        <f>INDEX(Data[],MATCH($A8,Data[Dist],0),MATCH(D$4,Data[#Headers],0))</f>
        <v>1729937</v>
      </c>
      <c r="E8" s="21">
        <f>INDEX(Data[],MATCH($A8,Data[Dist],0),MATCH(E$4,Data[#Headers],0))</f>
        <v>169322</v>
      </c>
      <c r="F8" s="21">
        <f>INDEX(Data[],MATCH($A8,Data[Dist],0),MATCH(F$4,Data[#Headers],0))</f>
        <v>161766</v>
      </c>
      <c r="G8" s="21">
        <f>INDEX(Data[],MATCH($A8,Data[Dist],0),MATCH(G$4,Data[#Headers],0))</f>
        <v>822529</v>
      </c>
      <c r="H8" s="21">
        <f>INDEX(Data[],MATCH($A8,Data[Dist],0),MATCH(H$4,Data[#Headers],0))</f>
        <v>13579656</v>
      </c>
      <c r="I8" s="21">
        <f>INDEX(Data[],MATCH($A8,Data[Dist],0),MATCH(I$4,Data[#Headers],0))</f>
        <v>16681409</v>
      </c>
      <c r="J8" s="22"/>
    </row>
    <row r="9" spans="1:10" x14ac:dyDescent="0.2">
      <c r="A9" s="19" t="str">
        <f>Data!B5</f>
        <v>0063</v>
      </c>
      <c r="B9" s="20" t="str">
        <f>INDEX(Data[],MATCH($A9,Data[Dist],0),MATCH(B$4,Data[#Headers],0))</f>
        <v>Akron-Westfield</v>
      </c>
      <c r="C9" s="21">
        <f>INDEX(Data[],MATCH($A9,Data[Dist],0),MATCH(C$4,Data[#Headers],0))</f>
        <v>97410</v>
      </c>
      <c r="D9" s="21">
        <f>INDEX(Data[],MATCH($A9,Data[Dist],0),MATCH(D$4,Data[#Headers],0))</f>
        <v>497907</v>
      </c>
      <c r="E9" s="21">
        <f>INDEX(Data[],MATCH($A9,Data[Dist],0),MATCH(E$4,Data[#Headers],0))</f>
        <v>43351</v>
      </c>
      <c r="F9" s="21">
        <f>INDEX(Data[],MATCH($A9,Data[Dist],0),MATCH(F$4,Data[#Headers],0))</f>
        <v>44227</v>
      </c>
      <c r="G9" s="21">
        <f>INDEX(Data[],MATCH($A9,Data[Dist],0),MATCH(G$4,Data[#Headers],0))</f>
        <v>204924</v>
      </c>
      <c r="H9" s="21">
        <f>INDEX(Data[],MATCH($A9,Data[Dist],0),MATCH(H$4,Data[#Headers],0))</f>
        <v>3132891</v>
      </c>
      <c r="I9" s="21">
        <f>INDEX(Data[],MATCH($A9,Data[Dist],0),MATCH(I$4,Data[#Headers],0))</f>
        <v>4020710</v>
      </c>
      <c r="J9" s="22"/>
    </row>
    <row r="10" spans="1:10" x14ac:dyDescent="0.2">
      <c r="A10" s="19" t="str">
        <f>Data!B6</f>
        <v>0072</v>
      </c>
      <c r="B10" s="20" t="str">
        <f>INDEX(Data[],MATCH($A10,Data[Dist],0),MATCH(B$4,Data[#Headers],0))</f>
        <v>Albert City-Truesdale</v>
      </c>
      <c r="C10" s="21">
        <f>INDEX(Data[],MATCH($A10,Data[Dist],0),MATCH(C$4,Data[#Headers],0))</f>
        <v>38964</v>
      </c>
      <c r="D10" s="21">
        <f>INDEX(Data[],MATCH($A10,Data[Dist],0),MATCH(D$4,Data[#Headers],0))</f>
        <v>247230</v>
      </c>
      <c r="E10" s="21">
        <f>INDEX(Data[],MATCH($A10,Data[Dist],0),MATCH(E$4,Data[#Headers],0))</f>
        <v>11328</v>
      </c>
      <c r="F10" s="21">
        <f>INDEX(Data[],MATCH($A10,Data[Dist],0),MATCH(F$4,Data[#Headers],0))</f>
        <v>10813</v>
      </c>
      <c r="G10" s="21">
        <f>INDEX(Data[],MATCH($A10,Data[Dist],0),MATCH(G$4,Data[#Headers],0))</f>
        <v>77550</v>
      </c>
      <c r="H10" s="21">
        <f>INDEX(Data[],MATCH($A10,Data[Dist],0),MATCH(H$4,Data[#Headers],0))</f>
        <v>629753</v>
      </c>
      <c r="I10" s="21">
        <f>INDEX(Data[],MATCH($A10,Data[Dist],0),MATCH(I$4,Data[#Headers],0))</f>
        <v>1015638</v>
      </c>
      <c r="J10" s="22"/>
    </row>
    <row r="11" spans="1:10" x14ac:dyDescent="0.2">
      <c r="A11" s="19" t="str">
        <f>Data!B7</f>
        <v>0081</v>
      </c>
      <c r="B11" s="20" t="str">
        <f>INDEX(Data[],MATCH($A11,Data[Dist],0),MATCH(B$4,Data[#Headers],0))</f>
        <v>Albia</v>
      </c>
      <c r="C11" s="21">
        <f>INDEX(Data[],MATCH($A11,Data[Dist],0),MATCH(C$4,Data[#Headers],0))</f>
        <v>229888</v>
      </c>
      <c r="D11" s="21">
        <f>INDEX(Data[],MATCH($A11,Data[Dist],0),MATCH(D$4,Data[#Headers],0))</f>
        <v>868579</v>
      </c>
      <c r="E11" s="21">
        <f>INDEX(Data[],MATCH($A11,Data[Dist],0),MATCH(E$4,Data[#Headers],0))</f>
        <v>81079</v>
      </c>
      <c r="F11" s="21">
        <f>INDEX(Data[],MATCH($A11,Data[Dist],0),MATCH(F$4,Data[#Headers],0))</f>
        <v>82316</v>
      </c>
      <c r="G11" s="21">
        <f>INDEX(Data[],MATCH($A11,Data[Dist],0),MATCH(G$4,Data[#Headers],0))</f>
        <v>409886</v>
      </c>
      <c r="H11" s="21">
        <f>INDEX(Data[],MATCH($A11,Data[Dist],0),MATCH(H$4,Data[#Headers],0))</f>
        <v>6895185</v>
      </c>
      <c r="I11" s="21">
        <f>INDEX(Data[],MATCH($A11,Data[Dist],0),MATCH(I$4,Data[#Headers],0))</f>
        <v>8566933</v>
      </c>
      <c r="J11" s="22"/>
    </row>
    <row r="12" spans="1:10" x14ac:dyDescent="0.2">
      <c r="A12" s="19" t="str">
        <f>Data!B8</f>
        <v>0099</v>
      </c>
      <c r="B12" s="20" t="str">
        <f>INDEX(Data[],MATCH($A12,Data[Dist],0),MATCH(B$4,Data[#Headers],0))</f>
        <v>Alburnett</v>
      </c>
      <c r="C12" s="21">
        <f>INDEX(Data[],MATCH($A12,Data[Dist],0),MATCH(C$4,Data[#Headers],0))</f>
        <v>132478</v>
      </c>
      <c r="D12" s="21">
        <f>INDEX(Data[],MATCH($A12,Data[Dist],0),MATCH(D$4,Data[#Headers],0))</f>
        <v>524627</v>
      </c>
      <c r="E12" s="21">
        <f>INDEX(Data[],MATCH($A12,Data[Dist],0),MATCH(E$4,Data[#Headers],0))</f>
        <v>37760</v>
      </c>
      <c r="F12" s="21">
        <f>INDEX(Data[],MATCH($A12,Data[Dist],0),MATCH(F$4,Data[#Headers],0))</f>
        <v>43510</v>
      </c>
      <c r="G12" s="21">
        <f>INDEX(Data[],MATCH($A12,Data[Dist],0),MATCH(G$4,Data[#Headers],0))</f>
        <v>210439</v>
      </c>
      <c r="H12" s="21">
        <f>INDEX(Data[],MATCH($A12,Data[Dist],0),MATCH(H$4,Data[#Headers],0))</f>
        <v>2750683</v>
      </c>
      <c r="I12" s="21">
        <f>INDEX(Data[],MATCH($A12,Data[Dist],0),MATCH(I$4,Data[#Headers],0))</f>
        <v>3699497</v>
      </c>
      <c r="J12" s="22"/>
    </row>
    <row r="13" spans="1:10" x14ac:dyDescent="0.2">
      <c r="A13" s="19" t="str">
        <f>Data!B9</f>
        <v>0108</v>
      </c>
      <c r="B13" s="20" t="str">
        <f>INDEX(Data[],MATCH($A13,Data[Dist],0),MATCH(B$4,Data[#Headers],0))</f>
        <v>Alden</v>
      </c>
      <c r="C13" s="21">
        <f>INDEX(Data[],MATCH($A13,Data[Dist],0),MATCH(C$4,Data[#Headers],0))</f>
        <v>81825</v>
      </c>
      <c r="D13" s="21">
        <f>INDEX(Data[],MATCH($A13,Data[Dist],0),MATCH(D$4,Data[#Headers],0))</f>
        <v>321893</v>
      </c>
      <c r="E13" s="21">
        <f>INDEX(Data[],MATCH($A13,Data[Dist],0),MATCH(E$4,Data[#Headers],0))</f>
        <v>23694</v>
      </c>
      <c r="F13" s="21">
        <f>INDEX(Data[],MATCH($A13,Data[Dist],0),MATCH(F$4,Data[#Headers],0))</f>
        <v>18593</v>
      </c>
      <c r="G13" s="21">
        <f>INDEX(Data[],MATCH($A13,Data[Dist],0),MATCH(G$4,Data[#Headers],0))</f>
        <v>100970</v>
      </c>
      <c r="H13" s="21">
        <f>INDEX(Data[],MATCH($A13,Data[Dist],0),MATCH(H$4,Data[#Headers],0))</f>
        <v>1296121</v>
      </c>
      <c r="I13" s="21">
        <f>INDEX(Data[],MATCH($A13,Data[Dist],0),MATCH(I$4,Data[#Headers],0))</f>
        <v>1843096</v>
      </c>
      <c r="J13" s="22"/>
    </row>
    <row r="14" spans="1:10" x14ac:dyDescent="0.2">
      <c r="A14" s="19" t="str">
        <f>Data!B10</f>
        <v>0126</v>
      </c>
      <c r="B14" s="20" t="str">
        <f>INDEX(Data[],MATCH($A14,Data[Dist],0),MATCH(B$4,Data[#Headers],0))</f>
        <v>Algona</v>
      </c>
      <c r="C14" s="21">
        <f>INDEX(Data[],MATCH($A14,Data[Dist],0),MATCH(C$4,Data[#Headers],0))</f>
        <v>467806</v>
      </c>
      <c r="D14" s="21">
        <f>INDEX(Data[],MATCH($A14,Data[Dist],0),MATCH(D$4,Data[#Headers],0))</f>
        <v>1184105</v>
      </c>
      <c r="E14" s="21">
        <f>INDEX(Data[],MATCH($A14,Data[Dist],0),MATCH(E$4,Data[#Headers],0))</f>
        <v>106268</v>
      </c>
      <c r="F14" s="21">
        <f>INDEX(Data[],MATCH($A14,Data[Dist],0),MATCH(F$4,Data[#Headers],0))</f>
        <v>126718</v>
      </c>
      <c r="G14" s="21">
        <f>INDEX(Data[],MATCH($A14,Data[Dist],0),MATCH(G$4,Data[#Headers],0))</f>
        <v>588330</v>
      </c>
      <c r="H14" s="21">
        <f>INDEX(Data[],MATCH($A14,Data[Dist],0),MATCH(H$4,Data[#Headers],0))</f>
        <v>6218560</v>
      </c>
      <c r="I14" s="21">
        <f>INDEX(Data[],MATCH($A14,Data[Dist],0),MATCH(I$4,Data[#Headers],0))</f>
        <v>8691787</v>
      </c>
      <c r="J14" s="22"/>
    </row>
    <row r="15" spans="1:10" x14ac:dyDescent="0.2">
      <c r="A15" s="19" t="str">
        <f>Data!B11</f>
        <v>0135</v>
      </c>
      <c r="B15" s="20" t="str">
        <f>INDEX(Data[],MATCH($A15,Data[Dist],0),MATCH(B$4,Data[#Headers],0))</f>
        <v>Allamakee</v>
      </c>
      <c r="C15" s="21">
        <f>INDEX(Data[],MATCH($A15,Data[Dist],0),MATCH(C$4,Data[#Headers],0))</f>
        <v>276645</v>
      </c>
      <c r="D15" s="21">
        <f>INDEX(Data[],MATCH($A15,Data[Dist],0),MATCH(D$4,Data[#Headers],0))</f>
        <v>1027853</v>
      </c>
      <c r="E15" s="21">
        <f>INDEX(Data[],MATCH($A15,Data[Dist],0),MATCH(E$4,Data[#Headers],0))</f>
        <v>93451</v>
      </c>
      <c r="F15" s="21">
        <f>INDEX(Data[],MATCH($A15,Data[Dist],0),MATCH(F$4,Data[#Headers],0))</f>
        <v>85157</v>
      </c>
      <c r="G15" s="21">
        <f>INDEX(Data[],MATCH($A15,Data[Dist],0),MATCH(G$4,Data[#Headers],0))</f>
        <v>454723</v>
      </c>
      <c r="H15" s="21">
        <f>INDEX(Data[],MATCH($A15,Data[Dist],0),MATCH(H$4,Data[#Headers],0))</f>
        <v>5832450</v>
      </c>
      <c r="I15" s="21">
        <f>INDEX(Data[],MATCH($A15,Data[Dist],0),MATCH(I$4,Data[#Headers],0))</f>
        <v>7770279</v>
      </c>
      <c r="J15" s="22"/>
    </row>
    <row r="16" spans="1:10" x14ac:dyDescent="0.2">
      <c r="A16" s="19" t="str">
        <f>Data!B12</f>
        <v>0153</v>
      </c>
      <c r="B16" s="20" t="str">
        <f>INDEX(Data[],MATCH($A16,Data[Dist],0),MATCH(B$4,Data[#Headers],0))</f>
        <v>North Butler</v>
      </c>
      <c r="C16" s="21">
        <f>INDEX(Data[],MATCH($A16,Data[Dist],0),MATCH(C$4,Data[#Headers],0))</f>
        <v>97410</v>
      </c>
      <c r="D16" s="21">
        <f>INDEX(Data[],MATCH($A16,Data[Dist],0),MATCH(D$4,Data[#Headers],0))</f>
        <v>507903</v>
      </c>
      <c r="E16" s="21">
        <f>INDEX(Data[],MATCH($A16,Data[Dist],0),MATCH(E$4,Data[#Headers],0))</f>
        <v>38335</v>
      </c>
      <c r="F16" s="21">
        <f>INDEX(Data[],MATCH($A16,Data[Dist],0),MATCH(F$4,Data[#Headers],0))</f>
        <v>44270</v>
      </c>
      <c r="G16" s="21">
        <f>INDEX(Data[],MATCH($A16,Data[Dist],0),MATCH(G$4,Data[#Headers],0))</f>
        <v>197753</v>
      </c>
      <c r="H16" s="21">
        <f>INDEX(Data[],MATCH($A16,Data[Dist],0),MATCH(H$4,Data[#Headers],0))</f>
        <v>2686472</v>
      </c>
      <c r="I16" s="21">
        <f>INDEX(Data[],MATCH($A16,Data[Dist],0),MATCH(I$4,Data[#Headers],0))</f>
        <v>3572143</v>
      </c>
      <c r="J16" s="22"/>
    </row>
    <row r="17" spans="1:10" x14ac:dyDescent="0.2">
      <c r="A17" s="19" t="str">
        <f>Data!B13</f>
        <v>0171</v>
      </c>
      <c r="B17" s="20" t="str">
        <f>INDEX(Data[],MATCH($A17,Data[Dist],0),MATCH(B$4,Data[#Headers],0))</f>
        <v>Alta-Aurelia</v>
      </c>
      <c r="C17" s="21">
        <f>INDEX(Data[],MATCH($A17,Data[Dist],0),MATCH(C$4,Data[#Headers],0))</f>
        <v>198717</v>
      </c>
      <c r="D17" s="21">
        <f>INDEX(Data[],MATCH($A17,Data[Dist],0),MATCH(D$4,Data[#Headers],0))</f>
        <v>827873</v>
      </c>
      <c r="E17" s="21">
        <f>INDEX(Data[],MATCH($A17,Data[Dist],0),MATCH(E$4,Data[#Headers],0))</f>
        <v>75803</v>
      </c>
      <c r="F17" s="21">
        <f>INDEX(Data[],MATCH($A17,Data[Dist],0),MATCH(F$4,Data[#Headers],0))</f>
        <v>71046</v>
      </c>
      <c r="G17" s="21">
        <f>INDEX(Data[],MATCH($A17,Data[Dist],0),MATCH(G$4,Data[#Headers],0))</f>
        <v>321653</v>
      </c>
      <c r="H17" s="21">
        <f>INDEX(Data[],MATCH($A17,Data[Dist],0),MATCH(H$4,Data[#Headers],0))</f>
        <v>3730162</v>
      </c>
      <c r="I17" s="21">
        <f>INDEX(Data[],MATCH($A17,Data[Dist],0),MATCH(I$4,Data[#Headers],0))</f>
        <v>5225254</v>
      </c>
      <c r="J17" s="22"/>
    </row>
    <row r="18" spans="1:10" x14ac:dyDescent="0.2">
      <c r="A18" s="19" t="str">
        <f>Data!B14</f>
        <v>0225</v>
      </c>
      <c r="B18" s="20" t="str">
        <f>INDEX(Data[],MATCH($A18,Data[Dist],0),MATCH(B$4,Data[#Headers],0))</f>
        <v>Ames</v>
      </c>
      <c r="C18" s="21">
        <f>INDEX(Data[],MATCH($A18,Data[Dist],0),MATCH(C$4,Data[#Headers],0))</f>
        <v>915815</v>
      </c>
      <c r="D18" s="21">
        <f>INDEX(Data[],MATCH($A18,Data[Dist],0),MATCH(D$4,Data[#Headers],0))</f>
        <v>3379823</v>
      </c>
      <c r="E18" s="21">
        <f>INDEX(Data[],MATCH($A18,Data[Dist],0),MATCH(E$4,Data[#Headers],0))</f>
        <v>350983</v>
      </c>
      <c r="F18" s="21">
        <f>INDEX(Data[],MATCH($A18,Data[Dist],0),MATCH(F$4,Data[#Headers],0))</f>
        <v>377782</v>
      </c>
      <c r="G18" s="21">
        <f>INDEX(Data[],MATCH($A18,Data[Dist],0),MATCH(G$4,Data[#Headers],0))</f>
        <v>1751392</v>
      </c>
      <c r="H18" s="21">
        <f>INDEX(Data[],MATCH($A18,Data[Dist],0),MATCH(H$4,Data[#Headers],0))</f>
        <v>19611741</v>
      </c>
      <c r="I18" s="21">
        <f>INDEX(Data[],MATCH($A18,Data[Dist],0),MATCH(I$4,Data[#Headers],0))</f>
        <v>26387536</v>
      </c>
      <c r="J18" s="22"/>
    </row>
    <row r="19" spans="1:10" x14ac:dyDescent="0.2">
      <c r="A19" s="19" t="str">
        <f>Data!B15</f>
        <v>0234</v>
      </c>
      <c r="B19" s="20" t="str">
        <f>INDEX(Data[],MATCH($A19,Data[Dist],0),MATCH(B$4,Data[#Headers],0))</f>
        <v>Anamosa</v>
      </c>
      <c r="C19" s="21">
        <f>INDEX(Data[],MATCH($A19,Data[Dist],0),MATCH(C$4,Data[#Headers],0))</f>
        <v>257163</v>
      </c>
      <c r="D19" s="21">
        <f>INDEX(Data[],MATCH($A19,Data[Dist],0),MATCH(D$4,Data[#Headers],0))</f>
        <v>1175640</v>
      </c>
      <c r="E19" s="21">
        <f>INDEX(Data[],MATCH($A19,Data[Dist],0),MATCH(E$4,Data[#Headers],0))</f>
        <v>96182</v>
      </c>
      <c r="F19" s="21">
        <f>INDEX(Data[],MATCH($A19,Data[Dist],0),MATCH(F$4,Data[#Headers],0))</f>
        <v>106080</v>
      </c>
      <c r="G19" s="21">
        <f>INDEX(Data[],MATCH($A19,Data[Dist],0),MATCH(G$4,Data[#Headers],0))</f>
        <v>484943</v>
      </c>
      <c r="H19" s="21">
        <f>INDEX(Data[],MATCH($A19,Data[Dist],0),MATCH(H$4,Data[#Headers],0))</f>
        <v>7354176</v>
      </c>
      <c r="I19" s="21">
        <f>INDEX(Data[],MATCH($A19,Data[Dist],0),MATCH(I$4,Data[#Headers],0))</f>
        <v>9474184</v>
      </c>
      <c r="J19" s="22"/>
    </row>
    <row r="20" spans="1:10" x14ac:dyDescent="0.2">
      <c r="A20" s="19" t="str">
        <f>Data!B16</f>
        <v>0243</v>
      </c>
      <c r="B20" s="20" t="str">
        <f>INDEX(Data[],MATCH($A20,Data[Dist],0),MATCH(B$4,Data[#Headers],0))</f>
        <v>Andrew</v>
      </c>
      <c r="C20" s="21">
        <f>INDEX(Data[],MATCH($A20,Data[Dist],0),MATCH(C$4,Data[#Headers],0))</f>
        <v>77928</v>
      </c>
      <c r="D20" s="21">
        <f>INDEX(Data[],MATCH($A20,Data[Dist],0),MATCH(D$4,Data[#Headers],0))</f>
        <v>281792</v>
      </c>
      <c r="E20" s="21">
        <f>INDEX(Data[],MATCH($A20,Data[Dist],0),MATCH(E$4,Data[#Headers],0))</f>
        <v>21069</v>
      </c>
      <c r="F20" s="21">
        <f>INDEX(Data[],MATCH($A20,Data[Dist],0),MATCH(F$4,Data[#Headers],0))</f>
        <v>18509</v>
      </c>
      <c r="G20" s="21">
        <f>INDEX(Data[],MATCH($A20,Data[Dist],0),MATCH(G$4,Data[#Headers],0))</f>
        <v>88391</v>
      </c>
      <c r="H20" s="21">
        <f>INDEX(Data[],MATCH($A20,Data[Dist],0),MATCH(H$4,Data[#Headers],0))</f>
        <v>1186820</v>
      </c>
      <c r="I20" s="21">
        <f>INDEX(Data[],MATCH($A20,Data[Dist],0),MATCH(I$4,Data[#Headers],0))</f>
        <v>1674509</v>
      </c>
      <c r="J20" s="22"/>
    </row>
    <row r="21" spans="1:10" x14ac:dyDescent="0.2">
      <c r="A21" s="19" t="str">
        <f>Data!B17</f>
        <v>0261</v>
      </c>
      <c r="B21" s="20" t="str">
        <f>INDEX(Data[],MATCH($A21,Data[Dist],0),MATCH(B$4,Data[#Headers],0))</f>
        <v>Ankeny</v>
      </c>
      <c r="C21" s="21">
        <f>INDEX(Data[],MATCH($A21,Data[Dist],0),MATCH(C$4,Data[#Headers],0))</f>
        <v>1016964</v>
      </c>
      <c r="D21" s="21">
        <f>INDEX(Data[],MATCH($A21,Data[Dist],0),MATCH(D$4,Data[#Headers],0))</f>
        <v>9135057</v>
      </c>
      <c r="E21" s="21">
        <f>INDEX(Data[],MATCH($A21,Data[Dist],0),MATCH(E$4,Data[#Headers],0))</f>
        <v>944353</v>
      </c>
      <c r="F21" s="21">
        <f>INDEX(Data[],MATCH($A21,Data[Dist],0),MATCH(F$4,Data[#Headers],0))</f>
        <v>895489</v>
      </c>
      <c r="G21" s="21">
        <f>INDEX(Data[],MATCH($A21,Data[Dist],0),MATCH(G$4,Data[#Headers],0))</f>
        <v>4935249</v>
      </c>
      <c r="H21" s="21">
        <f>INDEX(Data[],MATCH($A21,Data[Dist],0),MATCH(H$4,Data[#Headers],0))</f>
        <v>70491274</v>
      </c>
      <c r="I21" s="21">
        <f>INDEX(Data[],MATCH($A21,Data[Dist],0),MATCH(I$4,Data[#Headers],0))</f>
        <v>87418386</v>
      </c>
      <c r="J21" s="22"/>
    </row>
    <row r="22" spans="1:10" x14ac:dyDescent="0.2">
      <c r="A22" s="19" t="str">
        <f>Data!B18</f>
        <v>0279</v>
      </c>
      <c r="B22" s="20" t="str">
        <f>INDEX(Data[],MATCH($A22,Data[Dist],0),MATCH(B$4,Data[#Headers],0))</f>
        <v>Aplington-Parkersburg</v>
      </c>
      <c r="C22" s="21">
        <f>INDEX(Data[],MATCH($A22,Data[Dist],0),MATCH(C$4,Data[#Headers],0))</f>
        <v>159753</v>
      </c>
      <c r="D22" s="21">
        <f>INDEX(Data[],MATCH($A22,Data[Dist],0),MATCH(D$4,Data[#Headers],0))</f>
        <v>722771</v>
      </c>
      <c r="E22" s="21">
        <f>INDEX(Data[],MATCH($A22,Data[Dist],0),MATCH(E$4,Data[#Headers],0))</f>
        <v>73466</v>
      </c>
      <c r="F22" s="21">
        <f>INDEX(Data[],MATCH($A22,Data[Dist],0),MATCH(F$4,Data[#Headers],0))</f>
        <v>63140</v>
      </c>
      <c r="G22" s="21">
        <f>INDEX(Data[],MATCH($A22,Data[Dist],0),MATCH(G$4,Data[#Headers],0))</f>
        <v>305932</v>
      </c>
      <c r="H22" s="21">
        <f>INDEX(Data[],MATCH($A22,Data[Dist],0),MATCH(H$4,Data[#Headers],0))</f>
        <v>4759031</v>
      </c>
      <c r="I22" s="21">
        <f>INDEX(Data[],MATCH($A22,Data[Dist],0),MATCH(I$4,Data[#Headers],0))</f>
        <v>6084093</v>
      </c>
      <c r="J22" s="22"/>
    </row>
    <row r="23" spans="1:10" x14ac:dyDescent="0.2">
      <c r="A23" s="19" t="str">
        <f>Data!B19</f>
        <v>0333</v>
      </c>
      <c r="B23" s="20" t="str">
        <f>INDEX(Data[],MATCH($A23,Data[Dist],0),MATCH(B$4,Data[#Headers],0))</f>
        <v>North Union</v>
      </c>
      <c r="C23" s="21">
        <f>INDEX(Data[],MATCH($A23,Data[Dist],0),MATCH(C$4,Data[#Headers],0))</f>
        <v>58446</v>
      </c>
      <c r="D23" s="21">
        <f>INDEX(Data[],MATCH($A23,Data[Dist],0),MATCH(D$4,Data[#Headers],0))</f>
        <v>465425</v>
      </c>
      <c r="E23" s="21">
        <f>INDEX(Data[],MATCH($A23,Data[Dist],0),MATCH(E$4,Data[#Headers],0))</f>
        <v>38002</v>
      </c>
      <c r="F23" s="21">
        <f>INDEX(Data[],MATCH($A23,Data[Dist],0),MATCH(F$4,Data[#Headers],0))</f>
        <v>35226</v>
      </c>
      <c r="G23" s="21">
        <f>INDEX(Data[],MATCH($A23,Data[Dist],0),MATCH(G$4,Data[#Headers],0))</f>
        <v>153740</v>
      </c>
      <c r="H23" s="21">
        <f>INDEX(Data[],MATCH($A23,Data[Dist],0),MATCH(H$4,Data[#Headers],0))</f>
        <v>1074269</v>
      </c>
      <c r="I23" s="21">
        <f>INDEX(Data[],MATCH($A23,Data[Dist],0),MATCH(I$4,Data[#Headers],0))</f>
        <v>1825108</v>
      </c>
      <c r="J23" s="22"/>
    </row>
    <row r="24" spans="1:10" x14ac:dyDescent="0.2">
      <c r="A24" s="19" t="str">
        <f>Data!B20</f>
        <v>0355</v>
      </c>
      <c r="B24" s="20" t="str">
        <f>INDEX(Data[],MATCH($A24,Data[Dist],0),MATCH(B$4,Data[#Headers],0))</f>
        <v>Ar-We-Va</v>
      </c>
      <c r="C24" s="21">
        <f>INDEX(Data[],MATCH($A24,Data[Dist],0),MATCH(C$4,Data[#Headers],0))</f>
        <v>42861</v>
      </c>
      <c r="D24" s="21">
        <f>INDEX(Data[],MATCH($A24,Data[Dist],0),MATCH(D$4,Data[#Headers],0))</f>
        <v>393425</v>
      </c>
      <c r="E24" s="21">
        <f>INDEX(Data[],MATCH($A24,Data[Dist],0),MATCH(E$4,Data[#Headers],0))</f>
        <v>23624</v>
      </c>
      <c r="F24" s="21">
        <f>INDEX(Data[],MATCH($A24,Data[Dist],0),MATCH(F$4,Data[#Headers],0))</f>
        <v>22872</v>
      </c>
      <c r="G24" s="21">
        <f>INDEX(Data[],MATCH($A24,Data[Dist],0),MATCH(G$4,Data[#Headers],0))</f>
        <v>123408</v>
      </c>
      <c r="H24" s="21">
        <f>INDEX(Data[],MATCH($A24,Data[Dist],0),MATCH(H$4,Data[#Headers],0))</f>
        <v>931510</v>
      </c>
      <c r="I24" s="21">
        <f>INDEX(Data[],MATCH($A24,Data[Dist],0),MATCH(I$4,Data[#Headers],0))</f>
        <v>1537700</v>
      </c>
      <c r="J24" s="22"/>
    </row>
    <row r="25" spans="1:10" x14ac:dyDescent="0.2">
      <c r="A25" s="19" t="str">
        <f>Data!B21</f>
        <v>0387</v>
      </c>
      <c r="B25" s="20" t="str">
        <f>INDEX(Data[],MATCH($A25,Data[Dist],0),MATCH(B$4,Data[#Headers],0))</f>
        <v>Atlantic</v>
      </c>
      <c r="C25" s="21">
        <f>INDEX(Data[],MATCH($A25,Data[Dist],0),MATCH(C$4,Data[#Headers],0))</f>
        <v>342963</v>
      </c>
      <c r="D25" s="21">
        <f>INDEX(Data[],MATCH($A25,Data[Dist],0),MATCH(D$4,Data[#Headers],0))</f>
        <v>1069212</v>
      </c>
      <c r="E25" s="21">
        <f>INDEX(Data[],MATCH($A25,Data[Dist],0),MATCH(E$4,Data[#Headers],0))</f>
        <v>126604</v>
      </c>
      <c r="F25" s="21">
        <f>INDEX(Data[],MATCH($A25,Data[Dist],0),MATCH(F$4,Data[#Headers],0))</f>
        <v>113428</v>
      </c>
      <c r="G25" s="21">
        <f>INDEX(Data[],MATCH($A25,Data[Dist],0),MATCH(G$4,Data[#Headers],0))</f>
        <v>534578</v>
      </c>
      <c r="H25" s="21">
        <f>INDEX(Data[],MATCH($A25,Data[Dist],0),MATCH(H$4,Data[#Headers],0))</f>
        <v>9054060</v>
      </c>
      <c r="I25" s="21">
        <f>INDEX(Data[],MATCH($A25,Data[Dist],0),MATCH(I$4,Data[#Headers],0))</f>
        <v>11240845</v>
      </c>
      <c r="J25" s="22"/>
    </row>
    <row r="26" spans="1:10" x14ac:dyDescent="0.2">
      <c r="A26" s="19" t="str">
        <f>Data!B22</f>
        <v>0414</v>
      </c>
      <c r="B26" s="20" t="str">
        <f>INDEX(Data[],MATCH($A26,Data[Dist],0),MATCH(B$4,Data[#Headers],0))</f>
        <v>Audubon</v>
      </c>
      <c r="C26" s="21">
        <f>INDEX(Data[],MATCH($A26,Data[Dist],0),MATCH(C$4,Data[#Headers],0))</f>
        <v>148064</v>
      </c>
      <c r="D26" s="21">
        <f>INDEX(Data[],MATCH($A26,Data[Dist],0),MATCH(D$4,Data[#Headers],0))</f>
        <v>495520</v>
      </c>
      <c r="E26" s="21">
        <f>INDEX(Data[],MATCH($A26,Data[Dist],0),MATCH(E$4,Data[#Headers],0))</f>
        <v>37808</v>
      </c>
      <c r="F26" s="21">
        <f>INDEX(Data[],MATCH($A26,Data[Dist],0),MATCH(F$4,Data[#Headers],0))</f>
        <v>41057</v>
      </c>
      <c r="G26" s="21">
        <f>INDEX(Data[],MATCH($A26,Data[Dist],0),MATCH(G$4,Data[#Headers],0))</f>
        <v>195103</v>
      </c>
      <c r="H26" s="21">
        <f>INDEX(Data[],MATCH($A26,Data[Dist],0),MATCH(H$4,Data[#Headers],0))</f>
        <v>2346847</v>
      </c>
      <c r="I26" s="21">
        <f>INDEX(Data[],MATCH($A26,Data[Dist],0),MATCH(I$4,Data[#Headers],0))</f>
        <v>3264399</v>
      </c>
      <c r="J26" s="22"/>
    </row>
    <row r="27" spans="1:10" x14ac:dyDescent="0.2">
      <c r="A27" s="19" t="str">
        <f>Data!B23</f>
        <v>0441</v>
      </c>
      <c r="B27" s="20" t="str">
        <f>INDEX(Data[],MATCH($A27,Data[Dist],0),MATCH(B$4,Data[#Headers],0))</f>
        <v>AHSTW</v>
      </c>
      <c r="C27" s="21">
        <f>INDEX(Data[],MATCH($A27,Data[Dist],0),MATCH(C$4,Data[#Headers],0))</f>
        <v>167546</v>
      </c>
      <c r="D27" s="21">
        <f>INDEX(Data[],MATCH($A27,Data[Dist],0),MATCH(D$4,Data[#Headers],0))</f>
        <v>693931</v>
      </c>
      <c r="E27" s="21">
        <f>INDEX(Data[],MATCH($A27,Data[Dist],0),MATCH(E$4,Data[#Headers],0))</f>
        <v>56282</v>
      </c>
      <c r="F27" s="21">
        <f>INDEX(Data[],MATCH($A27,Data[Dist],0),MATCH(F$4,Data[#Headers],0))</f>
        <v>50732</v>
      </c>
      <c r="G27" s="21">
        <f>INDEX(Data[],MATCH($A27,Data[Dist],0),MATCH(G$4,Data[#Headers],0))</f>
        <v>295279</v>
      </c>
      <c r="H27" s="21">
        <f>INDEX(Data[],MATCH($A27,Data[Dist],0),MATCH(H$4,Data[#Headers],0))</f>
        <v>3050946</v>
      </c>
      <c r="I27" s="21">
        <f>INDEX(Data[],MATCH($A27,Data[Dist],0),MATCH(I$4,Data[#Headers],0))</f>
        <v>4314716</v>
      </c>
      <c r="J27" s="22"/>
    </row>
    <row r="28" spans="1:10" x14ac:dyDescent="0.2">
      <c r="A28" s="19" t="str">
        <f>Data!B24</f>
        <v>0472</v>
      </c>
      <c r="B28" s="20" t="str">
        <f>INDEX(Data[],MATCH($A28,Data[Dist],0),MATCH(B$4,Data[#Headers],0))</f>
        <v>Ballard</v>
      </c>
      <c r="C28" s="21">
        <f>INDEX(Data[],MATCH($A28,Data[Dist],0),MATCH(C$4,Data[#Headers],0))</f>
        <v>514485</v>
      </c>
      <c r="D28" s="21">
        <f>INDEX(Data[],MATCH($A28,Data[Dist],0),MATCH(D$4,Data[#Headers],0))</f>
        <v>1277143</v>
      </c>
      <c r="E28" s="21">
        <f>INDEX(Data[],MATCH($A28,Data[Dist],0),MATCH(E$4,Data[#Headers],0))</f>
        <v>137540</v>
      </c>
      <c r="F28" s="21">
        <f>INDEX(Data[],MATCH($A28,Data[Dist],0),MATCH(F$4,Data[#Headers],0))</f>
        <v>117949</v>
      </c>
      <c r="G28" s="21">
        <f>INDEX(Data[],MATCH($A28,Data[Dist],0),MATCH(G$4,Data[#Headers],0))</f>
        <v>660743</v>
      </c>
      <c r="H28" s="21">
        <f>INDEX(Data[],MATCH($A28,Data[Dist],0),MATCH(H$4,Data[#Headers],0))</f>
        <v>10795219</v>
      </c>
      <c r="I28" s="21">
        <f>INDEX(Data[],MATCH($A28,Data[Dist],0),MATCH(I$4,Data[#Headers],0))</f>
        <v>13503079</v>
      </c>
      <c r="J28" s="22"/>
    </row>
    <row r="29" spans="1:10" x14ac:dyDescent="0.2">
      <c r="A29" s="19" t="str">
        <f>Data!B25</f>
        <v>0513</v>
      </c>
      <c r="B29" s="20" t="str">
        <f>INDEX(Data[],MATCH($A29,Data[Dist],0),MATCH(B$4,Data[#Headers],0))</f>
        <v>Baxter</v>
      </c>
      <c r="C29" s="21">
        <f>INDEX(Data[],MATCH($A29,Data[Dist],0),MATCH(C$4,Data[#Headers],0))</f>
        <v>112996</v>
      </c>
      <c r="D29" s="21">
        <f>INDEX(Data[],MATCH($A29,Data[Dist],0),MATCH(D$4,Data[#Headers],0))</f>
        <v>447199</v>
      </c>
      <c r="E29" s="21">
        <f>INDEX(Data[],MATCH($A29,Data[Dist],0),MATCH(E$4,Data[#Headers],0))</f>
        <v>27298</v>
      </c>
      <c r="F29" s="21">
        <f>INDEX(Data[],MATCH($A29,Data[Dist],0),MATCH(F$4,Data[#Headers],0))</f>
        <v>25415</v>
      </c>
      <c r="G29" s="21">
        <f>INDEX(Data[],MATCH($A29,Data[Dist],0),MATCH(G$4,Data[#Headers],0))</f>
        <v>132929</v>
      </c>
      <c r="H29" s="21">
        <f>INDEX(Data[],MATCH($A29,Data[Dist],0),MATCH(H$4,Data[#Headers],0))</f>
        <v>2073077</v>
      </c>
      <c r="I29" s="21">
        <f>INDEX(Data[],MATCH($A29,Data[Dist],0),MATCH(I$4,Data[#Headers],0))</f>
        <v>2818914</v>
      </c>
      <c r="J29" s="22"/>
    </row>
    <row r="30" spans="1:10" x14ac:dyDescent="0.2">
      <c r="A30" s="19" t="str">
        <f>Data!B26</f>
        <v>0540</v>
      </c>
      <c r="B30" s="20" t="str">
        <f>INDEX(Data[],MATCH($A30,Data[Dist],0),MATCH(B$4,Data[#Headers],0))</f>
        <v>BCLUW</v>
      </c>
      <c r="C30" s="21">
        <f>INDEX(Data[],MATCH($A30,Data[Dist],0),MATCH(C$4,Data[#Headers],0))</f>
        <v>89618</v>
      </c>
      <c r="D30" s="21">
        <f>INDEX(Data[],MATCH($A30,Data[Dist],0),MATCH(D$4,Data[#Headers],0))</f>
        <v>516588</v>
      </c>
      <c r="E30" s="21">
        <f>INDEX(Data[],MATCH($A30,Data[Dist],0),MATCH(E$4,Data[#Headers],0))</f>
        <v>33149</v>
      </c>
      <c r="F30" s="21">
        <f>INDEX(Data[],MATCH($A30,Data[Dist],0),MATCH(F$4,Data[#Headers],0))</f>
        <v>34113</v>
      </c>
      <c r="G30" s="21">
        <f>INDEX(Data[],MATCH($A30,Data[Dist],0),MATCH(G$4,Data[#Headers],0))</f>
        <v>170247</v>
      </c>
      <c r="H30" s="21">
        <f>INDEX(Data[],MATCH($A30,Data[Dist],0),MATCH(H$4,Data[#Headers],0))</f>
        <v>1884039</v>
      </c>
      <c r="I30" s="21">
        <f>INDEX(Data[],MATCH($A30,Data[Dist],0),MATCH(I$4,Data[#Headers],0))</f>
        <v>2727754</v>
      </c>
      <c r="J30" s="22"/>
    </row>
    <row r="31" spans="1:10" x14ac:dyDescent="0.2">
      <c r="A31" s="19" t="str">
        <f>Data!B27</f>
        <v>0549</v>
      </c>
      <c r="B31" s="20" t="str">
        <f>INDEX(Data[],MATCH($A31,Data[Dist],0),MATCH(B$4,Data[#Headers],0))</f>
        <v>Bedford</v>
      </c>
      <c r="C31" s="21">
        <f>INDEX(Data[],MATCH($A31,Data[Dist],0),MATCH(C$4,Data[#Headers],0))</f>
        <v>120789</v>
      </c>
      <c r="D31" s="21">
        <f>INDEX(Data[],MATCH($A31,Data[Dist],0),MATCH(D$4,Data[#Headers],0))</f>
        <v>470831</v>
      </c>
      <c r="E31" s="21">
        <f>INDEX(Data[],MATCH($A31,Data[Dist],0),MATCH(E$4,Data[#Headers],0))</f>
        <v>42902</v>
      </c>
      <c r="F31" s="21">
        <f>INDEX(Data[],MATCH($A31,Data[Dist],0),MATCH(F$4,Data[#Headers],0))</f>
        <v>39080</v>
      </c>
      <c r="G31" s="21">
        <f>INDEX(Data[],MATCH($A31,Data[Dist],0),MATCH(G$4,Data[#Headers],0))</f>
        <v>193781</v>
      </c>
      <c r="H31" s="21">
        <f>INDEX(Data[],MATCH($A31,Data[Dist],0),MATCH(H$4,Data[#Headers],0))</f>
        <v>2652388</v>
      </c>
      <c r="I31" s="21">
        <f>INDEX(Data[],MATCH($A31,Data[Dist],0),MATCH(I$4,Data[#Headers],0))</f>
        <v>3519771</v>
      </c>
      <c r="J31" s="22"/>
    </row>
    <row r="32" spans="1:10" x14ac:dyDescent="0.2">
      <c r="A32" s="19" t="str">
        <f>Data!B28</f>
        <v>0576</v>
      </c>
      <c r="B32" s="20" t="str">
        <f>INDEX(Data[],MATCH($A32,Data[Dist],0),MATCH(B$4,Data[#Headers],0))</f>
        <v>Belle Plaine</v>
      </c>
      <c r="C32" s="21">
        <f>INDEX(Data[],MATCH($A32,Data[Dist],0),MATCH(C$4,Data[#Headers],0))</f>
        <v>97410</v>
      </c>
      <c r="D32" s="21">
        <f>INDEX(Data[],MATCH($A32,Data[Dist],0),MATCH(D$4,Data[#Headers],0))</f>
        <v>546944</v>
      </c>
      <c r="E32" s="21">
        <f>INDEX(Data[],MATCH($A32,Data[Dist],0),MATCH(E$4,Data[#Headers],0))</f>
        <v>32637</v>
      </c>
      <c r="F32" s="21">
        <f>INDEX(Data[],MATCH($A32,Data[Dist],0),MATCH(F$4,Data[#Headers],0))</f>
        <v>31835</v>
      </c>
      <c r="G32" s="21">
        <f>INDEX(Data[],MATCH($A32,Data[Dist],0),MATCH(G$4,Data[#Headers],0))</f>
        <v>179427</v>
      </c>
      <c r="H32" s="21">
        <f>INDEX(Data[],MATCH($A32,Data[Dist],0),MATCH(H$4,Data[#Headers],0))</f>
        <v>2853071</v>
      </c>
      <c r="I32" s="21">
        <f>INDEX(Data[],MATCH($A32,Data[Dist],0),MATCH(I$4,Data[#Headers],0))</f>
        <v>3741324</v>
      </c>
      <c r="J32" s="22"/>
    </row>
    <row r="33" spans="1:10" x14ac:dyDescent="0.2">
      <c r="A33" s="19" t="str">
        <f>Data!B29</f>
        <v>0585</v>
      </c>
      <c r="B33" s="20" t="str">
        <f>INDEX(Data[],MATCH($A33,Data[Dist],0),MATCH(B$4,Data[#Headers],0))</f>
        <v>Bellevue</v>
      </c>
      <c r="C33" s="21">
        <f>INDEX(Data[],MATCH($A33,Data[Dist],0),MATCH(C$4,Data[#Headers],0))</f>
        <v>222096</v>
      </c>
      <c r="D33" s="21">
        <f>INDEX(Data[],MATCH($A33,Data[Dist],0),MATCH(D$4,Data[#Headers],0))</f>
        <v>624379</v>
      </c>
      <c r="E33" s="21">
        <f>INDEX(Data[],MATCH($A33,Data[Dist],0),MATCH(E$4,Data[#Headers],0))</f>
        <v>49172</v>
      </c>
      <c r="F33" s="21">
        <f>INDEX(Data[],MATCH($A33,Data[Dist],0),MATCH(F$4,Data[#Headers],0))</f>
        <v>52111</v>
      </c>
      <c r="G33" s="21">
        <f>INDEX(Data[],MATCH($A33,Data[Dist],0),MATCH(G$4,Data[#Headers],0))</f>
        <v>256977</v>
      </c>
      <c r="H33" s="21">
        <f>INDEX(Data[],MATCH($A33,Data[Dist],0),MATCH(H$4,Data[#Headers],0))</f>
        <v>3022395</v>
      </c>
      <c r="I33" s="21">
        <f>INDEX(Data[],MATCH($A33,Data[Dist],0),MATCH(I$4,Data[#Headers],0))</f>
        <v>4227130</v>
      </c>
      <c r="J33" s="22"/>
    </row>
    <row r="34" spans="1:10" x14ac:dyDescent="0.2">
      <c r="A34" s="19" t="str">
        <f>Data!B30</f>
        <v>0594</v>
      </c>
      <c r="B34" s="20" t="str">
        <f>INDEX(Data[],MATCH($A34,Data[Dist],0),MATCH(B$4,Data[#Headers],0))</f>
        <v>Belmond-Klemme</v>
      </c>
      <c r="C34" s="21">
        <f>INDEX(Data[],MATCH($A34,Data[Dist],0),MATCH(C$4,Data[#Headers],0))</f>
        <v>85800</v>
      </c>
      <c r="D34" s="21">
        <f>INDEX(Data[],MATCH($A34,Data[Dist],0),MATCH(D$4,Data[#Headers],0))</f>
        <v>663216</v>
      </c>
      <c r="E34" s="21">
        <f>INDEX(Data[],MATCH($A34,Data[Dist],0),MATCH(E$4,Data[#Headers],0))</f>
        <v>61763</v>
      </c>
      <c r="F34" s="21">
        <f>INDEX(Data[],MATCH($A34,Data[Dist],0),MATCH(F$4,Data[#Headers],0))</f>
        <v>53343</v>
      </c>
      <c r="G34" s="21">
        <f>INDEX(Data[],MATCH($A34,Data[Dist],0),MATCH(G$4,Data[#Headers],0))</f>
        <v>282210</v>
      </c>
      <c r="H34" s="21">
        <f>INDEX(Data[],MATCH($A34,Data[Dist],0),MATCH(H$4,Data[#Headers],0))</f>
        <v>4139823</v>
      </c>
      <c r="I34" s="21">
        <f>INDEX(Data[],MATCH($A34,Data[Dist],0),MATCH(I$4,Data[#Headers],0))</f>
        <v>5286155</v>
      </c>
      <c r="J34" s="22"/>
    </row>
    <row r="35" spans="1:10" x14ac:dyDescent="0.2">
      <c r="A35" s="19" t="str">
        <f>Data!B31</f>
        <v>0603</v>
      </c>
      <c r="B35" s="20" t="str">
        <f>INDEX(Data[],MATCH($A35,Data[Dist],0),MATCH(B$4,Data[#Headers],0))</f>
        <v>Bennett</v>
      </c>
      <c r="C35" s="21">
        <f>INDEX(Data[],MATCH($A35,Data[Dist],0),MATCH(C$4,Data[#Headers],0))</f>
        <v>31171</v>
      </c>
      <c r="D35" s="21">
        <f>INDEX(Data[],MATCH($A35,Data[Dist],0),MATCH(D$4,Data[#Headers],0))</f>
        <v>193040</v>
      </c>
      <c r="E35" s="21">
        <f>INDEX(Data[],MATCH($A35,Data[Dist],0),MATCH(E$4,Data[#Headers],0))</f>
        <v>13189</v>
      </c>
      <c r="F35" s="21">
        <f>INDEX(Data[],MATCH($A35,Data[Dist],0),MATCH(F$4,Data[#Headers],0))</f>
        <v>8427</v>
      </c>
      <c r="G35" s="21">
        <f>INDEX(Data[],MATCH($A35,Data[Dist],0),MATCH(G$4,Data[#Headers],0))</f>
        <v>64566</v>
      </c>
      <c r="H35" s="21">
        <f>INDEX(Data[],MATCH($A35,Data[Dist],0),MATCH(H$4,Data[#Headers],0))</f>
        <v>698070</v>
      </c>
      <c r="I35" s="21">
        <f>INDEX(Data[],MATCH($A35,Data[Dist],0),MATCH(I$4,Data[#Headers],0))</f>
        <v>1008463</v>
      </c>
      <c r="J35" s="22"/>
    </row>
    <row r="36" spans="1:10" x14ac:dyDescent="0.2">
      <c r="A36" s="19" t="str">
        <f>Data!B32</f>
        <v>0609</v>
      </c>
      <c r="B36" s="20" t="str">
        <f>INDEX(Data[],MATCH($A36,Data[Dist],0),MATCH(B$4,Data[#Headers],0))</f>
        <v>Benton</v>
      </c>
      <c r="C36" s="21">
        <f>INDEX(Data[],MATCH($A36,Data[Dist],0),MATCH(C$4,Data[#Headers],0))</f>
        <v>451984</v>
      </c>
      <c r="D36" s="21">
        <f>INDEX(Data[],MATCH($A36,Data[Dist],0),MATCH(D$4,Data[#Headers],0))</f>
        <v>1161489</v>
      </c>
      <c r="E36" s="21">
        <f>INDEX(Data[],MATCH($A36,Data[Dist],0),MATCH(E$4,Data[#Headers],0))</f>
        <v>108234</v>
      </c>
      <c r="F36" s="21">
        <f>INDEX(Data[],MATCH($A36,Data[Dist],0),MATCH(F$4,Data[#Headers],0))</f>
        <v>113083</v>
      </c>
      <c r="G36" s="21">
        <f>INDEX(Data[],MATCH($A36,Data[Dist],0),MATCH(G$4,Data[#Headers],0))</f>
        <v>583231</v>
      </c>
      <c r="H36" s="21">
        <f>INDEX(Data[],MATCH($A36,Data[Dist],0),MATCH(H$4,Data[#Headers],0))</f>
        <v>7133897</v>
      </c>
      <c r="I36" s="21">
        <f>INDEX(Data[],MATCH($A36,Data[Dist],0),MATCH(I$4,Data[#Headers],0))</f>
        <v>9551918</v>
      </c>
      <c r="J36" s="22"/>
    </row>
    <row r="37" spans="1:10" x14ac:dyDescent="0.2">
      <c r="A37" s="19" t="str">
        <f>Data!B33</f>
        <v>0621</v>
      </c>
      <c r="B37" s="20" t="str">
        <f>INDEX(Data[],MATCH($A37,Data[Dist],0),MATCH(B$4,Data[#Headers],0))</f>
        <v>Bettendorf</v>
      </c>
      <c r="C37" s="21">
        <f>INDEX(Data[],MATCH($A37,Data[Dist],0),MATCH(C$4,Data[#Headers],0))</f>
        <v>907865</v>
      </c>
      <c r="D37" s="21">
        <f>INDEX(Data[],MATCH($A37,Data[Dist],0),MATCH(D$4,Data[#Headers],0))</f>
        <v>2862134</v>
      </c>
      <c r="E37" s="21">
        <f>INDEX(Data[],MATCH($A37,Data[Dist],0),MATCH(E$4,Data[#Headers],0))</f>
        <v>311433</v>
      </c>
      <c r="F37" s="21">
        <f>INDEX(Data[],MATCH($A37,Data[Dist],0),MATCH(F$4,Data[#Headers],0))</f>
        <v>306603</v>
      </c>
      <c r="G37" s="21">
        <f>INDEX(Data[],MATCH($A37,Data[Dist],0),MATCH(G$4,Data[#Headers],0))</f>
        <v>1546279</v>
      </c>
      <c r="H37" s="21">
        <f>INDEX(Data[],MATCH($A37,Data[Dist],0),MATCH(H$4,Data[#Headers],0))</f>
        <v>22098235</v>
      </c>
      <c r="I37" s="21">
        <f>INDEX(Data[],MATCH($A37,Data[Dist],0),MATCH(I$4,Data[#Headers],0))</f>
        <v>28032549</v>
      </c>
      <c r="J37" s="22"/>
    </row>
    <row r="38" spans="1:10" x14ac:dyDescent="0.2">
      <c r="A38" s="19" t="str">
        <f>Data!B34</f>
        <v>0657</v>
      </c>
      <c r="B38" s="20" t="str">
        <f>INDEX(Data[],MATCH($A38,Data[Dist],0),MATCH(B$4,Data[#Headers],0))</f>
        <v>Eddyville-Blakesburg-Fremont</v>
      </c>
      <c r="C38" s="21">
        <f>INDEX(Data[],MATCH($A38,Data[Dist],0),MATCH(C$4,Data[#Headers],0))</f>
        <v>159831</v>
      </c>
      <c r="D38" s="21">
        <f>INDEX(Data[],MATCH($A38,Data[Dist],0),MATCH(D$4,Data[#Headers],0))</f>
        <v>933648</v>
      </c>
      <c r="E38" s="21">
        <f>INDEX(Data[],MATCH($A38,Data[Dist],0),MATCH(E$4,Data[#Headers],0))</f>
        <v>71728</v>
      </c>
      <c r="F38" s="21">
        <f>INDEX(Data[],MATCH($A38,Data[Dist],0),MATCH(F$4,Data[#Headers],0))</f>
        <v>59595</v>
      </c>
      <c r="G38" s="21">
        <f>INDEX(Data[],MATCH($A38,Data[Dist],0),MATCH(G$4,Data[#Headers],0))</f>
        <v>307944</v>
      </c>
      <c r="H38" s="21">
        <f>INDEX(Data[],MATCH($A38,Data[Dist],0),MATCH(H$4,Data[#Headers],0))</f>
        <v>3157033</v>
      </c>
      <c r="I38" s="21">
        <f>INDEX(Data[],MATCH($A38,Data[Dist],0),MATCH(I$4,Data[#Headers],0))</f>
        <v>4689779</v>
      </c>
      <c r="J38" s="22"/>
    </row>
    <row r="39" spans="1:10" x14ac:dyDescent="0.2">
      <c r="A39" s="19" t="str">
        <f>Data!B35</f>
        <v>0720</v>
      </c>
      <c r="B39" s="20" t="str">
        <f>INDEX(Data[],MATCH($A39,Data[Dist],0),MATCH(B$4,Data[#Headers],0))</f>
        <v>Bondurant-Farrar</v>
      </c>
      <c r="C39" s="21">
        <f>INDEX(Data[],MATCH($A39,Data[Dist],0),MATCH(C$4,Data[#Headers],0))</f>
        <v>401331</v>
      </c>
      <c r="D39" s="21">
        <f>INDEX(Data[],MATCH($A39,Data[Dist],0),MATCH(D$4,Data[#Headers],0))</f>
        <v>1886583</v>
      </c>
      <c r="E39" s="21">
        <f>INDEX(Data[],MATCH($A39,Data[Dist],0),MATCH(E$4,Data[#Headers],0))</f>
        <v>201854</v>
      </c>
      <c r="F39" s="21">
        <f>INDEX(Data[],MATCH($A39,Data[Dist],0),MATCH(F$4,Data[#Headers],0))</f>
        <v>174181</v>
      </c>
      <c r="G39" s="21">
        <f>INDEX(Data[],MATCH($A39,Data[Dist],0),MATCH(G$4,Data[#Headers],0))</f>
        <v>976042</v>
      </c>
      <c r="H39" s="21">
        <f>INDEX(Data[],MATCH($A39,Data[Dist],0),MATCH(H$4,Data[#Headers],0))</f>
        <v>15580619</v>
      </c>
      <c r="I39" s="21">
        <f>INDEX(Data[],MATCH($A39,Data[Dist],0),MATCH(I$4,Data[#Headers],0))</f>
        <v>19220610</v>
      </c>
      <c r="J39" s="22"/>
    </row>
    <row r="40" spans="1:10" x14ac:dyDescent="0.2">
      <c r="A40" s="19" t="str">
        <f>Data!B36</f>
        <v>0729</v>
      </c>
      <c r="B40" s="20" t="str">
        <f>INDEX(Data[],MATCH($A40,Data[Dist],0),MATCH(B$4,Data[#Headers],0))</f>
        <v>Boone</v>
      </c>
      <c r="C40" s="21">
        <f>INDEX(Data[],MATCH($A40,Data[Dist],0),MATCH(C$4,Data[#Headers],0))</f>
        <v>338988</v>
      </c>
      <c r="D40" s="21">
        <f>INDEX(Data[],MATCH($A40,Data[Dist],0),MATCH(D$4,Data[#Headers],0))</f>
        <v>1526848</v>
      </c>
      <c r="E40" s="21">
        <f>INDEX(Data[],MATCH($A40,Data[Dist],0),MATCH(E$4,Data[#Headers],0))</f>
        <v>164389</v>
      </c>
      <c r="F40" s="21">
        <f>INDEX(Data[],MATCH($A40,Data[Dist],0),MATCH(F$4,Data[#Headers],0))</f>
        <v>175138</v>
      </c>
      <c r="G40" s="21">
        <f>INDEX(Data[],MATCH($A40,Data[Dist],0),MATCH(G$4,Data[#Headers],0))</f>
        <v>789930</v>
      </c>
      <c r="H40" s="21">
        <f>INDEX(Data[],MATCH($A40,Data[Dist],0),MATCH(H$4,Data[#Headers],0))</f>
        <v>13478743</v>
      </c>
      <c r="I40" s="21">
        <f>INDEX(Data[],MATCH($A40,Data[Dist],0),MATCH(I$4,Data[#Headers],0))</f>
        <v>16474036</v>
      </c>
      <c r="J40" s="22"/>
    </row>
    <row r="41" spans="1:10" x14ac:dyDescent="0.2">
      <c r="A41" s="19" t="str">
        <f>Data!B37</f>
        <v>0747</v>
      </c>
      <c r="B41" s="20" t="str">
        <f>INDEX(Data[],MATCH($A41,Data[Dist],0),MATCH(B$4,Data[#Headers],0))</f>
        <v>Boyden-Hull</v>
      </c>
      <c r="C41" s="21">
        <f>INDEX(Data[],MATCH($A41,Data[Dist],0),MATCH(C$4,Data[#Headers],0))</f>
        <v>241578</v>
      </c>
      <c r="D41" s="21">
        <f>INDEX(Data[],MATCH($A41,Data[Dist],0),MATCH(D$4,Data[#Headers],0))</f>
        <v>725613</v>
      </c>
      <c r="E41" s="21">
        <f>INDEX(Data[],MATCH($A41,Data[Dist],0),MATCH(E$4,Data[#Headers],0))</f>
        <v>69565</v>
      </c>
      <c r="F41" s="21">
        <f>INDEX(Data[],MATCH($A41,Data[Dist],0),MATCH(F$4,Data[#Headers],0))</f>
        <v>57943</v>
      </c>
      <c r="G41" s="21">
        <f>INDEX(Data[],MATCH($A41,Data[Dist],0),MATCH(G$4,Data[#Headers],0))</f>
        <v>298641</v>
      </c>
      <c r="H41" s="21">
        <f>INDEX(Data[],MATCH($A41,Data[Dist],0),MATCH(H$4,Data[#Headers],0))</f>
        <v>3033181</v>
      </c>
      <c r="I41" s="21">
        <f>INDEX(Data[],MATCH($A41,Data[Dist],0),MATCH(I$4,Data[#Headers],0))</f>
        <v>4426521</v>
      </c>
      <c r="J41" s="22"/>
    </row>
    <row r="42" spans="1:10" x14ac:dyDescent="0.2">
      <c r="A42" s="19" t="str">
        <f>Data!B38</f>
        <v>0819</v>
      </c>
      <c r="B42" s="20" t="str">
        <f>INDEX(Data[],MATCH($A42,Data[Dist],0),MATCH(B$4,Data[#Headers],0))</f>
        <v>West Hancock</v>
      </c>
      <c r="C42" s="21">
        <f>INDEX(Data[],MATCH($A42,Data[Dist],0),MATCH(C$4,Data[#Headers],0))</f>
        <v>151960</v>
      </c>
      <c r="D42" s="21">
        <f>INDEX(Data[],MATCH($A42,Data[Dist],0),MATCH(D$4,Data[#Headers],0))</f>
        <v>533701</v>
      </c>
      <c r="E42" s="21">
        <f>INDEX(Data[],MATCH($A42,Data[Dist],0),MATCH(E$4,Data[#Headers],0))</f>
        <v>45688</v>
      </c>
      <c r="F42" s="21">
        <f>INDEX(Data[],MATCH($A42,Data[Dist],0),MATCH(F$4,Data[#Headers],0))</f>
        <v>40920</v>
      </c>
      <c r="G42" s="21">
        <f>INDEX(Data[],MATCH($A42,Data[Dist],0),MATCH(G$4,Data[#Headers],0))</f>
        <v>219656</v>
      </c>
      <c r="H42" s="21">
        <f>INDEX(Data[],MATCH($A42,Data[Dist],0),MATCH(H$4,Data[#Headers],0))</f>
        <v>2712766</v>
      </c>
      <c r="I42" s="21">
        <f>INDEX(Data[],MATCH($A42,Data[Dist],0),MATCH(I$4,Data[#Headers],0))</f>
        <v>3704691</v>
      </c>
      <c r="J42" s="22"/>
    </row>
    <row r="43" spans="1:10" x14ac:dyDescent="0.2">
      <c r="A43" s="19" t="str">
        <f>Data!B39</f>
        <v>0846</v>
      </c>
      <c r="B43" s="20" t="str">
        <f>INDEX(Data[],MATCH($A43,Data[Dist],0),MATCH(B$4,Data[#Headers],0))</f>
        <v>Brooklyn-Guernsey-Malcom</v>
      </c>
      <c r="C43" s="21">
        <f>INDEX(Data[],MATCH($A43,Data[Dist],0),MATCH(C$4,Data[#Headers],0))</f>
        <v>112996</v>
      </c>
      <c r="D43" s="21">
        <f>INDEX(Data[],MATCH($A43,Data[Dist],0),MATCH(D$4,Data[#Headers],0))</f>
        <v>477783</v>
      </c>
      <c r="E43" s="21">
        <f>INDEX(Data[],MATCH($A43,Data[Dist],0),MATCH(E$4,Data[#Headers],0))</f>
        <v>39319</v>
      </c>
      <c r="F43" s="21">
        <f>INDEX(Data[],MATCH($A43,Data[Dist],0),MATCH(F$4,Data[#Headers],0))</f>
        <v>36746</v>
      </c>
      <c r="G43" s="21">
        <f>INDEX(Data[],MATCH($A43,Data[Dist],0),MATCH(G$4,Data[#Headers],0))</f>
        <v>193592</v>
      </c>
      <c r="H43" s="21">
        <f>INDEX(Data[],MATCH($A43,Data[Dist],0),MATCH(H$4,Data[#Headers],0))</f>
        <v>2771428</v>
      </c>
      <c r="I43" s="21">
        <f>INDEX(Data[],MATCH($A43,Data[Dist],0),MATCH(I$4,Data[#Headers],0))</f>
        <v>3631864</v>
      </c>
      <c r="J43" s="22"/>
    </row>
    <row r="44" spans="1:10" x14ac:dyDescent="0.2">
      <c r="A44" s="19" t="str">
        <f>Data!B40</f>
        <v>0873</v>
      </c>
      <c r="B44" s="20" t="str">
        <f>INDEX(Data[],MATCH($A44,Data[Dist],0),MATCH(B$4,Data[#Headers],0))</f>
        <v>North Iowa</v>
      </c>
      <c r="C44" s="21">
        <f>INDEX(Data[],MATCH($A44,Data[Dist],0),MATCH(C$4,Data[#Headers],0))</f>
        <v>50653</v>
      </c>
      <c r="D44" s="21">
        <f>INDEX(Data[],MATCH($A44,Data[Dist],0),MATCH(D$4,Data[#Headers],0))</f>
        <v>504711</v>
      </c>
      <c r="E44" s="21">
        <f>INDEX(Data[],MATCH($A44,Data[Dist],0),MATCH(E$4,Data[#Headers],0))</f>
        <v>35369</v>
      </c>
      <c r="F44" s="21">
        <f>INDEX(Data[],MATCH($A44,Data[Dist],0),MATCH(F$4,Data[#Headers],0))</f>
        <v>36620</v>
      </c>
      <c r="G44" s="21">
        <f>INDEX(Data[],MATCH($A44,Data[Dist],0),MATCH(G$4,Data[#Headers],0))</f>
        <v>178256</v>
      </c>
      <c r="H44" s="21">
        <f>INDEX(Data[],MATCH($A44,Data[Dist],0),MATCH(H$4,Data[#Headers],0))</f>
        <v>1620026</v>
      </c>
      <c r="I44" s="21">
        <f>INDEX(Data[],MATCH($A44,Data[Dist],0),MATCH(I$4,Data[#Headers],0))</f>
        <v>2425635</v>
      </c>
      <c r="J44" s="22"/>
    </row>
    <row r="45" spans="1:10" x14ac:dyDescent="0.2">
      <c r="A45" s="19" t="str">
        <f>Data!B41</f>
        <v>0882</v>
      </c>
      <c r="B45" s="20" t="str">
        <f>INDEX(Data[],MATCH($A45,Data[Dist],0),MATCH(B$4,Data[#Headers],0))</f>
        <v>Burlington</v>
      </c>
      <c r="C45" s="21">
        <f>INDEX(Data[],MATCH($A45,Data[Dist],0),MATCH(C$4,Data[#Headers],0))</f>
        <v>592255</v>
      </c>
      <c r="D45" s="21">
        <f>INDEX(Data[],MATCH($A45,Data[Dist],0),MATCH(D$4,Data[#Headers],0))</f>
        <v>2997470</v>
      </c>
      <c r="E45" s="21">
        <f>INDEX(Data[],MATCH($A45,Data[Dist],0),MATCH(E$4,Data[#Headers],0))</f>
        <v>350792</v>
      </c>
      <c r="F45" s="21">
        <f>INDEX(Data[],MATCH($A45,Data[Dist],0),MATCH(F$4,Data[#Headers],0))</f>
        <v>286530</v>
      </c>
      <c r="G45" s="21">
        <f>INDEX(Data[],MATCH($A45,Data[Dist],0),MATCH(G$4,Data[#Headers],0))</f>
        <v>1482856</v>
      </c>
      <c r="H45" s="21">
        <f>INDEX(Data[],MATCH($A45,Data[Dist],0),MATCH(H$4,Data[#Headers],0))</f>
        <v>26409272</v>
      </c>
      <c r="I45" s="21">
        <f>INDEX(Data[],MATCH($A45,Data[Dist],0),MATCH(I$4,Data[#Headers],0))</f>
        <v>32119175</v>
      </c>
      <c r="J45" s="22"/>
    </row>
    <row r="46" spans="1:10" x14ac:dyDescent="0.2">
      <c r="A46" s="19" t="str">
        <f>Data!B42</f>
        <v>0914</v>
      </c>
      <c r="B46" s="20" t="str">
        <f>INDEX(Data[],MATCH($A46,Data[Dist],0),MATCH(B$4,Data[#Headers],0))</f>
        <v>CAM</v>
      </c>
      <c r="C46" s="21">
        <f>INDEX(Data[],MATCH($A46,Data[Dist],0),MATCH(C$4,Data[#Headers],0))</f>
        <v>85721</v>
      </c>
      <c r="D46" s="21">
        <f>INDEX(Data[],MATCH($A46,Data[Dist],0),MATCH(D$4,Data[#Headers],0))</f>
        <v>701631</v>
      </c>
      <c r="E46" s="21">
        <f>INDEX(Data[],MATCH($A46,Data[Dist],0),MATCH(E$4,Data[#Headers],0))</f>
        <v>34361</v>
      </c>
      <c r="F46" s="21">
        <f>INDEX(Data[],MATCH($A46,Data[Dist],0),MATCH(F$4,Data[#Headers],0))</f>
        <v>33336</v>
      </c>
      <c r="G46" s="21">
        <f>INDEX(Data[],MATCH($A46,Data[Dist],0),MATCH(G$4,Data[#Headers],0))</f>
        <v>170961</v>
      </c>
      <c r="H46" s="21">
        <f>INDEX(Data[],MATCH($A46,Data[Dist],0),MATCH(H$4,Data[#Headers],0))</f>
        <v>1108506</v>
      </c>
      <c r="I46" s="21">
        <f>INDEX(Data[],MATCH($A46,Data[Dist],0),MATCH(I$4,Data[#Headers],0))</f>
        <v>2134516</v>
      </c>
      <c r="J46" s="22"/>
    </row>
    <row r="47" spans="1:10" x14ac:dyDescent="0.2">
      <c r="A47" s="19" t="str">
        <f>Data!B43</f>
        <v>0916</v>
      </c>
      <c r="B47" s="20" t="str">
        <f>INDEX(Data[],MATCH($A47,Data[Dist],0),MATCH(B$4,Data[#Headers],0))</f>
        <v>CAL</v>
      </c>
      <c r="C47" s="21">
        <f>INDEX(Data[],MATCH($A47,Data[Dist],0),MATCH(C$4,Data[#Headers],0))</f>
        <v>62343</v>
      </c>
      <c r="D47" s="21">
        <f>INDEX(Data[],MATCH($A47,Data[Dist],0),MATCH(D$4,Data[#Headers],0))</f>
        <v>353926</v>
      </c>
      <c r="E47" s="21">
        <f>INDEX(Data[],MATCH($A47,Data[Dist],0),MATCH(E$4,Data[#Headers],0))</f>
        <v>25055</v>
      </c>
      <c r="F47" s="21">
        <f>INDEX(Data[],MATCH($A47,Data[Dist],0),MATCH(F$4,Data[#Headers],0))</f>
        <v>24267</v>
      </c>
      <c r="G47" s="21">
        <f>INDEX(Data[],MATCH($A47,Data[Dist],0),MATCH(G$4,Data[#Headers],0))</f>
        <v>111018</v>
      </c>
      <c r="H47" s="21">
        <f>INDEX(Data[],MATCH($A47,Data[Dist],0),MATCH(H$4,Data[#Headers],0))</f>
        <v>1510088</v>
      </c>
      <c r="I47" s="21">
        <f>INDEX(Data[],MATCH($A47,Data[Dist],0),MATCH(I$4,Data[#Headers],0))</f>
        <v>2086697</v>
      </c>
      <c r="J47" s="22"/>
    </row>
    <row r="48" spans="1:10" x14ac:dyDescent="0.2">
      <c r="A48" s="19" t="str">
        <f>Data!B44</f>
        <v>0918</v>
      </c>
      <c r="B48" s="20" t="str">
        <f>INDEX(Data[],MATCH($A48,Data[Dist],0),MATCH(B$4,Data[#Headers],0))</f>
        <v>Calamus-Wheatland</v>
      </c>
      <c r="C48" s="21">
        <f>INDEX(Data[],MATCH($A48,Data[Dist],0),MATCH(C$4,Data[#Headers],0))</f>
        <v>85721</v>
      </c>
      <c r="D48" s="21">
        <f>INDEX(Data[],MATCH($A48,Data[Dist],0),MATCH(D$4,Data[#Headers],0))</f>
        <v>387491</v>
      </c>
      <c r="E48" s="21">
        <f>INDEX(Data[],MATCH($A48,Data[Dist],0),MATCH(E$4,Data[#Headers],0))</f>
        <v>31598</v>
      </c>
      <c r="F48" s="21">
        <f>INDEX(Data[],MATCH($A48,Data[Dist],0),MATCH(F$4,Data[#Headers],0))</f>
        <v>29955</v>
      </c>
      <c r="G48" s="21">
        <f>INDEX(Data[],MATCH($A48,Data[Dist],0),MATCH(G$4,Data[#Headers],0))</f>
        <v>140520</v>
      </c>
      <c r="H48" s="21">
        <f>INDEX(Data[],MATCH($A48,Data[Dist],0),MATCH(H$4,Data[#Headers],0))</f>
        <v>1867075</v>
      </c>
      <c r="I48" s="21">
        <f>INDEX(Data[],MATCH($A48,Data[Dist],0),MATCH(I$4,Data[#Headers],0))</f>
        <v>2542360</v>
      </c>
      <c r="J48" s="22"/>
    </row>
    <row r="49" spans="1:10" x14ac:dyDescent="0.2">
      <c r="A49" s="19" t="str">
        <f>Data!B45</f>
        <v>0936</v>
      </c>
      <c r="B49" s="20" t="str">
        <f>INDEX(Data[],MATCH($A49,Data[Dist],0),MATCH(B$4,Data[#Headers],0))</f>
        <v>Camanche</v>
      </c>
      <c r="C49" s="21">
        <f>INDEX(Data[],MATCH($A49,Data[Dist],0),MATCH(C$4,Data[#Headers],0))</f>
        <v>151960</v>
      </c>
      <c r="D49" s="21">
        <f>INDEX(Data[],MATCH($A49,Data[Dist],0),MATCH(D$4,Data[#Headers],0))</f>
        <v>963876</v>
      </c>
      <c r="E49" s="21">
        <f>INDEX(Data[],MATCH($A49,Data[Dist],0),MATCH(E$4,Data[#Headers],0))</f>
        <v>70933</v>
      </c>
      <c r="F49" s="21">
        <f>INDEX(Data[],MATCH($A49,Data[Dist],0),MATCH(F$4,Data[#Headers],0))</f>
        <v>60288</v>
      </c>
      <c r="G49" s="21">
        <f>INDEX(Data[],MATCH($A49,Data[Dist],0),MATCH(G$4,Data[#Headers],0))</f>
        <v>314835</v>
      </c>
      <c r="H49" s="21">
        <f>INDEX(Data[],MATCH($A49,Data[Dist],0),MATCH(H$4,Data[#Headers],0))</f>
        <v>4514489</v>
      </c>
      <c r="I49" s="21">
        <f>INDEX(Data[],MATCH($A49,Data[Dist],0),MATCH(I$4,Data[#Headers],0))</f>
        <v>6076381</v>
      </c>
      <c r="J49" s="22"/>
    </row>
    <row r="50" spans="1:10" x14ac:dyDescent="0.2">
      <c r="A50" s="19" t="str">
        <f>Data!B46</f>
        <v>0977</v>
      </c>
      <c r="B50" s="20" t="str">
        <f>INDEX(Data[],MATCH($A50,Data[Dist],0),MATCH(B$4,Data[#Headers],0))</f>
        <v>Cardinal</v>
      </c>
      <c r="C50" s="21">
        <f>INDEX(Data[],MATCH($A50,Data[Dist],0),MATCH(C$4,Data[#Headers],0))</f>
        <v>268853</v>
      </c>
      <c r="D50" s="21">
        <f>INDEX(Data[],MATCH($A50,Data[Dist],0),MATCH(D$4,Data[#Headers],0))</f>
        <v>774812</v>
      </c>
      <c r="E50" s="21">
        <f>INDEX(Data[],MATCH($A50,Data[Dist],0),MATCH(E$4,Data[#Headers],0))</f>
        <v>48702</v>
      </c>
      <c r="F50" s="21">
        <f>INDEX(Data[],MATCH($A50,Data[Dist],0),MATCH(F$4,Data[#Headers],0))</f>
        <v>37404</v>
      </c>
      <c r="G50" s="21">
        <f>INDEX(Data[],MATCH($A50,Data[Dist],0),MATCH(G$4,Data[#Headers],0))</f>
        <v>211352</v>
      </c>
      <c r="H50" s="21">
        <f>INDEX(Data[],MATCH($A50,Data[Dist],0),MATCH(H$4,Data[#Headers],0))</f>
        <v>3439992</v>
      </c>
      <c r="I50" s="21">
        <f>INDEX(Data[],MATCH($A50,Data[Dist],0),MATCH(I$4,Data[#Headers],0))</f>
        <v>4781115</v>
      </c>
      <c r="J50" s="22"/>
    </row>
    <row r="51" spans="1:10" x14ac:dyDescent="0.2">
      <c r="A51" s="19" t="str">
        <f>Data!B47</f>
        <v>0981</v>
      </c>
      <c r="B51" s="20" t="str">
        <f>INDEX(Data[],MATCH($A51,Data[Dist],0),MATCH(B$4,Data[#Headers],0))</f>
        <v>Carlisle</v>
      </c>
      <c r="C51" s="21">
        <f>INDEX(Data[],MATCH($A51,Data[Dist],0),MATCH(C$4,Data[#Headers],0))</f>
        <v>362367</v>
      </c>
      <c r="D51" s="21">
        <f>INDEX(Data[],MATCH($A51,Data[Dist],0),MATCH(D$4,Data[#Headers],0))</f>
        <v>1468876</v>
      </c>
      <c r="E51" s="21">
        <f>INDEX(Data[],MATCH($A51,Data[Dist],0),MATCH(E$4,Data[#Headers],0))</f>
        <v>160562</v>
      </c>
      <c r="F51" s="21">
        <f>INDEX(Data[],MATCH($A51,Data[Dist],0),MATCH(F$4,Data[#Headers],0))</f>
        <v>136340</v>
      </c>
      <c r="G51" s="21">
        <f>INDEX(Data[],MATCH($A51,Data[Dist],0),MATCH(G$4,Data[#Headers],0))</f>
        <v>759937</v>
      </c>
      <c r="H51" s="21">
        <f>INDEX(Data[],MATCH($A51,Data[Dist],0),MATCH(H$4,Data[#Headers],0))</f>
        <v>13935087</v>
      </c>
      <c r="I51" s="21">
        <f>INDEX(Data[],MATCH($A51,Data[Dist],0),MATCH(I$4,Data[#Headers],0))</f>
        <v>16823169</v>
      </c>
      <c r="J51" s="22"/>
    </row>
    <row r="52" spans="1:10" x14ac:dyDescent="0.2">
      <c r="A52" s="19" t="str">
        <f>Data!B48</f>
        <v>0999</v>
      </c>
      <c r="B52" s="20" t="str">
        <f>INDEX(Data[],MATCH($A52,Data[Dist],0),MATCH(B$4,Data[#Headers],0))</f>
        <v>Carroll</v>
      </c>
      <c r="C52" s="21">
        <f>INDEX(Data[],MATCH($A52,Data[Dist],0),MATCH(C$4,Data[#Headers],0))</f>
        <v>631219</v>
      </c>
      <c r="D52" s="21">
        <f>INDEX(Data[],MATCH($A52,Data[Dist],0),MATCH(D$4,Data[#Headers],0))</f>
        <v>1446168</v>
      </c>
      <c r="E52" s="21">
        <f>INDEX(Data[],MATCH($A52,Data[Dist],0),MATCH(E$4,Data[#Headers],0))</f>
        <v>151246</v>
      </c>
      <c r="F52" s="21">
        <f>INDEX(Data[],MATCH($A52,Data[Dist],0),MATCH(F$4,Data[#Headers],0))</f>
        <v>148513</v>
      </c>
      <c r="G52" s="21">
        <f>INDEX(Data[],MATCH($A52,Data[Dist],0),MATCH(G$4,Data[#Headers],0))</f>
        <v>748190</v>
      </c>
      <c r="H52" s="21">
        <f>INDEX(Data[],MATCH($A52,Data[Dist],0),MATCH(H$4,Data[#Headers],0))</f>
        <v>7343793</v>
      </c>
      <c r="I52" s="21">
        <f>INDEX(Data[],MATCH($A52,Data[Dist],0),MATCH(I$4,Data[#Headers],0))</f>
        <v>10469129</v>
      </c>
      <c r="J52" s="22"/>
    </row>
    <row r="53" spans="1:10" x14ac:dyDescent="0.2">
      <c r="A53" s="19" t="str">
        <f>Data!B49</f>
        <v>1044</v>
      </c>
      <c r="B53" s="20" t="str">
        <f>INDEX(Data[],MATCH($A53,Data[Dist],0),MATCH(B$4,Data[#Headers],0))</f>
        <v>Cedar Falls</v>
      </c>
      <c r="C53" s="21">
        <f>INDEX(Data[],MATCH($A53,Data[Dist],0),MATCH(C$4,Data[#Headers],0))</f>
        <v>713044</v>
      </c>
      <c r="D53" s="21">
        <f>INDEX(Data[],MATCH($A53,Data[Dist],0),MATCH(D$4,Data[#Headers],0))</f>
        <v>3963848</v>
      </c>
      <c r="E53" s="21">
        <f>INDEX(Data[],MATCH($A53,Data[Dist],0),MATCH(E$4,Data[#Headers],0))</f>
        <v>445713</v>
      </c>
      <c r="F53" s="21">
        <f>INDEX(Data[],MATCH($A53,Data[Dist],0),MATCH(F$4,Data[#Headers],0))</f>
        <v>441291</v>
      </c>
      <c r="G53" s="21">
        <f>INDEX(Data[],MATCH($A53,Data[Dist],0),MATCH(G$4,Data[#Headers],0))</f>
        <v>2141484</v>
      </c>
      <c r="H53" s="21">
        <f>INDEX(Data[],MATCH($A53,Data[Dist],0),MATCH(H$4,Data[#Headers],0))</f>
        <v>32841449</v>
      </c>
      <c r="I53" s="21">
        <f>INDEX(Data[],MATCH($A53,Data[Dist],0),MATCH(I$4,Data[#Headers],0))</f>
        <v>40546829</v>
      </c>
      <c r="J53" s="22"/>
    </row>
    <row r="54" spans="1:10" x14ac:dyDescent="0.2">
      <c r="A54" s="19" t="str">
        <f>Data!B50</f>
        <v>1053</v>
      </c>
      <c r="B54" s="20" t="str">
        <f>INDEX(Data[],MATCH($A54,Data[Dist],0),MATCH(B$4,Data[#Headers],0))</f>
        <v>Cedar Rapids</v>
      </c>
      <c r="C54" s="21">
        <f>INDEX(Data[],MATCH($A54,Data[Dist],0),MATCH(C$4,Data[#Headers],0))</f>
        <v>2606623</v>
      </c>
      <c r="D54" s="21">
        <f>INDEX(Data[],MATCH($A54,Data[Dist],0),MATCH(D$4,Data[#Headers],0))</f>
        <v>11873994</v>
      </c>
      <c r="E54" s="21">
        <f>INDEX(Data[],MATCH($A54,Data[Dist],0),MATCH(E$4,Data[#Headers],0))</f>
        <v>1434512</v>
      </c>
      <c r="F54" s="21">
        <f>INDEX(Data[],MATCH($A54,Data[Dist],0),MATCH(F$4,Data[#Headers],0))</f>
        <v>1314955</v>
      </c>
      <c r="G54" s="21">
        <f>INDEX(Data[],MATCH($A54,Data[Dist],0),MATCH(G$4,Data[#Headers],0))</f>
        <v>6414970</v>
      </c>
      <c r="H54" s="21">
        <f>INDEX(Data[],MATCH($A54,Data[Dist],0),MATCH(H$4,Data[#Headers],0))</f>
        <v>101578017</v>
      </c>
      <c r="I54" s="21">
        <f>INDEX(Data[],MATCH($A54,Data[Dist],0),MATCH(I$4,Data[#Headers],0))</f>
        <v>125223071</v>
      </c>
      <c r="J54" s="22"/>
    </row>
    <row r="55" spans="1:10" x14ac:dyDescent="0.2">
      <c r="A55" s="19" t="str">
        <f>Data!B51</f>
        <v>1062</v>
      </c>
      <c r="B55" s="20" t="str">
        <f>INDEX(Data[],MATCH($A55,Data[Dist],0),MATCH(B$4,Data[#Headers],0))</f>
        <v>Center Point-Urbana</v>
      </c>
      <c r="C55" s="21">
        <f>INDEX(Data[],MATCH($A55,Data[Dist],0),MATCH(C$4,Data[#Headers],0))</f>
        <v>292231</v>
      </c>
      <c r="D55" s="21">
        <f>INDEX(Data[],MATCH($A55,Data[Dist],0),MATCH(D$4,Data[#Headers],0))</f>
        <v>943902</v>
      </c>
      <c r="E55" s="21">
        <f>INDEX(Data[],MATCH($A55,Data[Dist],0),MATCH(E$4,Data[#Headers],0))</f>
        <v>90751</v>
      </c>
      <c r="F55" s="21">
        <f>INDEX(Data[],MATCH($A55,Data[Dist],0),MATCH(F$4,Data[#Headers],0))</f>
        <v>87332</v>
      </c>
      <c r="G55" s="21">
        <f>INDEX(Data[],MATCH($A55,Data[Dist],0),MATCH(G$4,Data[#Headers],0))</f>
        <v>445431</v>
      </c>
      <c r="H55" s="21">
        <f>INDEX(Data[],MATCH($A55,Data[Dist],0),MATCH(H$4,Data[#Headers],0))</f>
        <v>7225020</v>
      </c>
      <c r="I55" s="21">
        <f>INDEX(Data[],MATCH($A55,Data[Dist],0),MATCH(I$4,Data[#Headers],0))</f>
        <v>9084667</v>
      </c>
      <c r="J55" s="22"/>
    </row>
    <row r="56" spans="1:10" x14ac:dyDescent="0.2">
      <c r="A56" s="19" t="str">
        <f>Data!B52</f>
        <v>1071</v>
      </c>
      <c r="B56" s="20" t="str">
        <f>INDEX(Data[],MATCH($A56,Data[Dist],0),MATCH(B$4,Data[#Headers],0))</f>
        <v>Centerville</v>
      </c>
      <c r="C56" s="21">
        <f>INDEX(Data[],MATCH($A56,Data[Dist],0),MATCH(C$4,Data[#Headers],0))</f>
        <v>225992</v>
      </c>
      <c r="D56" s="21">
        <f>INDEX(Data[],MATCH($A56,Data[Dist],0),MATCH(D$4,Data[#Headers],0))</f>
        <v>1065012</v>
      </c>
      <c r="E56" s="21">
        <f>INDEX(Data[],MATCH($A56,Data[Dist],0),MATCH(E$4,Data[#Headers],0))</f>
        <v>108529</v>
      </c>
      <c r="F56" s="21">
        <f>INDEX(Data[],MATCH($A56,Data[Dist],0),MATCH(F$4,Data[#Headers],0))</f>
        <v>102262</v>
      </c>
      <c r="G56" s="21">
        <f>INDEX(Data[],MATCH($A56,Data[Dist],0),MATCH(G$4,Data[#Headers],0))</f>
        <v>502583</v>
      </c>
      <c r="H56" s="21">
        <f>INDEX(Data[],MATCH($A56,Data[Dist],0),MATCH(H$4,Data[#Headers],0))</f>
        <v>9466057</v>
      </c>
      <c r="I56" s="21">
        <f>INDEX(Data[],MATCH($A56,Data[Dist],0),MATCH(I$4,Data[#Headers],0))</f>
        <v>11470435</v>
      </c>
      <c r="J56" s="22"/>
    </row>
    <row r="57" spans="1:10" x14ac:dyDescent="0.2">
      <c r="A57" s="19" t="str">
        <f>Data!B53</f>
        <v>1079</v>
      </c>
      <c r="B57" s="20" t="str">
        <f>INDEX(Data[],MATCH($A57,Data[Dist],0),MATCH(B$4,Data[#Headers],0))</f>
        <v>Central Lee</v>
      </c>
      <c r="C57" s="21">
        <f>INDEX(Data[],MATCH($A57,Data[Dist],0),MATCH(C$4,Data[#Headers],0))</f>
        <v>280620</v>
      </c>
      <c r="D57" s="21">
        <f>INDEX(Data[],MATCH($A57,Data[Dist],0),MATCH(D$4,Data[#Headers],0))</f>
        <v>725711</v>
      </c>
      <c r="E57" s="21">
        <f>INDEX(Data[],MATCH($A57,Data[Dist],0),MATCH(E$4,Data[#Headers],0))</f>
        <v>63413</v>
      </c>
      <c r="F57" s="21">
        <f>INDEX(Data[],MATCH($A57,Data[Dist],0),MATCH(F$4,Data[#Headers],0))</f>
        <v>72128</v>
      </c>
      <c r="G57" s="21">
        <f>INDEX(Data[],MATCH($A57,Data[Dist],0),MATCH(G$4,Data[#Headers],0))</f>
        <v>308802</v>
      </c>
      <c r="H57" s="21">
        <f>INDEX(Data[],MATCH($A57,Data[Dist],0),MATCH(H$4,Data[#Headers],0))</f>
        <v>4128042</v>
      </c>
      <c r="I57" s="21">
        <f>INDEX(Data[],MATCH($A57,Data[Dist],0),MATCH(I$4,Data[#Headers],0))</f>
        <v>5578716</v>
      </c>
      <c r="J57" s="22"/>
    </row>
    <row r="58" spans="1:10" x14ac:dyDescent="0.2">
      <c r="A58" s="19" t="str">
        <f>Data!B54</f>
        <v>1080</v>
      </c>
      <c r="B58" s="20" t="str">
        <f>INDEX(Data[],MATCH($A58,Data[Dist],0),MATCH(B$4,Data[#Headers],0))</f>
        <v>Central Clayton</v>
      </c>
      <c r="C58" s="21">
        <f>INDEX(Data[],MATCH($A58,Data[Dist],0),MATCH(C$4,Data[#Headers],0))</f>
        <v>89618</v>
      </c>
      <c r="D58" s="21">
        <f>INDEX(Data[],MATCH($A58,Data[Dist],0),MATCH(D$4,Data[#Headers],0))</f>
        <v>499791</v>
      </c>
      <c r="E58" s="21">
        <f>INDEX(Data[],MATCH($A58,Data[Dist],0),MATCH(E$4,Data[#Headers],0))</f>
        <v>33692</v>
      </c>
      <c r="F58" s="21">
        <f>INDEX(Data[],MATCH($A58,Data[Dist],0),MATCH(F$4,Data[#Headers],0))</f>
        <v>33636</v>
      </c>
      <c r="G58" s="21">
        <f>INDEX(Data[],MATCH($A58,Data[Dist],0),MATCH(G$4,Data[#Headers],0))</f>
        <v>176518</v>
      </c>
      <c r="H58" s="21">
        <f>INDEX(Data[],MATCH($A58,Data[Dist],0),MATCH(H$4,Data[#Headers],0))</f>
        <v>2701667</v>
      </c>
      <c r="I58" s="21">
        <f>INDEX(Data[],MATCH($A58,Data[Dist],0),MATCH(I$4,Data[#Headers],0))</f>
        <v>3534922</v>
      </c>
      <c r="J58" s="22"/>
    </row>
    <row r="59" spans="1:10" x14ac:dyDescent="0.2">
      <c r="A59" s="19" t="str">
        <f>Data!B55</f>
        <v>1082</v>
      </c>
      <c r="B59" s="20" t="str">
        <f>INDEX(Data[],MATCH($A59,Data[Dist],0),MATCH(B$4,Data[#Headers],0))</f>
        <v>Central De Witt</v>
      </c>
      <c r="C59" s="21">
        <f>INDEX(Data[],MATCH($A59,Data[Dist],0),MATCH(C$4,Data[#Headers],0))</f>
        <v>377952</v>
      </c>
      <c r="D59" s="21">
        <f>INDEX(Data[],MATCH($A59,Data[Dist],0),MATCH(D$4,Data[#Headers],0))</f>
        <v>1428303</v>
      </c>
      <c r="E59" s="21">
        <f>INDEX(Data[],MATCH($A59,Data[Dist],0),MATCH(E$4,Data[#Headers],0))</f>
        <v>110588</v>
      </c>
      <c r="F59" s="21">
        <f>INDEX(Data[],MATCH($A59,Data[Dist],0),MATCH(F$4,Data[#Headers],0))</f>
        <v>114621</v>
      </c>
      <c r="G59" s="21">
        <f>INDEX(Data[],MATCH($A59,Data[Dist],0),MATCH(G$4,Data[#Headers],0))</f>
        <v>579302</v>
      </c>
      <c r="H59" s="21">
        <f>INDEX(Data[],MATCH($A59,Data[Dist],0),MATCH(H$4,Data[#Headers],0))</f>
        <v>8493181</v>
      </c>
      <c r="I59" s="21">
        <f>INDEX(Data[],MATCH($A59,Data[Dist],0),MATCH(I$4,Data[#Headers],0))</f>
        <v>11103947</v>
      </c>
      <c r="J59" s="22"/>
    </row>
    <row r="60" spans="1:10" x14ac:dyDescent="0.2">
      <c r="A60" s="19" t="str">
        <f>Data!B56</f>
        <v>1089</v>
      </c>
      <c r="B60" s="20" t="str">
        <f>INDEX(Data[],MATCH($A60,Data[Dist],0),MATCH(B$4,Data[#Headers],0))</f>
        <v>Central City</v>
      </c>
      <c r="C60" s="21">
        <f>INDEX(Data[],MATCH($A60,Data[Dist],0),MATCH(C$4,Data[#Headers],0))</f>
        <v>70135</v>
      </c>
      <c r="D60" s="21">
        <f>INDEX(Data[],MATCH($A60,Data[Dist],0),MATCH(D$4,Data[#Headers],0))</f>
        <v>533296</v>
      </c>
      <c r="E60" s="21">
        <f>INDEX(Data[],MATCH($A60,Data[Dist],0),MATCH(E$4,Data[#Headers],0))</f>
        <v>34698</v>
      </c>
      <c r="F60" s="21">
        <f>INDEX(Data[],MATCH($A60,Data[Dist],0),MATCH(F$4,Data[#Headers],0))</f>
        <v>30612</v>
      </c>
      <c r="G60" s="21">
        <f>INDEX(Data[],MATCH($A60,Data[Dist],0),MATCH(G$4,Data[#Headers],0))</f>
        <v>161635</v>
      </c>
      <c r="H60" s="21">
        <f>INDEX(Data[],MATCH($A60,Data[Dist],0),MATCH(H$4,Data[#Headers],0))</f>
        <v>2451870</v>
      </c>
      <c r="I60" s="21">
        <f>INDEX(Data[],MATCH($A60,Data[Dist],0),MATCH(I$4,Data[#Headers],0))</f>
        <v>3282246</v>
      </c>
      <c r="J60" s="22"/>
    </row>
    <row r="61" spans="1:10" x14ac:dyDescent="0.2">
      <c r="A61" s="19" t="str">
        <f>Data!B57</f>
        <v>1093</v>
      </c>
      <c r="B61" s="20" t="str">
        <f>INDEX(Data[],MATCH($A61,Data[Dist],0),MATCH(B$4,Data[#Headers],0))</f>
        <v>Central Decatur</v>
      </c>
      <c r="C61" s="21">
        <f>INDEX(Data[],MATCH($A61,Data[Dist],0),MATCH(C$4,Data[#Headers],0))</f>
        <v>97410</v>
      </c>
      <c r="D61" s="21">
        <f>INDEX(Data[],MATCH($A61,Data[Dist],0),MATCH(D$4,Data[#Headers],0))</f>
        <v>653370</v>
      </c>
      <c r="E61" s="21">
        <f>INDEX(Data[],MATCH($A61,Data[Dist],0),MATCH(E$4,Data[#Headers],0))</f>
        <v>58440</v>
      </c>
      <c r="F61" s="21">
        <f>INDEX(Data[],MATCH($A61,Data[Dist],0),MATCH(F$4,Data[#Headers],0))</f>
        <v>46032</v>
      </c>
      <c r="G61" s="21">
        <f>INDEX(Data[],MATCH($A61,Data[Dist],0),MATCH(G$4,Data[#Headers],0))</f>
        <v>238883</v>
      </c>
      <c r="H61" s="21">
        <f>INDEX(Data[],MATCH($A61,Data[Dist],0),MATCH(H$4,Data[#Headers],0))</f>
        <v>4729233</v>
      </c>
      <c r="I61" s="21">
        <f>INDEX(Data[],MATCH($A61,Data[Dist],0),MATCH(I$4,Data[#Headers],0))</f>
        <v>5823368</v>
      </c>
      <c r="J61" s="22"/>
    </row>
    <row r="62" spans="1:10" x14ac:dyDescent="0.2">
      <c r="A62" s="19" t="str">
        <f>Data!B58</f>
        <v>1095</v>
      </c>
      <c r="B62" s="20" t="str">
        <f>INDEX(Data[],MATCH($A62,Data[Dist],0),MATCH(B$4,Data[#Headers],0))</f>
        <v>Central Lyon</v>
      </c>
      <c r="C62" s="21">
        <f>INDEX(Data[],MATCH($A62,Data[Dist],0),MATCH(C$4,Data[#Headers],0))</f>
        <v>167546</v>
      </c>
      <c r="D62" s="21">
        <f>INDEX(Data[],MATCH($A62,Data[Dist],0),MATCH(D$4,Data[#Headers],0))</f>
        <v>906704</v>
      </c>
      <c r="E62" s="21">
        <f>INDEX(Data[],MATCH($A62,Data[Dist],0),MATCH(E$4,Data[#Headers],0))</f>
        <v>59753</v>
      </c>
      <c r="F62" s="21">
        <f>INDEX(Data[],MATCH($A62,Data[Dist],0),MATCH(F$4,Data[#Headers],0))</f>
        <v>63132</v>
      </c>
      <c r="G62" s="21">
        <f>INDEX(Data[],MATCH($A62,Data[Dist],0),MATCH(G$4,Data[#Headers],0))</f>
        <v>316697</v>
      </c>
      <c r="H62" s="21">
        <f>INDEX(Data[],MATCH($A62,Data[Dist],0),MATCH(H$4,Data[#Headers],0))</f>
        <v>4035048</v>
      </c>
      <c r="I62" s="21">
        <f>INDEX(Data[],MATCH($A62,Data[Dist],0),MATCH(I$4,Data[#Headers],0))</f>
        <v>5548880</v>
      </c>
      <c r="J62" s="22"/>
    </row>
    <row r="63" spans="1:10" x14ac:dyDescent="0.2">
      <c r="A63" s="19" t="str">
        <f>Data!B59</f>
        <v>1107</v>
      </c>
      <c r="B63" s="20" t="str">
        <f>INDEX(Data[],MATCH($A63,Data[Dist],0),MATCH(B$4,Data[#Headers],0))</f>
        <v>Chariton</v>
      </c>
      <c r="C63" s="21">
        <f>INDEX(Data[],MATCH($A63,Data[Dist],0),MATCH(C$4,Data[#Headers],0))</f>
        <v>159753</v>
      </c>
      <c r="D63" s="21">
        <f>INDEX(Data[],MATCH($A63,Data[Dist],0),MATCH(D$4,Data[#Headers],0))</f>
        <v>1052045</v>
      </c>
      <c r="E63" s="21">
        <f>INDEX(Data[],MATCH($A63,Data[Dist],0),MATCH(E$4,Data[#Headers],0))</f>
        <v>118195</v>
      </c>
      <c r="F63" s="21">
        <f>INDEX(Data[],MATCH($A63,Data[Dist],0),MATCH(F$4,Data[#Headers],0))</f>
        <v>93710</v>
      </c>
      <c r="G63" s="21">
        <f>INDEX(Data[],MATCH($A63,Data[Dist],0),MATCH(G$4,Data[#Headers],0))</f>
        <v>496464</v>
      </c>
      <c r="H63" s="21">
        <f>INDEX(Data[],MATCH($A63,Data[Dist],0),MATCH(H$4,Data[#Headers],0))</f>
        <v>8735596</v>
      </c>
      <c r="I63" s="21">
        <f>INDEX(Data[],MATCH($A63,Data[Dist],0),MATCH(I$4,Data[#Headers],0))</f>
        <v>10655763</v>
      </c>
      <c r="J63" s="22"/>
    </row>
    <row r="64" spans="1:10" x14ac:dyDescent="0.2">
      <c r="A64" s="19" t="str">
        <f>Data!B60</f>
        <v>1116</v>
      </c>
      <c r="B64" s="20" t="str">
        <f>INDEX(Data[],MATCH($A64,Data[Dist],0),MATCH(B$4,Data[#Headers],0))</f>
        <v>Charles City</v>
      </c>
      <c r="C64" s="21">
        <f>INDEX(Data[],MATCH($A64,Data[Dist],0),MATCH(C$4,Data[#Headers],0))</f>
        <v>268853</v>
      </c>
      <c r="D64" s="21">
        <f>INDEX(Data[],MATCH($A64,Data[Dist],0),MATCH(D$4,Data[#Headers],0))</f>
        <v>1146389</v>
      </c>
      <c r="E64" s="21">
        <f>INDEX(Data[],MATCH($A64,Data[Dist],0),MATCH(E$4,Data[#Headers],0))</f>
        <v>123119</v>
      </c>
      <c r="F64" s="21">
        <f>INDEX(Data[],MATCH($A64,Data[Dist],0),MATCH(F$4,Data[#Headers],0))</f>
        <v>123119</v>
      </c>
      <c r="G64" s="21">
        <f>INDEX(Data[],MATCH($A64,Data[Dist],0),MATCH(G$4,Data[#Headers],0))</f>
        <v>591314</v>
      </c>
      <c r="H64" s="21">
        <f>INDEX(Data[],MATCH($A64,Data[Dist],0),MATCH(H$4,Data[#Headers],0))</f>
        <v>9318376</v>
      </c>
      <c r="I64" s="21">
        <f>INDEX(Data[],MATCH($A64,Data[Dist],0),MATCH(I$4,Data[#Headers],0))</f>
        <v>11571170</v>
      </c>
      <c r="J64" s="22"/>
    </row>
    <row r="65" spans="1:10" x14ac:dyDescent="0.2">
      <c r="A65" s="19" t="str">
        <f>Data!B61</f>
        <v>1134</v>
      </c>
      <c r="B65" s="20" t="str">
        <f>INDEX(Data[],MATCH($A65,Data[Dist],0),MATCH(B$4,Data[#Headers],0))</f>
        <v>Charter Oak-Ute</v>
      </c>
      <c r="C65" s="21">
        <f>INDEX(Data[],MATCH($A65,Data[Dist],0),MATCH(C$4,Data[#Headers],0))</f>
        <v>35068</v>
      </c>
      <c r="D65" s="21">
        <f>INDEX(Data[],MATCH($A65,Data[Dist],0),MATCH(D$4,Data[#Headers],0))</f>
        <v>335020</v>
      </c>
      <c r="E65" s="21">
        <f>INDEX(Data[],MATCH($A65,Data[Dist],0),MATCH(E$4,Data[#Headers],0))</f>
        <v>23975</v>
      </c>
      <c r="F65" s="21">
        <f>INDEX(Data[],MATCH($A65,Data[Dist],0),MATCH(F$4,Data[#Headers],0))</f>
        <v>21896</v>
      </c>
      <c r="G65" s="21">
        <f>INDEX(Data[],MATCH($A65,Data[Dist],0),MATCH(G$4,Data[#Headers],0))</f>
        <v>105842</v>
      </c>
      <c r="H65" s="21">
        <f>INDEX(Data[],MATCH($A65,Data[Dist],0),MATCH(H$4,Data[#Headers],0))</f>
        <v>1249339</v>
      </c>
      <c r="I65" s="21">
        <f>INDEX(Data[],MATCH($A65,Data[Dist],0),MATCH(I$4,Data[#Headers],0))</f>
        <v>1771140</v>
      </c>
      <c r="J65" s="22"/>
    </row>
    <row r="66" spans="1:10" x14ac:dyDescent="0.2">
      <c r="A66" s="19" t="str">
        <f>Data!B62</f>
        <v>1152</v>
      </c>
      <c r="B66" s="20" t="str">
        <f>INDEX(Data[],MATCH($A66,Data[Dist],0),MATCH(B$4,Data[#Headers],0))</f>
        <v>Cherokee</v>
      </c>
      <c r="C66" s="21">
        <f>INDEX(Data[],MATCH($A66,Data[Dist],0),MATCH(C$4,Data[#Headers],0))</f>
        <v>132557</v>
      </c>
      <c r="D66" s="21">
        <f>INDEX(Data[],MATCH($A66,Data[Dist],0),MATCH(D$4,Data[#Headers],0))</f>
        <v>833519</v>
      </c>
      <c r="E66" s="21">
        <f>INDEX(Data[],MATCH($A66,Data[Dist],0),MATCH(E$4,Data[#Headers],0))</f>
        <v>85938</v>
      </c>
      <c r="F66" s="21">
        <f>INDEX(Data[],MATCH($A66,Data[Dist],0),MATCH(F$4,Data[#Headers],0))</f>
        <v>80191</v>
      </c>
      <c r="G66" s="21">
        <f>INDEX(Data[],MATCH($A66,Data[Dist],0),MATCH(G$4,Data[#Headers],0))</f>
        <v>393341</v>
      </c>
      <c r="H66" s="21">
        <f>INDEX(Data[],MATCH($A66,Data[Dist],0),MATCH(H$4,Data[#Headers],0))</f>
        <v>6642440</v>
      </c>
      <c r="I66" s="21">
        <f>INDEX(Data[],MATCH($A66,Data[Dist],0),MATCH(I$4,Data[#Headers],0))</f>
        <v>8167986</v>
      </c>
      <c r="J66" s="22"/>
    </row>
    <row r="67" spans="1:10" x14ac:dyDescent="0.2">
      <c r="A67" s="19" t="str">
        <f>Data!B63</f>
        <v>1197</v>
      </c>
      <c r="B67" s="20" t="str">
        <f>INDEX(Data[],MATCH($A67,Data[Dist],0),MATCH(B$4,Data[#Headers],0))</f>
        <v>Clarinda</v>
      </c>
      <c r="C67" s="21">
        <f>INDEX(Data[],MATCH($A67,Data[Dist],0),MATCH(C$4,Data[#Headers],0))</f>
        <v>171442</v>
      </c>
      <c r="D67" s="21">
        <f>INDEX(Data[],MATCH($A67,Data[Dist],0),MATCH(D$4,Data[#Headers],0))</f>
        <v>799419</v>
      </c>
      <c r="E67" s="21">
        <f>INDEX(Data[],MATCH($A67,Data[Dist],0),MATCH(E$4,Data[#Headers],0))</f>
        <v>72915</v>
      </c>
      <c r="F67" s="21">
        <f>INDEX(Data[],MATCH($A67,Data[Dist],0),MATCH(F$4,Data[#Headers],0))</f>
        <v>63088</v>
      </c>
      <c r="G67" s="21">
        <f>INDEX(Data[],MATCH($A67,Data[Dist],0),MATCH(G$4,Data[#Headers],0))</f>
        <v>377249</v>
      </c>
      <c r="H67" s="21">
        <f>INDEX(Data[],MATCH($A67,Data[Dist],0),MATCH(H$4,Data[#Headers],0))</f>
        <v>5759845</v>
      </c>
      <c r="I67" s="21">
        <f>INDEX(Data[],MATCH($A67,Data[Dist],0),MATCH(I$4,Data[#Headers],0))</f>
        <v>7243958</v>
      </c>
      <c r="J67" s="22"/>
    </row>
    <row r="68" spans="1:10" x14ac:dyDescent="0.2">
      <c r="A68" s="19" t="str">
        <f>Data!B64</f>
        <v>1206</v>
      </c>
      <c r="B68" s="20" t="str">
        <f>INDEX(Data[],MATCH($A68,Data[Dist],0),MATCH(B$4,Data[#Headers],0))</f>
        <v>Clarion-Goldfield-Dows</v>
      </c>
      <c r="C68" s="21">
        <f>INDEX(Data[],MATCH($A68,Data[Dist],0),MATCH(C$4,Data[#Headers],0))</f>
        <v>198796</v>
      </c>
      <c r="D68" s="21">
        <f>INDEX(Data[],MATCH($A68,Data[Dist],0),MATCH(D$4,Data[#Headers],0))</f>
        <v>781729</v>
      </c>
      <c r="E68" s="21">
        <f>INDEX(Data[],MATCH($A68,Data[Dist],0),MATCH(E$4,Data[#Headers],0))</f>
        <v>82637</v>
      </c>
      <c r="F68" s="21">
        <f>INDEX(Data[],MATCH($A68,Data[Dist],0),MATCH(F$4,Data[#Headers],0))</f>
        <v>75792</v>
      </c>
      <c r="G68" s="21">
        <f>INDEX(Data[],MATCH($A68,Data[Dist],0),MATCH(G$4,Data[#Headers],0))</f>
        <v>372621</v>
      </c>
      <c r="H68" s="21">
        <f>INDEX(Data[],MATCH($A68,Data[Dist],0),MATCH(H$4,Data[#Headers],0))</f>
        <v>4644804</v>
      </c>
      <c r="I68" s="21">
        <f>INDEX(Data[],MATCH($A68,Data[Dist],0),MATCH(I$4,Data[#Headers],0))</f>
        <v>6156379</v>
      </c>
      <c r="J68" s="22"/>
    </row>
    <row r="69" spans="1:10" x14ac:dyDescent="0.2">
      <c r="A69" s="19" t="str">
        <f>Data!B65</f>
        <v>1211</v>
      </c>
      <c r="B69" s="20" t="str">
        <f>INDEX(Data[],MATCH($A69,Data[Dist],0),MATCH(B$4,Data[#Headers],0))</f>
        <v>Clarke</v>
      </c>
      <c r="C69" s="21">
        <f>INDEX(Data[],MATCH($A69,Data[Dist],0),MATCH(C$4,Data[#Headers],0))</f>
        <v>190924</v>
      </c>
      <c r="D69" s="21">
        <f>INDEX(Data[],MATCH($A69,Data[Dist],0),MATCH(D$4,Data[#Headers],0))</f>
        <v>1130383</v>
      </c>
      <c r="E69" s="21">
        <f>INDEX(Data[],MATCH($A69,Data[Dist],0),MATCH(E$4,Data[#Headers],0))</f>
        <v>124935</v>
      </c>
      <c r="F69" s="21">
        <f>INDEX(Data[],MATCH($A69,Data[Dist],0),MATCH(F$4,Data[#Headers],0))</f>
        <v>100463</v>
      </c>
      <c r="G69" s="21">
        <f>INDEX(Data[],MATCH($A69,Data[Dist],0),MATCH(G$4,Data[#Headers],0))</f>
        <v>540584</v>
      </c>
      <c r="H69" s="21">
        <f>INDEX(Data[],MATCH($A69,Data[Dist],0),MATCH(H$4,Data[#Headers],0))</f>
        <v>10048386</v>
      </c>
      <c r="I69" s="21">
        <f>INDEX(Data[],MATCH($A69,Data[Dist],0),MATCH(I$4,Data[#Headers],0))</f>
        <v>12135675</v>
      </c>
      <c r="J69" s="22"/>
    </row>
    <row r="70" spans="1:10" x14ac:dyDescent="0.2">
      <c r="A70" s="19" t="str">
        <f>Data!B66</f>
        <v>1215</v>
      </c>
      <c r="B70" s="20" t="str">
        <f>INDEX(Data[],MATCH($A70,Data[Dist],0),MATCH(B$4,Data[#Headers],0))</f>
        <v>Clarksville</v>
      </c>
      <c r="C70" s="21">
        <f>INDEX(Data[],MATCH($A70,Data[Dist],0),MATCH(C$4,Data[#Headers],0))</f>
        <v>74032</v>
      </c>
      <c r="D70" s="21">
        <f>INDEX(Data[],MATCH($A70,Data[Dist],0),MATCH(D$4,Data[#Headers],0))</f>
        <v>377883</v>
      </c>
      <c r="E70" s="21">
        <f>INDEX(Data[],MATCH($A70,Data[Dist],0),MATCH(E$4,Data[#Headers],0))</f>
        <v>24032</v>
      </c>
      <c r="F70" s="21">
        <f>INDEX(Data[],MATCH($A70,Data[Dist],0),MATCH(F$4,Data[#Headers],0))</f>
        <v>23218</v>
      </c>
      <c r="G70" s="21">
        <f>INDEX(Data[],MATCH($A70,Data[Dist],0),MATCH(G$4,Data[#Headers],0))</f>
        <v>107127</v>
      </c>
      <c r="H70" s="21">
        <f>INDEX(Data[],MATCH($A70,Data[Dist],0),MATCH(H$4,Data[#Headers],0))</f>
        <v>1782186</v>
      </c>
      <c r="I70" s="21">
        <f>INDEX(Data[],MATCH($A70,Data[Dist],0),MATCH(I$4,Data[#Headers],0))</f>
        <v>2388478</v>
      </c>
      <c r="J70" s="22"/>
    </row>
    <row r="71" spans="1:10" x14ac:dyDescent="0.2">
      <c r="A71" s="19" t="str">
        <f>Data!B67</f>
        <v>1218</v>
      </c>
      <c r="B71" s="20" t="str">
        <f>INDEX(Data[],MATCH($A71,Data[Dist],0),MATCH(B$4,Data[#Headers],0))</f>
        <v>Clay Central-Everly</v>
      </c>
      <c r="C71" s="21">
        <f>INDEX(Data[],MATCH($A71,Data[Dist],0),MATCH(C$4,Data[#Headers],0))</f>
        <v>19482</v>
      </c>
      <c r="D71" s="21">
        <f>INDEX(Data[],MATCH($A71,Data[Dist],0),MATCH(D$4,Data[#Headers],0))</f>
        <v>332370</v>
      </c>
      <c r="E71" s="21">
        <f>INDEX(Data[],MATCH($A71,Data[Dist],0),MATCH(E$4,Data[#Headers],0))</f>
        <v>21215</v>
      </c>
      <c r="F71" s="21">
        <f>INDEX(Data[],MATCH($A71,Data[Dist],0),MATCH(F$4,Data[#Headers],0))</f>
        <v>22773</v>
      </c>
      <c r="G71" s="21">
        <f>INDEX(Data[],MATCH($A71,Data[Dist],0),MATCH(G$4,Data[#Headers],0))</f>
        <v>106911</v>
      </c>
      <c r="H71" s="21">
        <f>INDEX(Data[],MATCH($A71,Data[Dist],0),MATCH(H$4,Data[#Headers],0))</f>
        <v>466452</v>
      </c>
      <c r="I71" s="21">
        <f>INDEX(Data[],MATCH($A71,Data[Dist],0),MATCH(I$4,Data[#Headers],0))</f>
        <v>969203</v>
      </c>
      <c r="J71" s="22"/>
    </row>
    <row r="72" spans="1:10" x14ac:dyDescent="0.2">
      <c r="A72" s="19" t="str">
        <f>Data!B68</f>
        <v>1221</v>
      </c>
      <c r="B72" s="20" t="str">
        <f>INDEX(Data[],MATCH($A72,Data[Dist],0),MATCH(B$4,Data[#Headers],0))</f>
        <v>Clear Creek-Amana</v>
      </c>
      <c r="C72" s="21">
        <f>INDEX(Data[],MATCH($A72,Data[Dist],0),MATCH(C$4,Data[#Headers],0))</f>
        <v>615634</v>
      </c>
      <c r="D72" s="21">
        <f>INDEX(Data[],MATCH($A72,Data[Dist],0),MATCH(D$4,Data[#Headers],0))</f>
        <v>2239395</v>
      </c>
      <c r="E72" s="21">
        <f>INDEX(Data[],MATCH($A72,Data[Dist],0),MATCH(E$4,Data[#Headers],0))</f>
        <v>210167</v>
      </c>
      <c r="F72" s="21">
        <f>INDEX(Data[],MATCH($A72,Data[Dist],0),MATCH(F$4,Data[#Headers],0))</f>
        <v>225773</v>
      </c>
      <c r="G72" s="21">
        <f>INDEX(Data[],MATCH($A72,Data[Dist],0),MATCH(G$4,Data[#Headers],0))</f>
        <v>1158113</v>
      </c>
      <c r="H72" s="21">
        <f>INDEX(Data[],MATCH($A72,Data[Dist],0),MATCH(H$4,Data[#Headers],0))</f>
        <v>16727227</v>
      </c>
      <c r="I72" s="21">
        <f>INDEX(Data[],MATCH($A72,Data[Dist],0),MATCH(I$4,Data[#Headers],0))</f>
        <v>21176309</v>
      </c>
      <c r="J72" s="22"/>
    </row>
    <row r="73" spans="1:10" x14ac:dyDescent="0.2">
      <c r="A73" s="19" t="str">
        <f>Data!B69</f>
        <v>1233</v>
      </c>
      <c r="B73" s="20" t="str">
        <f>INDEX(Data[],MATCH($A73,Data[Dist],0),MATCH(B$4,Data[#Headers],0))</f>
        <v>Clear Lake</v>
      </c>
      <c r="C73" s="21">
        <f>INDEX(Data[],MATCH($A73,Data[Dist],0),MATCH(C$4,Data[#Headers],0))</f>
        <v>187028</v>
      </c>
      <c r="D73" s="21">
        <f>INDEX(Data[],MATCH($A73,Data[Dist],0),MATCH(D$4,Data[#Headers],0))</f>
        <v>945503</v>
      </c>
      <c r="E73" s="21">
        <f>INDEX(Data[],MATCH($A73,Data[Dist],0),MATCH(E$4,Data[#Headers],0))</f>
        <v>88885</v>
      </c>
      <c r="F73" s="21">
        <f>INDEX(Data[],MATCH($A73,Data[Dist],0),MATCH(F$4,Data[#Headers],0))</f>
        <v>84657</v>
      </c>
      <c r="G73" s="21">
        <f>INDEX(Data[],MATCH($A73,Data[Dist],0),MATCH(G$4,Data[#Headers],0))</f>
        <v>446186</v>
      </c>
      <c r="H73" s="21">
        <f>INDEX(Data[],MATCH($A73,Data[Dist],0),MATCH(H$4,Data[#Headers],0))</f>
        <v>3150857</v>
      </c>
      <c r="I73" s="21">
        <f>INDEX(Data[],MATCH($A73,Data[Dist],0),MATCH(I$4,Data[#Headers],0))</f>
        <v>4903116</v>
      </c>
      <c r="J73" s="22"/>
    </row>
    <row r="74" spans="1:10" x14ac:dyDescent="0.2">
      <c r="A74" s="19" t="str">
        <f>Data!B70</f>
        <v>1278</v>
      </c>
      <c r="B74" s="20" t="str">
        <f>INDEX(Data[],MATCH($A74,Data[Dist],0),MATCH(B$4,Data[#Headers],0))</f>
        <v>Clinton</v>
      </c>
      <c r="C74" s="21">
        <f>INDEX(Data[],MATCH($A74,Data[Dist],0),MATCH(C$4,Data[#Headers],0))</f>
        <v>724733</v>
      </c>
      <c r="D74" s="21">
        <f>INDEX(Data[],MATCH($A74,Data[Dist],0),MATCH(D$4,Data[#Headers],0))</f>
        <v>2570596</v>
      </c>
      <c r="E74" s="21">
        <f>INDEX(Data[],MATCH($A74,Data[Dist],0),MATCH(E$4,Data[#Headers],0))</f>
        <v>326963</v>
      </c>
      <c r="F74" s="21">
        <f>INDEX(Data[],MATCH($A74,Data[Dist],0),MATCH(F$4,Data[#Headers],0))</f>
        <v>283063</v>
      </c>
      <c r="G74" s="21">
        <f>INDEX(Data[],MATCH($A74,Data[Dist],0),MATCH(G$4,Data[#Headers],0))</f>
        <v>1383057</v>
      </c>
      <c r="H74" s="21">
        <f>INDEX(Data[],MATCH($A74,Data[Dist],0),MATCH(H$4,Data[#Headers],0))</f>
        <v>26829175</v>
      </c>
      <c r="I74" s="21">
        <f>INDEX(Data[],MATCH($A74,Data[Dist],0),MATCH(I$4,Data[#Headers],0))</f>
        <v>32117587</v>
      </c>
      <c r="J74" s="22"/>
    </row>
    <row r="75" spans="1:10" x14ac:dyDescent="0.2">
      <c r="A75" s="19" t="str">
        <f>Data!B71</f>
        <v>1332</v>
      </c>
      <c r="B75" s="20" t="str">
        <f>INDEX(Data[],MATCH($A75,Data[Dist],0),MATCH(B$4,Data[#Headers],0))</f>
        <v>Colfax-Mingo</v>
      </c>
      <c r="C75" s="21">
        <f>INDEX(Data[],MATCH($A75,Data[Dist],0),MATCH(C$4,Data[#Headers],0))</f>
        <v>159753</v>
      </c>
      <c r="D75" s="21">
        <f>INDEX(Data[],MATCH($A75,Data[Dist],0),MATCH(D$4,Data[#Headers],0))</f>
        <v>659903</v>
      </c>
      <c r="E75" s="21">
        <f>INDEX(Data[],MATCH($A75,Data[Dist],0),MATCH(E$4,Data[#Headers],0))</f>
        <v>55766</v>
      </c>
      <c r="F75" s="21">
        <f>INDEX(Data[],MATCH($A75,Data[Dist],0),MATCH(F$4,Data[#Headers],0))</f>
        <v>48055</v>
      </c>
      <c r="G75" s="21">
        <f>INDEX(Data[],MATCH($A75,Data[Dist],0),MATCH(G$4,Data[#Headers],0))</f>
        <v>270688</v>
      </c>
      <c r="H75" s="21">
        <f>INDEX(Data[],MATCH($A75,Data[Dist],0),MATCH(H$4,Data[#Headers],0))</f>
        <v>4181235</v>
      </c>
      <c r="I75" s="21">
        <f>INDEX(Data[],MATCH($A75,Data[Dist],0),MATCH(I$4,Data[#Headers],0))</f>
        <v>5375400</v>
      </c>
      <c r="J75" s="22"/>
    </row>
    <row r="76" spans="1:10" x14ac:dyDescent="0.2">
      <c r="A76" s="19" t="str">
        <f>Data!B72</f>
        <v>1337</v>
      </c>
      <c r="B76" s="20" t="str">
        <f>INDEX(Data[],MATCH($A76,Data[Dist],0),MATCH(B$4,Data[#Headers],0))</f>
        <v>College Community</v>
      </c>
      <c r="C76" s="21">
        <f>INDEX(Data[],MATCH($A76,Data[Dist],0),MATCH(C$4,Data[#Headers],0))</f>
        <v>1122168</v>
      </c>
      <c r="D76" s="21">
        <f>INDEX(Data[],MATCH($A76,Data[Dist],0),MATCH(D$4,Data[#Headers],0))</f>
        <v>3589781</v>
      </c>
      <c r="E76" s="21">
        <f>INDEX(Data[],MATCH($A76,Data[Dist],0),MATCH(E$4,Data[#Headers],0))</f>
        <v>423469</v>
      </c>
      <c r="F76" s="21">
        <f>INDEX(Data[],MATCH($A76,Data[Dist],0),MATCH(F$4,Data[#Headers],0))</f>
        <v>402573</v>
      </c>
      <c r="G76" s="21">
        <f>INDEX(Data[],MATCH($A76,Data[Dist],0),MATCH(G$4,Data[#Headers],0))</f>
        <v>1939393</v>
      </c>
      <c r="H76" s="21">
        <f>INDEX(Data[],MATCH($A76,Data[Dist],0),MATCH(H$4,Data[#Headers],0))</f>
        <v>26193540</v>
      </c>
      <c r="I76" s="21">
        <f>INDEX(Data[],MATCH($A76,Data[Dist],0),MATCH(I$4,Data[#Headers],0))</f>
        <v>33670924</v>
      </c>
      <c r="J76" s="22"/>
    </row>
    <row r="77" spans="1:10" x14ac:dyDescent="0.2">
      <c r="A77" s="19" t="str">
        <f>Data!B73</f>
        <v>1350</v>
      </c>
      <c r="B77" s="20" t="str">
        <f>INDEX(Data[],MATCH($A77,Data[Dist],0),MATCH(B$4,Data[#Headers],0))</f>
        <v>Collins-Maxwell</v>
      </c>
      <c r="C77" s="21">
        <f>INDEX(Data[],MATCH($A77,Data[Dist],0),MATCH(C$4,Data[#Headers],0))</f>
        <v>85721</v>
      </c>
      <c r="D77" s="21">
        <f>INDEX(Data[],MATCH($A77,Data[Dist],0),MATCH(D$4,Data[#Headers],0))</f>
        <v>487817</v>
      </c>
      <c r="E77" s="21">
        <f>INDEX(Data[],MATCH($A77,Data[Dist],0),MATCH(E$4,Data[#Headers],0))</f>
        <v>35261</v>
      </c>
      <c r="F77" s="21">
        <f>INDEX(Data[],MATCH($A77,Data[Dist],0),MATCH(F$4,Data[#Headers],0))</f>
        <v>32292</v>
      </c>
      <c r="G77" s="21">
        <f>INDEX(Data[],MATCH($A77,Data[Dist],0),MATCH(G$4,Data[#Headers],0))</f>
        <v>170961</v>
      </c>
      <c r="H77" s="21">
        <f>INDEX(Data[],MATCH($A77,Data[Dist],0),MATCH(H$4,Data[#Headers],0))</f>
        <v>2584604</v>
      </c>
      <c r="I77" s="21">
        <f>INDEX(Data[],MATCH($A77,Data[Dist],0),MATCH(I$4,Data[#Headers],0))</f>
        <v>3396656</v>
      </c>
      <c r="J77" s="22"/>
    </row>
    <row r="78" spans="1:10" x14ac:dyDescent="0.2">
      <c r="A78" s="19" t="str">
        <f>Data!B74</f>
        <v>1359</v>
      </c>
      <c r="B78" s="20" t="str">
        <f>INDEX(Data[],MATCH($A78,Data[Dist],0),MATCH(B$4,Data[#Headers],0))</f>
        <v>Colo-Nesco</v>
      </c>
      <c r="C78" s="21">
        <f>INDEX(Data[],MATCH($A78,Data[Dist],0),MATCH(C$4,Data[#Headers],0))</f>
        <v>85721</v>
      </c>
      <c r="D78" s="21">
        <f>INDEX(Data[],MATCH($A78,Data[Dist],0),MATCH(D$4,Data[#Headers],0))</f>
        <v>486529</v>
      </c>
      <c r="E78" s="21">
        <f>INDEX(Data[],MATCH($A78,Data[Dist],0),MATCH(E$4,Data[#Headers],0))</f>
        <v>35478</v>
      </c>
      <c r="F78" s="21">
        <f>INDEX(Data[],MATCH($A78,Data[Dist],0),MATCH(F$4,Data[#Headers],0))</f>
        <v>33308</v>
      </c>
      <c r="G78" s="21">
        <f>INDEX(Data[],MATCH($A78,Data[Dist],0),MATCH(G$4,Data[#Headers],0))</f>
        <v>171834</v>
      </c>
      <c r="H78" s="21">
        <f>INDEX(Data[],MATCH($A78,Data[Dist],0),MATCH(H$4,Data[#Headers],0))</f>
        <v>1775551</v>
      </c>
      <c r="I78" s="21">
        <f>INDEX(Data[],MATCH($A78,Data[Dist],0),MATCH(I$4,Data[#Headers],0))</f>
        <v>2588421</v>
      </c>
      <c r="J78" s="22"/>
    </row>
    <row r="79" spans="1:10" x14ac:dyDescent="0.2">
      <c r="A79" s="19" t="str">
        <f>Data!B75</f>
        <v>1368</v>
      </c>
      <c r="B79" s="20" t="str">
        <f>INDEX(Data[],MATCH($A79,Data[Dist],0),MATCH(B$4,Data[#Headers],0))</f>
        <v>Columbus</v>
      </c>
      <c r="C79" s="21">
        <f>INDEX(Data[],MATCH($A79,Data[Dist],0),MATCH(C$4,Data[#Headers],0))</f>
        <v>175339</v>
      </c>
      <c r="D79" s="21">
        <f>INDEX(Data[],MATCH($A79,Data[Dist],0),MATCH(D$4,Data[#Headers],0))</f>
        <v>797430</v>
      </c>
      <c r="E79" s="21">
        <f>INDEX(Data[],MATCH($A79,Data[Dist],0),MATCH(E$4,Data[#Headers],0))</f>
        <v>66013</v>
      </c>
      <c r="F79" s="21">
        <f>INDEX(Data[],MATCH($A79,Data[Dist],0),MATCH(F$4,Data[#Headers],0))</f>
        <v>63272</v>
      </c>
      <c r="G79" s="21">
        <f>INDEX(Data[],MATCH($A79,Data[Dist],0),MATCH(G$4,Data[#Headers],0))</f>
        <v>286025</v>
      </c>
      <c r="H79" s="21">
        <f>INDEX(Data[],MATCH($A79,Data[Dist],0),MATCH(H$4,Data[#Headers],0))</f>
        <v>4969452</v>
      </c>
      <c r="I79" s="21">
        <f>INDEX(Data[],MATCH($A79,Data[Dist],0),MATCH(I$4,Data[#Headers],0))</f>
        <v>6357531</v>
      </c>
      <c r="J79" s="22"/>
    </row>
    <row r="80" spans="1:10" x14ac:dyDescent="0.2">
      <c r="A80" s="19" t="str">
        <f>Data!B76</f>
        <v>1413</v>
      </c>
      <c r="B80" s="20" t="str">
        <f>INDEX(Data[],MATCH($A80,Data[Dist],0),MATCH(B$4,Data[#Headers],0))</f>
        <v>Coon Rapids-Bayard</v>
      </c>
      <c r="C80" s="21">
        <f>INDEX(Data[],MATCH($A80,Data[Dist],0),MATCH(C$4,Data[#Headers],0))</f>
        <v>54550</v>
      </c>
      <c r="D80" s="21">
        <f>INDEX(Data[],MATCH($A80,Data[Dist],0),MATCH(D$4,Data[#Headers],0))</f>
        <v>466315</v>
      </c>
      <c r="E80" s="21">
        <f>INDEX(Data[],MATCH($A80,Data[Dist],0),MATCH(E$4,Data[#Headers],0))</f>
        <v>37762</v>
      </c>
      <c r="F80" s="21">
        <f>INDEX(Data[],MATCH($A80,Data[Dist],0),MATCH(F$4,Data[#Headers],0))</f>
        <v>35107</v>
      </c>
      <c r="G80" s="21">
        <f>INDEX(Data[],MATCH($A80,Data[Dist],0),MATCH(G$4,Data[#Headers],0))</f>
        <v>164695</v>
      </c>
      <c r="H80" s="21">
        <f>INDEX(Data[],MATCH($A80,Data[Dist],0),MATCH(H$4,Data[#Headers],0))</f>
        <v>2374299</v>
      </c>
      <c r="I80" s="21">
        <f>INDEX(Data[],MATCH($A80,Data[Dist],0),MATCH(I$4,Data[#Headers],0))</f>
        <v>3132728</v>
      </c>
      <c r="J80" s="22"/>
    </row>
    <row r="81" spans="1:10" x14ac:dyDescent="0.2">
      <c r="A81" s="19" t="str">
        <f>Data!B77</f>
        <v>1431</v>
      </c>
      <c r="B81" s="20" t="str">
        <f>INDEX(Data[],MATCH($A81,Data[Dist],0),MATCH(B$4,Data[#Headers],0))</f>
        <v>Corning</v>
      </c>
      <c r="C81" s="21">
        <f>INDEX(Data[],MATCH($A81,Data[Dist],0),MATCH(C$4,Data[#Headers],0))</f>
        <v>89618</v>
      </c>
      <c r="D81" s="21">
        <f>INDEX(Data[],MATCH($A81,Data[Dist],0),MATCH(D$4,Data[#Headers],0))</f>
        <v>402357</v>
      </c>
      <c r="E81" s="21">
        <f>INDEX(Data[],MATCH($A81,Data[Dist],0),MATCH(E$4,Data[#Headers],0))</f>
        <v>34008</v>
      </c>
      <c r="F81" s="21">
        <f>INDEX(Data[],MATCH($A81,Data[Dist],0),MATCH(F$4,Data[#Headers],0))</f>
        <v>29050</v>
      </c>
      <c r="G81" s="21">
        <f>INDEX(Data[],MATCH($A81,Data[Dist],0),MATCH(G$4,Data[#Headers],0))</f>
        <v>142106</v>
      </c>
      <c r="H81" s="21">
        <f>INDEX(Data[],MATCH($A81,Data[Dist],0),MATCH(H$4,Data[#Headers],0))</f>
        <v>1252798</v>
      </c>
      <c r="I81" s="21">
        <f>INDEX(Data[],MATCH($A81,Data[Dist],0),MATCH(I$4,Data[#Headers],0))</f>
        <v>1949937</v>
      </c>
      <c r="J81" s="22"/>
    </row>
    <row r="82" spans="1:10" x14ac:dyDescent="0.2">
      <c r="A82" s="19" t="str">
        <f>Data!B78</f>
        <v>1476</v>
      </c>
      <c r="B82" s="20" t="str">
        <f>INDEX(Data[],MATCH($A82,Data[Dist],0),MATCH(B$4,Data[#Headers],0))</f>
        <v>Council Bluffs</v>
      </c>
      <c r="C82" s="21">
        <f>INDEX(Data[],MATCH($A82,Data[Dist],0),MATCH(C$4,Data[#Headers],0))</f>
        <v>1410344</v>
      </c>
      <c r="D82" s="21">
        <f>INDEX(Data[],MATCH($A82,Data[Dist],0),MATCH(D$4,Data[#Headers],0))</f>
        <v>6216079</v>
      </c>
      <c r="E82" s="21">
        <f>INDEX(Data[],MATCH($A82,Data[Dist],0),MATCH(E$4,Data[#Headers],0))</f>
        <v>835698</v>
      </c>
      <c r="F82" s="21">
        <f>INDEX(Data[],MATCH($A82,Data[Dist],0),MATCH(F$4,Data[#Headers],0))</f>
        <v>666691</v>
      </c>
      <c r="G82" s="21">
        <f>INDEX(Data[],MATCH($A82,Data[Dist],0),MATCH(G$4,Data[#Headers],0))</f>
        <v>3358260</v>
      </c>
      <c r="H82" s="21">
        <f>INDEX(Data[],MATCH($A82,Data[Dist],0),MATCH(H$4,Data[#Headers],0))</f>
        <v>65771395</v>
      </c>
      <c r="I82" s="21">
        <f>INDEX(Data[],MATCH($A82,Data[Dist],0),MATCH(I$4,Data[#Headers],0))</f>
        <v>78258467</v>
      </c>
      <c r="J82" s="22"/>
    </row>
    <row r="83" spans="1:10" x14ac:dyDescent="0.2">
      <c r="A83" s="19" t="str">
        <f>Data!B79</f>
        <v>1503</v>
      </c>
      <c r="B83" s="20" t="str">
        <f>INDEX(Data[],MATCH($A83,Data[Dist],0),MATCH(B$4,Data[#Headers],0))</f>
        <v>Creston</v>
      </c>
      <c r="C83" s="21">
        <f>INDEX(Data[],MATCH($A83,Data[Dist],0),MATCH(C$4,Data[#Headers],0))</f>
        <v>319506</v>
      </c>
      <c r="D83" s="21">
        <f>INDEX(Data[],MATCH($A83,Data[Dist],0),MATCH(D$4,Data[#Headers],0))</f>
        <v>1124966</v>
      </c>
      <c r="E83" s="21">
        <f>INDEX(Data[],MATCH($A83,Data[Dist],0),MATCH(E$4,Data[#Headers],0))</f>
        <v>120120</v>
      </c>
      <c r="F83" s="21">
        <f>INDEX(Data[],MATCH($A83,Data[Dist],0),MATCH(F$4,Data[#Headers],0))</f>
        <v>105686</v>
      </c>
      <c r="G83" s="21">
        <f>INDEX(Data[],MATCH($A83,Data[Dist],0),MATCH(G$4,Data[#Headers],0))</f>
        <v>530876</v>
      </c>
      <c r="H83" s="21">
        <f>INDEX(Data[],MATCH($A83,Data[Dist],0),MATCH(H$4,Data[#Headers],0))</f>
        <v>8421503</v>
      </c>
      <c r="I83" s="21">
        <f>INDEX(Data[],MATCH($A83,Data[Dist],0),MATCH(I$4,Data[#Headers],0))</f>
        <v>10622657</v>
      </c>
      <c r="J83" s="22"/>
    </row>
    <row r="84" spans="1:10" x14ac:dyDescent="0.2">
      <c r="A84" s="19" t="str">
        <f>Data!B80</f>
        <v>1576</v>
      </c>
      <c r="B84" s="20" t="str">
        <f>INDEX(Data[],MATCH($A84,Data[Dist],0),MATCH(B$4,Data[#Headers],0))</f>
        <v>Dallas Center-Grimes</v>
      </c>
      <c r="C84" s="21">
        <f>INDEX(Data[],MATCH($A84,Data[Dist],0),MATCH(C$4,Data[#Headers],0))</f>
        <v>642908</v>
      </c>
      <c r="D84" s="21">
        <f>INDEX(Data[],MATCH($A84,Data[Dist],0),MATCH(D$4,Data[#Headers],0))</f>
        <v>2474084</v>
      </c>
      <c r="E84" s="21">
        <f>INDEX(Data[],MATCH($A84,Data[Dist],0),MATCH(E$4,Data[#Headers],0))</f>
        <v>272252</v>
      </c>
      <c r="F84" s="21">
        <f>INDEX(Data[],MATCH($A84,Data[Dist],0),MATCH(F$4,Data[#Headers],0))</f>
        <v>243060</v>
      </c>
      <c r="G84" s="21">
        <f>INDEX(Data[],MATCH($A84,Data[Dist],0),MATCH(G$4,Data[#Headers],0))</f>
        <v>1336633</v>
      </c>
      <c r="H84" s="21">
        <f>INDEX(Data[],MATCH($A84,Data[Dist],0),MATCH(H$4,Data[#Headers],0))</f>
        <v>19840947</v>
      </c>
      <c r="I84" s="21">
        <f>INDEX(Data[],MATCH($A84,Data[Dist],0),MATCH(I$4,Data[#Headers],0))</f>
        <v>24809884</v>
      </c>
      <c r="J84" s="22"/>
    </row>
    <row r="85" spans="1:10" x14ac:dyDescent="0.2">
      <c r="A85" s="19" t="str">
        <f>Data!B81</f>
        <v>1602</v>
      </c>
      <c r="B85" s="20" t="str">
        <f>INDEX(Data[],MATCH($A85,Data[Dist],0),MATCH(B$4,Data[#Headers],0))</f>
        <v>Danville</v>
      </c>
      <c r="C85" s="21">
        <f>INDEX(Data[],MATCH($A85,Data[Dist],0),MATCH(C$4,Data[#Headers],0))</f>
        <v>120789</v>
      </c>
      <c r="D85" s="21">
        <f>INDEX(Data[],MATCH($A85,Data[Dist],0),MATCH(D$4,Data[#Headers],0))</f>
        <v>474978</v>
      </c>
      <c r="E85" s="21">
        <f>INDEX(Data[],MATCH($A85,Data[Dist],0),MATCH(E$4,Data[#Headers],0))</f>
        <v>36958</v>
      </c>
      <c r="F85" s="21">
        <f>INDEX(Data[],MATCH($A85,Data[Dist],0),MATCH(F$4,Data[#Headers],0))</f>
        <v>33259</v>
      </c>
      <c r="G85" s="21">
        <f>INDEX(Data[],MATCH($A85,Data[Dist],0),MATCH(G$4,Data[#Headers],0))</f>
        <v>167754</v>
      </c>
      <c r="H85" s="21">
        <f>INDEX(Data[],MATCH($A85,Data[Dist],0),MATCH(H$4,Data[#Headers],0))</f>
        <v>2583209</v>
      </c>
      <c r="I85" s="21">
        <f>INDEX(Data[],MATCH($A85,Data[Dist],0),MATCH(I$4,Data[#Headers],0))</f>
        <v>3416947</v>
      </c>
      <c r="J85" s="22"/>
    </row>
    <row r="86" spans="1:10" x14ac:dyDescent="0.2">
      <c r="A86" s="19" t="str">
        <f>Data!B82</f>
        <v>1611</v>
      </c>
      <c r="B86" s="20" t="str">
        <f>INDEX(Data[],MATCH($A86,Data[Dist],0),MATCH(B$4,Data[#Headers],0))</f>
        <v>Davenport</v>
      </c>
      <c r="C86" s="21">
        <f>INDEX(Data[],MATCH($A86,Data[Dist],0),MATCH(C$4,Data[#Headers],0))</f>
        <v>2540620</v>
      </c>
      <c r="D86" s="21">
        <f>INDEX(Data[],MATCH($A86,Data[Dist],0),MATCH(D$4,Data[#Headers],0))</f>
        <v>10299838</v>
      </c>
      <c r="E86" s="21">
        <f>INDEX(Data[],MATCH($A86,Data[Dist],0),MATCH(E$4,Data[#Headers],0))</f>
        <v>1378978</v>
      </c>
      <c r="F86" s="21">
        <f>INDEX(Data[],MATCH($A86,Data[Dist],0),MATCH(F$4,Data[#Headers],0))</f>
        <v>1182318</v>
      </c>
      <c r="G86" s="21">
        <f>INDEX(Data[],MATCH($A86,Data[Dist],0),MATCH(G$4,Data[#Headers],0))</f>
        <v>5564526</v>
      </c>
      <c r="H86" s="21">
        <f>INDEX(Data[],MATCH($A86,Data[Dist],0),MATCH(H$4,Data[#Headers],0))</f>
        <v>88594758</v>
      </c>
      <c r="I86" s="21">
        <f>INDEX(Data[],MATCH($A86,Data[Dist],0),MATCH(I$4,Data[#Headers],0))</f>
        <v>109561038</v>
      </c>
      <c r="J86" s="22"/>
    </row>
    <row r="87" spans="1:10" x14ac:dyDescent="0.2">
      <c r="A87" s="19" t="str">
        <f>Data!B83</f>
        <v>1619</v>
      </c>
      <c r="B87" s="20" t="str">
        <f>INDEX(Data[],MATCH($A87,Data[Dist],0),MATCH(B$4,Data[#Headers],0))</f>
        <v>Davis County</v>
      </c>
      <c r="C87" s="21">
        <f>INDEX(Data[],MATCH($A87,Data[Dist],0),MATCH(C$4,Data[#Headers],0))</f>
        <v>144167</v>
      </c>
      <c r="D87" s="21">
        <f>INDEX(Data[],MATCH($A87,Data[Dist],0),MATCH(D$4,Data[#Headers],0))</f>
        <v>898837</v>
      </c>
      <c r="E87" s="21">
        <f>INDEX(Data[],MATCH($A87,Data[Dist],0),MATCH(E$4,Data[#Headers],0))</f>
        <v>85531</v>
      </c>
      <c r="F87" s="21">
        <f>INDEX(Data[],MATCH($A87,Data[Dist],0),MATCH(F$4,Data[#Headers],0))</f>
        <v>83836</v>
      </c>
      <c r="G87" s="21">
        <f>INDEX(Data[],MATCH($A87,Data[Dist],0),MATCH(G$4,Data[#Headers],0))</f>
        <v>424164</v>
      </c>
      <c r="H87" s="21">
        <f>INDEX(Data[],MATCH($A87,Data[Dist],0),MATCH(H$4,Data[#Headers],0))</f>
        <v>6645442</v>
      </c>
      <c r="I87" s="21">
        <f>INDEX(Data[],MATCH($A87,Data[Dist],0),MATCH(I$4,Data[#Headers],0))</f>
        <v>8281977</v>
      </c>
      <c r="J87" s="22"/>
    </row>
    <row r="88" spans="1:10" x14ac:dyDescent="0.2">
      <c r="A88" s="19" t="str">
        <f>Data!B84</f>
        <v>1638</v>
      </c>
      <c r="B88" s="20" t="str">
        <f>INDEX(Data[],MATCH($A88,Data[Dist],0),MATCH(B$4,Data[#Headers],0))</f>
        <v>Decorah</v>
      </c>
      <c r="C88" s="21">
        <f>INDEX(Data[],MATCH($A88,Data[Dist],0),MATCH(C$4,Data[#Headers],0))</f>
        <v>350677</v>
      </c>
      <c r="D88" s="21">
        <f>INDEX(Data[],MATCH($A88,Data[Dist],0),MATCH(D$4,Data[#Headers],0))</f>
        <v>1307578</v>
      </c>
      <c r="E88" s="21">
        <f>INDEX(Data[],MATCH($A88,Data[Dist],0),MATCH(E$4,Data[#Headers],0))</f>
        <v>121112</v>
      </c>
      <c r="F88" s="21">
        <f>INDEX(Data[],MATCH($A88,Data[Dist],0),MATCH(F$4,Data[#Headers],0))</f>
        <v>123242</v>
      </c>
      <c r="G88" s="21">
        <f>INDEX(Data[],MATCH($A88,Data[Dist],0),MATCH(G$4,Data[#Headers],0))</f>
        <v>595923</v>
      </c>
      <c r="H88" s="21">
        <f>INDEX(Data[],MATCH($A88,Data[Dist],0),MATCH(H$4,Data[#Headers],0))</f>
        <v>7218615</v>
      </c>
      <c r="I88" s="21">
        <f>INDEX(Data[],MATCH($A88,Data[Dist],0),MATCH(I$4,Data[#Headers],0))</f>
        <v>9717147</v>
      </c>
      <c r="J88" s="22"/>
    </row>
    <row r="89" spans="1:10" x14ac:dyDescent="0.2">
      <c r="A89" s="19" t="str">
        <f>Data!B85</f>
        <v>1675</v>
      </c>
      <c r="B89" s="20" t="str">
        <f>INDEX(Data[],MATCH($A89,Data[Dist],0),MATCH(B$4,Data[#Headers],0))</f>
        <v>Delwood</v>
      </c>
      <c r="C89" s="21">
        <f>INDEX(Data[],MATCH($A89,Data[Dist],0),MATCH(C$4,Data[#Headers],0))</f>
        <v>74032</v>
      </c>
      <c r="D89" s="21">
        <f>INDEX(Data[],MATCH($A89,Data[Dist],0),MATCH(D$4,Data[#Headers],0))</f>
        <v>220376</v>
      </c>
      <c r="E89" s="21">
        <f>INDEX(Data[],MATCH($A89,Data[Dist],0),MATCH(E$4,Data[#Headers],0))</f>
        <v>15444</v>
      </c>
      <c r="F89" s="21">
        <f>INDEX(Data[],MATCH($A89,Data[Dist],0),MATCH(F$4,Data[#Headers],0))</f>
        <v>10122</v>
      </c>
      <c r="G89" s="21">
        <f>INDEX(Data[],MATCH($A89,Data[Dist],0),MATCH(G$4,Data[#Headers],0))</f>
        <v>73706</v>
      </c>
      <c r="H89" s="21">
        <f>INDEX(Data[],MATCH($A89,Data[Dist],0),MATCH(H$4,Data[#Headers],0))</f>
        <v>1037150</v>
      </c>
      <c r="I89" s="21">
        <f>INDEX(Data[],MATCH($A89,Data[Dist],0),MATCH(I$4,Data[#Headers],0))</f>
        <v>1430830</v>
      </c>
      <c r="J89" s="22"/>
    </row>
    <row r="90" spans="1:10" x14ac:dyDescent="0.2">
      <c r="A90" s="19" t="str">
        <f>Data!B86</f>
        <v>1701</v>
      </c>
      <c r="B90" s="20" t="str">
        <f>INDEX(Data[],MATCH($A90,Data[Dist],0),MATCH(B$4,Data[#Headers],0))</f>
        <v>Denison</v>
      </c>
      <c r="C90" s="21">
        <f>INDEX(Data[],MATCH($A90,Data[Dist],0),MATCH(C$4,Data[#Headers],0))</f>
        <v>451906</v>
      </c>
      <c r="D90" s="21">
        <f>INDEX(Data[],MATCH($A90,Data[Dist],0),MATCH(D$4,Data[#Headers],0))</f>
        <v>1516115</v>
      </c>
      <c r="E90" s="21">
        <f>INDEX(Data[],MATCH($A90,Data[Dist],0),MATCH(E$4,Data[#Headers],0))</f>
        <v>192159</v>
      </c>
      <c r="F90" s="21">
        <f>INDEX(Data[],MATCH($A90,Data[Dist],0),MATCH(F$4,Data[#Headers],0))</f>
        <v>159600</v>
      </c>
      <c r="G90" s="21">
        <f>INDEX(Data[],MATCH($A90,Data[Dist],0),MATCH(G$4,Data[#Headers],0))</f>
        <v>784377</v>
      </c>
      <c r="H90" s="21">
        <f>INDEX(Data[],MATCH($A90,Data[Dist],0),MATCH(H$4,Data[#Headers],0))</f>
        <v>14235266</v>
      </c>
      <c r="I90" s="21">
        <f>INDEX(Data[],MATCH($A90,Data[Dist],0),MATCH(I$4,Data[#Headers],0))</f>
        <v>17339423</v>
      </c>
      <c r="J90" s="22"/>
    </row>
    <row r="91" spans="1:10" x14ac:dyDescent="0.2">
      <c r="A91" s="19" t="str">
        <f>Data!B87</f>
        <v>1719</v>
      </c>
      <c r="B91" s="20" t="str">
        <f>INDEX(Data[],MATCH($A91,Data[Dist],0),MATCH(B$4,Data[#Headers],0))</f>
        <v>Denver</v>
      </c>
      <c r="C91" s="21">
        <f>INDEX(Data[],MATCH($A91,Data[Dist],0),MATCH(C$4,Data[#Headers],0))</f>
        <v>171442</v>
      </c>
      <c r="D91" s="21">
        <f>INDEX(Data[],MATCH($A91,Data[Dist],0),MATCH(D$4,Data[#Headers],0))</f>
        <v>772583</v>
      </c>
      <c r="E91" s="21">
        <f>INDEX(Data[],MATCH($A91,Data[Dist],0),MATCH(E$4,Data[#Headers],0))</f>
        <v>57405</v>
      </c>
      <c r="F91" s="21">
        <f>INDEX(Data[],MATCH($A91,Data[Dist],0),MATCH(F$4,Data[#Headers],0))</f>
        <v>57257</v>
      </c>
      <c r="G91" s="21">
        <f>INDEX(Data[],MATCH($A91,Data[Dist],0),MATCH(G$4,Data[#Headers],0))</f>
        <v>328747</v>
      </c>
      <c r="H91" s="21">
        <f>INDEX(Data[],MATCH($A91,Data[Dist],0),MATCH(H$4,Data[#Headers],0))</f>
        <v>5502654</v>
      </c>
      <c r="I91" s="21">
        <f>INDEX(Data[],MATCH($A91,Data[Dist],0),MATCH(I$4,Data[#Headers],0))</f>
        <v>6890088</v>
      </c>
      <c r="J91" s="22"/>
    </row>
    <row r="92" spans="1:10" x14ac:dyDescent="0.2">
      <c r="A92" s="19" t="str">
        <f>Data!B88</f>
        <v>1737</v>
      </c>
      <c r="B92" s="20" t="str">
        <f>INDEX(Data[],MATCH($A92,Data[Dist],0),MATCH(B$4,Data[#Headers],0))</f>
        <v>Des Moines</v>
      </c>
      <c r="C92" s="21">
        <f>INDEX(Data[],MATCH($A92,Data[Dist],0),MATCH(C$4,Data[#Headers],0))</f>
        <v>5287751</v>
      </c>
      <c r="D92" s="21">
        <f>INDEX(Data[],MATCH($A92,Data[Dist],0),MATCH(D$4,Data[#Headers],0))</f>
        <v>22501822</v>
      </c>
      <c r="E92" s="21">
        <f>INDEX(Data[],MATCH($A92,Data[Dist],0),MATCH(E$4,Data[#Headers],0))</f>
        <v>3299049</v>
      </c>
      <c r="F92" s="21">
        <f>INDEX(Data[],MATCH($A92,Data[Dist],0),MATCH(F$4,Data[#Headers],0))</f>
        <v>2769321</v>
      </c>
      <c r="G92" s="21">
        <f>INDEX(Data[],MATCH($A92,Data[Dist],0),MATCH(G$4,Data[#Headers],0))</f>
        <v>12156693</v>
      </c>
      <c r="H92" s="21">
        <f>INDEX(Data[],MATCH($A92,Data[Dist],0),MATCH(H$4,Data[#Headers],0))</f>
        <v>226574852</v>
      </c>
      <c r="I92" s="21">
        <f>INDEX(Data[],MATCH($A92,Data[Dist],0),MATCH(I$4,Data[#Headers],0))</f>
        <v>272589488</v>
      </c>
      <c r="J92" s="22"/>
    </row>
    <row r="93" spans="1:10" x14ac:dyDescent="0.2">
      <c r="A93" s="19" t="str">
        <f>Data!B89</f>
        <v>1782</v>
      </c>
      <c r="B93" s="20" t="str">
        <f>INDEX(Data[],MATCH($A93,Data[Dist],0),MATCH(B$4,Data[#Headers],0))</f>
        <v>Diagonal</v>
      </c>
      <c r="C93" s="21">
        <f>INDEX(Data[],MATCH($A93,Data[Dist],0),MATCH(C$4,Data[#Headers],0))</f>
        <v>27275</v>
      </c>
      <c r="D93" s="21">
        <f>INDEX(Data[],MATCH($A93,Data[Dist],0),MATCH(D$4,Data[#Headers],0))</f>
        <v>248144</v>
      </c>
      <c r="E93" s="21">
        <f>INDEX(Data[],MATCH($A93,Data[Dist],0),MATCH(E$4,Data[#Headers],0))</f>
        <v>12678</v>
      </c>
      <c r="F93" s="21">
        <f>INDEX(Data[],MATCH($A93,Data[Dist],0),MATCH(F$4,Data[#Headers],0))</f>
        <v>11519</v>
      </c>
      <c r="G93" s="21">
        <f>INDEX(Data[],MATCH($A93,Data[Dist],0),MATCH(G$4,Data[#Headers],0))</f>
        <v>41275</v>
      </c>
      <c r="H93" s="21">
        <f>INDEX(Data[],MATCH($A93,Data[Dist],0),MATCH(H$4,Data[#Headers],0))</f>
        <v>518259</v>
      </c>
      <c r="I93" s="21">
        <f>INDEX(Data[],MATCH($A93,Data[Dist],0),MATCH(I$4,Data[#Headers],0))</f>
        <v>859150</v>
      </c>
      <c r="J93" s="22"/>
    </row>
    <row r="94" spans="1:10" x14ac:dyDescent="0.2">
      <c r="A94" s="19" t="str">
        <f>Data!B90</f>
        <v>1791</v>
      </c>
      <c r="B94" s="20" t="str">
        <f>INDEX(Data[],MATCH($A94,Data[Dist],0),MATCH(B$4,Data[#Headers],0))</f>
        <v>Dike-New Hartford</v>
      </c>
      <c r="C94" s="21">
        <f>INDEX(Data[],MATCH($A94,Data[Dist],0),MATCH(C$4,Data[#Headers],0))</f>
        <v>179235</v>
      </c>
      <c r="D94" s="21">
        <f>INDEX(Data[],MATCH($A94,Data[Dist],0),MATCH(D$4,Data[#Headers],0))</f>
        <v>778974</v>
      </c>
      <c r="E94" s="21">
        <f>INDEX(Data[],MATCH($A94,Data[Dist],0),MATCH(E$4,Data[#Headers],0))</f>
        <v>62732</v>
      </c>
      <c r="F94" s="21">
        <f>INDEX(Data[],MATCH($A94,Data[Dist],0),MATCH(F$4,Data[#Headers],0))</f>
        <v>64830</v>
      </c>
      <c r="G94" s="21">
        <f>INDEX(Data[],MATCH($A94,Data[Dist],0),MATCH(G$4,Data[#Headers],0))</f>
        <v>331467</v>
      </c>
      <c r="H94" s="21">
        <f>INDEX(Data[],MATCH($A94,Data[Dist],0),MATCH(H$4,Data[#Headers],0))</f>
        <v>5318276</v>
      </c>
      <c r="I94" s="21">
        <f>INDEX(Data[],MATCH($A94,Data[Dist],0),MATCH(I$4,Data[#Headers],0))</f>
        <v>6735514</v>
      </c>
      <c r="J94" s="22"/>
    </row>
    <row r="95" spans="1:10" x14ac:dyDescent="0.2">
      <c r="A95" s="19" t="str">
        <f>Data!B91</f>
        <v>1863</v>
      </c>
      <c r="B95" s="20" t="str">
        <f>INDEX(Data[],MATCH($A95,Data[Dist],0),MATCH(B$4,Data[#Headers],0))</f>
        <v>Dubuque</v>
      </c>
      <c r="C95" s="21">
        <f>INDEX(Data[],MATCH($A95,Data[Dist],0),MATCH(C$4,Data[#Headers],0))</f>
        <v>2684708</v>
      </c>
      <c r="D95" s="21">
        <f>INDEX(Data[],MATCH($A95,Data[Dist],0),MATCH(D$4,Data[#Headers],0))</f>
        <v>8604513</v>
      </c>
      <c r="E95" s="21">
        <f>INDEX(Data[],MATCH($A95,Data[Dist],0),MATCH(E$4,Data[#Headers],0))</f>
        <v>886416</v>
      </c>
      <c r="F95" s="21">
        <f>INDEX(Data[],MATCH($A95,Data[Dist],0),MATCH(F$4,Data[#Headers],0))</f>
        <v>869555</v>
      </c>
      <c r="G95" s="21">
        <f>INDEX(Data[],MATCH($A95,Data[Dist],0),MATCH(G$4,Data[#Headers],0))</f>
        <v>4031241</v>
      </c>
      <c r="H95" s="21">
        <f>INDEX(Data[],MATCH($A95,Data[Dist],0),MATCH(H$4,Data[#Headers],0))</f>
        <v>62053705</v>
      </c>
      <c r="I95" s="21">
        <f>INDEX(Data[],MATCH($A95,Data[Dist],0),MATCH(I$4,Data[#Headers],0))</f>
        <v>79130138</v>
      </c>
      <c r="J95" s="22"/>
    </row>
    <row r="96" spans="1:10" x14ac:dyDescent="0.2">
      <c r="A96" s="19" t="str">
        <f>Data!B92</f>
        <v>1908</v>
      </c>
      <c r="B96" s="20" t="str">
        <f>INDEX(Data[],MATCH($A96,Data[Dist],0),MATCH(B$4,Data[#Headers],0))</f>
        <v>Dunkerton</v>
      </c>
      <c r="C96" s="21">
        <f>INDEX(Data[],MATCH($A96,Data[Dist],0),MATCH(C$4,Data[#Headers],0))</f>
        <v>101307</v>
      </c>
      <c r="D96" s="21">
        <f>INDEX(Data[],MATCH($A96,Data[Dist],0),MATCH(D$4,Data[#Headers],0))</f>
        <v>420268</v>
      </c>
      <c r="E96" s="21">
        <f>INDEX(Data[],MATCH($A96,Data[Dist],0),MATCH(E$4,Data[#Headers],0))</f>
        <v>29075</v>
      </c>
      <c r="F96" s="21">
        <f>INDEX(Data[],MATCH($A96,Data[Dist],0),MATCH(F$4,Data[#Headers],0))</f>
        <v>26992</v>
      </c>
      <c r="G96" s="21">
        <f>INDEX(Data[],MATCH($A96,Data[Dist],0),MATCH(G$4,Data[#Headers],0))</f>
        <v>138026</v>
      </c>
      <c r="H96" s="21">
        <f>INDEX(Data[],MATCH($A96,Data[Dist],0),MATCH(H$4,Data[#Headers],0))</f>
        <v>2019360</v>
      </c>
      <c r="I96" s="21">
        <f>INDEX(Data[],MATCH($A96,Data[Dist],0),MATCH(I$4,Data[#Headers],0))</f>
        <v>2735028</v>
      </c>
      <c r="J96" s="22"/>
    </row>
    <row r="97" spans="1:10" x14ac:dyDescent="0.2">
      <c r="A97" s="19" t="str">
        <f>Data!B93</f>
        <v>1917</v>
      </c>
      <c r="B97" s="20" t="str">
        <f>INDEX(Data[],MATCH($A97,Data[Dist],0),MATCH(B$4,Data[#Headers],0))</f>
        <v>Boyer Valley</v>
      </c>
      <c r="C97" s="21">
        <f>INDEX(Data[],MATCH($A97,Data[Dist],0),MATCH(C$4,Data[#Headers],0))</f>
        <v>97410</v>
      </c>
      <c r="D97" s="21">
        <f>INDEX(Data[],MATCH($A97,Data[Dist],0),MATCH(D$4,Data[#Headers],0))</f>
        <v>415619</v>
      </c>
      <c r="E97" s="21">
        <f>INDEX(Data[],MATCH($A97,Data[Dist],0),MATCH(E$4,Data[#Headers],0))</f>
        <v>33167</v>
      </c>
      <c r="F97" s="21">
        <f>INDEX(Data[],MATCH($A97,Data[Dist],0),MATCH(F$4,Data[#Headers],0))</f>
        <v>34376</v>
      </c>
      <c r="G97" s="21">
        <f>INDEX(Data[],MATCH($A97,Data[Dist],0),MATCH(G$4,Data[#Headers],0))</f>
        <v>146790</v>
      </c>
      <c r="H97" s="21">
        <f>INDEX(Data[],MATCH($A97,Data[Dist],0),MATCH(H$4,Data[#Headers],0))</f>
        <v>1556493</v>
      </c>
      <c r="I97" s="21">
        <f>INDEX(Data[],MATCH($A97,Data[Dist],0),MATCH(I$4,Data[#Headers],0))</f>
        <v>2283855</v>
      </c>
      <c r="J97" s="22"/>
    </row>
    <row r="98" spans="1:10" x14ac:dyDescent="0.2">
      <c r="A98" s="19" t="str">
        <f>Data!B94</f>
        <v>1926</v>
      </c>
      <c r="B98" s="20" t="str">
        <f>INDEX(Data[],MATCH($A98,Data[Dist],0),MATCH(B$4,Data[#Headers],0))</f>
        <v>Durant</v>
      </c>
      <c r="C98" s="21">
        <f>INDEX(Data[],MATCH($A98,Data[Dist],0),MATCH(C$4,Data[#Headers],0))</f>
        <v>120789</v>
      </c>
      <c r="D98" s="21">
        <f>INDEX(Data[],MATCH($A98,Data[Dist],0),MATCH(D$4,Data[#Headers],0))</f>
        <v>452751</v>
      </c>
      <c r="E98" s="21">
        <f>INDEX(Data[],MATCH($A98,Data[Dist],0),MATCH(E$4,Data[#Headers],0))</f>
        <v>36253</v>
      </c>
      <c r="F98" s="21">
        <f>INDEX(Data[],MATCH($A98,Data[Dist],0),MATCH(F$4,Data[#Headers],0))</f>
        <v>43208</v>
      </c>
      <c r="G98" s="21">
        <f>INDEX(Data[],MATCH($A98,Data[Dist],0),MATCH(G$4,Data[#Headers],0))</f>
        <v>186339</v>
      </c>
      <c r="H98" s="21">
        <f>INDEX(Data[],MATCH($A98,Data[Dist],0),MATCH(H$4,Data[#Headers],0))</f>
        <v>2448600</v>
      </c>
      <c r="I98" s="21">
        <f>INDEX(Data[],MATCH($A98,Data[Dist],0),MATCH(I$4,Data[#Headers],0))</f>
        <v>3287940</v>
      </c>
      <c r="J98" s="22"/>
    </row>
    <row r="99" spans="1:10" x14ac:dyDescent="0.2">
      <c r="A99" s="19" t="str">
        <f>Data!B95</f>
        <v>1935</v>
      </c>
      <c r="B99" s="20" t="str">
        <f>INDEX(Data[],MATCH($A99,Data[Dist],0),MATCH(B$4,Data[#Headers],0))</f>
        <v>Union</v>
      </c>
      <c r="C99" s="21">
        <f>INDEX(Data[],MATCH($A99,Data[Dist],0),MATCH(C$4,Data[#Headers],0))</f>
        <v>175339</v>
      </c>
      <c r="D99" s="21">
        <f>INDEX(Data[],MATCH($A99,Data[Dist],0),MATCH(D$4,Data[#Headers],0))</f>
        <v>819436</v>
      </c>
      <c r="E99" s="21">
        <f>INDEX(Data[],MATCH($A99,Data[Dist],0),MATCH(E$4,Data[#Headers],0))</f>
        <v>71385</v>
      </c>
      <c r="F99" s="21">
        <f>INDEX(Data[],MATCH($A99,Data[Dist],0),MATCH(F$4,Data[#Headers],0))</f>
        <v>59977</v>
      </c>
      <c r="G99" s="21">
        <f>INDEX(Data[],MATCH($A99,Data[Dist],0),MATCH(G$4,Data[#Headers],0))</f>
        <v>361799</v>
      </c>
      <c r="H99" s="21">
        <f>INDEX(Data[],MATCH($A99,Data[Dist],0),MATCH(H$4,Data[#Headers],0))</f>
        <v>5207409</v>
      </c>
      <c r="I99" s="21">
        <f>INDEX(Data[],MATCH($A99,Data[Dist],0),MATCH(I$4,Data[#Headers],0))</f>
        <v>6695345</v>
      </c>
      <c r="J99" s="22"/>
    </row>
    <row r="100" spans="1:10" x14ac:dyDescent="0.2">
      <c r="A100" s="19" t="str">
        <f>Data!B96</f>
        <v>1944</v>
      </c>
      <c r="B100" s="20" t="str">
        <f>INDEX(Data[],MATCH($A100,Data[Dist],0),MATCH(B$4,Data[#Headers],0))</f>
        <v>Eagle Grove</v>
      </c>
      <c r="C100" s="21">
        <f>INDEX(Data[],MATCH($A100,Data[Dist],0),MATCH(C$4,Data[#Headers],0))</f>
        <v>233785</v>
      </c>
      <c r="D100" s="21">
        <f>INDEX(Data[],MATCH($A100,Data[Dist],0),MATCH(D$4,Data[#Headers],0))</f>
        <v>950695</v>
      </c>
      <c r="E100" s="21">
        <f>INDEX(Data[],MATCH($A100,Data[Dist],0),MATCH(E$4,Data[#Headers],0))</f>
        <v>83220</v>
      </c>
      <c r="F100" s="21">
        <f>INDEX(Data[],MATCH($A100,Data[Dist],0),MATCH(F$4,Data[#Headers],0))</f>
        <v>74208</v>
      </c>
      <c r="G100" s="21">
        <f>INDEX(Data[],MATCH($A100,Data[Dist],0),MATCH(G$4,Data[#Headers],0))</f>
        <v>371621</v>
      </c>
      <c r="H100" s="21">
        <f>INDEX(Data[],MATCH($A100,Data[Dist],0),MATCH(H$4,Data[#Headers],0))</f>
        <v>6282363</v>
      </c>
      <c r="I100" s="21">
        <f>INDEX(Data[],MATCH($A100,Data[Dist],0),MATCH(I$4,Data[#Headers],0))</f>
        <v>7995892</v>
      </c>
      <c r="J100" s="22"/>
    </row>
    <row r="101" spans="1:10" x14ac:dyDescent="0.2">
      <c r="A101" s="19" t="str">
        <f>Data!B97</f>
        <v>1953</v>
      </c>
      <c r="B101" s="20" t="str">
        <f>INDEX(Data[],MATCH($A101,Data[Dist],0),MATCH(B$4,Data[#Headers],0))</f>
        <v>Earlham</v>
      </c>
      <c r="C101" s="21">
        <f>INDEX(Data[],MATCH($A101,Data[Dist],0),MATCH(C$4,Data[#Headers],0))</f>
        <v>148064</v>
      </c>
      <c r="D101" s="21">
        <f>INDEX(Data[],MATCH($A101,Data[Dist],0),MATCH(D$4,Data[#Headers],0))</f>
        <v>737079</v>
      </c>
      <c r="E101" s="21">
        <f>INDEX(Data[],MATCH($A101,Data[Dist],0),MATCH(E$4,Data[#Headers],0))</f>
        <v>47189</v>
      </c>
      <c r="F101" s="21">
        <f>INDEX(Data[],MATCH($A101,Data[Dist],0),MATCH(F$4,Data[#Headers],0))</f>
        <v>41786</v>
      </c>
      <c r="G101" s="21">
        <f>INDEX(Data[],MATCH($A101,Data[Dist],0),MATCH(G$4,Data[#Headers],0))</f>
        <v>217805</v>
      </c>
      <c r="H101" s="21">
        <f>INDEX(Data[],MATCH($A101,Data[Dist],0),MATCH(H$4,Data[#Headers],0))</f>
        <v>3222802</v>
      </c>
      <c r="I101" s="21">
        <f>INDEX(Data[],MATCH($A101,Data[Dist],0),MATCH(I$4,Data[#Headers],0))</f>
        <v>4414725</v>
      </c>
      <c r="J101" s="22"/>
    </row>
    <row r="102" spans="1:10" x14ac:dyDescent="0.2">
      <c r="A102" s="19" t="str">
        <f>Data!B98</f>
        <v>1963</v>
      </c>
      <c r="B102" s="20" t="str">
        <f>INDEX(Data[],MATCH($A102,Data[Dist],0),MATCH(B$4,Data[#Headers],0))</f>
        <v>East Buchanan</v>
      </c>
      <c r="C102" s="21">
        <f>INDEX(Data[],MATCH($A102,Data[Dist],0),MATCH(C$4,Data[#Headers],0))</f>
        <v>132478</v>
      </c>
      <c r="D102" s="21">
        <f>INDEX(Data[],MATCH($A102,Data[Dist],0),MATCH(D$4,Data[#Headers],0))</f>
        <v>491482</v>
      </c>
      <c r="E102" s="21">
        <f>INDEX(Data[],MATCH($A102,Data[Dist],0),MATCH(E$4,Data[#Headers],0))</f>
        <v>42047</v>
      </c>
      <c r="F102" s="21">
        <f>INDEX(Data[],MATCH($A102,Data[Dist],0),MATCH(F$4,Data[#Headers],0))</f>
        <v>39809</v>
      </c>
      <c r="G102" s="21">
        <f>INDEX(Data[],MATCH($A102,Data[Dist],0),MATCH(G$4,Data[#Headers],0))</f>
        <v>202280</v>
      </c>
      <c r="H102" s="21">
        <f>INDEX(Data[],MATCH($A102,Data[Dist],0),MATCH(H$4,Data[#Headers],0))</f>
        <v>3155490</v>
      </c>
      <c r="I102" s="21">
        <f>INDEX(Data[],MATCH($A102,Data[Dist],0),MATCH(I$4,Data[#Headers],0))</f>
        <v>4063586</v>
      </c>
      <c r="J102" s="22"/>
    </row>
    <row r="103" spans="1:10" x14ac:dyDescent="0.2">
      <c r="A103" s="19" t="str">
        <f>Data!B99</f>
        <v>1965</v>
      </c>
      <c r="B103" s="20" t="str">
        <f>INDEX(Data[],MATCH($A103,Data[Dist],0),MATCH(B$4,Data[#Headers],0))</f>
        <v>Easton Valley</v>
      </c>
      <c r="C103" s="21">
        <f>INDEX(Data[],MATCH($A103,Data[Dist],0),MATCH(C$4,Data[#Headers],0))</f>
        <v>112996</v>
      </c>
      <c r="D103" s="21">
        <f>INDEX(Data[],MATCH($A103,Data[Dist],0),MATCH(D$4,Data[#Headers],0))</f>
        <v>695430</v>
      </c>
      <c r="E103" s="21">
        <f>INDEX(Data[],MATCH($A103,Data[Dist],0),MATCH(E$4,Data[#Headers],0))</f>
        <v>39654</v>
      </c>
      <c r="F103" s="21">
        <f>INDEX(Data[],MATCH($A103,Data[Dist],0),MATCH(F$4,Data[#Headers],0))</f>
        <v>41764</v>
      </c>
      <c r="G103" s="21">
        <f>INDEX(Data[],MATCH($A103,Data[Dist],0),MATCH(G$4,Data[#Headers],0))</f>
        <v>209759</v>
      </c>
      <c r="H103" s="21">
        <f>INDEX(Data[],MATCH($A103,Data[Dist],0),MATCH(H$4,Data[#Headers],0))</f>
        <v>3115237</v>
      </c>
      <c r="I103" s="21">
        <f>INDEX(Data[],MATCH($A103,Data[Dist],0),MATCH(I$4,Data[#Headers],0))</f>
        <v>4214840</v>
      </c>
      <c r="J103" s="22"/>
    </row>
    <row r="104" spans="1:10" x14ac:dyDescent="0.2">
      <c r="A104" s="19" t="str">
        <f>Data!B100</f>
        <v>1970</v>
      </c>
      <c r="B104" s="20" t="str">
        <f>INDEX(Data[],MATCH($A104,Data[Dist],0),MATCH(B$4,Data[#Headers],0))</f>
        <v>East Union</v>
      </c>
      <c r="C104" s="21">
        <f>INDEX(Data[],MATCH($A104,Data[Dist],0),MATCH(C$4,Data[#Headers],0))</f>
        <v>101307</v>
      </c>
      <c r="D104" s="21">
        <f>INDEX(Data[],MATCH($A104,Data[Dist],0),MATCH(D$4,Data[#Headers],0))</f>
        <v>580535</v>
      </c>
      <c r="E104" s="21">
        <f>INDEX(Data[],MATCH($A104,Data[Dist],0),MATCH(E$4,Data[#Headers],0))</f>
        <v>38665</v>
      </c>
      <c r="F104" s="21">
        <f>INDEX(Data[],MATCH($A104,Data[Dist],0),MATCH(F$4,Data[#Headers],0))</f>
        <v>31549</v>
      </c>
      <c r="G104" s="21">
        <f>INDEX(Data[],MATCH($A104,Data[Dist],0),MATCH(G$4,Data[#Headers],0))</f>
        <v>174130</v>
      </c>
      <c r="H104" s="21">
        <f>INDEX(Data[],MATCH($A104,Data[Dist],0),MATCH(H$4,Data[#Headers],0))</f>
        <v>2583345</v>
      </c>
      <c r="I104" s="21">
        <f>INDEX(Data[],MATCH($A104,Data[Dist],0),MATCH(I$4,Data[#Headers],0))</f>
        <v>3509531</v>
      </c>
      <c r="J104" s="22"/>
    </row>
    <row r="105" spans="1:10" x14ac:dyDescent="0.2">
      <c r="A105" s="19" t="str">
        <f>Data!B101</f>
        <v>1972</v>
      </c>
      <c r="B105" s="20" t="str">
        <f>INDEX(Data[],MATCH($A105,Data[Dist],0),MATCH(B$4,Data[#Headers],0))</f>
        <v>Eastern Allamakee</v>
      </c>
      <c r="C105" s="21">
        <f>INDEX(Data[],MATCH($A105,Data[Dist],0),MATCH(C$4,Data[#Headers],0))</f>
        <v>70135</v>
      </c>
      <c r="D105" s="21">
        <f>INDEX(Data[],MATCH($A105,Data[Dist],0),MATCH(D$4,Data[#Headers],0))</f>
        <v>496815</v>
      </c>
      <c r="E105" s="21">
        <f>INDEX(Data[],MATCH($A105,Data[Dist],0),MATCH(E$4,Data[#Headers],0))</f>
        <v>28088</v>
      </c>
      <c r="F105" s="21">
        <f>INDEX(Data[],MATCH($A105,Data[Dist],0),MATCH(F$4,Data[#Headers],0))</f>
        <v>23400</v>
      </c>
      <c r="G105" s="21">
        <f>INDEX(Data[],MATCH($A105,Data[Dist],0),MATCH(G$4,Data[#Headers],0))</f>
        <v>122094</v>
      </c>
      <c r="H105" s="21">
        <f>INDEX(Data[],MATCH($A105,Data[Dist],0),MATCH(H$4,Data[#Headers],0))</f>
        <v>1124059</v>
      </c>
      <c r="I105" s="21">
        <f>INDEX(Data[],MATCH($A105,Data[Dist],0),MATCH(I$4,Data[#Headers],0))</f>
        <v>1864591</v>
      </c>
      <c r="J105" s="22"/>
    </row>
    <row r="106" spans="1:10" x14ac:dyDescent="0.2">
      <c r="A106" s="19" t="str">
        <f>Data!B102</f>
        <v>1975</v>
      </c>
      <c r="B106" s="20" t="str">
        <f>INDEX(Data[],MATCH($A106,Data[Dist],0),MATCH(B$4,Data[#Headers],0))</f>
        <v>River Valley</v>
      </c>
      <c r="C106" s="21">
        <f>INDEX(Data[],MATCH($A106,Data[Dist],0),MATCH(C$4,Data[#Headers],0))</f>
        <v>42861</v>
      </c>
      <c r="D106" s="21">
        <f>INDEX(Data[],MATCH($A106,Data[Dist],0),MATCH(D$4,Data[#Headers],0))</f>
        <v>406880</v>
      </c>
      <c r="E106" s="21">
        <f>INDEX(Data[],MATCH($A106,Data[Dist],0),MATCH(E$4,Data[#Headers],0))</f>
        <v>33113</v>
      </c>
      <c r="F106" s="21">
        <f>INDEX(Data[],MATCH($A106,Data[Dist],0),MATCH(F$4,Data[#Headers],0))</f>
        <v>29553</v>
      </c>
      <c r="G106" s="21">
        <f>INDEX(Data[],MATCH($A106,Data[Dist],0),MATCH(G$4,Data[#Headers],0))</f>
        <v>140935</v>
      </c>
      <c r="H106" s="21">
        <f>INDEX(Data[],MATCH($A106,Data[Dist],0),MATCH(H$4,Data[#Headers],0))</f>
        <v>1837276</v>
      </c>
      <c r="I106" s="21">
        <f>INDEX(Data[],MATCH($A106,Data[Dist],0),MATCH(I$4,Data[#Headers],0))</f>
        <v>2490618</v>
      </c>
      <c r="J106" s="22"/>
    </row>
    <row r="107" spans="1:10" x14ac:dyDescent="0.2">
      <c r="A107" s="19" t="str">
        <f>Data!B103</f>
        <v>1989</v>
      </c>
      <c r="B107" s="20" t="str">
        <f>INDEX(Data[],MATCH($A107,Data[Dist],0),MATCH(B$4,Data[#Headers],0))</f>
        <v>Edgewood-Colesburg</v>
      </c>
      <c r="C107" s="21">
        <f>INDEX(Data[],MATCH($A107,Data[Dist],0),MATCH(C$4,Data[#Headers],0))</f>
        <v>105203</v>
      </c>
      <c r="D107" s="21">
        <f>INDEX(Data[],MATCH($A107,Data[Dist],0),MATCH(D$4,Data[#Headers],0))</f>
        <v>559324</v>
      </c>
      <c r="E107" s="21">
        <f>INDEX(Data[],MATCH($A107,Data[Dist],0),MATCH(E$4,Data[#Headers],0))</f>
        <v>35242</v>
      </c>
      <c r="F107" s="21">
        <f>INDEX(Data[],MATCH($A107,Data[Dist],0),MATCH(F$4,Data[#Headers],0))</f>
        <v>32772</v>
      </c>
      <c r="G107" s="21">
        <f>INDEX(Data[],MATCH($A107,Data[Dist],0),MATCH(G$4,Data[#Headers],0))</f>
        <v>152229</v>
      </c>
      <c r="H107" s="21">
        <f>INDEX(Data[],MATCH($A107,Data[Dist],0),MATCH(H$4,Data[#Headers],0))</f>
        <v>2025886</v>
      </c>
      <c r="I107" s="21">
        <f>INDEX(Data[],MATCH($A107,Data[Dist],0),MATCH(I$4,Data[#Headers],0))</f>
        <v>2910656</v>
      </c>
      <c r="J107" s="22"/>
    </row>
    <row r="108" spans="1:10" x14ac:dyDescent="0.2">
      <c r="A108" s="19" t="str">
        <f>Data!B104</f>
        <v>2007</v>
      </c>
      <c r="B108" s="20" t="str">
        <f>INDEX(Data[],MATCH($A108,Data[Dist],0),MATCH(B$4,Data[#Headers],0))</f>
        <v>Eldora-New Providence</v>
      </c>
      <c r="C108" s="21">
        <f>INDEX(Data[],MATCH($A108,Data[Dist],0),MATCH(C$4,Data[#Headers],0))</f>
        <v>105203</v>
      </c>
      <c r="D108" s="21">
        <f>INDEX(Data[],MATCH($A108,Data[Dist],0),MATCH(D$4,Data[#Headers],0))</f>
        <v>515284</v>
      </c>
      <c r="E108" s="21">
        <f>INDEX(Data[],MATCH($A108,Data[Dist],0),MATCH(E$4,Data[#Headers],0))</f>
        <v>44654</v>
      </c>
      <c r="F108" s="21">
        <f>INDEX(Data[],MATCH($A108,Data[Dist],0),MATCH(F$4,Data[#Headers],0))</f>
        <v>44497</v>
      </c>
      <c r="G108" s="21">
        <f>INDEX(Data[],MATCH($A108,Data[Dist],0),MATCH(G$4,Data[#Headers],0))</f>
        <v>206635</v>
      </c>
      <c r="H108" s="21">
        <f>INDEX(Data[],MATCH($A108,Data[Dist],0),MATCH(H$4,Data[#Headers],0))</f>
        <v>3334006</v>
      </c>
      <c r="I108" s="21">
        <f>INDEX(Data[],MATCH($A108,Data[Dist],0),MATCH(I$4,Data[#Headers],0))</f>
        <v>4250279</v>
      </c>
      <c r="J108" s="22"/>
    </row>
    <row r="109" spans="1:10" x14ac:dyDescent="0.2">
      <c r="A109" s="19" t="str">
        <f>Data!B105</f>
        <v>2088</v>
      </c>
      <c r="B109" s="20" t="str">
        <f>INDEX(Data[],MATCH($A109,Data[Dist],0),MATCH(B$4,Data[#Headers],0))</f>
        <v>Emmetsburg</v>
      </c>
      <c r="C109" s="21">
        <f>INDEX(Data[],MATCH($A109,Data[Dist],0),MATCH(C$4,Data[#Headers],0))</f>
        <v>163649</v>
      </c>
      <c r="D109" s="21">
        <f>INDEX(Data[],MATCH($A109,Data[Dist],0),MATCH(D$4,Data[#Headers],0))</f>
        <v>610130</v>
      </c>
      <c r="E109" s="21">
        <f>INDEX(Data[],MATCH($A109,Data[Dist],0),MATCH(E$4,Data[#Headers],0))</f>
        <v>55541</v>
      </c>
      <c r="F109" s="21">
        <f>INDEX(Data[],MATCH($A109,Data[Dist],0),MATCH(F$4,Data[#Headers],0))</f>
        <v>53747</v>
      </c>
      <c r="G109" s="21">
        <f>INDEX(Data[],MATCH($A109,Data[Dist],0),MATCH(G$4,Data[#Headers],0))</f>
        <v>259621</v>
      </c>
      <c r="H109" s="21">
        <f>INDEX(Data[],MATCH($A109,Data[Dist],0),MATCH(H$4,Data[#Headers],0))</f>
        <v>2916789</v>
      </c>
      <c r="I109" s="21">
        <f>INDEX(Data[],MATCH($A109,Data[Dist],0),MATCH(I$4,Data[#Headers],0))</f>
        <v>4059477</v>
      </c>
      <c r="J109" s="22"/>
    </row>
    <row r="110" spans="1:10" x14ac:dyDescent="0.2">
      <c r="A110" s="19" t="str">
        <f>Data!B106</f>
        <v>2097</v>
      </c>
      <c r="B110" s="20" t="str">
        <f>INDEX(Data[],MATCH($A110,Data[Dist],0),MATCH(B$4,Data[#Headers],0))</f>
        <v>English Valleys</v>
      </c>
      <c r="C110" s="21">
        <f>INDEX(Data[],MATCH($A110,Data[Dist],0),MATCH(C$4,Data[#Headers],0))</f>
        <v>77928</v>
      </c>
      <c r="D110" s="21">
        <f>INDEX(Data[],MATCH($A110,Data[Dist],0),MATCH(D$4,Data[#Headers],0))</f>
        <v>485994</v>
      </c>
      <c r="E110" s="21">
        <f>INDEX(Data[],MATCH($A110,Data[Dist],0),MATCH(E$4,Data[#Headers],0))</f>
        <v>38547</v>
      </c>
      <c r="F110" s="21">
        <f>INDEX(Data[],MATCH($A110,Data[Dist],0),MATCH(F$4,Data[#Headers],0))</f>
        <v>37288</v>
      </c>
      <c r="G110" s="21">
        <f>INDEX(Data[],MATCH($A110,Data[Dist],0),MATCH(G$4,Data[#Headers],0))</f>
        <v>171645</v>
      </c>
      <c r="H110" s="21">
        <f>INDEX(Data[],MATCH($A110,Data[Dist],0),MATCH(H$4,Data[#Headers],0))</f>
        <v>2317031</v>
      </c>
      <c r="I110" s="21">
        <f>INDEX(Data[],MATCH($A110,Data[Dist],0),MATCH(I$4,Data[#Headers],0))</f>
        <v>3128433</v>
      </c>
      <c r="J110" s="22"/>
    </row>
    <row r="111" spans="1:10" x14ac:dyDescent="0.2">
      <c r="A111" s="19" t="str">
        <f>Data!B107</f>
        <v>2113</v>
      </c>
      <c r="B111" s="20" t="str">
        <f>INDEX(Data[],MATCH($A111,Data[Dist],0),MATCH(B$4,Data[#Headers],0))</f>
        <v>Essex</v>
      </c>
      <c r="C111" s="21">
        <f>INDEX(Data[],MATCH($A111,Data[Dist],0),MATCH(C$4,Data[#Headers],0))</f>
        <v>66239</v>
      </c>
      <c r="D111" s="21">
        <f>INDEX(Data[],MATCH($A111,Data[Dist],0),MATCH(D$4,Data[#Headers],0))</f>
        <v>273703</v>
      </c>
      <c r="E111" s="21">
        <f>INDEX(Data[],MATCH($A111,Data[Dist],0),MATCH(E$4,Data[#Headers],0))</f>
        <v>19272</v>
      </c>
      <c r="F111" s="21">
        <f>INDEX(Data[],MATCH($A111,Data[Dist],0),MATCH(F$4,Data[#Headers],0))</f>
        <v>13486</v>
      </c>
      <c r="G111" s="21">
        <f>INDEX(Data[],MATCH($A111,Data[Dist],0),MATCH(G$4,Data[#Headers],0))</f>
        <v>68362</v>
      </c>
      <c r="H111" s="21">
        <f>INDEX(Data[],MATCH($A111,Data[Dist],0),MATCH(H$4,Data[#Headers],0))</f>
        <v>919560</v>
      </c>
      <c r="I111" s="21">
        <f>INDEX(Data[],MATCH($A111,Data[Dist],0),MATCH(I$4,Data[#Headers],0))</f>
        <v>1360622</v>
      </c>
      <c r="J111" s="22"/>
    </row>
    <row r="112" spans="1:10" x14ac:dyDescent="0.2">
      <c r="A112" s="19" t="str">
        <f>Data!B108</f>
        <v>2124</v>
      </c>
      <c r="B112" s="20" t="str">
        <f>INDEX(Data[],MATCH($A112,Data[Dist],0),MATCH(B$4,Data[#Headers],0))</f>
        <v>Estherville-Lincoln Central</v>
      </c>
      <c r="C112" s="21">
        <f>INDEX(Data[],MATCH($A112,Data[Dist],0),MATCH(C$4,Data[#Headers],0))</f>
        <v>272749</v>
      </c>
      <c r="D112" s="21">
        <f>INDEX(Data[],MATCH($A112,Data[Dist],0),MATCH(D$4,Data[#Headers],0))</f>
        <v>1039445</v>
      </c>
      <c r="E112" s="21">
        <f>INDEX(Data[],MATCH($A112,Data[Dist],0),MATCH(E$4,Data[#Headers],0))</f>
        <v>100812</v>
      </c>
      <c r="F112" s="21">
        <f>INDEX(Data[],MATCH($A112,Data[Dist],0),MATCH(F$4,Data[#Headers],0))</f>
        <v>89152</v>
      </c>
      <c r="G112" s="21">
        <f>INDEX(Data[],MATCH($A112,Data[Dist],0),MATCH(G$4,Data[#Headers],0))</f>
        <v>442973</v>
      </c>
      <c r="H112" s="21">
        <f>INDEX(Data[],MATCH($A112,Data[Dist],0),MATCH(H$4,Data[#Headers],0))</f>
        <v>7286726</v>
      </c>
      <c r="I112" s="21">
        <f>INDEX(Data[],MATCH($A112,Data[Dist],0),MATCH(I$4,Data[#Headers],0))</f>
        <v>9231857</v>
      </c>
      <c r="J112" s="22"/>
    </row>
    <row r="113" spans="1:10" x14ac:dyDescent="0.2">
      <c r="A113" s="19" t="str">
        <f>Data!B109</f>
        <v>2151</v>
      </c>
      <c r="B113" s="20" t="str">
        <f>INDEX(Data[],MATCH($A113,Data[Dist],0),MATCH(B$4,Data[#Headers],0))</f>
        <v>Exira-Elk Horn-Kimballton</v>
      </c>
      <c r="C113" s="21">
        <f>INDEX(Data[],MATCH($A113,Data[Dist],0),MATCH(C$4,Data[#Headers],0))</f>
        <v>62421</v>
      </c>
      <c r="D113" s="21">
        <f>INDEX(Data[],MATCH($A113,Data[Dist],0),MATCH(D$4,Data[#Headers],0))</f>
        <v>522021</v>
      </c>
      <c r="E113" s="21">
        <f>INDEX(Data[],MATCH($A113,Data[Dist],0),MATCH(E$4,Data[#Headers],0))</f>
        <v>32768</v>
      </c>
      <c r="F113" s="21">
        <f>INDEX(Data[],MATCH($A113,Data[Dist],0),MATCH(F$4,Data[#Headers],0))</f>
        <v>33619</v>
      </c>
      <c r="G113" s="21">
        <f>INDEX(Data[],MATCH($A113,Data[Dist],0),MATCH(G$4,Data[#Headers],0))</f>
        <v>157518</v>
      </c>
      <c r="H113" s="21">
        <f>INDEX(Data[],MATCH($A113,Data[Dist],0),MATCH(H$4,Data[#Headers],0))</f>
        <v>1982271</v>
      </c>
      <c r="I113" s="21">
        <f>INDEX(Data[],MATCH($A113,Data[Dist],0),MATCH(I$4,Data[#Headers],0))</f>
        <v>2790618</v>
      </c>
      <c r="J113" s="22"/>
    </row>
    <row r="114" spans="1:10" x14ac:dyDescent="0.2">
      <c r="A114" s="19" t="str">
        <f>Data!B110</f>
        <v>2169</v>
      </c>
      <c r="B114" s="20" t="str">
        <f>INDEX(Data[],MATCH($A114,Data[Dist],0),MATCH(B$4,Data[#Headers],0))</f>
        <v>Fairfield</v>
      </c>
      <c r="C114" s="21">
        <f>INDEX(Data[],MATCH($A114,Data[Dist],0),MATCH(C$4,Data[#Headers],0))</f>
        <v>183132</v>
      </c>
      <c r="D114" s="21">
        <f>INDEX(Data[],MATCH($A114,Data[Dist],0),MATCH(D$4,Data[#Headers],0))</f>
        <v>1633380</v>
      </c>
      <c r="E114" s="21">
        <f>INDEX(Data[],MATCH($A114,Data[Dist],0),MATCH(E$4,Data[#Headers],0))</f>
        <v>129547</v>
      </c>
      <c r="F114" s="21">
        <f>INDEX(Data[],MATCH($A114,Data[Dist],0),MATCH(F$4,Data[#Headers],0))</f>
        <v>118164</v>
      </c>
      <c r="G114" s="21">
        <f>INDEX(Data[],MATCH($A114,Data[Dist],0),MATCH(G$4,Data[#Headers],0))</f>
        <v>613374</v>
      </c>
      <c r="H114" s="21">
        <f>INDEX(Data[],MATCH($A114,Data[Dist],0),MATCH(H$4,Data[#Headers],0))</f>
        <v>7465116</v>
      </c>
      <c r="I114" s="21">
        <f>INDEX(Data[],MATCH($A114,Data[Dist],0),MATCH(I$4,Data[#Headers],0))</f>
        <v>10142713</v>
      </c>
      <c r="J114" s="22"/>
    </row>
    <row r="115" spans="1:10" x14ac:dyDescent="0.2">
      <c r="A115" s="19" t="str">
        <f>Data!B111</f>
        <v>2295</v>
      </c>
      <c r="B115" s="20" t="str">
        <f>INDEX(Data[],MATCH($A115,Data[Dist],0),MATCH(B$4,Data[#Headers],0))</f>
        <v>Forest City</v>
      </c>
      <c r="C115" s="21">
        <f>INDEX(Data[],MATCH($A115,Data[Dist],0),MATCH(C$4,Data[#Headers],0))</f>
        <v>214303</v>
      </c>
      <c r="D115" s="21">
        <f>INDEX(Data[],MATCH($A115,Data[Dist],0),MATCH(D$4,Data[#Headers],0))</f>
        <v>971981</v>
      </c>
      <c r="E115" s="21">
        <f>INDEX(Data[],MATCH($A115,Data[Dist],0),MATCH(E$4,Data[#Headers],0))</f>
        <v>86422</v>
      </c>
      <c r="F115" s="21">
        <f>INDEX(Data[],MATCH($A115,Data[Dist],0),MATCH(F$4,Data[#Headers],0))</f>
        <v>88003</v>
      </c>
      <c r="G115" s="21">
        <f>INDEX(Data[],MATCH($A115,Data[Dist],0),MATCH(G$4,Data[#Headers],0))</f>
        <v>406335</v>
      </c>
      <c r="H115" s="21">
        <f>INDEX(Data[],MATCH($A115,Data[Dist],0),MATCH(H$4,Data[#Headers],0))</f>
        <v>6052353</v>
      </c>
      <c r="I115" s="21">
        <f>INDEX(Data[],MATCH($A115,Data[Dist],0),MATCH(I$4,Data[#Headers],0))</f>
        <v>7819397</v>
      </c>
      <c r="J115" s="22"/>
    </row>
    <row r="116" spans="1:10" x14ac:dyDescent="0.2">
      <c r="A116" s="19" t="str">
        <f>Data!B112</f>
        <v>2313</v>
      </c>
      <c r="B116" s="20" t="str">
        <f>INDEX(Data[],MATCH($A116,Data[Dist],0),MATCH(B$4,Data[#Headers],0))</f>
        <v>Fort Dodge</v>
      </c>
      <c r="C116" s="21">
        <f>INDEX(Data[],MATCH($A116,Data[Dist],0),MATCH(C$4,Data[#Headers],0))</f>
        <v>814351</v>
      </c>
      <c r="D116" s="21">
        <f>INDEX(Data[],MATCH($A116,Data[Dist],0),MATCH(D$4,Data[#Headers],0))</f>
        <v>3013744</v>
      </c>
      <c r="E116" s="21">
        <f>INDEX(Data[],MATCH($A116,Data[Dist],0),MATCH(E$4,Data[#Headers],0))</f>
        <v>343086</v>
      </c>
      <c r="F116" s="21">
        <f>INDEX(Data[],MATCH($A116,Data[Dist],0),MATCH(F$4,Data[#Headers],0))</f>
        <v>304074</v>
      </c>
      <c r="G116" s="21">
        <f>INDEX(Data[],MATCH($A116,Data[Dist],0),MATCH(G$4,Data[#Headers],0))</f>
        <v>1450446</v>
      </c>
      <c r="H116" s="21">
        <f>INDEX(Data[],MATCH($A116,Data[Dist],0),MATCH(H$4,Data[#Headers],0))</f>
        <v>23393565</v>
      </c>
      <c r="I116" s="21">
        <f>INDEX(Data[],MATCH($A116,Data[Dist],0),MATCH(I$4,Data[#Headers],0))</f>
        <v>29319266</v>
      </c>
      <c r="J116" s="22"/>
    </row>
    <row r="117" spans="1:10" x14ac:dyDescent="0.2">
      <c r="A117" s="19" t="str">
        <f>Data!B113</f>
        <v>2322</v>
      </c>
      <c r="B117" s="20" t="str">
        <f>INDEX(Data[],MATCH($A117,Data[Dist],0),MATCH(B$4,Data[#Headers],0))</f>
        <v>Fort Madison</v>
      </c>
      <c r="C117" s="21">
        <f>INDEX(Data[],MATCH($A117,Data[Dist],0),MATCH(C$4,Data[#Headers],0))</f>
        <v>222096</v>
      </c>
      <c r="D117" s="21">
        <f>INDEX(Data[],MATCH($A117,Data[Dist],0),MATCH(D$4,Data[#Headers],0))</f>
        <v>1597232</v>
      </c>
      <c r="E117" s="21">
        <f>INDEX(Data[],MATCH($A117,Data[Dist],0),MATCH(E$4,Data[#Headers],0))</f>
        <v>175971</v>
      </c>
      <c r="F117" s="21">
        <f>INDEX(Data[],MATCH($A117,Data[Dist],0),MATCH(F$4,Data[#Headers],0))</f>
        <v>158317</v>
      </c>
      <c r="G117" s="21">
        <f>INDEX(Data[],MATCH($A117,Data[Dist],0),MATCH(G$4,Data[#Headers],0))</f>
        <v>826344</v>
      </c>
      <c r="H117" s="21">
        <f>INDEX(Data[],MATCH($A117,Data[Dist],0),MATCH(H$4,Data[#Headers],0))</f>
        <v>12693230</v>
      </c>
      <c r="I117" s="21">
        <f>INDEX(Data[],MATCH($A117,Data[Dist],0),MATCH(I$4,Data[#Headers],0))</f>
        <v>15673190</v>
      </c>
      <c r="J117" s="22"/>
    </row>
    <row r="118" spans="1:10" x14ac:dyDescent="0.2">
      <c r="A118" s="19" t="str">
        <f>Data!B114</f>
        <v>2369</v>
      </c>
      <c r="B118" s="20" t="str">
        <f>INDEX(Data[],MATCH($A118,Data[Dist],0),MATCH(B$4,Data[#Headers],0))</f>
        <v>Fremont-Mills</v>
      </c>
      <c r="C118" s="21">
        <f>INDEX(Data[],MATCH($A118,Data[Dist],0),MATCH(C$4,Data[#Headers],0))</f>
        <v>97410</v>
      </c>
      <c r="D118" s="21">
        <f>INDEX(Data[],MATCH($A118,Data[Dist],0),MATCH(D$4,Data[#Headers],0))</f>
        <v>476048</v>
      </c>
      <c r="E118" s="21">
        <f>INDEX(Data[],MATCH($A118,Data[Dist],0),MATCH(E$4,Data[#Headers],0))</f>
        <v>38296</v>
      </c>
      <c r="F118" s="21">
        <f>INDEX(Data[],MATCH($A118,Data[Dist],0),MATCH(F$4,Data[#Headers],0))</f>
        <v>29724</v>
      </c>
      <c r="G118" s="21">
        <f>INDEX(Data[],MATCH($A118,Data[Dist],0),MATCH(G$4,Data[#Headers],0))</f>
        <v>168132</v>
      </c>
      <c r="H118" s="21">
        <f>INDEX(Data[],MATCH($A118,Data[Dist],0),MATCH(H$4,Data[#Headers],0))</f>
        <v>2499185</v>
      </c>
      <c r="I118" s="21">
        <f>INDEX(Data[],MATCH($A118,Data[Dist],0),MATCH(I$4,Data[#Headers],0))</f>
        <v>3308795</v>
      </c>
      <c r="J118" s="22"/>
    </row>
    <row r="119" spans="1:10" x14ac:dyDescent="0.2">
      <c r="A119" s="19" t="str">
        <f>Data!B115</f>
        <v>2376</v>
      </c>
      <c r="B119" s="20" t="str">
        <f>INDEX(Data[],MATCH($A119,Data[Dist],0),MATCH(B$4,Data[#Headers],0))</f>
        <v>Galva-Holstein</v>
      </c>
      <c r="C119" s="21">
        <f>INDEX(Data[],MATCH($A119,Data[Dist],0),MATCH(C$4,Data[#Headers],0))</f>
        <v>136375</v>
      </c>
      <c r="D119" s="21">
        <f>INDEX(Data[],MATCH($A119,Data[Dist],0),MATCH(D$4,Data[#Headers],0))</f>
        <v>494123</v>
      </c>
      <c r="E119" s="21">
        <f>INDEX(Data[],MATCH($A119,Data[Dist],0),MATCH(E$4,Data[#Headers],0))</f>
        <v>36660</v>
      </c>
      <c r="F119" s="21">
        <f>INDEX(Data[],MATCH($A119,Data[Dist],0),MATCH(F$4,Data[#Headers],0))</f>
        <v>34913</v>
      </c>
      <c r="G119" s="21">
        <f>INDEX(Data[],MATCH($A119,Data[Dist],0),MATCH(G$4,Data[#Headers],0))</f>
        <v>174516</v>
      </c>
      <c r="H119" s="21">
        <f>INDEX(Data[],MATCH($A119,Data[Dist],0),MATCH(H$4,Data[#Headers],0))</f>
        <v>1990558</v>
      </c>
      <c r="I119" s="21">
        <f>INDEX(Data[],MATCH($A119,Data[Dist],0),MATCH(I$4,Data[#Headers],0))</f>
        <v>2867145</v>
      </c>
      <c r="J119" s="22"/>
    </row>
    <row r="120" spans="1:10" x14ac:dyDescent="0.2">
      <c r="A120" s="19" t="str">
        <f>Data!B116</f>
        <v>2403</v>
      </c>
      <c r="B120" s="20" t="str">
        <f>INDEX(Data[],MATCH($A120,Data[Dist],0),MATCH(B$4,Data[#Headers],0))</f>
        <v>Garner-Hayfield-Ventura</v>
      </c>
      <c r="C120" s="21">
        <f>INDEX(Data[],MATCH($A120,Data[Dist],0),MATCH(C$4,Data[#Headers],0))</f>
        <v>260981</v>
      </c>
      <c r="D120" s="21">
        <f>INDEX(Data[],MATCH($A120,Data[Dist],0),MATCH(D$4,Data[#Headers],0))</f>
        <v>834775</v>
      </c>
      <c r="E120" s="21">
        <f>INDEX(Data[],MATCH($A120,Data[Dist],0),MATCH(E$4,Data[#Headers],0))</f>
        <v>71474</v>
      </c>
      <c r="F120" s="21">
        <f>INDEX(Data[],MATCH($A120,Data[Dist],0),MATCH(F$4,Data[#Headers],0))</f>
        <v>68503</v>
      </c>
      <c r="G120" s="21">
        <f>INDEX(Data[],MATCH($A120,Data[Dist],0),MATCH(G$4,Data[#Headers],0))</f>
        <v>329049</v>
      </c>
      <c r="H120" s="21">
        <f>INDEX(Data[],MATCH($A120,Data[Dist],0),MATCH(H$4,Data[#Headers],0))</f>
        <v>2973958</v>
      </c>
      <c r="I120" s="21">
        <f>INDEX(Data[],MATCH($A120,Data[Dist],0),MATCH(I$4,Data[#Headers],0))</f>
        <v>4538740</v>
      </c>
      <c r="J120" s="22"/>
    </row>
    <row r="121" spans="1:10" x14ac:dyDescent="0.2">
      <c r="A121" s="19" t="str">
        <f>Data!B117</f>
        <v>2457</v>
      </c>
      <c r="B121" s="20" t="str">
        <f>INDEX(Data[],MATCH($A121,Data[Dist],0),MATCH(B$4,Data[#Headers],0))</f>
        <v>George-Little Rock</v>
      </c>
      <c r="C121" s="21">
        <f>INDEX(Data[],MATCH($A121,Data[Dist],0),MATCH(C$4,Data[#Headers],0))</f>
        <v>77928</v>
      </c>
      <c r="D121" s="21">
        <f>INDEX(Data[],MATCH($A121,Data[Dist],0),MATCH(D$4,Data[#Headers],0))</f>
        <v>499471</v>
      </c>
      <c r="E121" s="21">
        <f>INDEX(Data[],MATCH($A121,Data[Dist],0),MATCH(E$4,Data[#Headers],0))</f>
        <v>37206</v>
      </c>
      <c r="F121" s="21">
        <f>INDEX(Data[],MATCH($A121,Data[Dist],0),MATCH(F$4,Data[#Headers],0))</f>
        <v>36202</v>
      </c>
      <c r="G121" s="21">
        <f>INDEX(Data[],MATCH($A121,Data[Dist],0),MATCH(G$4,Data[#Headers],0))</f>
        <v>176405</v>
      </c>
      <c r="H121" s="21">
        <f>INDEX(Data[],MATCH($A121,Data[Dist],0),MATCH(H$4,Data[#Headers],0))</f>
        <v>2111663</v>
      </c>
      <c r="I121" s="21">
        <f>INDEX(Data[],MATCH($A121,Data[Dist],0),MATCH(I$4,Data[#Headers],0))</f>
        <v>2938875</v>
      </c>
      <c r="J121" s="22"/>
    </row>
    <row r="122" spans="1:10" x14ac:dyDescent="0.2">
      <c r="A122" s="19" t="str">
        <f>Data!B118</f>
        <v>2466</v>
      </c>
      <c r="B122" s="20" t="str">
        <f>INDEX(Data[],MATCH($A122,Data[Dist],0),MATCH(B$4,Data[#Headers],0))</f>
        <v>Gilbert</v>
      </c>
      <c r="C122" s="21">
        <f>INDEX(Data[],MATCH($A122,Data[Dist],0),MATCH(C$4,Data[#Headers],0))</f>
        <v>233785</v>
      </c>
      <c r="D122" s="21">
        <f>INDEX(Data[],MATCH($A122,Data[Dist],0),MATCH(D$4,Data[#Headers],0))</f>
        <v>1183979</v>
      </c>
      <c r="E122" s="21">
        <f>INDEX(Data[],MATCH($A122,Data[Dist],0),MATCH(E$4,Data[#Headers],0))</f>
        <v>104139</v>
      </c>
      <c r="F122" s="21">
        <f>INDEX(Data[],MATCH($A122,Data[Dist],0),MATCH(F$4,Data[#Headers],0))</f>
        <v>115442</v>
      </c>
      <c r="G122" s="21">
        <f>INDEX(Data[],MATCH($A122,Data[Dist],0),MATCH(G$4,Data[#Headers],0))</f>
        <v>612543</v>
      </c>
      <c r="H122" s="21">
        <f>INDEX(Data[],MATCH($A122,Data[Dist],0),MATCH(H$4,Data[#Headers],0))</f>
        <v>8266987</v>
      </c>
      <c r="I122" s="21">
        <f>INDEX(Data[],MATCH($A122,Data[Dist],0),MATCH(I$4,Data[#Headers],0))</f>
        <v>10516875</v>
      </c>
      <c r="J122" s="22"/>
    </row>
    <row r="123" spans="1:10" x14ac:dyDescent="0.2">
      <c r="A123" s="19" t="str">
        <f>Data!B119</f>
        <v>2493</v>
      </c>
      <c r="B123" s="20" t="str">
        <f>INDEX(Data[],MATCH($A123,Data[Dist],0),MATCH(B$4,Data[#Headers],0))</f>
        <v>Gilmore City-Bradgate</v>
      </c>
      <c r="C123" s="21">
        <f>INDEX(Data[],MATCH($A123,Data[Dist],0),MATCH(C$4,Data[#Headers],0))</f>
        <v>62343</v>
      </c>
      <c r="D123" s="21">
        <f>INDEX(Data[],MATCH($A123,Data[Dist],0),MATCH(D$4,Data[#Headers],0))</f>
        <v>197977</v>
      </c>
      <c r="E123" s="21">
        <f>INDEX(Data[],MATCH($A123,Data[Dist],0),MATCH(E$4,Data[#Headers],0))</f>
        <v>10812</v>
      </c>
      <c r="F123" s="21">
        <f>INDEX(Data[],MATCH($A123,Data[Dist],0),MATCH(F$4,Data[#Headers],0))</f>
        <v>14919</v>
      </c>
      <c r="G123" s="21">
        <f>INDEX(Data[],MATCH($A123,Data[Dist],0),MATCH(G$4,Data[#Headers],0))</f>
        <v>64124</v>
      </c>
      <c r="H123" s="21">
        <f>INDEX(Data[],MATCH($A123,Data[Dist],0),MATCH(H$4,Data[#Headers],0))</f>
        <v>762603</v>
      </c>
      <c r="I123" s="21">
        <f>INDEX(Data[],MATCH($A123,Data[Dist],0),MATCH(I$4,Data[#Headers],0))</f>
        <v>1112778</v>
      </c>
      <c r="J123" s="22"/>
    </row>
    <row r="124" spans="1:10" x14ac:dyDescent="0.2">
      <c r="A124" s="19" t="str">
        <f>Data!B120</f>
        <v>2502</v>
      </c>
      <c r="B124" s="20" t="str">
        <f>INDEX(Data[],MATCH($A124,Data[Dist],0),MATCH(B$4,Data[#Headers],0))</f>
        <v>Gladbrook-Reinbeck</v>
      </c>
      <c r="C124" s="21">
        <f>INDEX(Data[],MATCH($A124,Data[Dist],0),MATCH(C$4,Data[#Headers],0))</f>
        <v>120789</v>
      </c>
      <c r="D124" s="21">
        <f>INDEX(Data[],MATCH($A124,Data[Dist],0),MATCH(D$4,Data[#Headers],0))</f>
        <v>626648</v>
      </c>
      <c r="E124" s="21">
        <f>INDEX(Data[],MATCH($A124,Data[Dist],0),MATCH(E$4,Data[#Headers],0))</f>
        <v>41052</v>
      </c>
      <c r="F124" s="21">
        <f>INDEX(Data[],MATCH($A124,Data[Dist],0),MATCH(F$4,Data[#Headers],0))</f>
        <v>46340</v>
      </c>
      <c r="G124" s="21">
        <f>INDEX(Data[],MATCH($A124,Data[Dist],0),MATCH(G$4,Data[#Headers],0))</f>
        <v>232801</v>
      </c>
      <c r="H124" s="21">
        <f>INDEX(Data[],MATCH($A124,Data[Dist],0),MATCH(H$4,Data[#Headers],0))</f>
        <v>3153673</v>
      </c>
      <c r="I124" s="21">
        <f>INDEX(Data[],MATCH($A124,Data[Dist],0),MATCH(I$4,Data[#Headers],0))</f>
        <v>4221303</v>
      </c>
      <c r="J124" s="22"/>
    </row>
    <row r="125" spans="1:10" x14ac:dyDescent="0.2">
      <c r="A125" s="19" t="str">
        <f>Data!B121</f>
        <v>2511</v>
      </c>
      <c r="B125" s="20" t="str">
        <f>INDEX(Data[],MATCH($A125,Data[Dist],0),MATCH(B$4,Data[#Headers],0))</f>
        <v>Glenwood</v>
      </c>
      <c r="C125" s="21">
        <f>INDEX(Data[],MATCH($A125,Data[Dist],0),MATCH(C$4,Data[#Headers],0))</f>
        <v>210406</v>
      </c>
      <c r="D125" s="21">
        <f>INDEX(Data[],MATCH($A125,Data[Dist],0),MATCH(D$4,Data[#Headers],0))</f>
        <v>1416817</v>
      </c>
      <c r="E125" s="21">
        <f>INDEX(Data[],MATCH($A125,Data[Dist],0),MATCH(E$4,Data[#Headers],0))</f>
        <v>155259</v>
      </c>
      <c r="F125" s="21">
        <f>INDEX(Data[],MATCH($A125,Data[Dist],0),MATCH(F$4,Data[#Headers],0))</f>
        <v>136689</v>
      </c>
      <c r="G125" s="21">
        <f>INDEX(Data[],MATCH($A125,Data[Dist],0),MATCH(G$4,Data[#Headers],0))</f>
        <v>733004</v>
      </c>
      <c r="H125" s="21">
        <f>INDEX(Data[],MATCH($A125,Data[Dist],0),MATCH(H$4,Data[#Headers],0))</f>
        <v>10956706</v>
      </c>
      <c r="I125" s="21">
        <f>INDEX(Data[],MATCH($A125,Data[Dist],0),MATCH(I$4,Data[#Headers],0))</f>
        <v>13608881</v>
      </c>
      <c r="J125" s="22"/>
    </row>
    <row r="126" spans="1:10" x14ac:dyDescent="0.2">
      <c r="A126" s="19" t="str">
        <f>Data!B122</f>
        <v>2520</v>
      </c>
      <c r="B126" s="20" t="str">
        <f>INDEX(Data[],MATCH($A126,Data[Dist],0),MATCH(B$4,Data[#Headers],0))</f>
        <v>Glidden-Ralston</v>
      </c>
      <c r="C126" s="21">
        <f>INDEX(Data[],MATCH($A126,Data[Dist],0),MATCH(C$4,Data[#Headers],0))</f>
        <v>105203</v>
      </c>
      <c r="D126" s="21">
        <f>INDEX(Data[],MATCH($A126,Data[Dist],0),MATCH(D$4,Data[#Headers],0))</f>
        <v>386922</v>
      </c>
      <c r="E126" s="21">
        <f>INDEX(Data[],MATCH($A126,Data[Dist],0),MATCH(E$4,Data[#Headers],0))</f>
        <v>25588</v>
      </c>
      <c r="F126" s="21">
        <f>INDEX(Data[],MATCH($A126,Data[Dist],0),MATCH(F$4,Data[#Headers],0))</f>
        <v>24804</v>
      </c>
      <c r="G126" s="21">
        <f>INDEX(Data[],MATCH($A126,Data[Dist],0),MATCH(G$4,Data[#Headers],0))</f>
        <v>121368</v>
      </c>
      <c r="H126" s="21">
        <f>INDEX(Data[],MATCH($A126,Data[Dist],0),MATCH(H$4,Data[#Headers],0))</f>
        <v>1471255</v>
      </c>
      <c r="I126" s="21">
        <f>INDEX(Data[],MATCH($A126,Data[Dist],0),MATCH(I$4,Data[#Headers],0))</f>
        <v>2135140</v>
      </c>
      <c r="J126" s="22"/>
    </row>
    <row r="127" spans="1:10" x14ac:dyDescent="0.2">
      <c r="A127" s="19" t="str">
        <f>Data!B123</f>
        <v>2556</v>
      </c>
      <c r="B127" s="20" t="str">
        <f>INDEX(Data[],MATCH($A127,Data[Dist],0),MATCH(B$4,Data[#Headers],0))</f>
        <v>Graettinger-Terril</v>
      </c>
      <c r="C127" s="21">
        <f>INDEX(Data[],MATCH($A127,Data[Dist],0),MATCH(C$4,Data[#Headers],0))</f>
        <v>54628</v>
      </c>
      <c r="D127" s="21">
        <f>INDEX(Data[],MATCH($A127,Data[Dist],0),MATCH(D$4,Data[#Headers],0))</f>
        <v>407063</v>
      </c>
      <c r="E127" s="21">
        <f>INDEX(Data[],MATCH($A127,Data[Dist],0),MATCH(E$4,Data[#Headers],0))</f>
        <v>31449</v>
      </c>
      <c r="F127" s="21">
        <f>INDEX(Data[],MATCH($A127,Data[Dist],0),MATCH(F$4,Data[#Headers],0))</f>
        <v>26105</v>
      </c>
      <c r="G127" s="21">
        <f>INDEX(Data[],MATCH($A127,Data[Dist],0),MATCH(G$4,Data[#Headers],0))</f>
        <v>143768</v>
      </c>
      <c r="H127" s="21">
        <f>INDEX(Data[],MATCH($A127,Data[Dist],0),MATCH(H$4,Data[#Headers],0))</f>
        <v>1423441</v>
      </c>
      <c r="I127" s="21">
        <f>INDEX(Data[],MATCH($A127,Data[Dist],0),MATCH(I$4,Data[#Headers],0))</f>
        <v>2086454</v>
      </c>
      <c r="J127" s="22"/>
    </row>
    <row r="128" spans="1:10" x14ac:dyDescent="0.2">
      <c r="A128" s="19" t="str">
        <f>Data!B124</f>
        <v>2673</v>
      </c>
      <c r="B128" s="20" t="str">
        <f>INDEX(Data[],MATCH($A128,Data[Dist],0),MATCH(B$4,Data[#Headers],0))</f>
        <v>Nodaway Valley</v>
      </c>
      <c r="C128" s="21">
        <f>INDEX(Data[],MATCH($A128,Data[Dist],0),MATCH(C$4,Data[#Headers],0))</f>
        <v>7793</v>
      </c>
      <c r="D128" s="21">
        <f>INDEX(Data[],MATCH($A128,Data[Dist],0),MATCH(D$4,Data[#Headers],0))</f>
        <v>820468</v>
      </c>
      <c r="E128" s="21">
        <f>INDEX(Data[],MATCH($A128,Data[Dist],0),MATCH(E$4,Data[#Headers],0))</f>
        <v>54544</v>
      </c>
      <c r="F128" s="21">
        <f>INDEX(Data[],MATCH($A128,Data[Dist],0),MATCH(F$4,Data[#Headers],0))</f>
        <v>54706</v>
      </c>
      <c r="G128" s="21">
        <f>INDEX(Data[],MATCH($A128,Data[Dist],0),MATCH(G$4,Data[#Headers],0))</f>
        <v>254710</v>
      </c>
      <c r="H128" s="21">
        <f>INDEX(Data[],MATCH($A128,Data[Dist],0),MATCH(H$4,Data[#Headers],0))</f>
        <v>3845349</v>
      </c>
      <c r="I128" s="21">
        <f>INDEX(Data[],MATCH($A128,Data[Dist],0),MATCH(I$4,Data[#Headers],0))</f>
        <v>5037570</v>
      </c>
      <c r="J128" s="22"/>
    </row>
    <row r="129" spans="1:10" x14ac:dyDescent="0.2">
      <c r="A129" s="19" t="str">
        <f>Data!B125</f>
        <v>2682</v>
      </c>
      <c r="B129" s="20" t="str">
        <f>INDEX(Data[],MATCH($A129,Data[Dist],0),MATCH(B$4,Data[#Headers],0))</f>
        <v>GMG</v>
      </c>
      <c r="C129" s="21">
        <f>INDEX(Data[],MATCH($A129,Data[Dist],0),MATCH(C$4,Data[#Headers],0))</f>
        <v>93514</v>
      </c>
      <c r="D129" s="21">
        <f>INDEX(Data[],MATCH($A129,Data[Dist],0),MATCH(D$4,Data[#Headers],0))</f>
        <v>538216</v>
      </c>
      <c r="E129" s="21">
        <f>INDEX(Data[],MATCH($A129,Data[Dist],0),MATCH(E$4,Data[#Headers],0))</f>
        <v>22834</v>
      </c>
      <c r="F129" s="21">
        <f>INDEX(Data[],MATCH($A129,Data[Dist],0),MATCH(F$4,Data[#Headers],0))</f>
        <v>22561</v>
      </c>
      <c r="G129" s="21">
        <f>INDEX(Data[],MATCH($A129,Data[Dist],0),MATCH(G$4,Data[#Headers],0))</f>
        <v>93791</v>
      </c>
      <c r="H129" s="21">
        <f>INDEX(Data[],MATCH($A129,Data[Dist],0),MATCH(H$4,Data[#Headers],0))</f>
        <v>960289</v>
      </c>
      <c r="I129" s="21">
        <f>INDEX(Data[],MATCH($A129,Data[Dist],0),MATCH(I$4,Data[#Headers],0))</f>
        <v>1731205</v>
      </c>
      <c r="J129" s="22"/>
    </row>
    <row r="130" spans="1:10" x14ac:dyDescent="0.2">
      <c r="A130" s="19" t="str">
        <f>Data!B126</f>
        <v>2709</v>
      </c>
      <c r="B130" s="20" t="str">
        <f>INDEX(Data[],MATCH($A130,Data[Dist],0),MATCH(B$4,Data[#Headers],0))</f>
        <v>Grinnell-Newburg</v>
      </c>
      <c r="C130" s="21">
        <f>INDEX(Data[],MATCH($A130,Data[Dist],0),MATCH(C$4,Data[#Headers],0))</f>
        <v>311635</v>
      </c>
      <c r="D130" s="21">
        <f>INDEX(Data[],MATCH($A130,Data[Dist],0),MATCH(D$4,Data[#Headers],0))</f>
        <v>1230538</v>
      </c>
      <c r="E130" s="21">
        <f>INDEX(Data[],MATCH($A130,Data[Dist],0),MATCH(E$4,Data[#Headers],0))</f>
        <v>123180</v>
      </c>
      <c r="F130" s="21">
        <f>INDEX(Data[],MATCH($A130,Data[Dist],0),MATCH(F$4,Data[#Headers],0))</f>
        <v>111046</v>
      </c>
      <c r="G130" s="21">
        <f>INDEX(Data[],MATCH($A130,Data[Dist],0),MATCH(G$4,Data[#Headers],0))</f>
        <v>576582</v>
      </c>
      <c r="H130" s="21">
        <f>INDEX(Data[],MATCH($A130,Data[Dist],0),MATCH(H$4,Data[#Headers],0))</f>
        <v>8805638</v>
      </c>
      <c r="I130" s="21">
        <f>INDEX(Data[],MATCH($A130,Data[Dist],0),MATCH(I$4,Data[#Headers],0))</f>
        <v>11158619</v>
      </c>
      <c r="J130" s="22"/>
    </row>
    <row r="131" spans="1:10" x14ac:dyDescent="0.2">
      <c r="A131" s="19" t="str">
        <f>Data!B127</f>
        <v>2718</v>
      </c>
      <c r="B131" s="20" t="str">
        <f>INDEX(Data[],MATCH($A131,Data[Dist],0),MATCH(B$4,Data[#Headers],0))</f>
        <v>Griswold</v>
      </c>
      <c r="C131" s="21">
        <f>INDEX(Data[],MATCH($A131,Data[Dist],0),MATCH(C$4,Data[#Headers],0))</f>
        <v>97410</v>
      </c>
      <c r="D131" s="21">
        <f>INDEX(Data[],MATCH($A131,Data[Dist],0),MATCH(D$4,Data[#Headers],0))</f>
        <v>535592</v>
      </c>
      <c r="E131" s="21">
        <f>INDEX(Data[],MATCH($A131,Data[Dist],0),MATCH(E$4,Data[#Headers],0))</f>
        <v>32630</v>
      </c>
      <c r="F131" s="21">
        <f>INDEX(Data[],MATCH($A131,Data[Dist],0),MATCH(F$4,Data[#Headers],0))</f>
        <v>31945</v>
      </c>
      <c r="G131" s="21">
        <f>INDEX(Data[],MATCH($A131,Data[Dist],0),MATCH(G$4,Data[#Headers],0))</f>
        <v>173647</v>
      </c>
      <c r="H131" s="21">
        <f>INDEX(Data[],MATCH($A131,Data[Dist],0),MATCH(H$4,Data[#Headers],0))</f>
        <v>2298506</v>
      </c>
      <c r="I131" s="21">
        <f>INDEX(Data[],MATCH($A131,Data[Dist],0),MATCH(I$4,Data[#Headers],0))</f>
        <v>3169730</v>
      </c>
      <c r="J131" s="22"/>
    </row>
    <row r="132" spans="1:10" x14ac:dyDescent="0.2">
      <c r="A132" s="19" t="str">
        <f>Data!B128</f>
        <v>2727</v>
      </c>
      <c r="B132" s="20" t="str">
        <f>INDEX(Data[],MATCH($A132,Data[Dist],0),MATCH(B$4,Data[#Headers],0))</f>
        <v>Grundy Center</v>
      </c>
      <c r="C132" s="21">
        <f>INDEX(Data[],MATCH($A132,Data[Dist],0),MATCH(C$4,Data[#Headers],0))</f>
        <v>191082</v>
      </c>
      <c r="D132" s="21">
        <f>INDEX(Data[],MATCH($A132,Data[Dist],0),MATCH(D$4,Data[#Headers],0))</f>
        <v>667020</v>
      </c>
      <c r="E132" s="21">
        <f>INDEX(Data[],MATCH($A132,Data[Dist],0),MATCH(E$4,Data[#Headers],0))</f>
        <v>48639</v>
      </c>
      <c r="F132" s="21">
        <f>INDEX(Data[],MATCH($A132,Data[Dist],0),MATCH(F$4,Data[#Headers],0))</f>
        <v>52503</v>
      </c>
      <c r="G132" s="21">
        <f>INDEX(Data[],MATCH($A132,Data[Dist],0),MATCH(G$4,Data[#Headers],0))</f>
        <v>254295</v>
      </c>
      <c r="H132" s="21">
        <f>INDEX(Data[],MATCH($A132,Data[Dist],0),MATCH(H$4,Data[#Headers],0))</f>
        <v>3854316</v>
      </c>
      <c r="I132" s="21">
        <f>INDEX(Data[],MATCH($A132,Data[Dist],0),MATCH(I$4,Data[#Headers],0))</f>
        <v>5067855</v>
      </c>
      <c r="J132" s="22"/>
    </row>
    <row r="133" spans="1:10" x14ac:dyDescent="0.2">
      <c r="A133" s="19" t="str">
        <f>Data!B129</f>
        <v>2754</v>
      </c>
      <c r="B133" s="20" t="str">
        <f>INDEX(Data[],MATCH($A133,Data[Dist],0),MATCH(B$4,Data[#Headers],0))</f>
        <v>Guthrie Center</v>
      </c>
      <c r="C133" s="21">
        <f>INDEX(Data[],MATCH($A133,Data[Dist],0),MATCH(C$4,Data[#Headers],0))</f>
        <v>116892</v>
      </c>
      <c r="D133" s="21">
        <f>INDEX(Data[],MATCH($A133,Data[Dist],0),MATCH(D$4,Data[#Headers],0))</f>
        <v>474911</v>
      </c>
      <c r="E133" s="21">
        <f>INDEX(Data[],MATCH($A133,Data[Dist],0),MATCH(E$4,Data[#Headers],0))</f>
        <v>33684</v>
      </c>
      <c r="F133" s="21">
        <f>INDEX(Data[],MATCH($A133,Data[Dist],0),MATCH(F$4,Data[#Headers],0))</f>
        <v>28619</v>
      </c>
      <c r="G133" s="21">
        <f>INDEX(Data[],MATCH($A133,Data[Dist],0),MATCH(G$4,Data[#Headers],0))</f>
        <v>149358</v>
      </c>
      <c r="H133" s="21">
        <f>INDEX(Data[],MATCH($A133,Data[Dist],0),MATCH(H$4,Data[#Headers],0))</f>
        <v>2060188</v>
      </c>
      <c r="I133" s="21">
        <f>INDEX(Data[],MATCH($A133,Data[Dist],0),MATCH(I$4,Data[#Headers],0))</f>
        <v>2863652</v>
      </c>
      <c r="J133" s="22"/>
    </row>
    <row r="134" spans="1:10" x14ac:dyDescent="0.2">
      <c r="A134" s="19" t="str">
        <f>Data!B130</f>
        <v>2763</v>
      </c>
      <c r="B134" s="20" t="str">
        <f>INDEX(Data[],MATCH($A134,Data[Dist],0),MATCH(B$4,Data[#Headers],0))</f>
        <v>Clayton Ridge</v>
      </c>
      <c r="C134" s="21">
        <f>INDEX(Data[],MATCH($A134,Data[Dist],0),MATCH(C$4,Data[#Headers],0))</f>
        <v>132478</v>
      </c>
      <c r="D134" s="21">
        <f>INDEX(Data[],MATCH($A134,Data[Dist],0),MATCH(D$4,Data[#Headers],0))</f>
        <v>585556</v>
      </c>
      <c r="E134" s="21">
        <f>INDEX(Data[],MATCH($A134,Data[Dist],0),MATCH(E$4,Data[#Headers],0))</f>
        <v>45049</v>
      </c>
      <c r="F134" s="21">
        <f>INDEX(Data[],MATCH($A134,Data[Dist],0),MATCH(F$4,Data[#Headers],0))</f>
        <v>48769</v>
      </c>
      <c r="G134" s="21">
        <f>INDEX(Data[],MATCH($A134,Data[Dist],0),MATCH(G$4,Data[#Headers],0))</f>
        <v>240998</v>
      </c>
      <c r="H134" s="21">
        <f>INDEX(Data[],MATCH($A134,Data[Dist],0),MATCH(H$4,Data[#Headers],0))</f>
        <v>2917449</v>
      </c>
      <c r="I134" s="21">
        <f>INDEX(Data[],MATCH($A134,Data[Dist],0),MATCH(I$4,Data[#Headers],0))</f>
        <v>3970299</v>
      </c>
      <c r="J134" s="22"/>
    </row>
    <row r="135" spans="1:10" x14ac:dyDescent="0.2">
      <c r="A135" s="19" t="str">
        <f>Data!B131</f>
        <v>2766</v>
      </c>
      <c r="B135" s="20" t="str">
        <f>INDEX(Data[],MATCH($A135,Data[Dist],0),MATCH(B$4,Data[#Headers],0))</f>
        <v>HLV</v>
      </c>
      <c r="C135" s="21">
        <f>INDEX(Data[],MATCH($A135,Data[Dist],0),MATCH(C$4,Data[#Headers],0))</f>
        <v>74032</v>
      </c>
      <c r="D135" s="21">
        <f>INDEX(Data[],MATCH($A135,Data[Dist],0),MATCH(D$4,Data[#Headers],0))</f>
        <v>381503</v>
      </c>
      <c r="E135" s="21">
        <f>INDEX(Data[],MATCH($A135,Data[Dist],0),MATCH(E$4,Data[#Headers],0))</f>
        <v>23652</v>
      </c>
      <c r="F135" s="21">
        <f>INDEX(Data[],MATCH($A135,Data[Dist],0),MATCH(F$4,Data[#Headers],0))</f>
        <v>23050</v>
      </c>
      <c r="G135" s="21">
        <f>INDEX(Data[],MATCH($A135,Data[Dist],0),MATCH(G$4,Data[#Headers],0))</f>
        <v>119668</v>
      </c>
      <c r="H135" s="21">
        <f>INDEX(Data[],MATCH($A135,Data[Dist],0),MATCH(H$4,Data[#Headers],0))</f>
        <v>1592964</v>
      </c>
      <c r="I135" s="21">
        <f>INDEX(Data[],MATCH($A135,Data[Dist],0),MATCH(I$4,Data[#Headers],0))</f>
        <v>2214869</v>
      </c>
      <c r="J135" s="22"/>
    </row>
    <row r="136" spans="1:10" x14ac:dyDescent="0.2">
      <c r="A136" s="19" t="str">
        <f>Data!B132</f>
        <v>2772</v>
      </c>
      <c r="B136" s="20" t="str">
        <f>INDEX(Data[],MATCH($A136,Data[Dist],0),MATCH(B$4,Data[#Headers],0))</f>
        <v>Hamburg</v>
      </c>
      <c r="C136" s="21">
        <f>INDEX(Data[],MATCH($A136,Data[Dist],0),MATCH(C$4,Data[#Headers],0))</f>
        <v>31171</v>
      </c>
      <c r="D136" s="21">
        <f>INDEX(Data[],MATCH($A136,Data[Dist],0),MATCH(D$4,Data[#Headers],0))</f>
        <v>250482</v>
      </c>
      <c r="E136" s="21">
        <f>INDEX(Data[],MATCH($A136,Data[Dist],0),MATCH(E$4,Data[#Headers],0))</f>
        <v>17736</v>
      </c>
      <c r="F136" s="21">
        <f>INDEX(Data[],MATCH($A136,Data[Dist],0),MATCH(F$4,Data[#Headers],0))</f>
        <v>15761</v>
      </c>
      <c r="G136" s="21">
        <f>INDEX(Data[],MATCH($A136,Data[Dist],0),MATCH(G$4,Data[#Headers],0))</f>
        <v>83288</v>
      </c>
      <c r="H136" s="21">
        <f>INDEX(Data[],MATCH($A136,Data[Dist],0),MATCH(H$4,Data[#Headers],0))</f>
        <v>682071</v>
      </c>
      <c r="I136" s="21">
        <f>INDEX(Data[],MATCH($A136,Data[Dist],0),MATCH(I$4,Data[#Headers],0))</f>
        <v>1080509</v>
      </c>
      <c r="J136" s="22"/>
    </row>
    <row r="137" spans="1:10" x14ac:dyDescent="0.2">
      <c r="A137" s="19" t="str">
        <f>Data!B133</f>
        <v>2781</v>
      </c>
      <c r="B137" s="20" t="str">
        <f>INDEX(Data[],MATCH($A137,Data[Dist],0),MATCH(B$4,Data[#Headers],0))</f>
        <v>Hampton-Dumont</v>
      </c>
      <c r="C137" s="21">
        <f>INDEX(Data[],MATCH($A137,Data[Dist],0),MATCH(C$4,Data[#Headers],0))</f>
        <v>198717</v>
      </c>
      <c r="D137" s="21">
        <f>INDEX(Data[],MATCH($A137,Data[Dist],0),MATCH(D$4,Data[#Headers],0))</f>
        <v>881387</v>
      </c>
      <c r="E137" s="21">
        <f>INDEX(Data[],MATCH($A137,Data[Dist],0),MATCH(E$4,Data[#Headers],0))</f>
        <v>98218</v>
      </c>
      <c r="F137" s="21">
        <f>INDEX(Data[],MATCH($A137,Data[Dist],0),MATCH(F$4,Data[#Headers],0))</f>
        <v>83474</v>
      </c>
      <c r="G137" s="21">
        <f>INDEX(Data[],MATCH($A137,Data[Dist],0),MATCH(G$4,Data[#Headers],0))</f>
        <v>415930</v>
      </c>
      <c r="H137" s="21">
        <f>INDEX(Data[],MATCH($A137,Data[Dist],0),MATCH(H$4,Data[#Headers],0))</f>
        <v>6601144</v>
      </c>
      <c r="I137" s="21">
        <f>INDEX(Data[],MATCH($A137,Data[Dist],0),MATCH(I$4,Data[#Headers],0))</f>
        <v>8278870</v>
      </c>
      <c r="J137" s="22"/>
    </row>
    <row r="138" spans="1:10" x14ac:dyDescent="0.2">
      <c r="A138" s="19" t="str">
        <f>Data!B134</f>
        <v>2826</v>
      </c>
      <c r="B138" s="20" t="str">
        <f>INDEX(Data[],MATCH($A138,Data[Dist],0),MATCH(B$4,Data[#Headers],0))</f>
        <v>Harlan</v>
      </c>
      <c r="C138" s="21">
        <f>INDEX(Data[],MATCH($A138,Data[Dist],0),MATCH(C$4,Data[#Headers],0))</f>
        <v>331195</v>
      </c>
      <c r="D138" s="21">
        <f>INDEX(Data[],MATCH($A138,Data[Dist],0),MATCH(D$4,Data[#Headers],0))</f>
        <v>1127208</v>
      </c>
      <c r="E138" s="21">
        <f>INDEX(Data[],MATCH($A138,Data[Dist],0),MATCH(E$4,Data[#Headers],0))</f>
        <v>110839</v>
      </c>
      <c r="F138" s="21">
        <f>INDEX(Data[],MATCH($A138,Data[Dist],0),MATCH(F$4,Data[#Headers],0))</f>
        <v>110459</v>
      </c>
      <c r="G138" s="21">
        <f>INDEX(Data[],MATCH($A138,Data[Dist],0),MATCH(G$4,Data[#Headers],0))</f>
        <v>531933</v>
      </c>
      <c r="H138" s="21">
        <f>INDEX(Data[],MATCH($A138,Data[Dist],0),MATCH(H$4,Data[#Headers],0))</f>
        <v>7496953</v>
      </c>
      <c r="I138" s="21">
        <f>INDEX(Data[],MATCH($A138,Data[Dist],0),MATCH(I$4,Data[#Headers],0))</f>
        <v>9708587</v>
      </c>
      <c r="J138" s="22"/>
    </row>
    <row r="139" spans="1:10" x14ac:dyDescent="0.2">
      <c r="A139" s="19" t="str">
        <f>Data!B135</f>
        <v>2846</v>
      </c>
      <c r="B139" s="20" t="str">
        <f>INDEX(Data[],MATCH($A139,Data[Dist],0),MATCH(B$4,Data[#Headers],0))</f>
        <v>Harris-Lake Park</v>
      </c>
      <c r="C139" s="21">
        <f>INDEX(Data[],MATCH($A139,Data[Dist],0),MATCH(C$4,Data[#Headers],0))</f>
        <v>70135</v>
      </c>
      <c r="D139" s="21">
        <f>INDEX(Data[],MATCH($A139,Data[Dist],0),MATCH(D$4,Data[#Headers],0))</f>
        <v>422186</v>
      </c>
      <c r="E139" s="21">
        <f>INDEX(Data[],MATCH($A139,Data[Dist],0),MATCH(E$4,Data[#Headers],0))</f>
        <v>27830</v>
      </c>
      <c r="F139" s="21">
        <f>INDEX(Data[],MATCH($A139,Data[Dist],0),MATCH(F$4,Data[#Headers],0))</f>
        <v>21942</v>
      </c>
      <c r="G139" s="21">
        <f>INDEX(Data[],MATCH($A139,Data[Dist],0),MATCH(G$4,Data[#Headers],0))</f>
        <v>112567</v>
      </c>
      <c r="H139" s="21">
        <f>INDEX(Data[],MATCH($A139,Data[Dist],0),MATCH(H$4,Data[#Headers],0))</f>
        <v>722379</v>
      </c>
      <c r="I139" s="21">
        <f>INDEX(Data[],MATCH($A139,Data[Dist],0),MATCH(I$4,Data[#Headers],0))</f>
        <v>1377039</v>
      </c>
      <c r="J139" s="22"/>
    </row>
    <row r="140" spans="1:10" x14ac:dyDescent="0.2">
      <c r="A140" s="19" t="str">
        <f>Data!B136</f>
        <v>2862</v>
      </c>
      <c r="B140" s="20" t="str">
        <f>INDEX(Data[],MATCH($A140,Data[Dist],0),MATCH(B$4,Data[#Headers],0))</f>
        <v>Hartley-Melvin-Sanborn</v>
      </c>
      <c r="C140" s="21">
        <f>INDEX(Data[],MATCH($A140,Data[Dist],0),MATCH(C$4,Data[#Headers],0))</f>
        <v>167546</v>
      </c>
      <c r="D140" s="21">
        <f>INDEX(Data[],MATCH($A140,Data[Dist],0),MATCH(D$4,Data[#Headers],0))</f>
        <v>718122</v>
      </c>
      <c r="E140" s="21">
        <f>INDEX(Data[],MATCH($A140,Data[Dist],0),MATCH(E$4,Data[#Headers],0))</f>
        <v>52677</v>
      </c>
      <c r="F140" s="21">
        <f>INDEX(Data[],MATCH($A140,Data[Dist],0),MATCH(F$4,Data[#Headers],0))</f>
        <v>55246</v>
      </c>
      <c r="G140" s="21">
        <f>INDEX(Data[],MATCH($A140,Data[Dist],0),MATCH(G$4,Data[#Headers],0))</f>
        <v>272577</v>
      </c>
      <c r="H140" s="21">
        <f>INDEX(Data[],MATCH($A140,Data[Dist],0),MATCH(H$4,Data[#Headers],0))</f>
        <v>2304351</v>
      </c>
      <c r="I140" s="21">
        <f>INDEX(Data[],MATCH($A140,Data[Dist],0),MATCH(I$4,Data[#Headers],0))</f>
        <v>3570519</v>
      </c>
      <c r="J140" s="22"/>
    </row>
    <row r="141" spans="1:10" x14ac:dyDescent="0.2">
      <c r="A141" s="19" t="str">
        <f>Data!B137</f>
        <v>2977</v>
      </c>
      <c r="B141" s="20" t="str">
        <f>INDEX(Data[],MATCH($A141,Data[Dist],0),MATCH(B$4,Data[#Headers],0))</f>
        <v>Highland</v>
      </c>
      <c r="C141" s="21">
        <f>INDEX(Data[],MATCH($A141,Data[Dist],0),MATCH(C$4,Data[#Headers],0))</f>
        <v>93514</v>
      </c>
      <c r="D141" s="21">
        <f>INDEX(Data[],MATCH($A141,Data[Dist],0),MATCH(D$4,Data[#Headers],0))</f>
        <v>632127</v>
      </c>
      <c r="E141" s="21">
        <f>INDEX(Data[],MATCH($A141,Data[Dist],0),MATCH(E$4,Data[#Headers],0))</f>
        <v>49765</v>
      </c>
      <c r="F141" s="21">
        <f>INDEX(Data[],MATCH($A141,Data[Dist],0),MATCH(F$4,Data[#Headers],0))</f>
        <v>44751</v>
      </c>
      <c r="G141" s="21">
        <f>INDEX(Data[],MATCH($A141,Data[Dist],0),MATCH(G$4,Data[#Headers],0))</f>
        <v>225209</v>
      </c>
      <c r="H141" s="21">
        <f>INDEX(Data[],MATCH($A141,Data[Dist],0),MATCH(H$4,Data[#Headers],0))</f>
        <v>2770877</v>
      </c>
      <c r="I141" s="21">
        <f>INDEX(Data[],MATCH($A141,Data[Dist],0),MATCH(I$4,Data[#Headers],0))</f>
        <v>3816243</v>
      </c>
      <c r="J141" s="22"/>
    </row>
    <row r="142" spans="1:10" x14ac:dyDescent="0.2">
      <c r="A142" s="19" t="str">
        <f>Data!B138</f>
        <v>2988</v>
      </c>
      <c r="B142" s="20" t="str">
        <f>INDEX(Data[],MATCH($A142,Data[Dist],0),MATCH(B$4,Data[#Headers],0))</f>
        <v>Hinton</v>
      </c>
      <c r="C142" s="21">
        <f>INDEX(Data[],MATCH($A142,Data[Dist],0),MATCH(C$4,Data[#Headers],0))</f>
        <v>132478</v>
      </c>
      <c r="D142" s="21">
        <f>INDEX(Data[],MATCH($A142,Data[Dist],0),MATCH(D$4,Data[#Headers],0))</f>
        <v>517731</v>
      </c>
      <c r="E142" s="21">
        <f>INDEX(Data[],MATCH($A142,Data[Dist],0),MATCH(E$4,Data[#Headers],0))</f>
        <v>47475</v>
      </c>
      <c r="F142" s="21">
        <f>INDEX(Data[],MATCH($A142,Data[Dist],0),MATCH(F$4,Data[#Headers],0))</f>
        <v>44028</v>
      </c>
      <c r="G142" s="21">
        <f>INDEX(Data[],MATCH($A142,Data[Dist],0),MATCH(G$4,Data[#Headers],0))</f>
        <v>213083</v>
      </c>
      <c r="H142" s="21">
        <f>INDEX(Data[],MATCH($A142,Data[Dist],0),MATCH(H$4,Data[#Headers],0))</f>
        <v>2999029</v>
      </c>
      <c r="I142" s="21">
        <f>INDEX(Data[],MATCH($A142,Data[Dist],0),MATCH(I$4,Data[#Headers],0))</f>
        <v>3953824</v>
      </c>
      <c r="J142" s="22"/>
    </row>
    <row r="143" spans="1:10" x14ac:dyDescent="0.2">
      <c r="A143" s="19" t="str">
        <f>Data!B139</f>
        <v>3029</v>
      </c>
      <c r="B143" s="20" t="str">
        <f>INDEX(Data[],MATCH($A143,Data[Dist],0),MATCH(B$4,Data[#Headers],0))</f>
        <v>Howard-Winneshiek</v>
      </c>
      <c r="C143" s="21">
        <f>INDEX(Data[],MATCH($A143,Data[Dist],0),MATCH(C$4,Data[#Headers],0))</f>
        <v>284438</v>
      </c>
      <c r="D143" s="21">
        <f>INDEX(Data[],MATCH($A143,Data[Dist],0),MATCH(D$4,Data[#Headers],0))</f>
        <v>988947</v>
      </c>
      <c r="E143" s="21">
        <f>INDEX(Data[],MATCH($A143,Data[Dist],0),MATCH(E$4,Data[#Headers],0))</f>
        <v>89853</v>
      </c>
      <c r="F143" s="21">
        <f>INDEX(Data[],MATCH($A143,Data[Dist],0),MATCH(F$4,Data[#Headers],0))</f>
        <v>90093</v>
      </c>
      <c r="G143" s="21">
        <f>INDEX(Data[],MATCH($A143,Data[Dist],0),MATCH(G$4,Data[#Headers],0))</f>
        <v>452910</v>
      </c>
      <c r="H143" s="21">
        <f>INDEX(Data[],MATCH($A143,Data[Dist],0),MATCH(H$4,Data[#Headers],0))</f>
        <v>5967961</v>
      </c>
      <c r="I143" s="21">
        <f>INDEX(Data[],MATCH($A143,Data[Dist],0),MATCH(I$4,Data[#Headers],0))</f>
        <v>7874202</v>
      </c>
      <c r="J143" s="22"/>
    </row>
    <row r="144" spans="1:10" x14ac:dyDescent="0.2">
      <c r="A144" s="19" t="str">
        <f>Data!B140</f>
        <v>3033</v>
      </c>
      <c r="B144" s="20" t="str">
        <f>INDEX(Data[],MATCH($A144,Data[Dist],0),MATCH(B$4,Data[#Headers],0))</f>
        <v>Hubbard-Radcliffe</v>
      </c>
      <c r="C144" s="21">
        <f>INDEX(Data[],MATCH($A144,Data[Dist],0),MATCH(C$4,Data[#Headers],0))</f>
        <v>77928</v>
      </c>
      <c r="D144" s="21">
        <f>INDEX(Data[],MATCH($A144,Data[Dist],0),MATCH(D$4,Data[#Headers],0))</f>
        <v>439898</v>
      </c>
      <c r="E144" s="21">
        <f>INDEX(Data[],MATCH($A144,Data[Dist],0),MATCH(E$4,Data[#Headers],0))</f>
        <v>28092</v>
      </c>
      <c r="F144" s="21">
        <f>INDEX(Data[],MATCH($A144,Data[Dist],0),MATCH(F$4,Data[#Headers],0))</f>
        <v>24464</v>
      </c>
      <c r="G144" s="21">
        <f>INDEX(Data[],MATCH($A144,Data[Dist],0),MATCH(G$4,Data[#Headers],0))</f>
        <v>155364</v>
      </c>
      <c r="H144" s="21">
        <f>INDEX(Data[],MATCH($A144,Data[Dist],0),MATCH(H$4,Data[#Headers],0))</f>
        <v>1517046</v>
      </c>
      <c r="I144" s="21">
        <f>INDEX(Data[],MATCH($A144,Data[Dist],0),MATCH(I$4,Data[#Headers],0))</f>
        <v>2242792</v>
      </c>
      <c r="J144" s="22"/>
    </row>
    <row r="145" spans="1:10" x14ac:dyDescent="0.2">
      <c r="A145" s="19" t="str">
        <f>Data!B141</f>
        <v>3042</v>
      </c>
      <c r="B145" s="20" t="str">
        <f>INDEX(Data[],MATCH($A145,Data[Dist],0),MATCH(B$4,Data[#Headers],0))</f>
        <v>Hudson</v>
      </c>
      <c r="C145" s="21">
        <f>INDEX(Data[],MATCH($A145,Data[Dist],0),MATCH(C$4,Data[#Headers],0))</f>
        <v>190924</v>
      </c>
      <c r="D145" s="21">
        <f>INDEX(Data[],MATCH($A145,Data[Dist],0),MATCH(D$4,Data[#Headers],0))</f>
        <v>648657</v>
      </c>
      <c r="E145" s="21">
        <f>INDEX(Data[],MATCH($A145,Data[Dist],0),MATCH(E$4,Data[#Headers],0))</f>
        <v>48570</v>
      </c>
      <c r="F145" s="21">
        <f>INDEX(Data[],MATCH($A145,Data[Dist],0),MATCH(F$4,Data[#Headers],0))</f>
        <v>59369</v>
      </c>
      <c r="G145" s="21">
        <f>INDEX(Data[],MATCH($A145,Data[Dist],0),MATCH(G$4,Data[#Headers],0))</f>
        <v>276015</v>
      </c>
      <c r="H145" s="21">
        <f>INDEX(Data[],MATCH($A145,Data[Dist],0),MATCH(H$4,Data[#Headers],0))</f>
        <v>4760806</v>
      </c>
      <c r="I145" s="21">
        <f>INDEX(Data[],MATCH($A145,Data[Dist],0),MATCH(I$4,Data[#Headers],0))</f>
        <v>5984341</v>
      </c>
      <c r="J145" s="22"/>
    </row>
    <row r="146" spans="1:10" x14ac:dyDescent="0.2">
      <c r="A146" s="19" t="str">
        <f>Data!B142</f>
        <v>3060</v>
      </c>
      <c r="B146" s="20" t="str">
        <f>INDEX(Data[],MATCH($A146,Data[Dist],0),MATCH(B$4,Data[#Headers],0))</f>
        <v>Humboldt</v>
      </c>
      <c r="C146" s="21">
        <f>INDEX(Data[],MATCH($A146,Data[Dist],0),MATCH(C$4,Data[#Headers],0))</f>
        <v>272749</v>
      </c>
      <c r="D146" s="21">
        <f>INDEX(Data[],MATCH($A146,Data[Dist],0),MATCH(D$4,Data[#Headers],0))</f>
        <v>1135220</v>
      </c>
      <c r="E146" s="21">
        <f>INDEX(Data[],MATCH($A146,Data[Dist],0),MATCH(E$4,Data[#Headers],0))</f>
        <v>105691</v>
      </c>
      <c r="F146" s="21">
        <f>INDEX(Data[],MATCH($A146,Data[Dist],0),MATCH(F$4,Data[#Headers],0))</f>
        <v>95422</v>
      </c>
      <c r="G146" s="21">
        <f>INDEX(Data[],MATCH($A146,Data[Dist],0),MATCH(G$4,Data[#Headers],0))</f>
        <v>477728</v>
      </c>
      <c r="H146" s="21">
        <f>INDEX(Data[],MATCH($A146,Data[Dist],0),MATCH(H$4,Data[#Headers],0))</f>
        <v>6427159</v>
      </c>
      <c r="I146" s="21">
        <f>INDEX(Data[],MATCH($A146,Data[Dist],0),MATCH(I$4,Data[#Headers],0))</f>
        <v>8513969</v>
      </c>
      <c r="J146" s="22"/>
    </row>
    <row r="147" spans="1:10" x14ac:dyDescent="0.2">
      <c r="A147" s="19" t="str">
        <f>Data!B143</f>
        <v>3105</v>
      </c>
      <c r="B147" s="20" t="str">
        <f>INDEX(Data[],MATCH($A147,Data[Dist],0),MATCH(B$4,Data[#Headers],0))</f>
        <v>Independence</v>
      </c>
      <c r="C147" s="21">
        <f>INDEX(Data[],MATCH($A147,Data[Dist],0),MATCH(C$4,Data[#Headers],0))</f>
        <v>342885</v>
      </c>
      <c r="D147" s="21">
        <f>INDEX(Data[],MATCH($A147,Data[Dist],0),MATCH(D$4,Data[#Headers],0))</f>
        <v>1162828</v>
      </c>
      <c r="E147" s="21">
        <f>INDEX(Data[],MATCH($A147,Data[Dist],0),MATCH(E$4,Data[#Headers],0))</f>
        <v>114487</v>
      </c>
      <c r="F147" s="21">
        <f>INDEX(Data[],MATCH($A147,Data[Dist],0),MATCH(F$4,Data[#Headers],0))</f>
        <v>118729</v>
      </c>
      <c r="G147" s="21">
        <f>INDEX(Data[],MATCH($A147,Data[Dist],0),MATCH(G$4,Data[#Headers],0))</f>
        <v>548743</v>
      </c>
      <c r="H147" s="21">
        <f>INDEX(Data[],MATCH($A147,Data[Dist],0),MATCH(H$4,Data[#Headers],0))</f>
        <v>8337158</v>
      </c>
      <c r="I147" s="21">
        <f>INDEX(Data[],MATCH($A147,Data[Dist],0),MATCH(I$4,Data[#Headers],0))</f>
        <v>10624830</v>
      </c>
      <c r="J147" s="22"/>
    </row>
    <row r="148" spans="1:10" x14ac:dyDescent="0.2">
      <c r="A148" s="19" t="str">
        <f>Data!B144</f>
        <v>3114</v>
      </c>
      <c r="B148" s="20" t="str">
        <f>INDEX(Data[],MATCH($A148,Data[Dist],0),MATCH(B$4,Data[#Headers],0))</f>
        <v>Indianola</v>
      </c>
      <c r="C148" s="21">
        <f>INDEX(Data[],MATCH($A148,Data[Dist],0),MATCH(C$4,Data[#Headers],0))</f>
        <v>455881</v>
      </c>
      <c r="D148" s="21">
        <f>INDEX(Data[],MATCH($A148,Data[Dist],0),MATCH(D$4,Data[#Headers],0))</f>
        <v>2563998</v>
      </c>
      <c r="E148" s="21">
        <f>INDEX(Data[],MATCH($A148,Data[Dist],0),MATCH(E$4,Data[#Headers],0))</f>
        <v>254142</v>
      </c>
      <c r="F148" s="21">
        <f>INDEX(Data[],MATCH($A148,Data[Dist],0),MATCH(F$4,Data[#Headers],0))</f>
        <v>260287</v>
      </c>
      <c r="G148" s="21">
        <f>INDEX(Data[],MATCH($A148,Data[Dist],0),MATCH(G$4,Data[#Headers],0))</f>
        <v>1326510</v>
      </c>
      <c r="H148" s="21">
        <f>INDEX(Data[],MATCH($A148,Data[Dist],0),MATCH(H$4,Data[#Headers],0))</f>
        <v>22325045</v>
      </c>
      <c r="I148" s="21">
        <f>INDEX(Data[],MATCH($A148,Data[Dist],0),MATCH(I$4,Data[#Headers],0))</f>
        <v>27185863</v>
      </c>
      <c r="J148" s="22"/>
    </row>
    <row r="149" spans="1:10" x14ac:dyDescent="0.2">
      <c r="A149" s="19" t="str">
        <f>Data!B145</f>
        <v>3119</v>
      </c>
      <c r="B149" s="20" t="str">
        <f>INDEX(Data[],MATCH($A149,Data[Dist],0),MATCH(B$4,Data[#Headers],0))</f>
        <v>Interstate 35</v>
      </c>
      <c r="C149" s="21">
        <f>INDEX(Data[],MATCH($A149,Data[Dist],0),MATCH(C$4,Data[#Headers],0))</f>
        <v>159753</v>
      </c>
      <c r="D149" s="21">
        <f>INDEX(Data[],MATCH($A149,Data[Dist],0),MATCH(D$4,Data[#Headers],0))</f>
        <v>775909</v>
      </c>
      <c r="E149" s="21">
        <f>INDEX(Data[],MATCH($A149,Data[Dist],0),MATCH(E$4,Data[#Headers],0))</f>
        <v>61096</v>
      </c>
      <c r="F149" s="21">
        <f>INDEX(Data[],MATCH($A149,Data[Dist],0),MATCH(F$4,Data[#Headers],0))</f>
        <v>53933</v>
      </c>
      <c r="G149" s="21">
        <f>INDEX(Data[],MATCH($A149,Data[Dist],0),MATCH(G$4,Data[#Headers],0))</f>
        <v>313524</v>
      </c>
      <c r="H149" s="21">
        <f>INDEX(Data[],MATCH($A149,Data[Dist],0),MATCH(H$4,Data[#Headers],0))</f>
        <v>4929266</v>
      </c>
      <c r="I149" s="21">
        <f>INDEX(Data[],MATCH($A149,Data[Dist],0),MATCH(I$4,Data[#Headers],0))</f>
        <v>6293481</v>
      </c>
      <c r="J149" s="22"/>
    </row>
    <row r="150" spans="1:10" x14ac:dyDescent="0.2">
      <c r="A150" s="19" t="str">
        <f>Data!B146</f>
        <v>3141</v>
      </c>
      <c r="B150" s="20" t="str">
        <f>INDEX(Data[],MATCH($A150,Data[Dist],0),MATCH(B$4,Data[#Headers],0))</f>
        <v>Iowa City</v>
      </c>
      <c r="C150" s="21">
        <f>INDEX(Data[],MATCH($A150,Data[Dist],0),MATCH(C$4,Data[#Headers],0))</f>
        <v>1636573</v>
      </c>
      <c r="D150" s="21">
        <f>INDEX(Data[],MATCH($A150,Data[Dist],0),MATCH(D$4,Data[#Headers],0))</f>
        <v>10382762</v>
      </c>
      <c r="E150" s="21">
        <f>INDEX(Data[],MATCH($A150,Data[Dist],0),MATCH(E$4,Data[#Headers],0))</f>
        <v>1216487</v>
      </c>
      <c r="F150" s="21">
        <f>INDEX(Data[],MATCH($A150,Data[Dist],0),MATCH(F$4,Data[#Headers],0))</f>
        <v>1176839</v>
      </c>
      <c r="G150" s="21">
        <f>INDEX(Data[],MATCH($A150,Data[Dist],0),MATCH(G$4,Data[#Headers],0))</f>
        <v>5609326</v>
      </c>
      <c r="H150" s="21">
        <f>INDEX(Data[],MATCH($A150,Data[Dist],0),MATCH(H$4,Data[#Headers],0))</f>
        <v>75646135</v>
      </c>
      <c r="I150" s="21">
        <f>INDEX(Data[],MATCH($A150,Data[Dist],0),MATCH(I$4,Data[#Headers],0))</f>
        <v>95668122</v>
      </c>
      <c r="J150" s="22"/>
    </row>
    <row r="151" spans="1:10" x14ac:dyDescent="0.2">
      <c r="A151" s="19" t="str">
        <f>Data!B147</f>
        <v>3150</v>
      </c>
      <c r="B151" s="20" t="str">
        <f>INDEX(Data[],MATCH($A151,Data[Dist],0),MATCH(B$4,Data[#Headers],0))</f>
        <v>Iowa Falls</v>
      </c>
      <c r="C151" s="21">
        <f>INDEX(Data[],MATCH($A151,Data[Dist],0),MATCH(C$4,Data[#Headers],0))</f>
        <v>237681</v>
      </c>
      <c r="D151" s="21">
        <f>INDEX(Data[],MATCH($A151,Data[Dist],0),MATCH(D$4,Data[#Headers],0))</f>
        <v>910429</v>
      </c>
      <c r="E151" s="21">
        <f>INDEX(Data[],MATCH($A151,Data[Dist],0),MATCH(E$4,Data[#Headers],0))</f>
        <v>85590</v>
      </c>
      <c r="F151" s="21">
        <f>INDEX(Data[],MATCH($A151,Data[Dist],0),MATCH(F$4,Data[#Headers],0))</f>
        <v>79251</v>
      </c>
      <c r="G151" s="21">
        <f>INDEX(Data[],MATCH($A151,Data[Dist],0),MATCH(G$4,Data[#Headers],0))</f>
        <v>379515</v>
      </c>
      <c r="H151" s="21">
        <f>INDEX(Data[],MATCH($A151,Data[Dist],0),MATCH(H$4,Data[#Headers],0))</f>
        <v>5649268</v>
      </c>
      <c r="I151" s="21">
        <f>INDEX(Data[],MATCH($A151,Data[Dist],0),MATCH(I$4,Data[#Headers],0))</f>
        <v>7341734</v>
      </c>
      <c r="J151" s="22"/>
    </row>
    <row r="152" spans="1:10" x14ac:dyDescent="0.2">
      <c r="A152" s="19" t="str">
        <f>Data!B148</f>
        <v>3154</v>
      </c>
      <c r="B152" s="20" t="str">
        <f>INDEX(Data[],MATCH($A152,Data[Dist],0),MATCH(B$4,Data[#Headers],0))</f>
        <v>Iowa Valley</v>
      </c>
      <c r="C152" s="21">
        <f>INDEX(Data[],MATCH($A152,Data[Dist],0),MATCH(C$4,Data[#Headers],0))</f>
        <v>81825</v>
      </c>
      <c r="D152" s="21">
        <f>INDEX(Data[],MATCH($A152,Data[Dist],0),MATCH(D$4,Data[#Headers],0))</f>
        <v>465967</v>
      </c>
      <c r="E152" s="21">
        <f>INDEX(Data[],MATCH($A152,Data[Dist],0),MATCH(E$4,Data[#Headers],0))</f>
        <v>33422</v>
      </c>
      <c r="F152" s="21">
        <f>INDEX(Data[],MATCH($A152,Data[Dist],0),MATCH(F$4,Data[#Headers],0))</f>
        <v>37961</v>
      </c>
      <c r="G152" s="21">
        <f>INDEX(Data[],MATCH($A152,Data[Dist],0),MATCH(G$4,Data[#Headers],0))</f>
        <v>191779</v>
      </c>
      <c r="H152" s="21">
        <f>INDEX(Data[],MATCH($A152,Data[Dist],0),MATCH(H$4,Data[#Headers],0))</f>
        <v>3212569</v>
      </c>
      <c r="I152" s="21">
        <f>INDEX(Data[],MATCH($A152,Data[Dist],0),MATCH(I$4,Data[#Headers],0))</f>
        <v>4023523</v>
      </c>
      <c r="J152" s="22"/>
    </row>
    <row r="153" spans="1:10" x14ac:dyDescent="0.2">
      <c r="A153" s="19" t="str">
        <f>Data!B149</f>
        <v>3168</v>
      </c>
      <c r="B153" s="20" t="str">
        <f>INDEX(Data[],MATCH($A153,Data[Dist],0),MATCH(B$4,Data[#Headers],0))</f>
        <v>IKM-Manning</v>
      </c>
      <c r="C153" s="21">
        <f>INDEX(Data[],MATCH($A153,Data[Dist],0),MATCH(C$4,Data[#Headers],0))</f>
        <v>183132</v>
      </c>
      <c r="D153" s="21">
        <f>INDEX(Data[],MATCH($A153,Data[Dist],0),MATCH(D$4,Data[#Headers],0))</f>
        <v>605780</v>
      </c>
      <c r="E153" s="21">
        <f>INDEX(Data[],MATCH($A153,Data[Dist],0),MATCH(E$4,Data[#Headers],0))</f>
        <v>52115</v>
      </c>
      <c r="F153" s="21">
        <f>INDEX(Data[],MATCH($A153,Data[Dist],0),MATCH(F$4,Data[#Headers],0))</f>
        <v>56380</v>
      </c>
      <c r="G153" s="21">
        <f>INDEX(Data[],MATCH($A153,Data[Dist],0),MATCH(G$4,Data[#Headers],0))</f>
        <v>257770</v>
      </c>
      <c r="H153" s="21">
        <f>INDEX(Data[],MATCH($A153,Data[Dist],0),MATCH(H$4,Data[#Headers],0))</f>
        <v>2934310</v>
      </c>
      <c r="I153" s="21">
        <f>INDEX(Data[],MATCH($A153,Data[Dist],0),MATCH(I$4,Data[#Headers],0))</f>
        <v>4089487</v>
      </c>
      <c r="J153" s="22"/>
    </row>
    <row r="154" spans="1:10" x14ac:dyDescent="0.2">
      <c r="A154" s="19" t="str">
        <f>Data!B150</f>
        <v>3186</v>
      </c>
      <c r="B154" s="20" t="str">
        <f>INDEX(Data[],MATCH($A154,Data[Dist],0),MATCH(B$4,Data[#Headers],0))</f>
        <v>Janesville</v>
      </c>
      <c r="C154" s="21">
        <f>INDEX(Data[],MATCH($A154,Data[Dist],0),MATCH(C$4,Data[#Headers],0))</f>
        <v>144167</v>
      </c>
      <c r="D154" s="21">
        <f>INDEX(Data[],MATCH($A154,Data[Dist],0),MATCH(D$4,Data[#Headers],0))</f>
        <v>473481</v>
      </c>
      <c r="E154" s="21">
        <f>INDEX(Data[],MATCH($A154,Data[Dist],0),MATCH(E$4,Data[#Headers],0))</f>
        <v>26380</v>
      </c>
      <c r="F154" s="21">
        <f>INDEX(Data[],MATCH($A154,Data[Dist],0),MATCH(F$4,Data[#Headers],0))</f>
        <v>28758</v>
      </c>
      <c r="G154" s="21">
        <f>INDEX(Data[],MATCH($A154,Data[Dist],0),MATCH(G$4,Data[#Headers],0))</f>
        <v>167225</v>
      </c>
      <c r="H154" s="21">
        <f>INDEX(Data[],MATCH($A154,Data[Dist],0),MATCH(H$4,Data[#Headers],0))</f>
        <v>2600925</v>
      </c>
      <c r="I154" s="21">
        <f>INDEX(Data[],MATCH($A154,Data[Dist],0),MATCH(I$4,Data[#Headers],0))</f>
        <v>3440936</v>
      </c>
      <c r="J154" s="22"/>
    </row>
    <row r="155" spans="1:10" x14ac:dyDescent="0.2">
      <c r="A155" s="19" t="str">
        <f>Data!B151</f>
        <v>3195</v>
      </c>
      <c r="B155" s="20" t="str">
        <f>INDEX(Data[],MATCH($A155,Data[Dist],0),MATCH(B$4,Data[#Headers],0))</f>
        <v>Greene County</v>
      </c>
      <c r="C155" s="21">
        <f>INDEX(Data[],MATCH($A155,Data[Dist],0),MATCH(C$4,Data[#Headers],0))</f>
        <v>303920</v>
      </c>
      <c r="D155" s="21">
        <f>INDEX(Data[],MATCH($A155,Data[Dist],0),MATCH(D$4,Data[#Headers],0))</f>
        <v>949586</v>
      </c>
      <c r="E155" s="21">
        <f>INDEX(Data[],MATCH($A155,Data[Dist],0),MATCH(E$4,Data[#Headers],0))</f>
        <v>99507</v>
      </c>
      <c r="F155" s="21">
        <f>INDEX(Data[],MATCH($A155,Data[Dist],0),MATCH(F$4,Data[#Headers],0))</f>
        <v>91820</v>
      </c>
      <c r="G155" s="21">
        <f>INDEX(Data[],MATCH($A155,Data[Dist],0),MATCH(G$4,Data[#Headers],0))</f>
        <v>448113</v>
      </c>
      <c r="H155" s="21">
        <f>INDEX(Data[],MATCH($A155,Data[Dist],0),MATCH(H$4,Data[#Headers],0))</f>
        <v>5810693</v>
      </c>
      <c r="I155" s="21">
        <f>INDEX(Data[],MATCH($A155,Data[Dist],0),MATCH(I$4,Data[#Headers],0))</f>
        <v>7703639</v>
      </c>
      <c r="J155" s="22"/>
    </row>
    <row r="156" spans="1:10" x14ac:dyDescent="0.2">
      <c r="A156" s="19" t="str">
        <f>Data!B152</f>
        <v>3204</v>
      </c>
      <c r="B156" s="20" t="str">
        <f>INDEX(Data[],MATCH($A156,Data[Dist],0),MATCH(B$4,Data[#Headers],0))</f>
        <v>Jesup</v>
      </c>
      <c r="C156" s="21">
        <f>INDEX(Data[],MATCH($A156,Data[Dist],0),MATCH(C$4,Data[#Headers],0))</f>
        <v>276645</v>
      </c>
      <c r="D156" s="21">
        <f>INDEX(Data[],MATCH($A156,Data[Dist],0),MATCH(D$4,Data[#Headers],0))</f>
        <v>813773</v>
      </c>
      <c r="E156" s="21">
        <f>INDEX(Data[],MATCH($A156,Data[Dist],0),MATCH(E$4,Data[#Headers],0))</f>
        <v>74271</v>
      </c>
      <c r="F156" s="21">
        <f>INDEX(Data[],MATCH($A156,Data[Dist],0),MATCH(F$4,Data[#Headers],0))</f>
        <v>61850</v>
      </c>
      <c r="G156" s="21">
        <f>INDEX(Data[],MATCH($A156,Data[Dist],0),MATCH(G$4,Data[#Headers],0))</f>
        <v>346274</v>
      </c>
      <c r="H156" s="21">
        <f>INDEX(Data[],MATCH($A156,Data[Dist],0),MATCH(H$4,Data[#Headers],0))</f>
        <v>5238606</v>
      </c>
      <c r="I156" s="21">
        <f>INDEX(Data[],MATCH($A156,Data[Dist],0),MATCH(I$4,Data[#Headers],0))</f>
        <v>6811419</v>
      </c>
      <c r="J156" s="22"/>
    </row>
    <row r="157" spans="1:10" x14ac:dyDescent="0.2">
      <c r="A157" s="19" t="str">
        <f>Data!B153</f>
        <v>3231</v>
      </c>
      <c r="B157" s="20" t="str">
        <f>INDEX(Data[],MATCH($A157,Data[Dist],0),MATCH(B$4,Data[#Headers],0))</f>
        <v>Johnston</v>
      </c>
      <c r="C157" s="21">
        <f>INDEX(Data[],MATCH($A157,Data[Dist],0),MATCH(C$4,Data[#Headers],0))</f>
        <v>880748</v>
      </c>
      <c r="D157" s="21">
        <f>INDEX(Data[],MATCH($A157,Data[Dist],0),MATCH(D$4,Data[#Headers],0))</f>
        <v>4882024</v>
      </c>
      <c r="E157" s="21">
        <f>INDEX(Data[],MATCH($A157,Data[Dist],0),MATCH(E$4,Data[#Headers],0))</f>
        <v>488908</v>
      </c>
      <c r="F157" s="21">
        <f>INDEX(Data[],MATCH($A157,Data[Dist],0),MATCH(F$4,Data[#Headers],0))</f>
        <v>490723</v>
      </c>
      <c r="G157" s="21">
        <f>INDEX(Data[],MATCH($A157,Data[Dist],0),MATCH(G$4,Data[#Headers],0))</f>
        <v>2637532</v>
      </c>
      <c r="H157" s="21">
        <f>INDEX(Data[],MATCH($A157,Data[Dist],0),MATCH(H$4,Data[#Headers],0))</f>
        <v>39688029</v>
      </c>
      <c r="I157" s="21">
        <f>INDEX(Data[],MATCH($A157,Data[Dist],0),MATCH(I$4,Data[#Headers],0))</f>
        <v>49067964</v>
      </c>
      <c r="J157" s="22"/>
    </row>
    <row r="158" spans="1:10" x14ac:dyDescent="0.2">
      <c r="A158" s="19" t="str">
        <f>Data!B154</f>
        <v>3312</v>
      </c>
      <c r="B158" s="20" t="str">
        <f>INDEX(Data[],MATCH($A158,Data[Dist],0),MATCH(B$4,Data[#Headers],0))</f>
        <v>Keokuk</v>
      </c>
      <c r="C158" s="21">
        <f>INDEX(Data[],MATCH($A158,Data[Dist],0),MATCH(C$4,Data[#Headers],0))</f>
        <v>362367</v>
      </c>
      <c r="D158" s="21">
        <f>INDEX(Data[],MATCH($A158,Data[Dist],0),MATCH(D$4,Data[#Headers],0))</f>
        <v>1380165</v>
      </c>
      <c r="E158" s="21">
        <f>INDEX(Data[],MATCH($A158,Data[Dist],0),MATCH(E$4,Data[#Headers],0))</f>
        <v>159371</v>
      </c>
      <c r="F158" s="21">
        <f>INDEX(Data[],MATCH($A158,Data[Dist],0),MATCH(F$4,Data[#Headers],0))</f>
        <v>147500</v>
      </c>
      <c r="G158" s="21">
        <f>INDEX(Data[],MATCH($A158,Data[Dist],0),MATCH(G$4,Data[#Headers],0))</f>
        <v>714042</v>
      </c>
      <c r="H158" s="21">
        <f>INDEX(Data[],MATCH($A158,Data[Dist],0),MATCH(H$4,Data[#Headers],0))</f>
        <v>14032310</v>
      </c>
      <c r="I158" s="21">
        <f>INDEX(Data[],MATCH($A158,Data[Dist],0),MATCH(I$4,Data[#Headers],0))</f>
        <v>16795755</v>
      </c>
      <c r="J158" s="22"/>
    </row>
    <row r="159" spans="1:10" x14ac:dyDescent="0.2">
      <c r="A159" s="19" t="str">
        <f>Data!B155</f>
        <v>3330</v>
      </c>
      <c r="B159" s="20" t="str">
        <f>INDEX(Data[],MATCH($A159,Data[Dist],0),MATCH(B$4,Data[#Headers],0))</f>
        <v>Keota</v>
      </c>
      <c r="C159" s="21">
        <f>INDEX(Data[],MATCH($A159,Data[Dist],0),MATCH(C$4,Data[#Headers],0))</f>
        <v>62343</v>
      </c>
      <c r="D159" s="21">
        <f>INDEX(Data[],MATCH($A159,Data[Dist],0),MATCH(D$4,Data[#Headers],0))</f>
        <v>526624</v>
      </c>
      <c r="E159" s="21">
        <f>INDEX(Data[],MATCH($A159,Data[Dist],0),MATCH(E$4,Data[#Headers],0))</f>
        <v>24953</v>
      </c>
      <c r="F159" s="21">
        <f>INDEX(Data[],MATCH($A159,Data[Dist],0),MATCH(F$4,Data[#Headers],0))</f>
        <v>26566</v>
      </c>
      <c r="G159" s="21">
        <f>INDEX(Data[],MATCH($A159,Data[Dist],0),MATCH(G$4,Data[#Headers],0))</f>
        <v>132929</v>
      </c>
      <c r="H159" s="21">
        <f>INDEX(Data[],MATCH($A159,Data[Dist],0),MATCH(H$4,Data[#Headers],0))</f>
        <v>1726181</v>
      </c>
      <c r="I159" s="21">
        <f>INDEX(Data[],MATCH($A159,Data[Dist],0),MATCH(I$4,Data[#Headers],0))</f>
        <v>2499596</v>
      </c>
      <c r="J159" s="22"/>
    </row>
    <row r="160" spans="1:10" x14ac:dyDescent="0.2">
      <c r="A160" s="19" t="str">
        <f>Data!B156</f>
        <v>3348</v>
      </c>
      <c r="B160" s="20" t="str">
        <f>INDEX(Data[],MATCH($A160,Data[Dist],0),MATCH(B$4,Data[#Headers],0))</f>
        <v>Kingsley-Pierson</v>
      </c>
      <c r="C160" s="21">
        <f>INDEX(Data[],MATCH($A160,Data[Dist],0),MATCH(C$4,Data[#Headers],0))</f>
        <v>0</v>
      </c>
      <c r="D160" s="21">
        <f>INDEX(Data[],MATCH($A160,Data[Dist],0),MATCH(D$4,Data[#Headers],0))</f>
        <v>501610</v>
      </c>
      <c r="E160" s="21">
        <f>INDEX(Data[],MATCH($A160,Data[Dist],0),MATCH(E$4,Data[#Headers],0))</f>
        <v>41990</v>
      </c>
      <c r="F160" s="21">
        <f>INDEX(Data[],MATCH($A160,Data[Dist],0),MATCH(F$4,Data[#Headers],0))</f>
        <v>38514</v>
      </c>
      <c r="G160" s="21">
        <f>INDEX(Data[],MATCH($A160,Data[Dist],0),MATCH(G$4,Data[#Headers],0))</f>
        <v>177160</v>
      </c>
      <c r="H160" s="21">
        <f>INDEX(Data[],MATCH($A160,Data[Dist],0),MATCH(H$4,Data[#Headers],0))</f>
        <v>2591868</v>
      </c>
      <c r="I160" s="21">
        <f>INDEX(Data[],MATCH($A160,Data[Dist],0),MATCH(I$4,Data[#Headers],0))</f>
        <v>3351142</v>
      </c>
      <c r="J160" s="22"/>
    </row>
    <row r="161" spans="1:10" x14ac:dyDescent="0.2">
      <c r="A161" s="19" t="str">
        <f>Data!B157</f>
        <v>3375</v>
      </c>
      <c r="B161" s="20" t="str">
        <f>INDEX(Data[],MATCH($A161,Data[Dist],0),MATCH(B$4,Data[#Headers],0))</f>
        <v>Knoxville</v>
      </c>
      <c r="C161" s="21">
        <f>INDEX(Data[],MATCH($A161,Data[Dist],0),MATCH(C$4,Data[#Headers],0))</f>
        <v>346781</v>
      </c>
      <c r="D161" s="21">
        <f>INDEX(Data[],MATCH($A161,Data[Dist],0),MATCH(D$4,Data[#Headers],0))</f>
        <v>1312197</v>
      </c>
      <c r="E161" s="21">
        <f>INDEX(Data[],MATCH($A161,Data[Dist],0),MATCH(E$4,Data[#Headers],0))</f>
        <v>138251</v>
      </c>
      <c r="F161" s="21">
        <f>INDEX(Data[],MATCH($A161,Data[Dist],0),MATCH(F$4,Data[#Headers],0))</f>
        <v>125274</v>
      </c>
      <c r="G161" s="21">
        <f>INDEX(Data[],MATCH($A161,Data[Dist],0),MATCH(G$4,Data[#Headers],0))</f>
        <v>650997</v>
      </c>
      <c r="H161" s="21">
        <f>INDEX(Data[],MATCH($A161,Data[Dist],0),MATCH(H$4,Data[#Headers],0))</f>
        <v>11362056</v>
      </c>
      <c r="I161" s="21">
        <f>INDEX(Data[],MATCH($A161,Data[Dist],0),MATCH(I$4,Data[#Headers],0))</f>
        <v>13935556</v>
      </c>
      <c r="J161" s="22"/>
    </row>
    <row r="162" spans="1:10" x14ac:dyDescent="0.2">
      <c r="A162" s="19" t="str">
        <f>Data!B158</f>
        <v>3420</v>
      </c>
      <c r="B162" s="20" t="str">
        <f>INDEX(Data[],MATCH($A162,Data[Dist],0),MATCH(B$4,Data[#Headers],0))</f>
        <v>Lake Mills</v>
      </c>
      <c r="C162" s="21">
        <f>INDEX(Data[],MATCH($A162,Data[Dist],0),MATCH(C$4,Data[#Headers],0))</f>
        <v>136375</v>
      </c>
      <c r="D162" s="21">
        <f>INDEX(Data[],MATCH($A162,Data[Dist],0),MATCH(D$4,Data[#Headers],0))</f>
        <v>515620</v>
      </c>
      <c r="E162" s="21">
        <f>INDEX(Data[],MATCH($A162,Data[Dist],0),MATCH(E$4,Data[#Headers],0))</f>
        <v>47068</v>
      </c>
      <c r="F162" s="21">
        <f>INDEX(Data[],MATCH($A162,Data[Dist],0),MATCH(F$4,Data[#Headers],0))</f>
        <v>41365</v>
      </c>
      <c r="G162" s="21">
        <f>INDEX(Data[],MATCH($A162,Data[Dist],0),MATCH(G$4,Data[#Headers],0))</f>
        <v>212214</v>
      </c>
      <c r="H162" s="21">
        <f>INDEX(Data[],MATCH($A162,Data[Dist],0),MATCH(H$4,Data[#Headers],0))</f>
        <v>2751049</v>
      </c>
      <c r="I162" s="21">
        <f>INDEX(Data[],MATCH($A162,Data[Dist],0),MATCH(I$4,Data[#Headers],0))</f>
        <v>3703691</v>
      </c>
      <c r="J162" s="22"/>
    </row>
    <row r="163" spans="1:10" x14ac:dyDescent="0.2">
      <c r="A163" s="19" t="str">
        <f>Data!B159</f>
        <v>3465</v>
      </c>
      <c r="B163" s="20" t="str">
        <f>INDEX(Data[],MATCH($A163,Data[Dist],0),MATCH(B$4,Data[#Headers],0))</f>
        <v>Lamoni</v>
      </c>
      <c r="C163" s="21">
        <f>INDEX(Data[],MATCH($A163,Data[Dist],0),MATCH(C$4,Data[#Headers],0))</f>
        <v>62343</v>
      </c>
      <c r="D163" s="21">
        <f>INDEX(Data[],MATCH($A163,Data[Dist],0),MATCH(D$4,Data[#Headers],0))</f>
        <v>367775</v>
      </c>
      <c r="E163" s="21">
        <f>INDEX(Data[],MATCH($A163,Data[Dist],0),MATCH(E$4,Data[#Headers],0))</f>
        <v>27190</v>
      </c>
      <c r="F163" s="21">
        <f>INDEX(Data[],MATCH($A163,Data[Dist],0),MATCH(F$4,Data[#Headers],0))</f>
        <v>26823</v>
      </c>
      <c r="G163" s="21">
        <f>INDEX(Data[],MATCH($A163,Data[Dist],0),MATCH(G$4,Data[#Headers],0))</f>
        <v>124121</v>
      </c>
      <c r="H163" s="21">
        <f>INDEX(Data[],MATCH($A163,Data[Dist],0),MATCH(H$4,Data[#Headers],0))</f>
        <v>2113518</v>
      </c>
      <c r="I163" s="21">
        <f>INDEX(Data[],MATCH($A163,Data[Dist],0),MATCH(I$4,Data[#Headers],0))</f>
        <v>2721770</v>
      </c>
      <c r="J163" s="22"/>
    </row>
    <row r="164" spans="1:10" x14ac:dyDescent="0.2">
      <c r="A164" s="19" t="str">
        <f>Data!B160</f>
        <v>3537</v>
      </c>
      <c r="B164" s="20" t="str">
        <f>INDEX(Data[],MATCH($A164,Data[Dist],0),MATCH(B$4,Data[#Headers],0))</f>
        <v>Laurens-Marathon</v>
      </c>
      <c r="C164" s="21">
        <f>INDEX(Data[],MATCH($A164,Data[Dist],0),MATCH(C$4,Data[#Headers],0))</f>
        <v>58525</v>
      </c>
      <c r="D164" s="21">
        <f>INDEX(Data[],MATCH($A164,Data[Dist],0),MATCH(D$4,Data[#Headers],0))</f>
        <v>384153</v>
      </c>
      <c r="E164" s="21">
        <f>INDEX(Data[],MATCH($A164,Data[Dist],0),MATCH(E$4,Data[#Headers],0))</f>
        <v>24796</v>
      </c>
      <c r="F164" s="21">
        <f>INDEX(Data[],MATCH($A164,Data[Dist],0),MATCH(F$4,Data[#Headers],0))</f>
        <v>25813</v>
      </c>
      <c r="G164" s="21">
        <f>INDEX(Data[],MATCH($A164,Data[Dist],0),MATCH(G$4,Data[#Headers],0))</f>
        <v>120499</v>
      </c>
      <c r="H164" s="21">
        <f>INDEX(Data[],MATCH($A164,Data[Dist],0),MATCH(H$4,Data[#Headers],0))</f>
        <v>1737523</v>
      </c>
      <c r="I164" s="21">
        <f>INDEX(Data[],MATCH($A164,Data[Dist],0),MATCH(I$4,Data[#Headers],0))</f>
        <v>2351309</v>
      </c>
      <c r="J164" s="22"/>
    </row>
    <row r="165" spans="1:10" x14ac:dyDescent="0.2">
      <c r="A165" s="19" t="str">
        <f>Data!B161</f>
        <v>3555</v>
      </c>
      <c r="B165" s="20" t="str">
        <f>INDEX(Data[],MATCH($A165,Data[Dist],0),MATCH(B$4,Data[#Headers],0))</f>
        <v>Lawton-Bronson</v>
      </c>
      <c r="C165" s="21">
        <f>INDEX(Data[],MATCH($A165,Data[Dist],0),MATCH(C$4,Data[#Headers],0))</f>
        <v>167546</v>
      </c>
      <c r="D165" s="21">
        <f>INDEX(Data[],MATCH($A165,Data[Dist],0),MATCH(D$4,Data[#Headers],0))</f>
        <v>567568</v>
      </c>
      <c r="E165" s="21">
        <f>INDEX(Data[],MATCH($A165,Data[Dist],0),MATCH(E$4,Data[#Headers],0))</f>
        <v>43010</v>
      </c>
      <c r="F165" s="21">
        <f>INDEX(Data[],MATCH($A165,Data[Dist],0),MATCH(F$4,Data[#Headers],0))</f>
        <v>43845</v>
      </c>
      <c r="G165" s="21">
        <f>INDEX(Data[],MATCH($A165,Data[Dist],0),MATCH(G$4,Data[#Headers],0))</f>
        <v>233594</v>
      </c>
      <c r="H165" s="21">
        <f>INDEX(Data[],MATCH($A165,Data[Dist],0),MATCH(H$4,Data[#Headers],0))</f>
        <v>3337328</v>
      </c>
      <c r="I165" s="21">
        <f>INDEX(Data[],MATCH($A165,Data[Dist],0),MATCH(I$4,Data[#Headers],0))</f>
        <v>4392891</v>
      </c>
      <c r="J165" s="22"/>
    </row>
    <row r="166" spans="1:10" x14ac:dyDescent="0.2">
      <c r="A166" s="19" t="str">
        <f>Data!B162</f>
        <v>3582</v>
      </c>
      <c r="B166" s="20" t="str">
        <f>INDEX(Data[],MATCH($A166,Data[Dist],0),MATCH(B$4,Data[#Headers],0))</f>
        <v>East Marshall</v>
      </c>
      <c r="C166" s="21">
        <f>INDEX(Data[],MATCH($A166,Data[Dist],0),MATCH(C$4,Data[#Headers],0))</f>
        <v>97410</v>
      </c>
      <c r="D166" s="21">
        <f>INDEX(Data[],MATCH($A166,Data[Dist],0),MATCH(D$4,Data[#Headers],0))</f>
        <v>604192</v>
      </c>
      <c r="E166" s="21">
        <f>INDEX(Data[],MATCH($A166,Data[Dist],0),MATCH(E$4,Data[#Headers],0))</f>
        <v>43134</v>
      </c>
      <c r="F166" s="21">
        <f>INDEX(Data[],MATCH($A166,Data[Dist],0),MATCH(F$4,Data[#Headers],0))</f>
        <v>42403</v>
      </c>
      <c r="G166" s="21">
        <f>INDEX(Data[],MATCH($A166,Data[Dist],0),MATCH(G$4,Data[#Headers],0))</f>
        <v>195858</v>
      </c>
      <c r="H166" s="21">
        <f>INDEX(Data[],MATCH($A166,Data[Dist],0),MATCH(H$4,Data[#Headers],0))</f>
        <v>2534876</v>
      </c>
      <c r="I166" s="21">
        <f>INDEX(Data[],MATCH($A166,Data[Dist],0),MATCH(I$4,Data[#Headers],0))</f>
        <v>3517873</v>
      </c>
      <c r="J166" s="22"/>
    </row>
    <row r="167" spans="1:10" x14ac:dyDescent="0.2">
      <c r="A167" s="19" t="str">
        <f>Data!B163</f>
        <v>3600</v>
      </c>
      <c r="B167" s="20" t="str">
        <f>INDEX(Data[],MATCH($A167,Data[Dist],0),MATCH(B$4,Data[#Headers],0))</f>
        <v>Le Mars</v>
      </c>
      <c r="C167" s="21">
        <f>INDEX(Data[],MATCH($A167,Data[Dist],0),MATCH(C$4,Data[#Headers],0))</f>
        <v>397434</v>
      </c>
      <c r="D167" s="21">
        <f>INDEX(Data[],MATCH($A167,Data[Dist],0),MATCH(D$4,Data[#Headers],0))</f>
        <v>1750852</v>
      </c>
      <c r="E167" s="21">
        <f>INDEX(Data[],MATCH($A167,Data[Dist],0),MATCH(E$4,Data[#Headers],0))</f>
        <v>173615</v>
      </c>
      <c r="F167" s="21">
        <f>INDEX(Data[],MATCH($A167,Data[Dist],0),MATCH(F$4,Data[#Headers],0))</f>
        <v>180258</v>
      </c>
      <c r="G167" s="21">
        <f>INDEX(Data[],MATCH($A167,Data[Dist],0),MATCH(G$4,Data[#Headers],0))</f>
        <v>905821</v>
      </c>
      <c r="H167" s="21">
        <f>INDEX(Data[],MATCH($A167,Data[Dist],0),MATCH(H$4,Data[#Headers],0))</f>
        <v>12747429</v>
      </c>
      <c r="I167" s="21">
        <f>INDEX(Data[],MATCH($A167,Data[Dist],0),MATCH(I$4,Data[#Headers],0))</f>
        <v>16155409</v>
      </c>
      <c r="J167" s="22"/>
    </row>
    <row r="168" spans="1:10" x14ac:dyDescent="0.2">
      <c r="A168" s="19" t="str">
        <f>Data!B164</f>
        <v>3609</v>
      </c>
      <c r="B168" s="20" t="str">
        <f>INDEX(Data[],MATCH($A168,Data[Dist],0),MATCH(B$4,Data[#Headers],0))</f>
        <v>Lenox</v>
      </c>
      <c r="C168" s="21">
        <f>INDEX(Data[],MATCH($A168,Data[Dist],0),MATCH(C$4,Data[#Headers],0))</f>
        <v>148064</v>
      </c>
      <c r="D168" s="21">
        <f>INDEX(Data[],MATCH($A168,Data[Dist],0),MATCH(D$4,Data[#Headers],0))</f>
        <v>493588</v>
      </c>
      <c r="E168" s="21">
        <f>INDEX(Data[],MATCH($A168,Data[Dist],0),MATCH(E$4,Data[#Headers],0))</f>
        <v>44336</v>
      </c>
      <c r="F168" s="21">
        <f>INDEX(Data[],MATCH($A168,Data[Dist],0),MATCH(F$4,Data[#Headers],0))</f>
        <v>38909</v>
      </c>
      <c r="G168" s="21">
        <f>INDEX(Data[],MATCH($A168,Data[Dist],0),MATCH(G$4,Data[#Headers],0))</f>
        <v>174327</v>
      </c>
      <c r="H168" s="21">
        <f>INDEX(Data[],MATCH($A168,Data[Dist],0),MATCH(H$4,Data[#Headers],0))</f>
        <v>2724821</v>
      </c>
      <c r="I168" s="21">
        <f>INDEX(Data[],MATCH($A168,Data[Dist],0),MATCH(I$4,Data[#Headers],0))</f>
        <v>3624045</v>
      </c>
      <c r="J168" s="22"/>
    </row>
    <row r="169" spans="1:10" x14ac:dyDescent="0.2">
      <c r="A169" s="19" t="str">
        <f>Data!B165</f>
        <v>3645</v>
      </c>
      <c r="B169" s="20" t="str">
        <f>INDEX(Data[],MATCH($A169,Data[Dist],0),MATCH(B$4,Data[#Headers],0))</f>
        <v>Lewis Central</v>
      </c>
      <c r="C169" s="21">
        <f>INDEX(Data[],MATCH($A169,Data[Dist],0),MATCH(C$4,Data[#Headers],0))</f>
        <v>241578</v>
      </c>
      <c r="D169" s="21">
        <f>INDEX(Data[],MATCH($A169,Data[Dist],0),MATCH(D$4,Data[#Headers],0))</f>
        <v>2013991</v>
      </c>
      <c r="E169" s="21">
        <f>INDEX(Data[],MATCH($A169,Data[Dist],0),MATCH(E$4,Data[#Headers],0))</f>
        <v>262627</v>
      </c>
      <c r="F169" s="21">
        <f>INDEX(Data[],MATCH($A169,Data[Dist],0),MATCH(F$4,Data[#Headers],0))</f>
        <v>210218</v>
      </c>
      <c r="G169" s="21">
        <f>INDEX(Data[],MATCH($A169,Data[Dist],0),MATCH(G$4,Data[#Headers],0))</f>
        <v>1041958</v>
      </c>
      <c r="H169" s="21">
        <f>INDEX(Data[],MATCH($A169,Data[Dist],0),MATCH(H$4,Data[#Headers],0))</f>
        <v>12148788</v>
      </c>
      <c r="I169" s="21">
        <f>INDEX(Data[],MATCH($A169,Data[Dist],0),MATCH(I$4,Data[#Headers],0))</f>
        <v>15919160</v>
      </c>
      <c r="J169" s="22"/>
    </row>
    <row r="170" spans="1:10" x14ac:dyDescent="0.2">
      <c r="A170" s="19" t="str">
        <f>Data!B166</f>
        <v>3691</v>
      </c>
      <c r="B170" s="20" t="str">
        <f>INDEX(Data[],MATCH($A170,Data[Dist],0),MATCH(B$4,Data[#Headers],0))</f>
        <v>North Cedar</v>
      </c>
      <c r="C170" s="21">
        <f>INDEX(Data[],MATCH($A170,Data[Dist],0),MATCH(C$4,Data[#Headers],0))</f>
        <v>132478</v>
      </c>
      <c r="D170" s="21">
        <f>INDEX(Data[],MATCH($A170,Data[Dist],0),MATCH(D$4,Data[#Headers],0))</f>
        <v>1005977</v>
      </c>
      <c r="E170" s="21">
        <f>INDEX(Data[],MATCH($A170,Data[Dist],0),MATCH(E$4,Data[#Headers],0))</f>
        <v>50537</v>
      </c>
      <c r="F170" s="21">
        <f>INDEX(Data[],MATCH($A170,Data[Dist],0),MATCH(F$4,Data[#Headers],0))</f>
        <v>51089</v>
      </c>
      <c r="G170" s="21">
        <f>INDEX(Data[],MATCH($A170,Data[Dist],0),MATCH(G$4,Data[#Headers],0))</f>
        <v>267479</v>
      </c>
      <c r="H170" s="21">
        <f>INDEX(Data[],MATCH($A170,Data[Dist],0),MATCH(H$4,Data[#Headers],0))</f>
        <v>3656409</v>
      </c>
      <c r="I170" s="21">
        <f>INDEX(Data[],MATCH($A170,Data[Dist],0),MATCH(I$4,Data[#Headers],0))</f>
        <v>5163969</v>
      </c>
      <c r="J170" s="22"/>
    </row>
    <row r="171" spans="1:10" x14ac:dyDescent="0.2">
      <c r="A171" s="19" t="str">
        <f>Data!B167</f>
        <v>3715</v>
      </c>
      <c r="B171" s="20" t="str">
        <f>INDEX(Data[],MATCH($A171,Data[Dist],0),MATCH(B$4,Data[#Headers],0))</f>
        <v>Linn-Mar</v>
      </c>
      <c r="C171" s="21">
        <f>INDEX(Data[],MATCH($A171,Data[Dist],0),MATCH(C$4,Data[#Headers],0))</f>
        <v>950647</v>
      </c>
      <c r="D171" s="21">
        <f>INDEX(Data[],MATCH($A171,Data[Dist],0),MATCH(D$4,Data[#Headers],0))</f>
        <v>5452004</v>
      </c>
      <c r="E171" s="21">
        <f>INDEX(Data[],MATCH($A171,Data[Dist],0),MATCH(E$4,Data[#Headers],0))</f>
        <v>553786</v>
      </c>
      <c r="F171" s="21">
        <f>INDEX(Data[],MATCH($A171,Data[Dist],0),MATCH(F$4,Data[#Headers],0))</f>
        <v>553318</v>
      </c>
      <c r="G171" s="21">
        <f>INDEX(Data[],MATCH($A171,Data[Dist],0),MATCH(G$4,Data[#Headers],0))</f>
        <v>2945465</v>
      </c>
      <c r="H171" s="21">
        <f>INDEX(Data[],MATCH($A171,Data[Dist],0),MATCH(H$4,Data[#Headers],0))</f>
        <v>46001033</v>
      </c>
      <c r="I171" s="21">
        <f>INDEX(Data[],MATCH($A171,Data[Dist],0),MATCH(I$4,Data[#Headers],0))</f>
        <v>56456253</v>
      </c>
      <c r="J171" s="22"/>
    </row>
    <row r="172" spans="1:10" x14ac:dyDescent="0.2">
      <c r="A172" s="19" t="str">
        <f>Data!B168</f>
        <v>3744</v>
      </c>
      <c r="B172" s="20" t="str">
        <f>INDEX(Data[],MATCH($A172,Data[Dist],0),MATCH(B$4,Data[#Headers],0))</f>
        <v>Lisbon</v>
      </c>
      <c r="C172" s="21">
        <f>INDEX(Data[],MATCH($A172,Data[Dist],0),MATCH(C$4,Data[#Headers],0))</f>
        <v>241578</v>
      </c>
      <c r="D172" s="21">
        <f>INDEX(Data[],MATCH($A172,Data[Dist],0),MATCH(D$4,Data[#Headers],0))</f>
        <v>678039</v>
      </c>
      <c r="E172" s="21">
        <f>INDEX(Data[],MATCH($A172,Data[Dist],0),MATCH(E$4,Data[#Headers],0))</f>
        <v>44325</v>
      </c>
      <c r="F172" s="21">
        <f>INDEX(Data[],MATCH($A172,Data[Dist],0),MATCH(F$4,Data[#Headers],0))</f>
        <v>44325</v>
      </c>
      <c r="G172" s="21">
        <f>INDEX(Data[],MATCH($A172,Data[Dist],0),MATCH(G$4,Data[#Headers],0))</f>
        <v>258903</v>
      </c>
      <c r="H172" s="21">
        <f>INDEX(Data[],MATCH($A172,Data[Dist],0),MATCH(H$4,Data[#Headers],0))</f>
        <v>4386417</v>
      </c>
      <c r="I172" s="21">
        <f>INDEX(Data[],MATCH($A172,Data[Dist],0),MATCH(I$4,Data[#Headers],0))</f>
        <v>5653587</v>
      </c>
      <c r="J172" s="22"/>
    </row>
    <row r="173" spans="1:10" x14ac:dyDescent="0.2">
      <c r="A173" s="19" t="str">
        <f>Data!B169</f>
        <v>3798</v>
      </c>
      <c r="B173" s="20" t="str">
        <f>INDEX(Data[],MATCH($A173,Data[Dist],0),MATCH(B$4,Data[#Headers],0))</f>
        <v>Logan-Magnolia</v>
      </c>
      <c r="C173" s="21">
        <f>INDEX(Data[],MATCH($A173,Data[Dist],0),MATCH(C$4,Data[#Headers],0))</f>
        <v>183132</v>
      </c>
      <c r="D173" s="21">
        <f>INDEX(Data[],MATCH($A173,Data[Dist],0),MATCH(D$4,Data[#Headers],0))</f>
        <v>594697</v>
      </c>
      <c r="E173" s="21">
        <f>INDEX(Data[],MATCH($A173,Data[Dist],0),MATCH(E$4,Data[#Headers],0))</f>
        <v>45579</v>
      </c>
      <c r="F173" s="21">
        <f>INDEX(Data[],MATCH($A173,Data[Dist],0),MATCH(F$4,Data[#Headers],0))</f>
        <v>44396</v>
      </c>
      <c r="G173" s="21">
        <f>INDEX(Data[],MATCH($A173,Data[Dist],0),MATCH(G$4,Data[#Headers],0))</f>
        <v>222300</v>
      </c>
      <c r="H173" s="21">
        <f>INDEX(Data[],MATCH($A173,Data[Dist],0),MATCH(H$4,Data[#Headers],0))</f>
        <v>3341041</v>
      </c>
      <c r="I173" s="21">
        <f>INDEX(Data[],MATCH($A173,Data[Dist],0),MATCH(I$4,Data[#Headers],0))</f>
        <v>4431145</v>
      </c>
      <c r="J173" s="22"/>
    </row>
    <row r="174" spans="1:10" x14ac:dyDescent="0.2">
      <c r="A174" s="19" t="str">
        <f>Data!B170</f>
        <v>3816</v>
      </c>
      <c r="B174" s="20" t="str">
        <f>INDEX(Data[],MATCH($A174,Data[Dist],0),MATCH(B$4,Data[#Headers],0))</f>
        <v>Lone Tree</v>
      </c>
      <c r="C174" s="21">
        <f>INDEX(Data[],MATCH($A174,Data[Dist],0),MATCH(C$4,Data[#Headers],0))</f>
        <v>140271</v>
      </c>
      <c r="D174" s="21">
        <f>INDEX(Data[],MATCH($A174,Data[Dist],0),MATCH(D$4,Data[#Headers],0))</f>
        <v>530394</v>
      </c>
      <c r="E174" s="21">
        <f>INDEX(Data[],MATCH($A174,Data[Dist],0),MATCH(E$4,Data[#Headers],0))</f>
        <v>26329</v>
      </c>
      <c r="F174" s="21">
        <f>INDEX(Data[],MATCH($A174,Data[Dist],0),MATCH(F$4,Data[#Headers],0))</f>
        <v>24013</v>
      </c>
      <c r="G174" s="21">
        <f>INDEX(Data[],MATCH($A174,Data[Dist],0),MATCH(G$4,Data[#Headers],0))</f>
        <v>116750</v>
      </c>
      <c r="H174" s="21">
        <f>INDEX(Data[],MATCH($A174,Data[Dist],0),MATCH(H$4,Data[#Headers],0))</f>
        <v>1264568</v>
      </c>
      <c r="I174" s="21">
        <f>INDEX(Data[],MATCH($A174,Data[Dist],0),MATCH(I$4,Data[#Headers],0))</f>
        <v>2102325</v>
      </c>
      <c r="J174" s="22"/>
    </row>
    <row r="175" spans="1:10" x14ac:dyDescent="0.2">
      <c r="A175" s="19" t="str">
        <f>Data!B171</f>
        <v>3841</v>
      </c>
      <c r="B175" s="20" t="str">
        <f>INDEX(Data[],MATCH($A175,Data[Dist],0),MATCH(B$4,Data[#Headers],0))</f>
        <v>Louisa-Muscatine</v>
      </c>
      <c r="C175" s="21">
        <f>INDEX(Data[],MATCH($A175,Data[Dist],0),MATCH(C$4,Data[#Headers],0))</f>
        <v>190924</v>
      </c>
      <c r="D175" s="21">
        <f>INDEX(Data[],MATCH($A175,Data[Dist],0),MATCH(D$4,Data[#Headers],0))</f>
        <v>615382</v>
      </c>
      <c r="E175" s="21">
        <f>INDEX(Data[],MATCH($A175,Data[Dist],0),MATCH(E$4,Data[#Headers],0))</f>
        <v>52879</v>
      </c>
      <c r="F175" s="21">
        <f>INDEX(Data[],MATCH($A175,Data[Dist],0),MATCH(F$4,Data[#Headers],0))</f>
        <v>56514</v>
      </c>
      <c r="G175" s="21">
        <f>INDEX(Data[],MATCH($A175,Data[Dist],0),MATCH(G$4,Data[#Headers],0))</f>
        <v>256674</v>
      </c>
      <c r="H175" s="21">
        <f>INDEX(Data[],MATCH($A175,Data[Dist],0),MATCH(H$4,Data[#Headers],0))</f>
        <v>3771083</v>
      </c>
      <c r="I175" s="21">
        <f>INDEX(Data[],MATCH($A175,Data[Dist],0),MATCH(I$4,Data[#Headers],0))</f>
        <v>4943456</v>
      </c>
      <c r="J175" s="22"/>
    </row>
    <row r="176" spans="1:10" x14ac:dyDescent="0.2">
      <c r="A176" s="19" t="str">
        <f>Data!B172</f>
        <v>3906</v>
      </c>
      <c r="B176" s="20" t="str">
        <f>INDEX(Data[],MATCH($A176,Data[Dist],0),MATCH(B$4,Data[#Headers],0))</f>
        <v>Lynnville-Sully</v>
      </c>
      <c r="C176" s="21">
        <f>INDEX(Data[],MATCH($A176,Data[Dist],0),MATCH(C$4,Data[#Headers],0))</f>
        <v>136375</v>
      </c>
      <c r="D176" s="21">
        <f>INDEX(Data[],MATCH($A176,Data[Dist],0),MATCH(D$4,Data[#Headers],0))</f>
        <v>506422</v>
      </c>
      <c r="E176" s="21">
        <f>INDEX(Data[],MATCH($A176,Data[Dist],0),MATCH(E$4,Data[#Headers],0))</f>
        <v>33666</v>
      </c>
      <c r="F176" s="21">
        <f>INDEX(Data[],MATCH($A176,Data[Dist],0),MATCH(F$4,Data[#Headers],0))</f>
        <v>32998</v>
      </c>
      <c r="G176" s="21">
        <f>INDEX(Data[],MATCH($A176,Data[Dist],0),MATCH(G$4,Data[#Headers],0))</f>
        <v>178860</v>
      </c>
      <c r="H176" s="21">
        <f>INDEX(Data[],MATCH($A176,Data[Dist],0),MATCH(H$4,Data[#Headers],0))</f>
        <v>2118516</v>
      </c>
      <c r="I176" s="21">
        <f>INDEX(Data[],MATCH($A176,Data[Dist],0),MATCH(I$4,Data[#Headers],0))</f>
        <v>3006837</v>
      </c>
      <c r="J176" s="22"/>
    </row>
    <row r="177" spans="1:10" x14ac:dyDescent="0.2">
      <c r="A177" s="19" t="str">
        <f>Data!B173</f>
        <v>3942</v>
      </c>
      <c r="B177" s="20" t="str">
        <f>INDEX(Data[],MATCH($A177,Data[Dist],0),MATCH(B$4,Data[#Headers],0))</f>
        <v>Madrid</v>
      </c>
      <c r="C177" s="21">
        <f>INDEX(Data[],MATCH($A177,Data[Dist],0),MATCH(C$4,Data[#Headers],0))</f>
        <v>132400</v>
      </c>
      <c r="D177" s="21">
        <f>INDEX(Data[],MATCH($A177,Data[Dist],0),MATCH(D$4,Data[#Headers],0))</f>
        <v>574853</v>
      </c>
      <c r="E177" s="21">
        <f>INDEX(Data[],MATCH($A177,Data[Dist],0),MATCH(E$4,Data[#Headers],0))</f>
        <v>52227</v>
      </c>
      <c r="F177" s="21">
        <f>INDEX(Data[],MATCH($A177,Data[Dist],0),MATCH(F$4,Data[#Headers],0))</f>
        <v>47831</v>
      </c>
      <c r="G177" s="21">
        <f>INDEX(Data[],MATCH($A177,Data[Dist],0),MATCH(G$4,Data[#Headers],0))</f>
        <v>246915</v>
      </c>
      <c r="H177" s="21">
        <f>INDEX(Data[],MATCH($A177,Data[Dist],0),MATCH(H$4,Data[#Headers],0))</f>
        <v>4210260</v>
      </c>
      <c r="I177" s="21">
        <f>INDEX(Data[],MATCH($A177,Data[Dist],0),MATCH(I$4,Data[#Headers],0))</f>
        <v>5264486</v>
      </c>
      <c r="J177" s="22"/>
    </row>
    <row r="178" spans="1:10" x14ac:dyDescent="0.2">
      <c r="A178" s="19" t="str">
        <f>Data!B174</f>
        <v>3978</v>
      </c>
      <c r="B178" s="20" t="str">
        <f>INDEX(Data[],MATCH($A178,Data[Dist],0),MATCH(B$4,Data[#Headers],0))</f>
        <v>East Mills</v>
      </c>
      <c r="C178" s="21">
        <f>INDEX(Data[],MATCH($A178,Data[Dist],0),MATCH(C$4,Data[#Headers],0))</f>
        <v>97410</v>
      </c>
      <c r="D178" s="21">
        <f>INDEX(Data[],MATCH($A178,Data[Dist],0),MATCH(D$4,Data[#Headers],0))</f>
        <v>603384</v>
      </c>
      <c r="E178" s="21">
        <f>INDEX(Data[],MATCH($A178,Data[Dist],0),MATCH(E$4,Data[#Headers],0))</f>
        <v>41161</v>
      </c>
      <c r="F178" s="21">
        <f>INDEX(Data[],MATCH($A178,Data[Dist],0),MATCH(F$4,Data[#Headers],0))</f>
        <v>44521</v>
      </c>
      <c r="G178" s="21">
        <f>INDEX(Data[],MATCH($A178,Data[Dist],0),MATCH(G$4,Data[#Headers],0))</f>
        <v>207417</v>
      </c>
      <c r="H178" s="21">
        <f>INDEX(Data[],MATCH($A178,Data[Dist],0),MATCH(H$4,Data[#Headers],0))</f>
        <v>2563296</v>
      </c>
      <c r="I178" s="21">
        <f>INDEX(Data[],MATCH($A178,Data[Dist],0),MATCH(I$4,Data[#Headers],0))</f>
        <v>3557189</v>
      </c>
      <c r="J178" s="22"/>
    </row>
    <row r="179" spans="1:10" x14ac:dyDescent="0.2">
      <c r="A179" s="19" t="str">
        <f>Data!B175</f>
        <v>4023</v>
      </c>
      <c r="B179" s="20" t="str">
        <f>INDEX(Data[],MATCH($A179,Data[Dist],0),MATCH(B$4,Data[#Headers],0))</f>
        <v>Manson-Northwest Webster</v>
      </c>
      <c r="C179" s="21">
        <f>INDEX(Data[],MATCH($A179,Data[Dist],0),MATCH(C$4,Data[#Headers],0))</f>
        <v>159831</v>
      </c>
      <c r="D179" s="21">
        <f>INDEX(Data[],MATCH($A179,Data[Dist],0),MATCH(D$4,Data[#Headers],0))</f>
        <v>652708</v>
      </c>
      <c r="E179" s="21">
        <f>INDEX(Data[],MATCH($A179,Data[Dist],0),MATCH(E$4,Data[#Headers],0))</f>
        <v>44035</v>
      </c>
      <c r="F179" s="21">
        <f>INDEX(Data[],MATCH($A179,Data[Dist],0),MATCH(F$4,Data[#Headers],0))</f>
        <v>52228</v>
      </c>
      <c r="G179" s="21">
        <f>INDEX(Data[],MATCH($A179,Data[Dist],0),MATCH(G$4,Data[#Headers],0))</f>
        <v>257052</v>
      </c>
      <c r="H179" s="21">
        <f>INDEX(Data[],MATCH($A179,Data[Dist],0),MATCH(H$4,Data[#Headers],0))</f>
        <v>2722860</v>
      </c>
      <c r="I179" s="21">
        <f>INDEX(Data[],MATCH($A179,Data[Dist],0),MATCH(I$4,Data[#Headers],0))</f>
        <v>3888714</v>
      </c>
      <c r="J179" s="22"/>
    </row>
    <row r="180" spans="1:10" x14ac:dyDescent="0.2">
      <c r="A180" s="19" t="str">
        <f>Data!B176</f>
        <v>4033</v>
      </c>
      <c r="B180" s="20" t="str">
        <f>INDEX(Data[],MATCH($A180,Data[Dist],0),MATCH(B$4,Data[#Headers],0))</f>
        <v>Maple Valley-Anthon Oto</v>
      </c>
      <c r="C180" s="21">
        <f>INDEX(Data[],MATCH($A180,Data[Dist],0),MATCH(C$4,Data[#Headers],0))</f>
        <v>101307</v>
      </c>
      <c r="D180" s="21">
        <f>INDEX(Data[],MATCH($A180,Data[Dist],0),MATCH(D$4,Data[#Headers],0))</f>
        <v>598950</v>
      </c>
      <c r="E180" s="21">
        <f>INDEX(Data[],MATCH($A180,Data[Dist],0),MATCH(E$4,Data[#Headers],0))</f>
        <v>41353</v>
      </c>
      <c r="F180" s="21">
        <f>INDEX(Data[],MATCH($A180,Data[Dist],0),MATCH(F$4,Data[#Headers],0))</f>
        <v>42597</v>
      </c>
      <c r="G180" s="21">
        <f>INDEX(Data[],MATCH($A180,Data[Dist],0),MATCH(G$4,Data[#Headers],0))</f>
        <v>222678</v>
      </c>
      <c r="H180" s="21">
        <f>INDEX(Data[],MATCH($A180,Data[Dist],0),MATCH(H$4,Data[#Headers],0))</f>
        <v>2168869</v>
      </c>
      <c r="I180" s="21">
        <f>INDEX(Data[],MATCH($A180,Data[Dist],0),MATCH(I$4,Data[#Headers],0))</f>
        <v>3175754</v>
      </c>
      <c r="J180" s="22"/>
    </row>
    <row r="181" spans="1:10" x14ac:dyDescent="0.2">
      <c r="A181" s="19" t="str">
        <f>Data!B177</f>
        <v>4041</v>
      </c>
      <c r="B181" s="20" t="str">
        <f>INDEX(Data[],MATCH($A181,Data[Dist],0),MATCH(B$4,Data[#Headers],0))</f>
        <v>Maquoketa</v>
      </c>
      <c r="C181" s="21">
        <f>INDEX(Data[],MATCH($A181,Data[Dist],0),MATCH(C$4,Data[#Headers],0))</f>
        <v>190924</v>
      </c>
      <c r="D181" s="21">
        <f>INDEX(Data[],MATCH($A181,Data[Dist],0),MATCH(D$4,Data[#Headers],0))</f>
        <v>1283928</v>
      </c>
      <c r="E181" s="21">
        <f>INDEX(Data[],MATCH($A181,Data[Dist],0),MATCH(E$4,Data[#Headers],0))</f>
        <v>109113</v>
      </c>
      <c r="F181" s="21">
        <f>INDEX(Data[],MATCH($A181,Data[Dist],0),MATCH(F$4,Data[#Headers],0))</f>
        <v>105462</v>
      </c>
      <c r="G181" s="21">
        <f>INDEX(Data[],MATCH($A181,Data[Dist],0),MATCH(G$4,Data[#Headers],0))</f>
        <v>487247</v>
      </c>
      <c r="H181" s="21">
        <f>INDEX(Data[],MATCH($A181,Data[Dist],0),MATCH(H$4,Data[#Headers],0))</f>
        <v>8370455</v>
      </c>
      <c r="I181" s="21">
        <f>INDEX(Data[],MATCH($A181,Data[Dist],0),MATCH(I$4,Data[#Headers],0))</f>
        <v>10547129</v>
      </c>
      <c r="J181" s="22"/>
    </row>
    <row r="182" spans="1:10" x14ac:dyDescent="0.2">
      <c r="A182" s="19" t="str">
        <f>Data!B178</f>
        <v>4043</v>
      </c>
      <c r="B182" s="20" t="str">
        <f>INDEX(Data[],MATCH($A182,Data[Dist],0),MATCH(B$4,Data[#Headers],0))</f>
        <v>Maquoketa Valley</v>
      </c>
      <c r="C182" s="21">
        <f>INDEX(Data[],MATCH($A182,Data[Dist],0),MATCH(C$4,Data[#Headers],0))</f>
        <v>116892</v>
      </c>
      <c r="D182" s="21">
        <f>INDEX(Data[],MATCH($A182,Data[Dist],0),MATCH(D$4,Data[#Headers],0))</f>
        <v>662679</v>
      </c>
      <c r="E182" s="21">
        <f>INDEX(Data[],MATCH($A182,Data[Dist],0),MATCH(E$4,Data[#Headers],0))</f>
        <v>52534</v>
      </c>
      <c r="F182" s="21">
        <f>INDEX(Data[],MATCH($A182,Data[Dist],0),MATCH(F$4,Data[#Headers],0))</f>
        <v>53074</v>
      </c>
      <c r="G182" s="21">
        <f>INDEX(Data[],MATCH($A182,Data[Dist],0),MATCH(G$4,Data[#Headers],0))</f>
        <v>264909</v>
      </c>
      <c r="H182" s="21">
        <f>INDEX(Data[],MATCH($A182,Data[Dist],0),MATCH(H$4,Data[#Headers],0))</f>
        <v>2918696</v>
      </c>
      <c r="I182" s="21">
        <f>INDEX(Data[],MATCH($A182,Data[Dist],0),MATCH(I$4,Data[#Headers],0))</f>
        <v>4068784</v>
      </c>
      <c r="J182" s="22"/>
    </row>
    <row r="183" spans="1:10" x14ac:dyDescent="0.2">
      <c r="A183" s="19" t="str">
        <f>Data!B179</f>
        <v>4068</v>
      </c>
      <c r="B183" s="20" t="str">
        <f>INDEX(Data[],MATCH($A183,Data[Dist],0),MATCH(B$4,Data[#Headers],0))</f>
        <v>Marcus-Meriden Cleghorn</v>
      </c>
      <c r="C183" s="21">
        <f>INDEX(Data[],MATCH($A183,Data[Dist],0),MATCH(C$4,Data[#Headers],0))</f>
        <v>70135</v>
      </c>
      <c r="D183" s="21">
        <f>INDEX(Data[],MATCH($A183,Data[Dist],0),MATCH(D$4,Data[#Headers],0))</f>
        <v>567898</v>
      </c>
      <c r="E183" s="21">
        <f>INDEX(Data[],MATCH($A183,Data[Dist],0),MATCH(E$4,Data[#Headers],0))</f>
        <v>29150</v>
      </c>
      <c r="F183" s="21">
        <f>INDEX(Data[],MATCH($A183,Data[Dist],0),MATCH(F$4,Data[#Headers],0))</f>
        <v>35758</v>
      </c>
      <c r="G183" s="21">
        <f>INDEX(Data[],MATCH($A183,Data[Dist],0),MATCH(G$4,Data[#Headers],0))</f>
        <v>178407</v>
      </c>
      <c r="H183" s="21">
        <f>INDEX(Data[],MATCH($A183,Data[Dist],0),MATCH(H$4,Data[#Headers],0))</f>
        <v>1488831</v>
      </c>
      <c r="I183" s="21">
        <f>INDEX(Data[],MATCH($A183,Data[Dist],0),MATCH(I$4,Data[#Headers],0))</f>
        <v>2370179</v>
      </c>
      <c r="J183" s="22"/>
    </row>
    <row r="184" spans="1:10" x14ac:dyDescent="0.2">
      <c r="A184" s="19" t="str">
        <f>Data!B180</f>
        <v>4086</v>
      </c>
      <c r="B184" s="20" t="str">
        <f>INDEX(Data[],MATCH($A184,Data[Dist],0),MATCH(B$4,Data[#Headers],0))</f>
        <v>Marion</v>
      </c>
      <c r="C184" s="21">
        <f>INDEX(Data[],MATCH($A184,Data[Dist],0),MATCH(C$4,Data[#Headers],0))</f>
        <v>354574</v>
      </c>
      <c r="D184" s="21">
        <f>INDEX(Data[],MATCH($A184,Data[Dist],0),MATCH(D$4,Data[#Headers],0))</f>
        <v>1459828</v>
      </c>
      <c r="E184" s="21">
        <f>INDEX(Data[],MATCH($A184,Data[Dist],0),MATCH(E$4,Data[#Headers],0))</f>
        <v>152863</v>
      </c>
      <c r="F184" s="21">
        <f>INDEX(Data[],MATCH($A184,Data[Dist],0),MATCH(F$4,Data[#Headers],0))</f>
        <v>148783</v>
      </c>
      <c r="G184" s="21">
        <f>INDEX(Data[],MATCH($A184,Data[Dist],0),MATCH(G$4,Data[#Headers],0))</f>
        <v>681972</v>
      </c>
      <c r="H184" s="21">
        <f>INDEX(Data[],MATCH($A184,Data[Dist],0),MATCH(H$4,Data[#Headers],0))</f>
        <v>12105766</v>
      </c>
      <c r="I184" s="21">
        <f>INDEX(Data[],MATCH($A184,Data[Dist],0),MATCH(I$4,Data[#Headers],0))</f>
        <v>14903786</v>
      </c>
      <c r="J184" s="22"/>
    </row>
    <row r="185" spans="1:10" x14ac:dyDescent="0.2">
      <c r="A185" s="19" t="str">
        <f>Data!B181</f>
        <v>4104</v>
      </c>
      <c r="B185" s="20" t="str">
        <f>INDEX(Data[],MATCH($A185,Data[Dist],0),MATCH(B$4,Data[#Headers],0))</f>
        <v>Marshalltown</v>
      </c>
      <c r="C185" s="21">
        <f>INDEX(Data[],MATCH($A185,Data[Dist],0),MATCH(C$4,Data[#Headers],0))</f>
        <v>1012989</v>
      </c>
      <c r="D185" s="21">
        <f>INDEX(Data[],MATCH($A185,Data[Dist],0),MATCH(D$4,Data[#Headers],0))</f>
        <v>3869527</v>
      </c>
      <c r="E185" s="21">
        <f>INDEX(Data[],MATCH($A185,Data[Dist],0),MATCH(E$4,Data[#Headers],0))</f>
        <v>544520</v>
      </c>
      <c r="F185" s="21">
        <f>INDEX(Data[],MATCH($A185,Data[Dist],0),MATCH(F$4,Data[#Headers],0))</f>
        <v>405111</v>
      </c>
      <c r="G185" s="21">
        <f>INDEX(Data[],MATCH($A185,Data[Dist],0),MATCH(G$4,Data[#Headers],0))</f>
        <v>2090526</v>
      </c>
      <c r="H185" s="21">
        <f>INDEX(Data[],MATCH($A185,Data[Dist],0),MATCH(H$4,Data[#Headers],0))</f>
        <v>40051014</v>
      </c>
      <c r="I185" s="21">
        <f>INDEX(Data[],MATCH($A185,Data[Dist],0),MATCH(I$4,Data[#Headers],0))</f>
        <v>47973687</v>
      </c>
      <c r="J185" s="22"/>
    </row>
    <row r="186" spans="1:10" x14ac:dyDescent="0.2">
      <c r="A186" s="19" t="str">
        <f>Data!B182</f>
        <v>4122</v>
      </c>
      <c r="B186" s="20" t="str">
        <f>INDEX(Data[],MATCH($A186,Data[Dist],0),MATCH(B$4,Data[#Headers],0))</f>
        <v>Martensdale-St Marys</v>
      </c>
      <c r="C186" s="21">
        <f>INDEX(Data[],MATCH($A186,Data[Dist],0),MATCH(C$4,Data[#Headers],0))</f>
        <v>109100</v>
      </c>
      <c r="D186" s="21">
        <f>INDEX(Data[],MATCH($A186,Data[Dist],0),MATCH(D$4,Data[#Headers],0))</f>
        <v>523535</v>
      </c>
      <c r="E186" s="21">
        <f>INDEX(Data[],MATCH($A186,Data[Dist],0),MATCH(E$4,Data[#Headers],0))</f>
        <v>36882</v>
      </c>
      <c r="F186" s="21">
        <f>INDEX(Data[],MATCH($A186,Data[Dist],0),MATCH(F$4,Data[#Headers],0))</f>
        <v>32678</v>
      </c>
      <c r="G186" s="21">
        <f>INDEX(Data[],MATCH($A186,Data[Dist],0),MATCH(G$4,Data[#Headers],0))</f>
        <v>188466</v>
      </c>
      <c r="H186" s="21">
        <f>INDEX(Data[],MATCH($A186,Data[Dist],0),MATCH(H$4,Data[#Headers],0))</f>
        <v>2675665</v>
      </c>
      <c r="I186" s="21">
        <f>INDEX(Data[],MATCH($A186,Data[Dist],0),MATCH(I$4,Data[#Headers],0))</f>
        <v>3566326</v>
      </c>
      <c r="J186" s="22"/>
    </row>
    <row r="187" spans="1:10" x14ac:dyDescent="0.2">
      <c r="A187" s="19" t="str">
        <f>Data!B183</f>
        <v>4131</v>
      </c>
      <c r="B187" s="20" t="str">
        <f>INDEX(Data[],MATCH($A187,Data[Dist],0),MATCH(B$4,Data[#Headers],0))</f>
        <v>Mason City</v>
      </c>
      <c r="C187" s="21">
        <f>INDEX(Data[],MATCH($A187,Data[Dist],0),MATCH(C$4,Data[#Headers],0))</f>
        <v>584462</v>
      </c>
      <c r="D187" s="21">
        <f>INDEX(Data[],MATCH($A187,Data[Dist],0),MATCH(D$4,Data[#Headers],0))</f>
        <v>2632849</v>
      </c>
      <c r="E187" s="21">
        <f>INDEX(Data[],MATCH($A187,Data[Dist],0),MATCH(E$4,Data[#Headers],0))</f>
        <v>315309</v>
      </c>
      <c r="F187" s="21">
        <f>INDEX(Data[],MATCH($A187,Data[Dist],0),MATCH(F$4,Data[#Headers],0))</f>
        <v>280006</v>
      </c>
      <c r="G187" s="21">
        <f>INDEX(Data[],MATCH($A187,Data[Dist],0),MATCH(G$4,Data[#Headers],0))</f>
        <v>1362130</v>
      </c>
      <c r="H187" s="21">
        <f>INDEX(Data[],MATCH($A187,Data[Dist],0),MATCH(H$4,Data[#Headers],0))</f>
        <v>20459115</v>
      </c>
      <c r="I187" s="21">
        <f>INDEX(Data[],MATCH($A187,Data[Dist],0),MATCH(I$4,Data[#Headers],0))</f>
        <v>25633871</v>
      </c>
      <c r="J187" s="22"/>
    </row>
    <row r="188" spans="1:10" x14ac:dyDescent="0.2">
      <c r="A188" s="19" t="str">
        <f>Data!B184</f>
        <v>4149</v>
      </c>
      <c r="B188" s="20" t="str">
        <f>INDEX(Data[],MATCH($A188,Data[Dist],0),MATCH(B$4,Data[#Headers],0))</f>
        <v>Moc-Floyd Valley</v>
      </c>
      <c r="C188" s="21">
        <f>INDEX(Data[],MATCH($A188,Data[Dist],0),MATCH(C$4,Data[#Headers],0))</f>
        <v>198717</v>
      </c>
      <c r="D188" s="21">
        <f>INDEX(Data[],MATCH($A188,Data[Dist],0),MATCH(D$4,Data[#Headers],0))</f>
        <v>1346579</v>
      </c>
      <c r="E188" s="21">
        <f>INDEX(Data[],MATCH($A188,Data[Dist],0),MATCH(E$4,Data[#Headers],0))</f>
        <v>142066</v>
      </c>
      <c r="F188" s="21">
        <f>INDEX(Data[],MATCH($A188,Data[Dist],0),MATCH(F$4,Data[#Headers],0))</f>
        <v>144925</v>
      </c>
      <c r="G188" s="21">
        <f>INDEX(Data[],MATCH($A188,Data[Dist],0),MATCH(G$4,Data[#Headers],0))</f>
        <v>696666</v>
      </c>
      <c r="H188" s="21">
        <f>INDEX(Data[],MATCH($A188,Data[Dist],0),MATCH(H$4,Data[#Headers],0))</f>
        <v>7654147</v>
      </c>
      <c r="I188" s="21">
        <f>INDEX(Data[],MATCH($A188,Data[Dist],0),MATCH(I$4,Data[#Headers],0))</f>
        <v>10183100</v>
      </c>
      <c r="J188" s="22"/>
    </row>
    <row r="189" spans="1:10" x14ac:dyDescent="0.2">
      <c r="A189" s="19" t="str">
        <f>Data!B185</f>
        <v>4203</v>
      </c>
      <c r="B189" s="20" t="str">
        <f>INDEX(Data[],MATCH($A189,Data[Dist],0),MATCH(B$4,Data[#Headers],0))</f>
        <v>Mediapolis</v>
      </c>
      <c r="C189" s="21">
        <f>INDEX(Data[],MATCH($A189,Data[Dist],0),MATCH(C$4,Data[#Headers],0))</f>
        <v>0</v>
      </c>
      <c r="D189" s="21">
        <f>INDEX(Data[],MATCH($A189,Data[Dist],0),MATCH(D$4,Data[#Headers],0))</f>
        <v>786431</v>
      </c>
      <c r="E189" s="21">
        <f>INDEX(Data[],MATCH($A189,Data[Dist],0),MATCH(E$4,Data[#Headers],0))</f>
        <v>64104</v>
      </c>
      <c r="F189" s="21">
        <f>INDEX(Data[],MATCH($A189,Data[Dist],0),MATCH(F$4,Data[#Headers],0))</f>
        <v>60418</v>
      </c>
      <c r="G189" s="21">
        <f>INDEX(Data[],MATCH($A189,Data[Dist],0),MATCH(G$4,Data[#Headers],0))</f>
        <v>334640</v>
      </c>
      <c r="H189" s="21">
        <f>INDEX(Data[],MATCH($A189,Data[Dist],0),MATCH(H$4,Data[#Headers],0))</f>
        <v>4876563</v>
      </c>
      <c r="I189" s="21">
        <f>INDEX(Data[],MATCH($A189,Data[Dist],0),MATCH(I$4,Data[#Headers],0))</f>
        <v>6122156</v>
      </c>
      <c r="J189" s="22"/>
    </row>
    <row r="190" spans="1:10" x14ac:dyDescent="0.2">
      <c r="A190" s="19" t="str">
        <f>Data!B186</f>
        <v>4212</v>
      </c>
      <c r="B190" s="20" t="str">
        <f>INDEX(Data[],MATCH($A190,Data[Dist],0),MATCH(B$4,Data[#Headers],0))</f>
        <v>Melcher-Dallas</v>
      </c>
      <c r="C190" s="21">
        <f>INDEX(Data[],MATCH($A190,Data[Dist],0),MATCH(C$4,Data[#Headers],0))</f>
        <v>66239</v>
      </c>
      <c r="D190" s="21">
        <f>INDEX(Data[],MATCH($A190,Data[Dist],0),MATCH(D$4,Data[#Headers],0))</f>
        <v>390953</v>
      </c>
      <c r="E190" s="21">
        <f>INDEX(Data[],MATCH($A190,Data[Dist],0),MATCH(E$4,Data[#Headers],0))</f>
        <v>28275</v>
      </c>
      <c r="F190" s="21">
        <f>INDEX(Data[],MATCH($A190,Data[Dist],0),MATCH(F$4,Data[#Headers],0))</f>
        <v>23973</v>
      </c>
      <c r="G190" s="21">
        <f>INDEX(Data[],MATCH($A190,Data[Dist],0),MATCH(G$4,Data[#Headers],0))</f>
        <v>113397</v>
      </c>
      <c r="H190" s="21">
        <f>INDEX(Data[],MATCH($A190,Data[Dist],0),MATCH(H$4,Data[#Headers],0))</f>
        <v>1901048</v>
      </c>
      <c r="I190" s="21">
        <f>INDEX(Data[],MATCH($A190,Data[Dist],0),MATCH(I$4,Data[#Headers],0))</f>
        <v>2523885</v>
      </c>
      <c r="J190" s="22"/>
    </row>
    <row r="191" spans="1:10" x14ac:dyDescent="0.2">
      <c r="A191" s="19" t="str">
        <f>Data!B187</f>
        <v>4269</v>
      </c>
      <c r="B191" s="20" t="str">
        <f>INDEX(Data[],MATCH($A191,Data[Dist],0),MATCH(B$4,Data[#Headers],0))</f>
        <v>Midland</v>
      </c>
      <c r="C191" s="21">
        <f>INDEX(Data[],MATCH($A191,Data[Dist],0),MATCH(C$4,Data[#Headers],0))</f>
        <v>70135</v>
      </c>
      <c r="D191" s="21">
        <f>INDEX(Data[],MATCH($A191,Data[Dist],0),MATCH(D$4,Data[#Headers],0))</f>
        <v>453944</v>
      </c>
      <c r="E191" s="21">
        <f>INDEX(Data[],MATCH($A191,Data[Dist],0),MATCH(E$4,Data[#Headers],0))</f>
        <v>38223</v>
      </c>
      <c r="F191" s="21">
        <f>INDEX(Data[],MATCH($A191,Data[Dist],0),MATCH(F$4,Data[#Headers],0))</f>
        <v>35908</v>
      </c>
      <c r="G191" s="21">
        <f>INDEX(Data[],MATCH($A191,Data[Dist],0),MATCH(G$4,Data[#Headers],0))</f>
        <v>186830</v>
      </c>
      <c r="H191" s="21">
        <f>INDEX(Data[],MATCH($A191,Data[Dist],0),MATCH(H$4,Data[#Headers],0))</f>
        <v>2527861</v>
      </c>
      <c r="I191" s="21">
        <f>INDEX(Data[],MATCH($A191,Data[Dist],0),MATCH(I$4,Data[#Headers],0))</f>
        <v>3312901</v>
      </c>
      <c r="J191" s="22"/>
    </row>
    <row r="192" spans="1:10" x14ac:dyDescent="0.2">
      <c r="A192" s="19" t="str">
        <f>Data!B188</f>
        <v>4271</v>
      </c>
      <c r="B192" s="20" t="str">
        <f>INDEX(Data[],MATCH($A192,Data[Dist],0),MATCH(B$4,Data[#Headers],0))</f>
        <v>Mid-Prairie</v>
      </c>
      <c r="C192" s="21">
        <f>INDEX(Data[],MATCH($A192,Data[Dist],0),MATCH(C$4,Data[#Headers],0))</f>
        <v>241578</v>
      </c>
      <c r="D192" s="21">
        <f>INDEX(Data[],MATCH($A192,Data[Dist],0),MATCH(D$4,Data[#Headers],0))</f>
        <v>1117846</v>
      </c>
      <c r="E192" s="21">
        <f>INDEX(Data[],MATCH($A192,Data[Dist],0),MATCH(E$4,Data[#Headers],0))</f>
        <v>96930</v>
      </c>
      <c r="F192" s="21">
        <f>INDEX(Data[],MATCH($A192,Data[Dist],0),MATCH(F$4,Data[#Headers],0))</f>
        <v>93467</v>
      </c>
      <c r="G192" s="21">
        <f>INDEX(Data[],MATCH($A192,Data[Dist],0),MATCH(G$4,Data[#Headers],0))</f>
        <v>468813</v>
      </c>
      <c r="H192" s="21">
        <f>INDEX(Data[],MATCH($A192,Data[Dist],0),MATCH(H$4,Data[#Headers],0))</f>
        <v>6274758</v>
      </c>
      <c r="I192" s="21">
        <f>INDEX(Data[],MATCH($A192,Data[Dist],0),MATCH(I$4,Data[#Headers],0))</f>
        <v>8293392</v>
      </c>
      <c r="J192" s="22"/>
    </row>
    <row r="193" spans="1:10" x14ac:dyDescent="0.2">
      <c r="A193" s="19" t="str">
        <f>Data!B189</f>
        <v>4356</v>
      </c>
      <c r="B193" s="20" t="str">
        <f>INDEX(Data[],MATCH($A193,Data[Dist],0),MATCH(B$4,Data[#Headers],0))</f>
        <v>Missouri Valley</v>
      </c>
      <c r="C193" s="21">
        <f>INDEX(Data[],MATCH($A193,Data[Dist],0),MATCH(C$4,Data[#Headers],0))</f>
        <v>148064</v>
      </c>
      <c r="D193" s="21">
        <f>INDEX(Data[],MATCH($A193,Data[Dist],0),MATCH(D$4,Data[#Headers],0))</f>
        <v>681673</v>
      </c>
      <c r="E193" s="21">
        <f>INDEX(Data[],MATCH($A193,Data[Dist],0),MATCH(E$4,Data[#Headers],0))</f>
        <v>56898</v>
      </c>
      <c r="F193" s="21">
        <f>INDEX(Data[],MATCH($A193,Data[Dist],0),MATCH(F$4,Data[#Headers],0))</f>
        <v>48753</v>
      </c>
      <c r="G193" s="21">
        <f>INDEX(Data[],MATCH($A193,Data[Dist],0),MATCH(G$4,Data[#Headers],0))</f>
        <v>281041</v>
      </c>
      <c r="H193" s="21">
        <f>INDEX(Data[],MATCH($A193,Data[Dist],0),MATCH(H$4,Data[#Headers],0))</f>
        <v>4005117</v>
      </c>
      <c r="I193" s="21">
        <f>INDEX(Data[],MATCH($A193,Data[Dist],0),MATCH(I$4,Data[#Headers],0))</f>
        <v>5221546</v>
      </c>
      <c r="J193" s="22"/>
    </row>
    <row r="194" spans="1:10" x14ac:dyDescent="0.2">
      <c r="A194" s="19" t="str">
        <f>Data!B190</f>
        <v>4419</v>
      </c>
      <c r="B194" s="20" t="str">
        <f>INDEX(Data[],MATCH($A194,Data[Dist],0),MATCH(B$4,Data[#Headers],0))</f>
        <v>MFL Mar Mac</v>
      </c>
      <c r="C194" s="21">
        <f>INDEX(Data[],MATCH($A194,Data[Dist],0),MATCH(C$4,Data[#Headers],0))</f>
        <v>148064</v>
      </c>
      <c r="D194" s="21">
        <f>INDEX(Data[],MATCH($A194,Data[Dist],0),MATCH(D$4,Data[#Headers],0))</f>
        <v>724646</v>
      </c>
      <c r="E194" s="21">
        <f>INDEX(Data[],MATCH($A194,Data[Dist],0),MATCH(E$4,Data[#Headers],0))</f>
        <v>69067</v>
      </c>
      <c r="F194" s="21">
        <f>INDEX(Data[],MATCH($A194,Data[Dist],0),MATCH(F$4,Data[#Headers],0))</f>
        <v>67475</v>
      </c>
      <c r="G194" s="21">
        <f>INDEX(Data[],MATCH($A194,Data[Dist],0),MATCH(G$4,Data[#Headers],0))</f>
        <v>308349</v>
      </c>
      <c r="H194" s="21">
        <f>INDEX(Data[],MATCH($A194,Data[Dist],0),MATCH(H$4,Data[#Headers],0))</f>
        <v>4994896</v>
      </c>
      <c r="I194" s="21">
        <f>INDEX(Data[],MATCH($A194,Data[Dist],0),MATCH(I$4,Data[#Headers],0))</f>
        <v>6312497</v>
      </c>
      <c r="J194" s="22"/>
    </row>
    <row r="195" spans="1:10" x14ac:dyDescent="0.2">
      <c r="A195" s="19" t="str">
        <f>Data!B191</f>
        <v>4437</v>
      </c>
      <c r="B195" s="20" t="str">
        <f>INDEX(Data[],MATCH($A195,Data[Dist],0),MATCH(B$4,Data[#Headers],0))</f>
        <v>Montezuma</v>
      </c>
      <c r="C195" s="21">
        <f>INDEX(Data[],MATCH($A195,Data[Dist],0),MATCH(C$4,Data[#Headers],0))</f>
        <v>77928</v>
      </c>
      <c r="D195" s="21">
        <f>INDEX(Data[],MATCH($A195,Data[Dist],0),MATCH(D$4,Data[#Headers],0))</f>
        <v>498080</v>
      </c>
      <c r="E195" s="21">
        <f>INDEX(Data[],MATCH($A195,Data[Dist],0),MATCH(E$4,Data[#Headers],0))</f>
        <v>38145</v>
      </c>
      <c r="F195" s="21">
        <f>INDEX(Data[],MATCH($A195,Data[Dist],0),MATCH(F$4,Data[#Headers],0))</f>
        <v>29782</v>
      </c>
      <c r="G195" s="21">
        <f>INDEX(Data[],MATCH($A195,Data[Dist],0),MATCH(G$4,Data[#Headers],0))</f>
        <v>175914</v>
      </c>
      <c r="H195" s="21">
        <f>INDEX(Data[],MATCH($A195,Data[Dist],0),MATCH(H$4,Data[#Headers],0))</f>
        <v>1392640</v>
      </c>
      <c r="I195" s="21">
        <f>INDEX(Data[],MATCH($A195,Data[Dist],0),MATCH(I$4,Data[#Headers],0))</f>
        <v>2212489</v>
      </c>
      <c r="J195" s="22"/>
    </row>
    <row r="196" spans="1:10" x14ac:dyDescent="0.2">
      <c r="A196" s="19" t="str">
        <f>Data!B192</f>
        <v>4446</v>
      </c>
      <c r="B196" s="20" t="str">
        <f>INDEX(Data[],MATCH($A196,Data[Dist],0),MATCH(B$4,Data[#Headers],0))</f>
        <v>Monticello</v>
      </c>
      <c r="C196" s="21">
        <f>INDEX(Data[],MATCH($A196,Data[Dist],0),MATCH(C$4,Data[#Headers],0))</f>
        <v>229888</v>
      </c>
      <c r="D196" s="21">
        <f>INDEX(Data[],MATCH($A196,Data[Dist],0),MATCH(D$4,Data[#Headers],0))</f>
        <v>875973</v>
      </c>
      <c r="E196" s="21">
        <f>INDEX(Data[],MATCH($A196,Data[Dist],0),MATCH(E$4,Data[#Headers],0))</f>
        <v>72935</v>
      </c>
      <c r="F196" s="21">
        <f>INDEX(Data[],MATCH($A196,Data[Dist],0),MATCH(F$4,Data[#Headers],0))</f>
        <v>67348</v>
      </c>
      <c r="G196" s="21">
        <f>INDEX(Data[],MATCH($A196,Data[Dist],0),MATCH(G$4,Data[#Headers],0))</f>
        <v>376833</v>
      </c>
      <c r="H196" s="21">
        <f>INDEX(Data[],MATCH($A196,Data[Dist],0),MATCH(H$4,Data[#Headers],0))</f>
        <v>5440304</v>
      </c>
      <c r="I196" s="21">
        <f>INDEX(Data[],MATCH($A196,Data[Dist],0),MATCH(I$4,Data[#Headers],0))</f>
        <v>7063281</v>
      </c>
      <c r="J196" s="22"/>
    </row>
    <row r="197" spans="1:10" x14ac:dyDescent="0.2">
      <c r="A197" s="19" t="str">
        <f>Data!B193</f>
        <v>4491</v>
      </c>
      <c r="B197" s="20" t="str">
        <f>INDEX(Data[],MATCH($A197,Data[Dist],0),MATCH(B$4,Data[#Headers],0))</f>
        <v>Moravia</v>
      </c>
      <c r="C197" s="21">
        <f>INDEX(Data[],MATCH($A197,Data[Dist],0),MATCH(C$4,Data[#Headers],0))</f>
        <v>89618</v>
      </c>
      <c r="D197" s="21">
        <f>INDEX(Data[],MATCH($A197,Data[Dist],0),MATCH(D$4,Data[#Headers],0))</f>
        <v>446187</v>
      </c>
      <c r="E197" s="21">
        <f>INDEX(Data[],MATCH($A197,Data[Dist],0),MATCH(E$4,Data[#Headers],0))</f>
        <v>32059</v>
      </c>
      <c r="F197" s="21">
        <f>INDEX(Data[],MATCH($A197,Data[Dist],0),MATCH(F$4,Data[#Headers],0))</f>
        <v>28877</v>
      </c>
      <c r="G197" s="21">
        <f>INDEX(Data[],MATCH($A197,Data[Dist],0),MATCH(G$4,Data[#Headers],0))</f>
        <v>127327</v>
      </c>
      <c r="H197" s="21">
        <f>INDEX(Data[],MATCH($A197,Data[Dist],0),MATCH(H$4,Data[#Headers],0))</f>
        <v>1839124</v>
      </c>
      <c r="I197" s="21">
        <f>INDEX(Data[],MATCH($A197,Data[Dist],0),MATCH(I$4,Data[#Headers],0))</f>
        <v>2563192</v>
      </c>
      <c r="J197" s="22"/>
    </row>
    <row r="198" spans="1:10" x14ac:dyDescent="0.2">
      <c r="A198" s="19" t="str">
        <f>Data!B194</f>
        <v>4505</v>
      </c>
      <c r="B198" s="20" t="str">
        <f>INDEX(Data[],MATCH($A198,Data[Dist],0),MATCH(B$4,Data[#Headers],0))</f>
        <v>Mormon Trail</v>
      </c>
      <c r="C198" s="21">
        <f>INDEX(Data[],MATCH($A198,Data[Dist],0),MATCH(C$4,Data[#Headers],0))</f>
        <v>23378</v>
      </c>
      <c r="D198" s="21">
        <f>INDEX(Data[],MATCH($A198,Data[Dist],0),MATCH(D$4,Data[#Headers],0))</f>
        <v>381127</v>
      </c>
      <c r="E198" s="21">
        <f>INDEX(Data[],MATCH($A198,Data[Dist],0),MATCH(E$4,Data[#Headers],0))</f>
        <v>17874</v>
      </c>
      <c r="F198" s="21">
        <f>INDEX(Data[],MATCH($A198,Data[Dist],0),MATCH(F$4,Data[#Headers],0))</f>
        <v>14351</v>
      </c>
      <c r="G198" s="21">
        <f>INDEX(Data[],MATCH($A198,Data[Dist],0),MATCH(G$4,Data[#Headers],0))</f>
        <v>83594</v>
      </c>
      <c r="H198" s="21">
        <f>INDEX(Data[],MATCH($A198,Data[Dist],0),MATCH(H$4,Data[#Headers],0))</f>
        <v>1394235</v>
      </c>
      <c r="I198" s="21">
        <f>INDEX(Data[],MATCH($A198,Data[Dist],0),MATCH(I$4,Data[#Headers],0))</f>
        <v>1914559</v>
      </c>
      <c r="J198" s="22"/>
    </row>
    <row r="199" spans="1:10" x14ac:dyDescent="0.2">
      <c r="A199" s="19" t="str">
        <f>Data!B195</f>
        <v>4509</v>
      </c>
      <c r="B199" s="20" t="str">
        <f>INDEX(Data[],MATCH($A199,Data[Dist],0),MATCH(B$4,Data[#Headers],0))</f>
        <v>Morning Sun</v>
      </c>
      <c r="C199" s="21">
        <f>INDEX(Data[],MATCH($A199,Data[Dist],0),MATCH(C$4,Data[#Headers],0))</f>
        <v>42861</v>
      </c>
      <c r="D199" s="21">
        <f>INDEX(Data[],MATCH($A199,Data[Dist],0),MATCH(D$4,Data[#Headers],0))</f>
        <v>239644</v>
      </c>
      <c r="E199" s="21">
        <f>INDEX(Data[],MATCH($A199,Data[Dist],0),MATCH(E$4,Data[#Headers],0))</f>
        <v>19556</v>
      </c>
      <c r="F199" s="21">
        <f>INDEX(Data[],MATCH($A199,Data[Dist],0),MATCH(F$4,Data[#Headers],0))</f>
        <v>15056</v>
      </c>
      <c r="G199" s="21">
        <f>INDEX(Data[],MATCH($A199,Data[Dist],0),MATCH(G$4,Data[#Headers],0))</f>
        <v>75170</v>
      </c>
      <c r="H199" s="21">
        <f>INDEX(Data[],MATCH($A199,Data[Dist],0),MATCH(H$4,Data[#Headers],0))</f>
        <v>1292148</v>
      </c>
      <c r="I199" s="21">
        <f>INDEX(Data[],MATCH($A199,Data[Dist],0),MATCH(I$4,Data[#Headers],0))</f>
        <v>1684435</v>
      </c>
      <c r="J199" s="22"/>
    </row>
    <row r="200" spans="1:10" x14ac:dyDescent="0.2">
      <c r="A200" s="19" t="str">
        <f>Data!B196</f>
        <v>4518</v>
      </c>
      <c r="B200" s="20" t="str">
        <f>INDEX(Data[],MATCH($A200,Data[Dist],0),MATCH(B$4,Data[#Headers],0))</f>
        <v>Moulton-Udell</v>
      </c>
      <c r="C200" s="21">
        <f>INDEX(Data[],MATCH($A200,Data[Dist],0),MATCH(C$4,Data[#Headers],0))</f>
        <v>42861</v>
      </c>
      <c r="D200" s="21">
        <f>INDEX(Data[],MATCH($A200,Data[Dist],0),MATCH(D$4,Data[#Headers],0))</f>
        <v>278685</v>
      </c>
      <c r="E200" s="21">
        <f>INDEX(Data[],MATCH($A200,Data[Dist],0),MATCH(E$4,Data[#Headers],0))</f>
        <v>16761</v>
      </c>
      <c r="F200" s="21">
        <f>INDEX(Data[],MATCH($A200,Data[Dist],0),MATCH(F$4,Data[#Headers],0))</f>
        <v>14980</v>
      </c>
      <c r="G200" s="21">
        <f>INDEX(Data[],MATCH($A200,Data[Dist],0),MATCH(G$4,Data[#Headers],0))</f>
        <v>73508</v>
      </c>
      <c r="H200" s="21">
        <f>INDEX(Data[],MATCH($A200,Data[Dist],0),MATCH(H$4,Data[#Headers],0))</f>
        <v>1121672</v>
      </c>
      <c r="I200" s="21">
        <f>INDEX(Data[],MATCH($A200,Data[Dist],0),MATCH(I$4,Data[#Headers],0))</f>
        <v>1548467</v>
      </c>
      <c r="J200" s="22"/>
    </row>
    <row r="201" spans="1:10" x14ac:dyDescent="0.2">
      <c r="A201" s="19" t="str">
        <f>Data!B197</f>
        <v>4527</v>
      </c>
      <c r="B201" s="20" t="str">
        <f>INDEX(Data[],MATCH($A201,Data[Dist],0),MATCH(B$4,Data[#Headers],0))</f>
        <v>Mount Ayr</v>
      </c>
      <c r="C201" s="21">
        <f>INDEX(Data[],MATCH($A201,Data[Dist],0),MATCH(C$4,Data[#Headers],0))</f>
        <v>151960</v>
      </c>
      <c r="D201" s="21">
        <f>INDEX(Data[],MATCH($A201,Data[Dist],0),MATCH(D$4,Data[#Headers],0))</f>
        <v>617758</v>
      </c>
      <c r="E201" s="21">
        <f>INDEX(Data[],MATCH($A201,Data[Dist],0),MATCH(E$4,Data[#Headers],0))</f>
        <v>52354</v>
      </c>
      <c r="F201" s="21">
        <f>INDEX(Data[],MATCH($A201,Data[Dist],0),MATCH(F$4,Data[#Headers],0))</f>
        <v>55226</v>
      </c>
      <c r="G201" s="21">
        <f>INDEX(Data[],MATCH($A201,Data[Dist],0),MATCH(G$4,Data[#Headers],0))</f>
        <v>226040</v>
      </c>
      <c r="H201" s="21">
        <f>INDEX(Data[],MATCH($A201,Data[Dist],0),MATCH(H$4,Data[#Headers],0))</f>
        <v>3068820</v>
      </c>
      <c r="I201" s="21">
        <f>INDEX(Data[],MATCH($A201,Data[Dist],0),MATCH(I$4,Data[#Headers],0))</f>
        <v>4172158</v>
      </c>
      <c r="J201" s="22"/>
    </row>
    <row r="202" spans="1:10" x14ac:dyDescent="0.2">
      <c r="A202" s="19" t="str">
        <f>Data!B198</f>
        <v>4536</v>
      </c>
      <c r="B202" s="20" t="str">
        <f>INDEX(Data[],MATCH($A202,Data[Dist],0),MATCH(B$4,Data[#Headers],0))</f>
        <v>Mount Pleasant</v>
      </c>
      <c r="C202" s="21">
        <f>INDEX(Data[],MATCH($A202,Data[Dist],0),MATCH(C$4,Data[#Headers],0))</f>
        <v>331195</v>
      </c>
      <c r="D202" s="21">
        <f>INDEX(Data[],MATCH($A202,Data[Dist],0),MATCH(D$4,Data[#Headers],0))</f>
        <v>1288729</v>
      </c>
      <c r="E202" s="21">
        <f>INDEX(Data[],MATCH($A202,Data[Dist],0),MATCH(E$4,Data[#Headers],0))</f>
        <v>152688</v>
      </c>
      <c r="F202" s="21">
        <f>INDEX(Data[],MATCH($A202,Data[Dist],0),MATCH(F$4,Data[#Headers],0))</f>
        <v>137188</v>
      </c>
      <c r="G202" s="21">
        <f>INDEX(Data[],MATCH($A202,Data[Dist],0),MATCH(G$4,Data[#Headers],0))</f>
        <v>660369</v>
      </c>
      <c r="H202" s="21">
        <f>INDEX(Data[],MATCH($A202,Data[Dist],0),MATCH(H$4,Data[#Headers],0))</f>
        <v>10685214</v>
      </c>
      <c r="I202" s="21">
        <f>INDEX(Data[],MATCH($A202,Data[Dist],0),MATCH(I$4,Data[#Headers],0))</f>
        <v>13255383</v>
      </c>
      <c r="J202" s="22"/>
    </row>
    <row r="203" spans="1:10" x14ac:dyDescent="0.2">
      <c r="A203" s="19" t="str">
        <f>Data!B199</f>
        <v>4554</v>
      </c>
      <c r="B203" s="20" t="str">
        <f>INDEX(Data[],MATCH($A203,Data[Dist],0),MATCH(B$4,Data[#Headers],0))</f>
        <v>Mount Vernon</v>
      </c>
      <c r="C203" s="21">
        <f>INDEX(Data[],MATCH($A203,Data[Dist],0),MATCH(C$4,Data[#Headers],0))</f>
        <v>229888</v>
      </c>
      <c r="D203" s="21">
        <f>INDEX(Data[],MATCH($A203,Data[Dist],0),MATCH(D$4,Data[#Headers],0))</f>
        <v>887390</v>
      </c>
      <c r="E203" s="21">
        <f>INDEX(Data[],MATCH($A203,Data[Dist],0),MATCH(E$4,Data[#Headers],0))</f>
        <v>92158</v>
      </c>
      <c r="F203" s="21">
        <f>INDEX(Data[],MATCH($A203,Data[Dist],0),MATCH(F$4,Data[#Headers],0))</f>
        <v>84786</v>
      </c>
      <c r="G203" s="21">
        <f>INDEX(Data[],MATCH($A203,Data[Dist],0),MATCH(G$4,Data[#Headers],0))</f>
        <v>418763</v>
      </c>
      <c r="H203" s="21">
        <f>INDEX(Data[],MATCH($A203,Data[Dist],0),MATCH(H$4,Data[#Headers],0))</f>
        <v>6446461</v>
      </c>
      <c r="I203" s="21">
        <f>INDEX(Data[],MATCH($A203,Data[Dist],0),MATCH(I$4,Data[#Headers],0))</f>
        <v>8159446</v>
      </c>
      <c r="J203" s="22"/>
    </row>
    <row r="204" spans="1:10" x14ac:dyDescent="0.2">
      <c r="A204" s="19" t="str">
        <f>Data!B200</f>
        <v>4572</v>
      </c>
      <c r="B204" s="20" t="str">
        <f>INDEX(Data[],MATCH($A204,Data[Dist],0),MATCH(B$4,Data[#Headers],0))</f>
        <v>Murray</v>
      </c>
      <c r="C204" s="21">
        <f>INDEX(Data[],MATCH($A204,Data[Dist],0),MATCH(C$4,Data[#Headers],0))</f>
        <v>97410</v>
      </c>
      <c r="D204" s="21">
        <f>INDEX(Data[],MATCH($A204,Data[Dist],0),MATCH(D$4,Data[#Headers],0))</f>
        <v>310026</v>
      </c>
      <c r="E204" s="21">
        <f>INDEX(Data[],MATCH($A204,Data[Dist],0),MATCH(E$4,Data[#Headers],0))</f>
        <v>20929</v>
      </c>
      <c r="F204" s="21">
        <f>INDEX(Data[],MATCH($A204,Data[Dist],0),MATCH(F$4,Data[#Headers],0))</f>
        <v>17343</v>
      </c>
      <c r="G204" s="21">
        <f>INDEX(Data[],MATCH($A204,Data[Dist],0),MATCH(G$4,Data[#Headers],0))</f>
        <v>83254</v>
      </c>
      <c r="H204" s="21">
        <f>INDEX(Data[],MATCH($A204,Data[Dist],0),MATCH(H$4,Data[#Headers],0))</f>
        <v>1504391</v>
      </c>
      <c r="I204" s="21">
        <f>INDEX(Data[],MATCH($A204,Data[Dist],0),MATCH(I$4,Data[#Headers],0))</f>
        <v>2033353</v>
      </c>
      <c r="J204" s="22"/>
    </row>
    <row r="205" spans="1:10" x14ac:dyDescent="0.2">
      <c r="A205" s="19" t="str">
        <f>Data!B201</f>
        <v>4581</v>
      </c>
      <c r="B205" s="20" t="str">
        <f>INDEX(Data[],MATCH($A205,Data[Dist],0),MATCH(B$4,Data[#Headers],0))</f>
        <v>Muscatine</v>
      </c>
      <c r="C205" s="21">
        <f>INDEX(Data[],MATCH($A205,Data[Dist],0),MATCH(C$4,Data[#Headers],0))</f>
        <v>935140</v>
      </c>
      <c r="D205" s="21">
        <f>INDEX(Data[],MATCH($A205,Data[Dist],0),MATCH(D$4,Data[#Headers],0))</f>
        <v>3433370</v>
      </c>
      <c r="E205" s="21">
        <f>INDEX(Data[],MATCH($A205,Data[Dist],0),MATCH(E$4,Data[#Headers],0))</f>
        <v>397243</v>
      </c>
      <c r="F205" s="21">
        <f>INDEX(Data[],MATCH($A205,Data[Dist],0),MATCH(F$4,Data[#Headers],0))</f>
        <v>329178</v>
      </c>
      <c r="G205" s="21">
        <f>INDEX(Data[],MATCH($A205,Data[Dist],0),MATCH(G$4,Data[#Headers],0))</f>
        <v>1718641</v>
      </c>
      <c r="H205" s="21">
        <f>INDEX(Data[],MATCH($A205,Data[Dist],0),MATCH(H$4,Data[#Headers],0))</f>
        <v>28507492</v>
      </c>
      <c r="I205" s="21">
        <f>INDEX(Data[],MATCH($A205,Data[Dist],0),MATCH(I$4,Data[#Headers],0))</f>
        <v>35321064</v>
      </c>
      <c r="J205" s="22"/>
    </row>
    <row r="206" spans="1:10" x14ac:dyDescent="0.2">
      <c r="A206" s="19" t="str">
        <f>Data!B202</f>
        <v>4599</v>
      </c>
      <c r="B206" s="20" t="str">
        <f>INDEX(Data[],MATCH($A206,Data[Dist],0),MATCH(B$4,Data[#Headers],0))</f>
        <v>Nashua-Plainfield</v>
      </c>
      <c r="C206" s="21">
        <f>INDEX(Data[],MATCH($A206,Data[Dist],0),MATCH(C$4,Data[#Headers],0))</f>
        <v>132478</v>
      </c>
      <c r="D206" s="21">
        <f>INDEX(Data[],MATCH($A206,Data[Dist],0),MATCH(D$4,Data[#Headers],0))</f>
        <v>550496</v>
      </c>
      <c r="E206" s="21">
        <f>INDEX(Data[],MATCH($A206,Data[Dist],0),MATCH(E$4,Data[#Headers],0))</f>
        <v>40672</v>
      </c>
      <c r="F206" s="21">
        <f>INDEX(Data[],MATCH($A206,Data[Dist],0),MATCH(F$4,Data[#Headers],0))</f>
        <v>44823</v>
      </c>
      <c r="G206" s="21">
        <f>INDEX(Data[],MATCH($A206,Data[Dist],0),MATCH(G$4,Data[#Headers],0))</f>
        <v>226568</v>
      </c>
      <c r="H206" s="21">
        <f>INDEX(Data[],MATCH($A206,Data[Dist],0),MATCH(H$4,Data[#Headers],0))</f>
        <v>3214257</v>
      </c>
      <c r="I206" s="21">
        <f>INDEX(Data[],MATCH($A206,Data[Dist],0),MATCH(I$4,Data[#Headers],0))</f>
        <v>4209294</v>
      </c>
      <c r="J206" s="22"/>
    </row>
    <row r="207" spans="1:10" x14ac:dyDescent="0.2">
      <c r="A207" s="19" t="str">
        <f>Data!B203</f>
        <v>4617</v>
      </c>
      <c r="B207" s="20" t="str">
        <f>INDEX(Data[],MATCH($A207,Data[Dist],0),MATCH(B$4,Data[#Headers],0))</f>
        <v>Nevada</v>
      </c>
      <c r="C207" s="21">
        <f>INDEX(Data[],MATCH($A207,Data[Dist],0),MATCH(C$4,Data[#Headers],0))</f>
        <v>362367</v>
      </c>
      <c r="D207" s="21">
        <f>INDEX(Data[],MATCH($A207,Data[Dist],0),MATCH(D$4,Data[#Headers],0))</f>
        <v>1116562</v>
      </c>
      <c r="E207" s="21">
        <f>INDEX(Data[],MATCH($A207,Data[Dist],0),MATCH(E$4,Data[#Headers],0))</f>
        <v>125248</v>
      </c>
      <c r="F207" s="21">
        <f>INDEX(Data[],MATCH($A207,Data[Dist],0),MATCH(F$4,Data[#Headers],0))</f>
        <v>111941</v>
      </c>
      <c r="G207" s="21">
        <f>INDEX(Data[],MATCH($A207,Data[Dist],0),MATCH(G$4,Data[#Headers],0))</f>
        <v>526910</v>
      </c>
      <c r="H207" s="21">
        <f>INDEX(Data[],MATCH($A207,Data[Dist],0),MATCH(H$4,Data[#Headers],0))</f>
        <v>7968013</v>
      </c>
      <c r="I207" s="21">
        <f>INDEX(Data[],MATCH($A207,Data[Dist],0),MATCH(I$4,Data[#Headers],0))</f>
        <v>10211041</v>
      </c>
      <c r="J207" s="22"/>
    </row>
    <row r="208" spans="1:10" x14ac:dyDescent="0.2">
      <c r="A208" s="19" t="str">
        <f>Data!B204</f>
        <v>4644</v>
      </c>
      <c r="B208" s="20" t="str">
        <f>INDEX(Data[],MATCH($A208,Data[Dist],0),MATCH(B$4,Data[#Headers],0))</f>
        <v>Newell-Fonda</v>
      </c>
      <c r="C208" s="21">
        <f>INDEX(Data[],MATCH($A208,Data[Dist],0),MATCH(C$4,Data[#Headers],0))</f>
        <v>112996</v>
      </c>
      <c r="D208" s="21">
        <f>INDEX(Data[],MATCH($A208,Data[Dist],0),MATCH(D$4,Data[#Headers],0))</f>
        <v>512840</v>
      </c>
      <c r="E208" s="21">
        <f>INDEX(Data[],MATCH($A208,Data[Dist],0),MATCH(E$4,Data[#Headers],0))</f>
        <v>42196</v>
      </c>
      <c r="F208" s="21">
        <f>INDEX(Data[],MATCH($A208,Data[Dist],0),MATCH(F$4,Data[#Headers],0))</f>
        <v>35467</v>
      </c>
      <c r="G208" s="21">
        <f>INDEX(Data[],MATCH($A208,Data[Dist],0),MATCH(G$4,Data[#Headers],0))</f>
        <v>182754</v>
      </c>
      <c r="H208" s="21">
        <f>INDEX(Data[],MATCH($A208,Data[Dist],0),MATCH(H$4,Data[#Headers],0))</f>
        <v>2124209</v>
      </c>
      <c r="I208" s="21">
        <f>INDEX(Data[],MATCH($A208,Data[Dist],0),MATCH(I$4,Data[#Headers],0))</f>
        <v>3010462</v>
      </c>
      <c r="J208" s="22"/>
    </row>
    <row r="209" spans="1:10" x14ac:dyDescent="0.2">
      <c r="A209" s="19" t="str">
        <f>Data!B205</f>
        <v>4662</v>
      </c>
      <c r="B209" s="20" t="str">
        <f>INDEX(Data[],MATCH($A209,Data[Dist],0),MATCH(B$4,Data[#Headers],0))</f>
        <v>New Hampton</v>
      </c>
      <c r="C209" s="21">
        <f>INDEX(Data[],MATCH($A209,Data[Dist],0),MATCH(C$4,Data[#Headers],0))</f>
        <v>264956</v>
      </c>
      <c r="D209" s="21">
        <f>INDEX(Data[],MATCH($A209,Data[Dist],0),MATCH(D$4,Data[#Headers],0))</f>
        <v>844811</v>
      </c>
      <c r="E209" s="21">
        <f>INDEX(Data[],MATCH($A209,Data[Dist],0),MATCH(E$4,Data[#Headers],0))</f>
        <v>64477</v>
      </c>
      <c r="F209" s="21">
        <f>INDEX(Data[],MATCH($A209,Data[Dist],0),MATCH(F$4,Data[#Headers],0))</f>
        <v>75375</v>
      </c>
      <c r="G209" s="21">
        <f>INDEX(Data[],MATCH($A209,Data[Dist],0),MATCH(G$4,Data[#Headers],0))</f>
        <v>378722</v>
      </c>
      <c r="H209" s="21">
        <f>INDEX(Data[],MATCH($A209,Data[Dist],0),MATCH(H$4,Data[#Headers],0))</f>
        <v>4776583</v>
      </c>
      <c r="I209" s="21">
        <f>INDEX(Data[],MATCH($A209,Data[Dist],0),MATCH(I$4,Data[#Headers],0))</f>
        <v>6404924</v>
      </c>
      <c r="J209" s="22"/>
    </row>
    <row r="210" spans="1:10" x14ac:dyDescent="0.2">
      <c r="A210" s="19" t="str">
        <f>Data!B206</f>
        <v>4689</v>
      </c>
      <c r="B210" s="20" t="str">
        <f>INDEX(Data[],MATCH($A210,Data[Dist],0),MATCH(B$4,Data[#Headers],0))</f>
        <v>New London</v>
      </c>
      <c r="C210" s="21">
        <f>INDEX(Data[],MATCH($A210,Data[Dist],0),MATCH(C$4,Data[#Headers],0))</f>
        <v>124685</v>
      </c>
      <c r="D210" s="21">
        <f>INDEX(Data[],MATCH($A210,Data[Dist],0),MATCH(D$4,Data[#Headers],0))</f>
        <v>489279</v>
      </c>
      <c r="E210" s="21">
        <f>INDEX(Data[],MATCH($A210,Data[Dist],0),MATCH(E$4,Data[#Headers],0))</f>
        <v>44173</v>
      </c>
      <c r="F210" s="21">
        <f>INDEX(Data[],MATCH($A210,Data[Dist],0),MATCH(F$4,Data[#Headers],0))</f>
        <v>39231</v>
      </c>
      <c r="G210" s="21">
        <f>INDEX(Data[],MATCH($A210,Data[Dist],0),MATCH(G$4,Data[#Headers],0))</f>
        <v>201373</v>
      </c>
      <c r="H210" s="21">
        <f>INDEX(Data[],MATCH($A210,Data[Dist],0),MATCH(H$4,Data[#Headers],0))</f>
        <v>3646747</v>
      </c>
      <c r="I210" s="21">
        <f>INDEX(Data[],MATCH($A210,Data[Dist],0),MATCH(I$4,Data[#Headers],0))</f>
        <v>4545488</v>
      </c>
      <c r="J210" s="22"/>
    </row>
    <row r="211" spans="1:10" x14ac:dyDescent="0.2">
      <c r="A211" s="19" t="str">
        <f>Data!B207</f>
        <v>4725</v>
      </c>
      <c r="B211" s="20" t="str">
        <f>INDEX(Data[],MATCH($A211,Data[Dist],0),MATCH(B$4,Data[#Headers],0))</f>
        <v>Newton</v>
      </c>
      <c r="C211" s="21">
        <f>INDEX(Data[],MATCH($A211,Data[Dist],0),MATCH(C$4,Data[#Headers],0))</f>
        <v>409124</v>
      </c>
      <c r="D211" s="21">
        <f>INDEX(Data[],MATCH($A211,Data[Dist],0),MATCH(D$4,Data[#Headers],0))</f>
        <v>2176298</v>
      </c>
      <c r="E211" s="21">
        <f>INDEX(Data[],MATCH($A211,Data[Dist],0),MATCH(E$4,Data[#Headers],0))</f>
        <v>254433</v>
      </c>
      <c r="F211" s="21">
        <f>INDEX(Data[],MATCH($A211,Data[Dist],0),MATCH(F$4,Data[#Headers],0))</f>
        <v>219499</v>
      </c>
      <c r="G211" s="21">
        <f>INDEX(Data[],MATCH($A211,Data[Dist],0),MATCH(G$4,Data[#Headers],0))</f>
        <v>1125930</v>
      </c>
      <c r="H211" s="21">
        <f>INDEX(Data[],MATCH($A211,Data[Dist],0),MATCH(H$4,Data[#Headers],0))</f>
        <v>19952827</v>
      </c>
      <c r="I211" s="21">
        <f>INDEX(Data[],MATCH($A211,Data[Dist],0),MATCH(I$4,Data[#Headers],0))</f>
        <v>24138111</v>
      </c>
      <c r="J211" s="22"/>
    </row>
    <row r="212" spans="1:10" x14ac:dyDescent="0.2">
      <c r="A212" s="19" t="str">
        <f>Data!B208</f>
        <v>4772</v>
      </c>
      <c r="B212" s="20" t="str">
        <f>INDEX(Data[],MATCH($A212,Data[Dist],0),MATCH(B$4,Data[#Headers],0))</f>
        <v>Central Springs</v>
      </c>
      <c r="C212" s="21">
        <f>INDEX(Data[],MATCH($A212,Data[Dist],0),MATCH(C$4,Data[#Headers],0))</f>
        <v>136375</v>
      </c>
      <c r="D212" s="21">
        <f>INDEX(Data[],MATCH($A212,Data[Dist],0),MATCH(D$4,Data[#Headers],0))</f>
        <v>762644</v>
      </c>
      <c r="E212" s="21">
        <f>INDEX(Data[],MATCH($A212,Data[Dist],0),MATCH(E$4,Data[#Headers],0))</f>
        <v>59631</v>
      </c>
      <c r="F212" s="21">
        <f>INDEX(Data[],MATCH($A212,Data[Dist],0),MATCH(F$4,Data[#Headers],0))</f>
        <v>63624</v>
      </c>
      <c r="G212" s="21">
        <f>INDEX(Data[],MATCH($A212,Data[Dist],0),MATCH(G$4,Data[#Headers],0))</f>
        <v>304761</v>
      </c>
      <c r="H212" s="21">
        <f>INDEX(Data[],MATCH($A212,Data[Dist],0),MATCH(H$4,Data[#Headers],0))</f>
        <v>3913069</v>
      </c>
      <c r="I212" s="21">
        <f>INDEX(Data[],MATCH($A212,Data[Dist],0),MATCH(I$4,Data[#Headers],0))</f>
        <v>5240104</v>
      </c>
      <c r="J212" s="22"/>
    </row>
    <row r="213" spans="1:10" x14ac:dyDescent="0.2">
      <c r="A213" s="19" t="str">
        <f>Data!B209</f>
        <v>4773</v>
      </c>
      <c r="B213" s="20" t="str">
        <f>INDEX(Data[],MATCH($A213,Data[Dist],0),MATCH(B$4,Data[#Headers],0))</f>
        <v>Northeast</v>
      </c>
      <c r="C213" s="21">
        <f>INDEX(Data[],MATCH($A213,Data[Dist],0),MATCH(C$4,Data[#Headers],0))</f>
        <v>148064</v>
      </c>
      <c r="D213" s="21">
        <f>INDEX(Data[],MATCH($A213,Data[Dist],0),MATCH(D$4,Data[#Headers],0))</f>
        <v>638909</v>
      </c>
      <c r="E213" s="21">
        <f>INDEX(Data[],MATCH($A213,Data[Dist],0),MATCH(E$4,Data[#Headers],0))</f>
        <v>44890</v>
      </c>
      <c r="F213" s="21">
        <f>INDEX(Data[],MATCH($A213,Data[Dist],0),MATCH(F$4,Data[#Headers],0))</f>
        <v>41812</v>
      </c>
      <c r="G213" s="21">
        <f>INDEX(Data[],MATCH($A213,Data[Dist],0),MATCH(G$4,Data[#Headers],0))</f>
        <v>194215</v>
      </c>
      <c r="H213" s="21">
        <f>INDEX(Data[],MATCH($A213,Data[Dist],0),MATCH(H$4,Data[#Headers],0))</f>
        <v>2707997</v>
      </c>
      <c r="I213" s="21">
        <f>INDEX(Data[],MATCH($A213,Data[Dist],0),MATCH(I$4,Data[#Headers],0))</f>
        <v>3775887</v>
      </c>
      <c r="J213" s="22"/>
    </row>
    <row r="214" spans="1:10" x14ac:dyDescent="0.2">
      <c r="A214" s="19" t="str">
        <f>Data!B210</f>
        <v>4774</v>
      </c>
      <c r="B214" s="20" t="str">
        <f>INDEX(Data[],MATCH($A214,Data[Dist],0),MATCH(B$4,Data[#Headers],0))</f>
        <v>North Fayette Valley</v>
      </c>
      <c r="C214" s="21">
        <f>INDEX(Data[],MATCH($A214,Data[Dist],0),MATCH(C$4,Data[#Headers],0))</f>
        <v>194821</v>
      </c>
      <c r="D214" s="21">
        <f>INDEX(Data[],MATCH($A214,Data[Dist],0),MATCH(D$4,Data[#Headers],0))</f>
        <v>888190</v>
      </c>
      <c r="E214" s="21">
        <f>INDEX(Data[],MATCH($A214,Data[Dist],0),MATCH(E$4,Data[#Headers],0))</f>
        <v>83886</v>
      </c>
      <c r="F214" s="21">
        <f>INDEX(Data[],MATCH($A214,Data[Dist],0),MATCH(F$4,Data[#Headers],0))</f>
        <v>83085</v>
      </c>
      <c r="G214" s="21">
        <f>INDEX(Data[],MATCH($A214,Data[Dist],0),MATCH(G$4,Data[#Headers],0))</f>
        <v>419387</v>
      </c>
      <c r="H214" s="21">
        <f>INDEX(Data[],MATCH($A214,Data[Dist],0),MATCH(H$4,Data[#Headers],0))</f>
        <v>6601994</v>
      </c>
      <c r="I214" s="21">
        <f>INDEX(Data[],MATCH($A214,Data[Dist],0),MATCH(I$4,Data[#Headers],0))</f>
        <v>8271363</v>
      </c>
      <c r="J214" s="22"/>
    </row>
    <row r="215" spans="1:10" x14ac:dyDescent="0.2">
      <c r="A215" s="19" t="str">
        <f>Data!B211</f>
        <v>4776</v>
      </c>
      <c r="B215" s="20" t="str">
        <f>INDEX(Data[],MATCH($A215,Data[Dist],0),MATCH(B$4,Data[#Headers],0))</f>
        <v>North Mahaska</v>
      </c>
      <c r="C215" s="21">
        <f>INDEX(Data[],MATCH($A215,Data[Dist],0),MATCH(C$4,Data[#Headers],0))</f>
        <v>144167</v>
      </c>
      <c r="D215" s="21">
        <f>INDEX(Data[],MATCH($A215,Data[Dist],0),MATCH(D$4,Data[#Headers],0))</f>
        <v>627563</v>
      </c>
      <c r="E215" s="21">
        <f>INDEX(Data[],MATCH($A215,Data[Dist],0),MATCH(E$4,Data[#Headers],0))</f>
        <v>43266</v>
      </c>
      <c r="F215" s="21">
        <f>INDEX(Data[],MATCH($A215,Data[Dist],0),MATCH(F$4,Data[#Headers],0))</f>
        <v>37312</v>
      </c>
      <c r="G215" s="21">
        <f>INDEX(Data[],MATCH($A215,Data[Dist],0),MATCH(G$4,Data[#Headers],0))</f>
        <v>186037</v>
      </c>
      <c r="H215" s="21">
        <f>INDEX(Data[],MATCH($A215,Data[Dist],0),MATCH(H$4,Data[#Headers],0))</f>
        <v>2201724</v>
      </c>
      <c r="I215" s="21">
        <f>INDEX(Data[],MATCH($A215,Data[Dist],0),MATCH(I$4,Data[#Headers],0))</f>
        <v>3240069</v>
      </c>
      <c r="J215" s="22"/>
    </row>
    <row r="216" spans="1:10" x14ac:dyDescent="0.2">
      <c r="A216" s="19" t="str">
        <f>Data!B212</f>
        <v>4777</v>
      </c>
      <c r="B216" s="20" t="str">
        <f>INDEX(Data[],MATCH($A216,Data[Dist],0),MATCH(B$4,Data[#Headers],0))</f>
        <v>North Linn</v>
      </c>
      <c r="C216" s="21">
        <f>INDEX(Data[],MATCH($A216,Data[Dist],0),MATCH(C$4,Data[#Headers],0))</f>
        <v>144167</v>
      </c>
      <c r="D216" s="21">
        <f>INDEX(Data[],MATCH($A216,Data[Dist],0),MATCH(D$4,Data[#Headers],0))</f>
        <v>501302</v>
      </c>
      <c r="E216" s="21">
        <f>INDEX(Data[],MATCH($A216,Data[Dist],0),MATCH(E$4,Data[#Headers],0))</f>
        <v>38551</v>
      </c>
      <c r="F216" s="21">
        <f>INDEX(Data[],MATCH($A216,Data[Dist],0),MATCH(F$4,Data[#Headers],0))</f>
        <v>38168</v>
      </c>
      <c r="G216" s="21">
        <f>INDEX(Data[],MATCH($A216,Data[Dist],0),MATCH(G$4,Data[#Headers],0))</f>
        <v>206322</v>
      </c>
      <c r="H216" s="21">
        <f>INDEX(Data[],MATCH($A216,Data[Dist],0),MATCH(H$4,Data[#Headers],0))</f>
        <v>2746132</v>
      </c>
      <c r="I216" s="21">
        <f>INDEX(Data[],MATCH($A216,Data[Dist],0),MATCH(I$4,Data[#Headers],0))</f>
        <v>3674642</v>
      </c>
      <c r="J216" s="22"/>
    </row>
    <row r="217" spans="1:10" x14ac:dyDescent="0.2">
      <c r="A217" s="19" t="str">
        <f>Data!B213</f>
        <v>4778</v>
      </c>
      <c r="B217" s="20" t="str">
        <f>INDEX(Data[],MATCH($A217,Data[Dist],0),MATCH(B$4,Data[#Headers],0))</f>
        <v>North Kossuth</v>
      </c>
      <c r="C217" s="21">
        <f>INDEX(Data[],MATCH($A217,Data[Dist],0),MATCH(C$4,Data[#Headers],0))</f>
        <v>85721</v>
      </c>
      <c r="D217" s="21">
        <f>INDEX(Data[],MATCH($A217,Data[Dist],0),MATCH(D$4,Data[#Headers],0))</f>
        <v>307322</v>
      </c>
      <c r="E217" s="21">
        <f>INDEX(Data[],MATCH($A217,Data[Dist],0),MATCH(E$4,Data[#Headers],0))</f>
        <v>18106</v>
      </c>
      <c r="F217" s="21">
        <f>INDEX(Data[],MATCH($A217,Data[Dist],0),MATCH(F$4,Data[#Headers],0))</f>
        <v>19704</v>
      </c>
      <c r="G217" s="21">
        <f>INDEX(Data[],MATCH($A217,Data[Dist],0),MATCH(G$4,Data[#Headers],0))</f>
        <v>96399</v>
      </c>
      <c r="H217" s="21">
        <f>INDEX(Data[],MATCH($A217,Data[Dist],0),MATCH(H$4,Data[#Headers],0))</f>
        <v>449522</v>
      </c>
      <c r="I217" s="21">
        <f>INDEX(Data[],MATCH($A217,Data[Dist],0),MATCH(I$4,Data[#Headers],0))</f>
        <v>976774</v>
      </c>
      <c r="J217" s="22"/>
    </row>
    <row r="218" spans="1:10" x14ac:dyDescent="0.2">
      <c r="A218" s="19" t="str">
        <f>Data!B214</f>
        <v>4779</v>
      </c>
      <c r="B218" s="20" t="str">
        <f>INDEX(Data[],MATCH($A218,Data[Dist],0),MATCH(B$4,Data[#Headers],0))</f>
        <v>North Polk</v>
      </c>
      <c r="C218" s="21">
        <f>INDEX(Data[],MATCH($A218,Data[Dist],0),MATCH(C$4,Data[#Headers],0))</f>
        <v>389641</v>
      </c>
      <c r="D218" s="21">
        <f>INDEX(Data[],MATCH($A218,Data[Dist],0),MATCH(D$4,Data[#Headers],0))</f>
        <v>1576716</v>
      </c>
      <c r="E218" s="21">
        <f>INDEX(Data[],MATCH($A218,Data[Dist],0),MATCH(E$4,Data[#Headers],0))</f>
        <v>143672</v>
      </c>
      <c r="F218" s="21">
        <f>INDEX(Data[],MATCH($A218,Data[Dist],0),MATCH(F$4,Data[#Headers],0))</f>
        <v>143477</v>
      </c>
      <c r="G218" s="21">
        <f>INDEX(Data[],MATCH($A218,Data[Dist],0),MATCH(G$4,Data[#Headers],0))</f>
        <v>815730</v>
      </c>
      <c r="H218" s="21">
        <f>INDEX(Data[],MATCH($A218,Data[Dist],0),MATCH(H$4,Data[#Headers],0))</f>
        <v>12965732</v>
      </c>
      <c r="I218" s="21">
        <f>INDEX(Data[],MATCH($A218,Data[Dist],0),MATCH(I$4,Data[#Headers],0))</f>
        <v>16034968</v>
      </c>
      <c r="J218" s="22"/>
    </row>
    <row r="219" spans="1:10" x14ac:dyDescent="0.2">
      <c r="A219" s="19" t="str">
        <f>Data!B215</f>
        <v>4784</v>
      </c>
      <c r="B219" s="20" t="str">
        <f>INDEX(Data[],MATCH($A219,Data[Dist],0),MATCH(B$4,Data[#Headers],0))</f>
        <v>North Scott</v>
      </c>
      <c r="C219" s="21">
        <f>INDEX(Data[],MATCH($A219,Data[Dist],0),MATCH(C$4,Data[#Headers],0))</f>
        <v>604102</v>
      </c>
      <c r="D219" s="21">
        <f>INDEX(Data[],MATCH($A219,Data[Dist],0),MATCH(D$4,Data[#Headers],0))</f>
        <v>2219011</v>
      </c>
      <c r="E219" s="21">
        <f>INDEX(Data[],MATCH($A219,Data[Dist],0),MATCH(E$4,Data[#Headers],0))</f>
        <v>221588</v>
      </c>
      <c r="F219" s="21">
        <f>INDEX(Data[],MATCH($A219,Data[Dist],0),MATCH(F$4,Data[#Headers],0))</f>
        <v>225813</v>
      </c>
      <c r="G219" s="21">
        <f>INDEX(Data[],MATCH($A219,Data[Dist],0),MATCH(G$4,Data[#Headers],0))</f>
        <v>1148027</v>
      </c>
      <c r="H219" s="21">
        <f>INDEX(Data[],MATCH($A219,Data[Dist],0),MATCH(H$4,Data[#Headers],0))</f>
        <v>15840061</v>
      </c>
      <c r="I219" s="21">
        <f>INDEX(Data[],MATCH($A219,Data[Dist],0),MATCH(I$4,Data[#Headers],0))</f>
        <v>20258602</v>
      </c>
      <c r="J219" s="22"/>
    </row>
    <row r="220" spans="1:10" x14ac:dyDescent="0.2">
      <c r="A220" s="19" t="str">
        <f>Data!B216</f>
        <v>4785</v>
      </c>
      <c r="B220" s="20" t="str">
        <f>INDEX(Data[],MATCH($A220,Data[Dist],0),MATCH(B$4,Data[#Headers],0))</f>
        <v>North Tama</v>
      </c>
      <c r="C220" s="21">
        <f>INDEX(Data[],MATCH($A220,Data[Dist],0),MATCH(C$4,Data[#Headers],0))</f>
        <v>109100</v>
      </c>
      <c r="D220" s="21">
        <f>INDEX(Data[],MATCH($A220,Data[Dist],0),MATCH(D$4,Data[#Headers],0))</f>
        <v>482572</v>
      </c>
      <c r="E220" s="21">
        <f>INDEX(Data[],MATCH($A220,Data[Dist],0),MATCH(E$4,Data[#Headers],0))</f>
        <v>34381</v>
      </c>
      <c r="F220" s="21">
        <f>INDEX(Data[],MATCH($A220,Data[Dist],0),MATCH(F$4,Data[#Headers],0))</f>
        <v>35649</v>
      </c>
      <c r="G220" s="21">
        <f>INDEX(Data[],MATCH($A220,Data[Dist],0),MATCH(G$4,Data[#Headers],0))</f>
        <v>170436</v>
      </c>
      <c r="H220" s="21">
        <f>INDEX(Data[],MATCH($A220,Data[Dist],0),MATCH(H$4,Data[#Headers],0))</f>
        <v>2240132</v>
      </c>
      <c r="I220" s="21">
        <f>INDEX(Data[],MATCH($A220,Data[Dist],0),MATCH(I$4,Data[#Headers],0))</f>
        <v>3072270</v>
      </c>
      <c r="J220" s="22"/>
    </row>
    <row r="221" spans="1:10" x14ac:dyDescent="0.2">
      <c r="A221" s="19" t="str">
        <f>Data!B217</f>
        <v>4788</v>
      </c>
      <c r="B221" s="20" t="str">
        <f>INDEX(Data[],MATCH($A221,Data[Dist],0),MATCH(B$4,Data[#Headers],0))</f>
        <v>Northwood-Kensett</v>
      </c>
      <c r="C221" s="21">
        <f>INDEX(Data[],MATCH($A221,Data[Dist],0),MATCH(C$4,Data[#Headers],0))</f>
        <v>124685</v>
      </c>
      <c r="D221" s="21">
        <f>INDEX(Data[],MATCH($A221,Data[Dist],0),MATCH(D$4,Data[#Headers],0))</f>
        <v>470464</v>
      </c>
      <c r="E221" s="21">
        <f>INDEX(Data[],MATCH($A221,Data[Dist],0),MATCH(E$4,Data[#Headers],0))</f>
        <v>34852</v>
      </c>
      <c r="F221" s="21">
        <f>INDEX(Data[],MATCH($A221,Data[Dist],0),MATCH(F$4,Data[#Headers],0))</f>
        <v>39045</v>
      </c>
      <c r="G221" s="21">
        <f>INDEX(Data[],MATCH($A221,Data[Dist],0),MATCH(G$4,Data[#Headers],0))</f>
        <v>193630</v>
      </c>
      <c r="H221" s="21">
        <f>INDEX(Data[],MATCH($A221,Data[Dist],0),MATCH(H$4,Data[#Headers],0))</f>
        <v>2625393</v>
      </c>
      <c r="I221" s="21">
        <f>INDEX(Data[],MATCH($A221,Data[Dist],0),MATCH(I$4,Data[#Headers],0))</f>
        <v>3488069</v>
      </c>
      <c r="J221" s="22"/>
    </row>
    <row r="222" spans="1:10" x14ac:dyDescent="0.2">
      <c r="A222" s="19" t="str">
        <f>Data!B218</f>
        <v>4797</v>
      </c>
      <c r="B222" s="20" t="str">
        <f>INDEX(Data[],MATCH($A222,Data[Dist],0),MATCH(B$4,Data[#Headers],0))</f>
        <v>Norwalk</v>
      </c>
      <c r="C222" s="21">
        <f>INDEX(Data[],MATCH($A222,Data[Dist],0),MATCH(C$4,Data[#Headers],0))</f>
        <v>576669</v>
      </c>
      <c r="D222" s="21">
        <f>INDEX(Data[],MATCH($A222,Data[Dist],0),MATCH(D$4,Data[#Headers],0))</f>
        <v>2529754</v>
      </c>
      <c r="E222" s="21">
        <f>INDEX(Data[],MATCH($A222,Data[Dist],0),MATCH(E$4,Data[#Headers],0))</f>
        <v>250852</v>
      </c>
      <c r="F222" s="21">
        <f>INDEX(Data[],MATCH($A222,Data[Dist],0),MATCH(F$4,Data[#Headers],0))</f>
        <v>248218</v>
      </c>
      <c r="G222" s="21">
        <f>INDEX(Data[],MATCH($A222,Data[Dist],0),MATCH(G$4,Data[#Headers],0))</f>
        <v>1308794</v>
      </c>
      <c r="H222" s="21">
        <f>INDEX(Data[],MATCH($A222,Data[Dist],0),MATCH(H$4,Data[#Headers],0))</f>
        <v>22358709</v>
      </c>
      <c r="I222" s="21">
        <f>INDEX(Data[],MATCH($A222,Data[Dist],0),MATCH(I$4,Data[#Headers],0))</f>
        <v>27272996</v>
      </c>
      <c r="J222" s="22"/>
    </row>
    <row r="223" spans="1:10" x14ac:dyDescent="0.2">
      <c r="A223" s="19" t="str">
        <f>Data!B219</f>
        <v>4824</v>
      </c>
      <c r="B223" s="20" t="str">
        <f>INDEX(Data[],MATCH($A223,Data[Dist],0),MATCH(B$4,Data[#Headers],0))</f>
        <v>Riverside</v>
      </c>
      <c r="C223" s="21">
        <f>INDEX(Data[],MATCH($A223,Data[Dist],0),MATCH(C$4,Data[#Headers],0))</f>
        <v>120789</v>
      </c>
      <c r="D223" s="21">
        <f>INDEX(Data[],MATCH($A223,Data[Dist],0),MATCH(D$4,Data[#Headers],0))</f>
        <v>653575</v>
      </c>
      <c r="E223" s="21">
        <f>INDEX(Data[],MATCH($A223,Data[Dist],0),MATCH(E$4,Data[#Headers],0))</f>
        <v>50062</v>
      </c>
      <c r="F223" s="21">
        <f>INDEX(Data[],MATCH($A223,Data[Dist],0),MATCH(F$4,Data[#Headers],0))</f>
        <v>52108</v>
      </c>
      <c r="G223" s="21">
        <f>INDEX(Data[],MATCH($A223,Data[Dist],0),MATCH(G$4,Data[#Headers],0))</f>
        <v>268346</v>
      </c>
      <c r="H223" s="21">
        <f>INDEX(Data[],MATCH($A223,Data[Dist],0),MATCH(H$4,Data[#Headers],0))</f>
        <v>3594865</v>
      </c>
      <c r="I223" s="21">
        <f>INDEX(Data[],MATCH($A223,Data[Dist],0),MATCH(I$4,Data[#Headers],0))</f>
        <v>4739745</v>
      </c>
      <c r="J223" s="22"/>
    </row>
    <row r="224" spans="1:10" x14ac:dyDescent="0.2">
      <c r="A224" s="19" t="str">
        <f>Data!B220</f>
        <v>4860</v>
      </c>
      <c r="B224" s="20" t="str">
        <f>INDEX(Data[],MATCH($A224,Data[Dist],0),MATCH(B$4,Data[#Headers],0))</f>
        <v>Odebolt Arthur Battle Creek Ida Gr</v>
      </c>
      <c r="C224" s="21">
        <f>INDEX(Data[],MATCH($A224,Data[Dist],0),MATCH(C$4,Data[#Headers],0))</f>
        <v>183132</v>
      </c>
      <c r="D224" s="21">
        <f>INDEX(Data[],MATCH($A224,Data[Dist],0),MATCH(D$4,Data[#Headers],0))</f>
        <v>784398</v>
      </c>
      <c r="E224" s="21">
        <f>INDEX(Data[],MATCH($A224,Data[Dist],0),MATCH(E$4,Data[#Headers],0))</f>
        <v>71097</v>
      </c>
      <c r="F224" s="21">
        <f>INDEX(Data[],MATCH($A224,Data[Dist],0),MATCH(F$4,Data[#Headers],0))</f>
        <v>75400</v>
      </c>
      <c r="G224" s="21">
        <f>INDEX(Data[],MATCH($A224,Data[Dist],0),MATCH(G$4,Data[#Headers],0))</f>
        <v>346576</v>
      </c>
      <c r="H224" s="21">
        <f>INDEX(Data[],MATCH($A224,Data[Dist],0),MATCH(H$4,Data[#Headers],0))</f>
        <v>4155792</v>
      </c>
      <c r="I224" s="21">
        <f>INDEX(Data[],MATCH($A224,Data[Dist],0),MATCH(I$4,Data[#Headers],0))</f>
        <v>5616395</v>
      </c>
      <c r="J224" s="22"/>
    </row>
    <row r="225" spans="1:10" x14ac:dyDescent="0.2">
      <c r="A225" s="19" t="str">
        <f>Data!B221</f>
        <v>4869</v>
      </c>
      <c r="B225" s="20" t="str">
        <f>INDEX(Data[],MATCH($A225,Data[Dist],0),MATCH(B$4,Data[#Headers],0))</f>
        <v>Oelwein</v>
      </c>
      <c r="C225" s="21">
        <f>INDEX(Data[],MATCH($A225,Data[Dist],0),MATCH(C$4,Data[#Headers],0))</f>
        <v>151960</v>
      </c>
      <c r="D225" s="21">
        <f>INDEX(Data[],MATCH($A225,Data[Dist],0),MATCH(D$4,Data[#Headers],0))</f>
        <v>1062130</v>
      </c>
      <c r="E225" s="21">
        <f>INDEX(Data[],MATCH($A225,Data[Dist],0),MATCH(E$4,Data[#Headers],0))</f>
        <v>106006</v>
      </c>
      <c r="F225" s="21">
        <f>INDEX(Data[],MATCH($A225,Data[Dist],0),MATCH(F$4,Data[#Headers],0))</f>
        <v>103352</v>
      </c>
      <c r="G225" s="21">
        <f>INDEX(Data[],MATCH($A225,Data[Dist],0),MATCH(G$4,Data[#Headers],0))</f>
        <v>501223</v>
      </c>
      <c r="H225" s="21">
        <f>INDEX(Data[],MATCH($A225,Data[Dist],0),MATCH(H$4,Data[#Headers],0))</f>
        <v>9622117</v>
      </c>
      <c r="I225" s="21">
        <f>INDEX(Data[],MATCH($A225,Data[Dist],0),MATCH(I$4,Data[#Headers],0))</f>
        <v>11546788</v>
      </c>
      <c r="J225" s="22"/>
    </row>
    <row r="226" spans="1:10" x14ac:dyDescent="0.2">
      <c r="A226" s="19" t="str">
        <f>Data!B222</f>
        <v>4878</v>
      </c>
      <c r="B226" s="20" t="str">
        <f>INDEX(Data[],MATCH($A226,Data[Dist],0),MATCH(B$4,Data[#Headers],0))</f>
        <v>Ogden</v>
      </c>
      <c r="C226" s="21">
        <f>INDEX(Data[],MATCH($A226,Data[Dist],0),MATCH(C$4,Data[#Headers],0))</f>
        <v>140271</v>
      </c>
      <c r="D226" s="21">
        <f>INDEX(Data[],MATCH($A226,Data[Dist],0),MATCH(D$4,Data[#Headers],0))</f>
        <v>549120</v>
      </c>
      <c r="E226" s="21">
        <f>INDEX(Data[],MATCH($A226,Data[Dist],0),MATCH(E$4,Data[#Headers],0))</f>
        <v>45327</v>
      </c>
      <c r="F226" s="21">
        <f>INDEX(Data[],MATCH($A226,Data[Dist],0),MATCH(F$4,Data[#Headers],0))</f>
        <v>45387</v>
      </c>
      <c r="G226" s="21">
        <f>INDEX(Data[],MATCH($A226,Data[Dist],0),MATCH(G$4,Data[#Headers],0))</f>
        <v>226002</v>
      </c>
      <c r="H226" s="21">
        <f>INDEX(Data[],MATCH($A226,Data[Dist],0),MATCH(H$4,Data[#Headers],0))</f>
        <v>2328907</v>
      </c>
      <c r="I226" s="21">
        <f>INDEX(Data[],MATCH($A226,Data[Dist],0),MATCH(I$4,Data[#Headers],0))</f>
        <v>3335014</v>
      </c>
      <c r="J226" s="22"/>
    </row>
    <row r="227" spans="1:10" x14ac:dyDescent="0.2">
      <c r="A227" s="19" t="str">
        <f>Data!B223</f>
        <v>4890</v>
      </c>
      <c r="B227" s="20" t="str">
        <f>INDEX(Data[],MATCH($A227,Data[Dist],0),MATCH(B$4,Data[#Headers],0))</f>
        <v>Okoboji</v>
      </c>
      <c r="C227" s="21">
        <f>INDEX(Data[],MATCH($A227,Data[Dist],0),MATCH(C$4,Data[#Headers],0))</f>
        <v>241578</v>
      </c>
      <c r="D227" s="21">
        <f>INDEX(Data[],MATCH($A227,Data[Dist],0),MATCH(D$4,Data[#Headers],0))</f>
        <v>887370</v>
      </c>
      <c r="E227" s="21">
        <f>INDEX(Data[],MATCH($A227,Data[Dist],0),MATCH(E$4,Data[#Headers],0))</f>
        <v>79519</v>
      </c>
      <c r="F227" s="21">
        <f>INDEX(Data[],MATCH($A227,Data[Dist],0),MATCH(F$4,Data[#Headers],0))</f>
        <v>80734</v>
      </c>
      <c r="G227" s="21">
        <f>INDEX(Data[],MATCH($A227,Data[Dist],0),MATCH(G$4,Data[#Headers],0))</f>
        <v>392779</v>
      </c>
      <c r="H227" s="21">
        <f>INDEX(Data[],MATCH($A227,Data[Dist],0),MATCH(H$4,Data[#Headers],0))</f>
        <v>-1346776</v>
      </c>
      <c r="I227" s="21">
        <f>INDEX(Data[],MATCH($A227,Data[Dist],0),MATCH(I$4,Data[#Headers],0))</f>
        <v>335204</v>
      </c>
      <c r="J227" s="22"/>
    </row>
    <row r="228" spans="1:10" x14ac:dyDescent="0.2">
      <c r="A228" s="19" t="str">
        <f>Data!B224</f>
        <v>4905</v>
      </c>
      <c r="B228" s="20" t="str">
        <f>INDEX(Data[],MATCH($A228,Data[Dist],0),MATCH(B$4,Data[#Headers],0))</f>
        <v>Olin</v>
      </c>
      <c r="C228" s="21">
        <f>INDEX(Data[],MATCH($A228,Data[Dist],0),MATCH(C$4,Data[#Headers],0))</f>
        <v>38964</v>
      </c>
      <c r="D228" s="21">
        <f>INDEX(Data[],MATCH($A228,Data[Dist],0),MATCH(D$4,Data[#Headers],0))</f>
        <v>284429</v>
      </c>
      <c r="E228" s="21">
        <f>INDEX(Data[],MATCH($A228,Data[Dist],0),MATCH(E$4,Data[#Headers],0))</f>
        <v>17438</v>
      </c>
      <c r="F228" s="21">
        <f>INDEX(Data[],MATCH($A228,Data[Dist],0),MATCH(F$4,Data[#Headers],0))</f>
        <v>17680</v>
      </c>
      <c r="G228" s="21">
        <f>INDEX(Data[],MATCH($A228,Data[Dist],0),MATCH(G$4,Data[#Headers],0))</f>
        <v>79418</v>
      </c>
      <c r="H228" s="21">
        <f>INDEX(Data[],MATCH($A228,Data[Dist],0),MATCH(H$4,Data[#Headers],0))</f>
        <v>1033543</v>
      </c>
      <c r="I228" s="21">
        <f>INDEX(Data[],MATCH($A228,Data[Dist],0),MATCH(I$4,Data[#Headers],0))</f>
        <v>1471472</v>
      </c>
      <c r="J228" s="22"/>
    </row>
    <row r="229" spans="1:10" x14ac:dyDescent="0.2">
      <c r="A229" s="19" t="str">
        <f>Data!B225</f>
        <v>4978</v>
      </c>
      <c r="B229" s="20" t="str">
        <f>INDEX(Data[],MATCH($A229,Data[Dist],0),MATCH(B$4,Data[#Headers],0))</f>
        <v>Orient-Macksburg</v>
      </c>
      <c r="C229" s="21">
        <f>INDEX(Data[],MATCH($A229,Data[Dist],0),MATCH(C$4,Data[#Headers],0))</f>
        <v>38964</v>
      </c>
      <c r="D229" s="21">
        <f>INDEX(Data[],MATCH($A229,Data[Dist],0),MATCH(D$4,Data[#Headers],0))</f>
        <v>264702</v>
      </c>
      <c r="E229" s="21">
        <f>INDEX(Data[],MATCH($A229,Data[Dist],0),MATCH(E$4,Data[#Headers],0))</f>
        <v>11502</v>
      </c>
      <c r="F229" s="21">
        <f>INDEX(Data[],MATCH($A229,Data[Dist],0),MATCH(F$4,Data[#Headers],0))</f>
        <v>15926</v>
      </c>
      <c r="G229" s="21">
        <f>INDEX(Data[],MATCH($A229,Data[Dist],0),MATCH(G$4,Data[#Headers],0))</f>
        <v>65635</v>
      </c>
      <c r="H229" s="21">
        <f>INDEX(Data[],MATCH($A229,Data[Dist],0),MATCH(H$4,Data[#Headers],0))</f>
        <v>316435</v>
      </c>
      <c r="I229" s="21">
        <f>INDEX(Data[],MATCH($A229,Data[Dist],0),MATCH(I$4,Data[#Headers],0))</f>
        <v>713164</v>
      </c>
      <c r="J229" s="22"/>
    </row>
    <row r="230" spans="1:10" x14ac:dyDescent="0.2">
      <c r="A230" s="19" t="str">
        <f>Data!B226</f>
        <v>4995</v>
      </c>
      <c r="B230" s="20" t="str">
        <f>INDEX(Data[],MATCH($A230,Data[Dist],0),MATCH(B$4,Data[#Headers],0))</f>
        <v>Osage</v>
      </c>
      <c r="C230" s="21">
        <f>INDEX(Data[],MATCH($A230,Data[Dist],0),MATCH(C$4,Data[#Headers],0))</f>
        <v>202614</v>
      </c>
      <c r="D230" s="21">
        <f>INDEX(Data[],MATCH($A230,Data[Dist],0),MATCH(D$4,Data[#Headers],0))</f>
        <v>800812</v>
      </c>
      <c r="E230" s="21">
        <f>INDEX(Data[],MATCH($A230,Data[Dist],0),MATCH(E$4,Data[#Headers],0))</f>
        <v>65971</v>
      </c>
      <c r="F230" s="21">
        <f>INDEX(Data[],MATCH($A230,Data[Dist],0),MATCH(F$4,Data[#Headers],0))</f>
        <v>68812</v>
      </c>
      <c r="G230" s="21">
        <f>INDEX(Data[],MATCH($A230,Data[Dist],0),MATCH(G$4,Data[#Headers],0))</f>
        <v>340759</v>
      </c>
      <c r="H230" s="21">
        <f>INDEX(Data[],MATCH($A230,Data[Dist],0),MATCH(H$4,Data[#Headers],0))</f>
        <v>4785668</v>
      </c>
      <c r="I230" s="21">
        <f>INDEX(Data[],MATCH($A230,Data[Dist],0),MATCH(I$4,Data[#Headers],0))</f>
        <v>6264636</v>
      </c>
      <c r="J230" s="22"/>
    </row>
    <row r="231" spans="1:10" x14ac:dyDescent="0.2">
      <c r="A231" s="19" t="str">
        <f>Data!B227</f>
        <v>5013</v>
      </c>
      <c r="B231" s="20" t="str">
        <f>INDEX(Data[],MATCH($A231,Data[Dist],0),MATCH(B$4,Data[#Headers],0))</f>
        <v>Oskaloosa</v>
      </c>
      <c r="C231" s="21">
        <f>INDEX(Data[],MATCH($A231,Data[Dist],0),MATCH(C$4,Data[#Headers],0))</f>
        <v>580566</v>
      </c>
      <c r="D231" s="21">
        <f>INDEX(Data[],MATCH($A231,Data[Dist],0),MATCH(D$4,Data[#Headers],0))</f>
        <v>1905491</v>
      </c>
      <c r="E231" s="21">
        <f>INDEX(Data[],MATCH($A231,Data[Dist],0),MATCH(E$4,Data[#Headers],0))</f>
        <v>199570</v>
      </c>
      <c r="F231" s="21">
        <f>INDEX(Data[],MATCH($A231,Data[Dist],0),MATCH(F$4,Data[#Headers],0))</f>
        <v>179854</v>
      </c>
      <c r="G231" s="21">
        <f>INDEX(Data[],MATCH($A231,Data[Dist],0),MATCH(G$4,Data[#Headers],0))</f>
        <v>883458</v>
      </c>
      <c r="H231" s="21">
        <f>INDEX(Data[],MATCH($A231,Data[Dist],0),MATCH(H$4,Data[#Headers],0))</f>
        <v>13931913</v>
      </c>
      <c r="I231" s="21">
        <f>INDEX(Data[],MATCH($A231,Data[Dist],0),MATCH(I$4,Data[#Headers],0))</f>
        <v>17680852</v>
      </c>
      <c r="J231" s="22"/>
    </row>
    <row r="232" spans="1:10" x14ac:dyDescent="0.2">
      <c r="A232" s="19" t="str">
        <f>Data!B228</f>
        <v>5049</v>
      </c>
      <c r="B232" s="20" t="str">
        <f>INDEX(Data[],MATCH($A232,Data[Dist],0),MATCH(B$4,Data[#Headers],0))</f>
        <v>Ottumwa</v>
      </c>
      <c r="C232" s="21">
        <f>INDEX(Data[],MATCH($A232,Data[Dist],0),MATCH(C$4,Data[#Headers],0))</f>
        <v>966311</v>
      </c>
      <c r="D232" s="21">
        <f>INDEX(Data[],MATCH($A232,Data[Dist],0),MATCH(D$4,Data[#Headers],0))</f>
        <v>3632572</v>
      </c>
      <c r="E232" s="21">
        <f>INDEX(Data[],MATCH($A232,Data[Dist],0),MATCH(E$4,Data[#Headers],0))</f>
        <v>477197</v>
      </c>
      <c r="F232" s="21">
        <f>INDEX(Data[],MATCH($A232,Data[Dist],0),MATCH(F$4,Data[#Headers],0))</f>
        <v>383369</v>
      </c>
      <c r="G232" s="21">
        <f>INDEX(Data[],MATCH($A232,Data[Dist],0),MATCH(G$4,Data[#Headers],0))</f>
        <v>1962510</v>
      </c>
      <c r="H232" s="21">
        <f>INDEX(Data[],MATCH($A232,Data[Dist],0),MATCH(H$4,Data[#Headers],0))</f>
        <v>39540619</v>
      </c>
      <c r="I232" s="21">
        <f>INDEX(Data[],MATCH($A232,Data[Dist],0),MATCH(I$4,Data[#Headers],0))</f>
        <v>46962578</v>
      </c>
      <c r="J232" s="22"/>
    </row>
    <row r="233" spans="1:10" x14ac:dyDescent="0.2">
      <c r="A233" s="19" t="str">
        <f>Data!B229</f>
        <v>5121</v>
      </c>
      <c r="B233" s="20" t="str">
        <f>INDEX(Data[],MATCH($A233,Data[Dist],0),MATCH(B$4,Data[#Headers],0))</f>
        <v>Panorama</v>
      </c>
      <c r="C233" s="21">
        <f>INDEX(Data[],MATCH($A233,Data[Dist],0),MATCH(C$4,Data[#Headers],0))</f>
        <v>132478</v>
      </c>
      <c r="D233" s="21">
        <f>INDEX(Data[],MATCH($A233,Data[Dist],0),MATCH(D$4,Data[#Headers],0))</f>
        <v>571248</v>
      </c>
      <c r="E233" s="21">
        <f>INDEX(Data[],MATCH($A233,Data[Dist],0),MATCH(E$4,Data[#Headers],0))</f>
        <v>45354</v>
      </c>
      <c r="F233" s="21">
        <f>INDEX(Data[],MATCH($A233,Data[Dist],0),MATCH(F$4,Data[#Headers],0))</f>
        <v>42690</v>
      </c>
      <c r="G233" s="21">
        <f>INDEX(Data[],MATCH($A233,Data[Dist],0),MATCH(G$4,Data[#Headers],0))</f>
        <v>243076</v>
      </c>
      <c r="H233" s="21">
        <f>INDEX(Data[],MATCH($A233,Data[Dist],0),MATCH(H$4,Data[#Headers],0))</f>
        <v>2425839</v>
      </c>
      <c r="I233" s="21">
        <f>INDEX(Data[],MATCH($A233,Data[Dist],0),MATCH(I$4,Data[#Headers],0))</f>
        <v>3460685</v>
      </c>
      <c r="J233" s="22"/>
    </row>
    <row r="234" spans="1:10" x14ac:dyDescent="0.2">
      <c r="A234" s="19" t="str">
        <f>Data!B230</f>
        <v>5139</v>
      </c>
      <c r="B234" s="20" t="str">
        <f>INDEX(Data[],MATCH($A234,Data[Dist],0),MATCH(B$4,Data[#Headers],0))</f>
        <v>Paton-Churdan</v>
      </c>
      <c r="C234" s="21">
        <f>INDEX(Data[],MATCH($A234,Data[Dist],0),MATCH(C$4,Data[#Headers],0))</f>
        <v>38964</v>
      </c>
      <c r="D234" s="21">
        <f>INDEX(Data[],MATCH($A234,Data[Dist],0),MATCH(D$4,Data[#Headers],0))</f>
        <v>231455</v>
      </c>
      <c r="E234" s="21">
        <f>INDEX(Data[],MATCH($A234,Data[Dist],0),MATCH(E$4,Data[#Headers],0))</f>
        <v>15974</v>
      </c>
      <c r="F234" s="21">
        <f>INDEX(Data[],MATCH($A234,Data[Dist],0),MATCH(F$4,Data[#Headers],0))</f>
        <v>12207</v>
      </c>
      <c r="G234" s="21">
        <f>INDEX(Data[],MATCH($A234,Data[Dist],0),MATCH(G$4,Data[#Headers],0))</f>
        <v>72602</v>
      </c>
      <c r="H234" s="21">
        <f>INDEX(Data[],MATCH($A234,Data[Dist],0),MATCH(H$4,Data[#Headers],0))</f>
        <v>758206</v>
      </c>
      <c r="I234" s="21">
        <f>INDEX(Data[],MATCH($A234,Data[Dist],0),MATCH(I$4,Data[#Headers],0))</f>
        <v>1129408</v>
      </c>
      <c r="J234" s="22"/>
    </row>
    <row r="235" spans="1:10" x14ac:dyDescent="0.2">
      <c r="A235" s="19" t="str">
        <f>Data!B231</f>
        <v>5157</v>
      </c>
      <c r="B235" s="20" t="str">
        <f>INDEX(Data[],MATCH($A235,Data[Dist],0),MATCH(B$4,Data[#Headers],0))</f>
        <v>South O'Brien</v>
      </c>
      <c r="C235" s="21">
        <f>INDEX(Data[],MATCH($A235,Data[Dist],0),MATCH(C$4,Data[#Headers],0))</f>
        <v>101307</v>
      </c>
      <c r="D235" s="21">
        <f>INDEX(Data[],MATCH($A235,Data[Dist],0),MATCH(D$4,Data[#Headers],0))</f>
        <v>598321</v>
      </c>
      <c r="E235" s="21">
        <f>INDEX(Data[],MATCH($A235,Data[Dist],0),MATCH(E$4,Data[#Headers],0))</f>
        <v>44592</v>
      </c>
      <c r="F235" s="21">
        <f>INDEX(Data[],MATCH($A235,Data[Dist],0),MATCH(F$4,Data[#Headers],0))</f>
        <v>50524</v>
      </c>
      <c r="G235" s="21">
        <f>INDEX(Data[],MATCH($A235,Data[Dist],0),MATCH(G$4,Data[#Headers],0))</f>
        <v>236843</v>
      </c>
      <c r="H235" s="21">
        <f>INDEX(Data[],MATCH($A235,Data[Dist],0),MATCH(H$4,Data[#Headers],0))</f>
        <v>837085</v>
      </c>
      <c r="I235" s="21">
        <f>INDEX(Data[],MATCH($A235,Data[Dist],0),MATCH(I$4,Data[#Headers],0))</f>
        <v>1868672</v>
      </c>
      <c r="J235" s="22"/>
    </row>
    <row r="236" spans="1:10" x14ac:dyDescent="0.2">
      <c r="A236" s="19" t="str">
        <f>Data!B232</f>
        <v>5163</v>
      </c>
      <c r="B236" s="20" t="str">
        <f>INDEX(Data[],MATCH($A236,Data[Dist],0),MATCH(B$4,Data[#Headers],0))</f>
        <v>Pekin</v>
      </c>
      <c r="C236" s="21">
        <f>INDEX(Data[],MATCH($A236,Data[Dist],0),MATCH(C$4,Data[#Headers],0))</f>
        <v>124685</v>
      </c>
      <c r="D236" s="21">
        <f>INDEX(Data[],MATCH($A236,Data[Dist],0),MATCH(D$4,Data[#Headers],0))</f>
        <v>487076</v>
      </c>
      <c r="E236" s="21">
        <f>INDEX(Data[],MATCH($A236,Data[Dist],0),MATCH(E$4,Data[#Headers],0))</f>
        <v>41830</v>
      </c>
      <c r="F236" s="21">
        <f>INDEX(Data[],MATCH($A236,Data[Dist],0),MATCH(F$4,Data[#Headers],0))</f>
        <v>40309</v>
      </c>
      <c r="G236" s="21">
        <f>INDEX(Data[],MATCH($A236,Data[Dist],0),MATCH(G$4,Data[#Headers],0))</f>
        <v>202360</v>
      </c>
      <c r="H236" s="21">
        <f>INDEX(Data[],MATCH($A236,Data[Dist],0),MATCH(H$4,Data[#Headers],0))</f>
        <v>2365292</v>
      </c>
      <c r="I236" s="21">
        <f>INDEX(Data[],MATCH($A236,Data[Dist],0),MATCH(I$4,Data[#Headers],0))</f>
        <v>3261552</v>
      </c>
      <c r="J236" s="22"/>
    </row>
    <row r="237" spans="1:10" x14ac:dyDescent="0.2">
      <c r="A237" s="19" t="str">
        <f>Data!B233</f>
        <v>5166</v>
      </c>
      <c r="B237" s="20" t="str">
        <f>INDEX(Data[],MATCH($A237,Data[Dist],0),MATCH(B$4,Data[#Headers],0))</f>
        <v>Pella</v>
      </c>
      <c r="C237" s="21">
        <f>INDEX(Data[],MATCH($A237,Data[Dist],0),MATCH(C$4,Data[#Headers],0))</f>
        <v>522198</v>
      </c>
      <c r="D237" s="21">
        <f>INDEX(Data[],MATCH($A237,Data[Dist],0),MATCH(D$4,Data[#Headers],0))</f>
        <v>1780714</v>
      </c>
      <c r="E237" s="21">
        <f>INDEX(Data[],MATCH($A237,Data[Dist],0),MATCH(E$4,Data[#Headers],0))</f>
        <v>182966</v>
      </c>
      <c r="F237" s="21">
        <f>INDEX(Data[],MATCH($A237,Data[Dist],0),MATCH(F$4,Data[#Headers],0))</f>
        <v>169699</v>
      </c>
      <c r="G237" s="21">
        <f>INDEX(Data[],MATCH($A237,Data[Dist],0),MATCH(G$4,Data[#Headers],0))</f>
        <v>921270</v>
      </c>
      <c r="H237" s="21">
        <f>INDEX(Data[],MATCH($A237,Data[Dist],0),MATCH(H$4,Data[#Headers],0))</f>
        <v>11102628</v>
      </c>
      <c r="I237" s="21">
        <f>INDEX(Data[],MATCH($A237,Data[Dist],0),MATCH(I$4,Data[#Headers],0))</f>
        <v>14679475</v>
      </c>
      <c r="J237" s="22"/>
    </row>
    <row r="238" spans="1:10" x14ac:dyDescent="0.2">
      <c r="A238" s="19" t="str">
        <f>Data!B234</f>
        <v>5184</v>
      </c>
      <c r="B238" s="20" t="str">
        <f>INDEX(Data[],MATCH($A238,Data[Dist],0),MATCH(B$4,Data[#Headers],0))</f>
        <v>Perry</v>
      </c>
      <c r="C238" s="21">
        <f>INDEX(Data[],MATCH($A238,Data[Dist],0),MATCH(C$4,Data[#Headers],0))</f>
        <v>331195</v>
      </c>
      <c r="D238" s="21">
        <f>INDEX(Data[],MATCH($A238,Data[Dist],0),MATCH(D$4,Data[#Headers],0))</f>
        <v>1500249</v>
      </c>
      <c r="E238" s="21">
        <f>INDEX(Data[],MATCH($A238,Data[Dist],0),MATCH(E$4,Data[#Headers],0))</f>
        <v>195298</v>
      </c>
      <c r="F238" s="21">
        <f>INDEX(Data[],MATCH($A238,Data[Dist],0),MATCH(F$4,Data[#Headers],0))</f>
        <v>147455</v>
      </c>
      <c r="G238" s="21">
        <f>INDEX(Data[],MATCH($A238,Data[Dist],0),MATCH(G$4,Data[#Headers],0))</f>
        <v>745545</v>
      </c>
      <c r="H238" s="21">
        <f>INDEX(Data[],MATCH($A238,Data[Dist],0),MATCH(H$4,Data[#Headers],0))</f>
        <v>14531620</v>
      </c>
      <c r="I238" s="21">
        <f>INDEX(Data[],MATCH($A238,Data[Dist],0),MATCH(I$4,Data[#Headers],0))</f>
        <v>17451362</v>
      </c>
      <c r="J238" s="22"/>
    </row>
    <row r="239" spans="1:10" x14ac:dyDescent="0.2">
      <c r="A239" s="19" t="str">
        <f>Data!B235</f>
        <v>5250</v>
      </c>
      <c r="B239" s="20" t="str">
        <f>INDEX(Data[],MATCH($A239,Data[Dist],0),MATCH(B$4,Data[#Headers],0))</f>
        <v>Pleasant Valley</v>
      </c>
      <c r="C239" s="21">
        <f>INDEX(Data[],MATCH($A239,Data[Dist],0),MATCH(C$4,Data[#Headers],0))</f>
        <v>795105</v>
      </c>
      <c r="D239" s="21">
        <f>INDEX(Data[],MATCH($A239,Data[Dist],0),MATCH(D$4,Data[#Headers],0))</f>
        <v>3905605</v>
      </c>
      <c r="E239" s="21">
        <f>INDEX(Data[],MATCH($A239,Data[Dist],0),MATCH(E$4,Data[#Headers],0))</f>
        <v>379785</v>
      </c>
      <c r="F239" s="21">
        <f>INDEX(Data[],MATCH($A239,Data[Dist],0),MATCH(F$4,Data[#Headers],0))</f>
        <v>405983</v>
      </c>
      <c r="G239" s="21">
        <f>INDEX(Data[],MATCH($A239,Data[Dist],0),MATCH(G$4,Data[#Headers],0))</f>
        <v>2110018</v>
      </c>
      <c r="H239" s="21">
        <f>INDEX(Data[],MATCH($A239,Data[Dist],0),MATCH(H$4,Data[#Headers],0))</f>
        <v>31175769</v>
      </c>
      <c r="I239" s="21">
        <f>INDEX(Data[],MATCH($A239,Data[Dist],0),MATCH(I$4,Data[#Headers],0))</f>
        <v>38772265</v>
      </c>
      <c r="J239" s="22"/>
    </row>
    <row r="240" spans="1:10" x14ac:dyDescent="0.2">
      <c r="A240" s="19" t="str">
        <f>Data!B236</f>
        <v>5256</v>
      </c>
      <c r="B240" s="20" t="str">
        <f>INDEX(Data[],MATCH($A240,Data[Dist],0),MATCH(B$4,Data[#Headers],0))</f>
        <v>Pleasantville</v>
      </c>
      <c r="C240" s="21">
        <f>INDEX(Data[],MATCH($A240,Data[Dist],0),MATCH(C$4,Data[#Headers],0))</f>
        <v>198717</v>
      </c>
      <c r="D240" s="21">
        <f>INDEX(Data[],MATCH($A240,Data[Dist],0),MATCH(D$4,Data[#Headers],0))</f>
        <v>615190</v>
      </c>
      <c r="E240" s="21">
        <f>INDEX(Data[],MATCH($A240,Data[Dist],0),MATCH(E$4,Data[#Headers],0))</f>
        <v>61015</v>
      </c>
      <c r="F240" s="21">
        <f>INDEX(Data[],MATCH($A240,Data[Dist],0),MATCH(F$4,Data[#Headers],0))</f>
        <v>49392</v>
      </c>
      <c r="G240" s="21">
        <f>INDEX(Data[],MATCH($A240,Data[Dist],0),MATCH(G$4,Data[#Headers],0))</f>
        <v>262320</v>
      </c>
      <c r="H240" s="21">
        <f>INDEX(Data[],MATCH($A240,Data[Dist],0),MATCH(H$4,Data[#Headers],0))</f>
        <v>4714881</v>
      </c>
      <c r="I240" s="21">
        <f>INDEX(Data[],MATCH($A240,Data[Dist],0),MATCH(I$4,Data[#Headers],0))</f>
        <v>5901515</v>
      </c>
      <c r="J240" s="22"/>
    </row>
    <row r="241" spans="1:10" x14ac:dyDescent="0.2">
      <c r="A241" s="19" t="str">
        <f>Data!B237</f>
        <v>5283</v>
      </c>
      <c r="B241" s="20" t="str">
        <f>INDEX(Data[],MATCH($A241,Data[Dist],0),MATCH(B$4,Data[#Headers],0))</f>
        <v>Pocahontas Area</v>
      </c>
      <c r="C241" s="21">
        <f>INDEX(Data[],MATCH($A241,Data[Dist],0),MATCH(C$4,Data[#Headers],0))</f>
        <v>151960</v>
      </c>
      <c r="D241" s="21">
        <f>INDEX(Data[],MATCH($A241,Data[Dist],0),MATCH(D$4,Data[#Headers],0))</f>
        <v>617853</v>
      </c>
      <c r="E241" s="21">
        <f>INDEX(Data[],MATCH($A241,Data[Dist],0),MATCH(E$4,Data[#Headers],0))</f>
        <v>51455</v>
      </c>
      <c r="F241" s="21">
        <f>INDEX(Data[],MATCH($A241,Data[Dist],0),MATCH(F$4,Data[#Headers],0))</f>
        <v>66628</v>
      </c>
      <c r="G241" s="21">
        <f>INDEX(Data[],MATCH($A241,Data[Dist],0),MATCH(G$4,Data[#Headers],0))</f>
        <v>262907</v>
      </c>
      <c r="H241" s="21">
        <f>INDEX(Data[],MATCH($A241,Data[Dist],0),MATCH(H$4,Data[#Headers],0))</f>
        <v>1453357</v>
      </c>
      <c r="I241" s="21">
        <f>INDEX(Data[],MATCH($A241,Data[Dist],0),MATCH(I$4,Data[#Headers],0))</f>
        <v>2604160</v>
      </c>
      <c r="J241" s="22"/>
    </row>
    <row r="242" spans="1:10" x14ac:dyDescent="0.2">
      <c r="A242" s="19" t="str">
        <f>Data!B238</f>
        <v>5310</v>
      </c>
      <c r="B242" s="20" t="str">
        <f>INDEX(Data[],MATCH($A242,Data[Dist],0),MATCH(B$4,Data[#Headers],0))</f>
        <v>Postville</v>
      </c>
      <c r="C242" s="21">
        <f>INDEX(Data[],MATCH($A242,Data[Dist],0),MATCH(C$4,Data[#Headers],0))</f>
        <v>66239</v>
      </c>
      <c r="D242" s="21">
        <f>INDEX(Data[],MATCH($A242,Data[Dist],0),MATCH(D$4,Data[#Headers],0))</f>
        <v>675821</v>
      </c>
      <c r="E242" s="21">
        <f>INDEX(Data[],MATCH($A242,Data[Dist],0),MATCH(E$4,Data[#Headers],0))</f>
        <v>78452</v>
      </c>
      <c r="F242" s="21">
        <f>INDEX(Data[],MATCH($A242,Data[Dist],0),MATCH(F$4,Data[#Headers],0))</f>
        <v>52758</v>
      </c>
      <c r="G242" s="21">
        <f>INDEX(Data[],MATCH($A242,Data[Dist],0),MATCH(G$4,Data[#Headers],0))</f>
        <v>287573</v>
      </c>
      <c r="H242" s="21">
        <f>INDEX(Data[],MATCH($A242,Data[Dist],0),MATCH(H$4,Data[#Headers],0))</f>
        <v>5672293</v>
      </c>
      <c r="I242" s="21">
        <f>INDEX(Data[],MATCH($A242,Data[Dist],0),MATCH(I$4,Data[#Headers],0))</f>
        <v>6833136</v>
      </c>
      <c r="J242" s="22"/>
    </row>
    <row r="243" spans="1:10" x14ac:dyDescent="0.2">
      <c r="A243" s="19" t="str">
        <f>Data!B239</f>
        <v>5319</v>
      </c>
      <c r="B243" s="20" t="str">
        <f>INDEX(Data[],MATCH($A243,Data[Dist],0),MATCH(B$4,Data[#Headers],0))</f>
        <v>PCM</v>
      </c>
      <c r="C243" s="21">
        <f>INDEX(Data[],MATCH($A243,Data[Dist],0),MATCH(C$4,Data[#Headers],0))</f>
        <v>222096</v>
      </c>
      <c r="D243" s="21">
        <f>INDEX(Data[],MATCH($A243,Data[Dist],0),MATCH(D$4,Data[#Headers],0))</f>
        <v>932432</v>
      </c>
      <c r="E243" s="21">
        <f>INDEX(Data[],MATCH($A243,Data[Dist],0),MATCH(E$4,Data[#Headers],0))</f>
        <v>74264</v>
      </c>
      <c r="F243" s="21">
        <f>INDEX(Data[],MATCH($A243,Data[Dist],0),MATCH(F$4,Data[#Headers],0))</f>
        <v>71822</v>
      </c>
      <c r="G243" s="21">
        <f>INDEX(Data[],MATCH($A243,Data[Dist],0),MATCH(G$4,Data[#Headers],0))</f>
        <v>381253</v>
      </c>
      <c r="H243" s="21">
        <f>INDEX(Data[],MATCH($A243,Data[Dist],0),MATCH(H$4,Data[#Headers],0))</f>
        <v>5799671</v>
      </c>
      <c r="I243" s="21">
        <f>INDEX(Data[],MATCH($A243,Data[Dist],0),MATCH(I$4,Data[#Headers],0))</f>
        <v>7481538</v>
      </c>
      <c r="J243" s="22"/>
    </row>
    <row r="244" spans="1:10" x14ac:dyDescent="0.2">
      <c r="A244" s="19" t="str">
        <f>Data!B240</f>
        <v>5463</v>
      </c>
      <c r="B244" s="20" t="str">
        <f>INDEX(Data[],MATCH($A244,Data[Dist],0),MATCH(B$4,Data[#Headers],0))</f>
        <v>Red Oak</v>
      </c>
      <c r="C244" s="21">
        <f>INDEX(Data[],MATCH($A244,Data[Dist],0),MATCH(C$4,Data[#Headers],0))</f>
        <v>183210</v>
      </c>
      <c r="D244" s="21">
        <f>INDEX(Data[],MATCH($A244,Data[Dist],0),MATCH(D$4,Data[#Headers],0))</f>
        <v>911203</v>
      </c>
      <c r="E244" s="21">
        <f>INDEX(Data[],MATCH($A244,Data[Dist],0),MATCH(E$4,Data[#Headers],0))</f>
        <v>96212</v>
      </c>
      <c r="F244" s="21">
        <f>INDEX(Data[],MATCH($A244,Data[Dist],0),MATCH(F$4,Data[#Headers],0))</f>
        <v>80551</v>
      </c>
      <c r="G244" s="21">
        <f>INDEX(Data[],MATCH($A244,Data[Dist],0),MATCH(G$4,Data[#Headers],0))</f>
        <v>400253</v>
      </c>
      <c r="H244" s="21">
        <f>INDEX(Data[],MATCH($A244,Data[Dist],0),MATCH(H$4,Data[#Headers],0))</f>
        <v>6089662</v>
      </c>
      <c r="I244" s="21">
        <f>INDEX(Data[],MATCH($A244,Data[Dist],0),MATCH(I$4,Data[#Headers],0))</f>
        <v>7761091</v>
      </c>
      <c r="J244" s="22"/>
    </row>
    <row r="245" spans="1:10" x14ac:dyDescent="0.2">
      <c r="A245" s="19" t="str">
        <f>Data!B241</f>
        <v>5486</v>
      </c>
      <c r="B245" s="20" t="str">
        <f>INDEX(Data[],MATCH($A245,Data[Dist],0),MATCH(B$4,Data[#Headers],0))</f>
        <v>Remsen-Union</v>
      </c>
      <c r="C245" s="21">
        <f>INDEX(Data[],MATCH($A245,Data[Dist],0),MATCH(C$4,Data[#Headers],0))</f>
        <v>81825</v>
      </c>
      <c r="D245" s="21">
        <f>INDEX(Data[],MATCH($A245,Data[Dist],0),MATCH(D$4,Data[#Headers],0))</f>
        <v>503372</v>
      </c>
      <c r="E245" s="21">
        <f>INDEX(Data[],MATCH($A245,Data[Dist],0),MATCH(E$4,Data[#Headers],0))</f>
        <v>29018</v>
      </c>
      <c r="F245" s="21">
        <f>INDEX(Data[],MATCH($A245,Data[Dist],0),MATCH(F$4,Data[#Headers],0))</f>
        <v>30393</v>
      </c>
      <c r="G245" s="21">
        <f>INDEX(Data[],MATCH($A245,Data[Dist],0),MATCH(G$4,Data[#Headers],0))</f>
        <v>157895</v>
      </c>
      <c r="H245" s="21">
        <f>INDEX(Data[],MATCH($A245,Data[Dist],0),MATCH(H$4,Data[#Headers],0))</f>
        <v>856694</v>
      </c>
      <c r="I245" s="21">
        <f>INDEX(Data[],MATCH($A245,Data[Dist],0),MATCH(I$4,Data[#Headers],0))</f>
        <v>1659197</v>
      </c>
      <c r="J245" s="22"/>
    </row>
    <row r="246" spans="1:10" x14ac:dyDescent="0.2">
      <c r="A246" s="19" t="str">
        <f>Data!B242</f>
        <v>5508</v>
      </c>
      <c r="B246" s="20" t="str">
        <f>INDEX(Data[],MATCH($A246,Data[Dist],0),MATCH(B$4,Data[#Headers],0))</f>
        <v>Riceville</v>
      </c>
      <c r="C246" s="21">
        <f>INDEX(Data[],MATCH($A246,Data[Dist],0),MATCH(C$4,Data[#Headers],0))</f>
        <v>124685</v>
      </c>
      <c r="D246" s="21">
        <f>INDEX(Data[],MATCH($A246,Data[Dist],0),MATCH(D$4,Data[#Headers],0))</f>
        <v>523929</v>
      </c>
      <c r="E246" s="21">
        <f>INDEX(Data[],MATCH($A246,Data[Dist],0),MATCH(E$4,Data[#Headers],0))</f>
        <v>26339</v>
      </c>
      <c r="F246" s="21">
        <f>INDEX(Data[],MATCH($A246,Data[Dist],0),MATCH(F$4,Data[#Headers],0))</f>
        <v>35029</v>
      </c>
      <c r="G246" s="21">
        <f>INDEX(Data[],MATCH($A246,Data[Dist],0),MATCH(G$4,Data[#Headers],0))</f>
        <v>130774</v>
      </c>
      <c r="H246" s="21">
        <f>INDEX(Data[],MATCH($A246,Data[Dist],0),MATCH(H$4,Data[#Headers],0))</f>
        <v>1130429</v>
      </c>
      <c r="I246" s="21">
        <f>INDEX(Data[],MATCH($A246,Data[Dist],0),MATCH(I$4,Data[#Headers],0))</f>
        <v>1971185</v>
      </c>
      <c r="J246" s="22"/>
    </row>
    <row r="247" spans="1:10" x14ac:dyDescent="0.2">
      <c r="A247" s="19" t="str">
        <f>Data!B243</f>
        <v>5607</v>
      </c>
      <c r="B247" s="20" t="str">
        <f>INDEX(Data[],MATCH($A247,Data[Dist],0),MATCH(B$4,Data[#Headers],0))</f>
        <v>Rock Valley</v>
      </c>
      <c r="C247" s="21">
        <f>INDEX(Data[],MATCH($A247,Data[Dist],0),MATCH(C$4,Data[#Headers],0))</f>
        <v>315610</v>
      </c>
      <c r="D247" s="21">
        <f>INDEX(Data[],MATCH($A247,Data[Dist],0),MATCH(D$4,Data[#Headers],0))</f>
        <v>915062</v>
      </c>
      <c r="E247" s="21">
        <f>INDEX(Data[],MATCH($A247,Data[Dist],0),MATCH(E$4,Data[#Headers],0))</f>
        <v>96854</v>
      </c>
      <c r="F247" s="21">
        <f>INDEX(Data[],MATCH($A247,Data[Dist],0),MATCH(F$4,Data[#Headers],0))</f>
        <v>75413</v>
      </c>
      <c r="G247" s="21">
        <f>INDEX(Data[],MATCH($A247,Data[Dist],0),MATCH(G$4,Data[#Headers],0))</f>
        <v>389374</v>
      </c>
      <c r="H247" s="21">
        <f>INDEX(Data[],MATCH($A247,Data[Dist],0),MATCH(H$4,Data[#Headers],0))</f>
        <v>4514799</v>
      </c>
      <c r="I247" s="21">
        <f>INDEX(Data[],MATCH($A247,Data[Dist],0),MATCH(I$4,Data[#Headers],0))</f>
        <v>6307112</v>
      </c>
      <c r="J247" s="22"/>
    </row>
    <row r="248" spans="1:10" x14ac:dyDescent="0.2">
      <c r="A248" s="19" t="str">
        <f>Data!B244</f>
        <v>5643</v>
      </c>
      <c r="B248" s="20" t="str">
        <f>INDEX(Data[],MATCH($A248,Data[Dist],0),MATCH(B$4,Data[#Headers],0))</f>
        <v>Roland-Story</v>
      </c>
      <c r="C248" s="21">
        <f>INDEX(Data[],MATCH($A248,Data[Dist],0),MATCH(C$4,Data[#Headers],0))</f>
        <v>253267</v>
      </c>
      <c r="D248" s="21">
        <f>INDEX(Data[],MATCH($A248,Data[Dist],0),MATCH(D$4,Data[#Headers],0))</f>
        <v>787813</v>
      </c>
      <c r="E248" s="21">
        <f>INDEX(Data[],MATCH($A248,Data[Dist],0),MATCH(E$4,Data[#Headers],0))</f>
        <v>74770</v>
      </c>
      <c r="F248" s="21">
        <f>INDEX(Data[],MATCH($A248,Data[Dist],0),MATCH(F$4,Data[#Headers],0))</f>
        <v>79494</v>
      </c>
      <c r="G248" s="21">
        <f>INDEX(Data[],MATCH($A248,Data[Dist],0),MATCH(G$4,Data[#Headers],0))</f>
        <v>371772</v>
      </c>
      <c r="H248" s="21">
        <f>INDEX(Data[],MATCH($A248,Data[Dist],0),MATCH(H$4,Data[#Headers],0))</f>
        <v>5374852</v>
      </c>
      <c r="I248" s="21">
        <f>INDEX(Data[],MATCH($A248,Data[Dist],0),MATCH(I$4,Data[#Headers],0))</f>
        <v>6941968</v>
      </c>
      <c r="J248" s="22"/>
    </row>
    <row r="249" spans="1:10" x14ac:dyDescent="0.2">
      <c r="A249" s="19" t="str">
        <f>Data!B245</f>
        <v>5697</v>
      </c>
      <c r="B249" s="20" t="str">
        <f>INDEX(Data[],MATCH($A249,Data[Dist],0),MATCH(B$4,Data[#Headers],0))</f>
        <v>Rudd-Rockford-Marble Rock</v>
      </c>
      <c r="C249" s="21">
        <f>INDEX(Data[],MATCH($A249,Data[Dist],0),MATCH(C$4,Data[#Headers],0))</f>
        <v>74032</v>
      </c>
      <c r="D249" s="21">
        <f>INDEX(Data[],MATCH($A249,Data[Dist],0),MATCH(D$4,Data[#Headers],0))</f>
        <v>522225</v>
      </c>
      <c r="E249" s="21">
        <f>INDEX(Data[],MATCH($A249,Data[Dist],0),MATCH(E$4,Data[#Headers],0))</f>
        <v>31689</v>
      </c>
      <c r="F249" s="21">
        <f>INDEX(Data[],MATCH($A249,Data[Dist],0),MATCH(F$4,Data[#Headers],0))</f>
        <v>33133</v>
      </c>
      <c r="G249" s="21">
        <f>INDEX(Data[],MATCH($A249,Data[Dist],0),MATCH(G$4,Data[#Headers],0))</f>
        <v>159029</v>
      </c>
      <c r="H249" s="21">
        <f>INDEX(Data[],MATCH($A249,Data[Dist],0),MATCH(H$4,Data[#Headers],0))</f>
        <v>2233699</v>
      </c>
      <c r="I249" s="21">
        <f>INDEX(Data[],MATCH($A249,Data[Dist],0),MATCH(I$4,Data[#Headers],0))</f>
        <v>3053807</v>
      </c>
      <c r="J249" s="22"/>
    </row>
    <row r="250" spans="1:10" x14ac:dyDescent="0.2">
      <c r="A250" s="19" t="str">
        <f>Data!B246</f>
        <v>5724</v>
      </c>
      <c r="B250" s="20" t="str">
        <f>INDEX(Data[],MATCH($A250,Data[Dist],0),MATCH(B$4,Data[#Headers],0))</f>
        <v>Ruthven-Ayrshire</v>
      </c>
      <c r="C250" s="21">
        <f>INDEX(Data[],MATCH($A250,Data[Dist],0),MATCH(C$4,Data[#Headers],0))</f>
        <v>38964</v>
      </c>
      <c r="D250" s="21">
        <f>INDEX(Data[],MATCH($A250,Data[Dist],0),MATCH(D$4,Data[#Headers],0))</f>
        <v>240267</v>
      </c>
      <c r="E250" s="21">
        <f>INDEX(Data[],MATCH($A250,Data[Dist],0),MATCH(E$4,Data[#Headers],0))</f>
        <v>16648</v>
      </c>
      <c r="F250" s="21">
        <f>INDEX(Data[],MATCH($A250,Data[Dist],0),MATCH(F$4,Data[#Headers],0))</f>
        <v>15282</v>
      </c>
      <c r="G250" s="21">
        <f>INDEX(Data[],MATCH($A250,Data[Dist],0),MATCH(G$4,Data[#Headers],0))</f>
        <v>71126</v>
      </c>
      <c r="H250" s="21">
        <f>INDEX(Data[],MATCH($A250,Data[Dist],0),MATCH(H$4,Data[#Headers],0))</f>
        <v>780699</v>
      </c>
      <c r="I250" s="21">
        <f>INDEX(Data[],MATCH($A250,Data[Dist],0),MATCH(I$4,Data[#Headers],0))</f>
        <v>1162986</v>
      </c>
      <c r="J250" s="22"/>
    </row>
    <row r="251" spans="1:10" x14ac:dyDescent="0.2">
      <c r="A251" s="19" t="str">
        <f>Data!B247</f>
        <v>5751</v>
      </c>
      <c r="B251" s="20" t="str">
        <f>INDEX(Data[],MATCH($A251,Data[Dist],0),MATCH(B$4,Data[#Headers],0))</f>
        <v>St Ansgar</v>
      </c>
      <c r="C251" s="21">
        <f>INDEX(Data[],MATCH($A251,Data[Dist],0),MATCH(C$4,Data[#Headers],0))</f>
        <v>136375</v>
      </c>
      <c r="D251" s="21">
        <f>INDEX(Data[],MATCH($A251,Data[Dist],0),MATCH(D$4,Data[#Headers],0))</f>
        <v>527001</v>
      </c>
      <c r="E251" s="21">
        <f>INDEX(Data[],MATCH($A251,Data[Dist],0),MATCH(E$4,Data[#Headers],0))</f>
        <v>42858</v>
      </c>
      <c r="F251" s="21">
        <f>INDEX(Data[],MATCH($A251,Data[Dist],0),MATCH(F$4,Data[#Headers],0))</f>
        <v>44242</v>
      </c>
      <c r="G251" s="21">
        <f>INDEX(Data[],MATCH($A251,Data[Dist],0),MATCH(G$4,Data[#Headers],0))</f>
        <v>216898</v>
      </c>
      <c r="H251" s="21">
        <f>INDEX(Data[],MATCH($A251,Data[Dist],0),MATCH(H$4,Data[#Headers],0))</f>
        <v>2339041</v>
      </c>
      <c r="I251" s="21">
        <f>INDEX(Data[],MATCH($A251,Data[Dist],0),MATCH(I$4,Data[#Headers],0))</f>
        <v>3306415</v>
      </c>
      <c r="J251" s="22"/>
    </row>
    <row r="252" spans="1:10" x14ac:dyDescent="0.2">
      <c r="A252" s="19" t="str">
        <f>Data!B248</f>
        <v>5805</v>
      </c>
      <c r="B252" s="20" t="str">
        <f>INDEX(Data[],MATCH($A252,Data[Dist],0),MATCH(B$4,Data[#Headers],0))</f>
        <v>Saydel</v>
      </c>
      <c r="C252" s="21">
        <f>INDEX(Data[],MATCH($A252,Data[Dist],0),MATCH(C$4,Data[#Headers],0))</f>
        <v>218199</v>
      </c>
      <c r="D252" s="21">
        <f>INDEX(Data[],MATCH($A252,Data[Dist],0),MATCH(D$4,Data[#Headers],0))</f>
        <v>844226</v>
      </c>
      <c r="E252" s="21">
        <f>INDEX(Data[],MATCH($A252,Data[Dist],0),MATCH(E$4,Data[#Headers],0))</f>
        <v>95904</v>
      </c>
      <c r="F252" s="21">
        <f>INDEX(Data[],MATCH($A252,Data[Dist],0),MATCH(F$4,Data[#Headers],0))</f>
        <v>81001</v>
      </c>
      <c r="G252" s="21">
        <f>INDEX(Data[],MATCH($A252,Data[Dist],0),MATCH(G$4,Data[#Headers],0))</f>
        <v>397005</v>
      </c>
      <c r="H252" s="21">
        <f>INDEX(Data[],MATCH($A252,Data[Dist],0),MATCH(H$4,Data[#Headers],0))</f>
        <v>61200</v>
      </c>
      <c r="I252" s="21">
        <f>INDEX(Data[],MATCH($A252,Data[Dist],0),MATCH(I$4,Data[#Headers],0))</f>
        <v>1697535</v>
      </c>
      <c r="J252" s="22"/>
    </row>
    <row r="253" spans="1:10" x14ac:dyDescent="0.2">
      <c r="A253" s="19" t="str">
        <f>Data!B249</f>
        <v>5823</v>
      </c>
      <c r="B253" s="20" t="str">
        <f>INDEX(Data[],MATCH($A253,Data[Dist],0),MATCH(B$4,Data[#Headers],0))</f>
        <v>Schaller-Crestland</v>
      </c>
      <c r="C253" s="21">
        <f>INDEX(Data[],MATCH($A253,Data[Dist],0),MATCH(C$4,Data[#Headers],0))</f>
        <v>97410</v>
      </c>
      <c r="D253" s="21">
        <f>INDEX(Data[],MATCH($A253,Data[Dist],0),MATCH(D$4,Data[#Headers],0))</f>
        <v>395726</v>
      </c>
      <c r="E253" s="21">
        <f>INDEX(Data[],MATCH($A253,Data[Dist],0),MATCH(E$4,Data[#Headers],0))</f>
        <v>26536</v>
      </c>
      <c r="F253" s="21">
        <f>INDEX(Data[],MATCH($A253,Data[Dist],0),MATCH(F$4,Data[#Headers],0))</f>
        <v>29607</v>
      </c>
      <c r="G253" s="21">
        <f>INDEX(Data[],MATCH($A253,Data[Dist],0),MATCH(G$4,Data[#Headers],0))</f>
        <v>139764</v>
      </c>
      <c r="H253" s="21">
        <f>INDEX(Data[],MATCH($A253,Data[Dist],0),MATCH(H$4,Data[#Headers],0))</f>
        <v>1576617</v>
      </c>
      <c r="I253" s="21">
        <f>INDEX(Data[],MATCH($A253,Data[Dist],0),MATCH(I$4,Data[#Headers],0))</f>
        <v>2265660</v>
      </c>
      <c r="J253" s="22"/>
    </row>
    <row r="254" spans="1:10" x14ac:dyDescent="0.2">
      <c r="A254" s="19" t="str">
        <f>Data!B250</f>
        <v>5832</v>
      </c>
      <c r="B254" s="20" t="str">
        <f>INDEX(Data[],MATCH($A254,Data[Dist],0),MATCH(B$4,Data[#Headers],0))</f>
        <v>Schleswig</v>
      </c>
      <c r="C254" s="21">
        <f>INDEX(Data[],MATCH($A254,Data[Dist],0),MATCH(C$4,Data[#Headers],0))</f>
        <v>58446</v>
      </c>
      <c r="D254" s="21">
        <f>INDEX(Data[],MATCH($A254,Data[Dist],0),MATCH(D$4,Data[#Headers],0))</f>
        <v>287813</v>
      </c>
      <c r="E254" s="21">
        <f>INDEX(Data[],MATCH($A254,Data[Dist],0),MATCH(E$4,Data[#Headers],0))</f>
        <v>17325</v>
      </c>
      <c r="F254" s="21">
        <f>INDEX(Data[],MATCH($A254,Data[Dist],0),MATCH(F$4,Data[#Headers],0))</f>
        <v>13322</v>
      </c>
      <c r="G254" s="21">
        <f>INDEX(Data[],MATCH($A254,Data[Dist],0),MATCH(G$4,Data[#Headers],0))</f>
        <v>90280</v>
      </c>
      <c r="H254" s="21">
        <f>INDEX(Data[],MATCH($A254,Data[Dist],0),MATCH(H$4,Data[#Headers],0))</f>
        <v>866323</v>
      </c>
      <c r="I254" s="21">
        <f>INDEX(Data[],MATCH($A254,Data[Dist],0),MATCH(I$4,Data[#Headers],0))</f>
        <v>1333509</v>
      </c>
      <c r="J254" s="22"/>
    </row>
    <row r="255" spans="1:10" x14ac:dyDescent="0.2">
      <c r="A255" s="19" t="str">
        <f>Data!B251</f>
        <v>5877</v>
      </c>
      <c r="B255" s="20" t="str">
        <f>INDEX(Data[],MATCH($A255,Data[Dist],0),MATCH(B$4,Data[#Headers],0))</f>
        <v>Sergeant Bluff-Luton</v>
      </c>
      <c r="C255" s="21">
        <f>INDEX(Data[],MATCH($A255,Data[Dist],0),MATCH(C$4,Data[#Headers],0))</f>
        <v>249371</v>
      </c>
      <c r="D255" s="21">
        <f>INDEX(Data[],MATCH($A255,Data[Dist],0),MATCH(D$4,Data[#Headers],0))</f>
        <v>1063580</v>
      </c>
      <c r="E255" s="21">
        <f>INDEX(Data[],MATCH($A255,Data[Dist],0),MATCH(E$4,Data[#Headers],0))</f>
        <v>117250</v>
      </c>
      <c r="F255" s="21">
        <f>INDEX(Data[],MATCH($A255,Data[Dist],0),MATCH(F$4,Data[#Headers],0))</f>
        <v>118677</v>
      </c>
      <c r="G255" s="21">
        <f>INDEX(Data[],MATCH($A255,Data[Dist],0),MATCH(G$4,Data[#Headers],0))</f>
        <v>550254</v>
      </c>
      <c r="H255" s="21">
        <f>INDEX(Data[],MATCH($A255,Data[Dist],0),MATCH(H$4,Data[#Headers],0))</f>
        <v>6349794</v>
      </c>
      <c r="I255" s="21">
        <f>INDEX(Data[],MATCH($A255,Data[Dist],0),MATCH(I$4,Data[#Headers],0))</f>
        <v>8448926</v>
      </c>
      <c r="J255" s="22"/>
    </row>
    <row r="256" spans="1:10" x14ac:dyDescent="0.2">
      <c r="A256" s="19" t="str">
        <f>Data!B252</f>
        <v>5895</v>
      </c>
      <c r="B256" s="20" t="str">
        <f>INDEX(Data[],MATCH($A256,Data[Dist],0),MATCH(B$4,Data[#Headers],0))</f>
        <v>Seymour</v>
      </c>
      <c r="C256" s="21">
        <f>INDEX(Data[],MATCH($A256,Data[Dist],0),MATCH(C$4,Data[#Headers],0))</f>
        <v>38964</v>
      </c>
      <c r="D256" s="21">
        <f>INDEX(Data[],MATCH($A256,Data[Dist],0),MATCH(D$4,Data[#Headers],0))</f>
        <v>434209</v>
      </c>
      <c r="E256" s="21">
        <f>INDEX(Data[],MATCH($A256,Data[Dist],0),MATCH(E$4,Data[#Headers],0))</f>
        <v>21419</v>
      </c>
      <c r="F256" s="21">
        <f>INDEX(Data[],MATCH($A256,Data[Dist],0),MATCH(F$4,Data[#Headers],0))</f>
        <v>20792</v>
      </c>
      <c r="G256" s="21">
        <f>INDEX(Data[],MATCH($A256,Data[Dist],0),MATCH(G$4,Data[#Headers],0))</f>
        <v>88089</v>
      </c>
      <c r="H256" s="21">
        <f>INDEX(Data[],MATCH($A256,Data[Dist],0),MATCH(H$4,Data[#Headers],0))</f>
        <v>1193366</v>
      </c>
      <c r="I256" s="21">
        <f>INDEX(Data[],MATCH($A256,Data[Dist],0),MATCH(I$4,Data[#Headers],0))</f>
        <v>1796839</v>
      </c>
      <c r="J256" s="22"/>
    </row>
    <row r="257" spans="1:10" x14ac:dyDescent="0.2">
      <c r="A257" s="19" t="str">
        <f>Data!B253</f>
        <v>5922</v>
      </c>
      <c r="B257" s="20" t="str">
        <f>INDEX(Data[],MATCH($A257,Data[Dist],0),MATCH(B$4,Data[#Headers],0))</f>
        <v>West Fork</v>
      </c>
      <c r="C257" s="21">
        <f>INDEX(Data[],MATCH($A257,Data[Dist],0),MATCH(C$4,Data[#Headers],0))</f>
        <v>175339</v>
      </c>
      <c r="D257" s="21">
        <f>INDEX(Data[],MATCH($A257,Data[Dist],0),MATCH(D$4,Data[#Headers],0))</f>
        <v>682834</v>
      </c>
      <c r="E257" s="21">
        <f>INDEX(Data[],MATCH($A257,Data[Dist],0),MATCH(E$4,Data[#Headers],0))</f>
        <v>54344</v>
      </c>
      <c r="F257" s="21">
        <f>INDEX(Data[],MATCH($A257,Data[Dist],0),MATCH(F$4,Data[#Headers],0))</f>
        <v>64490</v>
      </c>
      <c r="G257" s="21">
        <f>INDEX(Data[],MATCH($A257,Data[Dist],0),MATCH(G$4,Data[#Headers],0))</f>
        <v>290558</v>
      </c>
      <c r="H257" s="21">
        <f>INDEX(Data[],MATCH($A257,Data[Dist],0),MATCH(H$4,Data[#Headers],0))</f>
        <v>3500561</v>
      </c>
      <c r="I257" s="21">
        <f>INDEX(Data[],MATCH($A257,Data[Dist],0),MATCH(I$4,Data[#Headers],0))</f>
        <v>4768126</v>
      </c>
      <c r="J257" s="22"/>
    </row>
    <row r="258" spans="1:10" x14ac:dyDescent="0.2">
      <c r="A258" s="19" t="str">
        <f>Data!B254</f>
        <v>5949</v>
      </c>
      <c r="B258" s="20" t="str">
        <f>INDEX(Data[],MATCH($A258,Data[Dist],0),MATCH(B$4,Data[#Headers],0))</f>
        <v>Sheldon</v>
      </c>
      <c r="C258" s="21">
        <f>INDEX(Data[],MATCH($A258,Data[Dist],0),MATCH(C$4,Data[#Headers],0))</f>
        <v>374056</v>
      </c>
      <c r="D258" s="21">
        <f>INDEX(Data[],MATCH($A258,Data[Dist],0),MATCH(D$4,Data[#Headers],0))</f>
        <v>968316</v>
      </c>
      <c r="E258" s="21">
        <f>INDEX(Data[],MATCH($A258,Data[Dist],0),MATCH(E$4,Data[#Headers],0))</f>
        <v>97502</v>
      </c>
      <c r="F258" s="21">
        <f>INDEX(Data[],MATCH($A258,Data[Dist],0),MATCH(F$4,Data[#Headers],0))</f>
        <v>84062</v>
      </c>
      <c r="G258" s="21">
        <f>INDEX(Data[],MATCH($A258,Data[Dist],0),MATCH(G$4,Data[#Headers],0))</f>
        <v>456952</v>
      </c>
      <c r="H258" s="21">
        <f>INDEX(Data[],MATCH($A258,Data[Dist],0),MATCH(H$4,Data[#Headers],0))</f>
        <v>6769163</v>
      </c>
      <c r="I258" s="21">
        <f>INDEX(Data[],MATCH($A258,Data[Dist],0),MATCH(I$4,Data[#Headers],0))</f>
        <v>8750051</v>
      </c>
      <c r="J258" s="22"/>
    </row>
    <row r="259" spans="1:10" x14ac:dyDescent="0.2">
      <c r="A259" s="19" t="str">
        <f>Data!B255</f>
        <v>5976</v>
      </c>
      <c r="B259" s="20" t="str">
        <f>INDEX(Data[],MATCH($A259,Data[Dist],0),MATCH(B$4,Data[#Headers],0))</f>
        <v>Shenandoah</v>
      </c>
      <c r="C259" s="21">
        <f>INDEX(Data[],MATCH($A259,Data[Dist],0),MATCH(C$4,Data[#Headers],0))</f>
        <v>214381</v>
      </c>
      <c r="D259" s="21">
        <f>INDEX(Data[],MATCH($A259,Data[Dist],0),MATCH(D$4,Data[#Headers],0))</f>
        <v>951653</v>
      </c>
      <c r="E259" s="21">
        <f>INDEX(Data[],MATCH($A259,Data[Dist],0),MATCH(E$4,Data[#Headers],0))</f>
        <v>94312</v>
      </c>
      <c r="F259" s="21">
        <f>INDEX(Data[],MATCH($A259,Data[Dist],0),MATCH(F$4,Data[#Headers],0))</f>
        <v>81113</v>
      </c>
      <c r="G259" s="21">
        <f>INDEX(Data[],MATCH($A259,Data[Dist],0),MATCH(G$4,Data[#Headers],0))</f>
        <v>400782</v>
      </c>
      <c r="H259" s="21">
        <f>INDEX(Data[],MATCH($A259,Data[Dist],0),MATCH(H$4,Data[#Headers],0))</f>
        <v>5990786</v>
      </c>
      <c r="I259" s="21">
        <f>INDEX(Data[],MATCH($A259,Data[Dist],0),MATCH(I$4,Data[#Headers],0))</f>
        <v>7733027</v>
      </c>
      <c r="J259" s="22"/>
    </row>
    <row r="260" spans="1:10" x14ac:dyDescent="0.2">
      <c r="A260" s="19" t="str">
        <f>Data!B256</f>
        <v>5994</v>
      </c>
      <c r="B260" s="20" t="str">
        <f>INDEX(Data[],MATCH($A260,Data[Dist],0),MATCH(B$4,Data[#Headers],0))</f>
        <v>Sibley-Ocheyedan</v>
      </c>
      <c r="C260" s="21">
        <f>INDEX(Data[],MATCH($A260,Data[Dist],0),MATCH(C$4,Data[#Headers],0))</f>
        <v>239109</v>
      </c>
      <c r="D260" s="21">
        <f>INDEX(Data[],MATCH($A260,Data[Dist],0),MATCH(D$4,Data[#Headers],0))</f>
        <v>710226</v>
      </c>
      <c r="E260" s="21">
        <f>INDEX(Data[],MATCH($A260,Data[Dist],0),MATCH(E$4,Data[#Headers],0))</f>
        <v>55244</v>
      </c>
      <c r="F260" s="21">
        <f>INDEX(Data[],MATCH($A260,Data[Dist],0),MATCH(F$4,Data[#Headers],0))</f>
        <v>48478</v>
      </c>
      <c r="G260" s="21">
        <f>INDEX(Data[],MATCH($A260,Data[Dist],0),MATCH(G$4,Data[#Headers],0))</f>
        <v>253917</v>
      </c>
      <c r="H260" s="21">
        <f>INDEX(Data[],MATCH($A260,Data[Dist],0),MATCH(H$4,Data[#Headers],0))</f>
        <v>3195718</v>
      </c>
      <c r="I260" s="21">
        <f>INDEX(Data[],MATCH($A260,Data[Dist],0),MATCH(I$4,Data[#Headers],0))</f>
        <v>4502692</v>
      </c>
      <c r="J260" s="22"/>
    </row>
    <row r="261" spans="1:10" x14ac:dyDescent="0.2">
      <c r="A261" s="19" t="str">
        <f>Data!B257</f>
        <v>6003</v>
      </c>
      <c r="B261" s="20" t="str">
        <f>INDEX(Data[],MATCH($A261,Data[Dist],0),MATCH(B$4,Data[#Headers],0))</f>
        <v>Sidney</v>
      </c>
      <c r="C261" s="21">
        <f>INDEX(Data[],MATCH($A261,Data[Dist],0),MATCH(C$4,Data[#Headers],0))</f>
        <v>62343</v>
      </c>
      <c r="D261" s="21">
        <f>INDEX(Data[],MATCH($A261,Data[Dist],0),MATCH(D$4,Data[#Headers],0))</f>
        <v>416047</v>
      </c>
      <c r="E261" s="21">
        <f>INDEX(Data[],MATCH($A261,Data[Dist],0),MATCH(E$4,Data[#Headers],0))</f>
        <v>32793</v>
      </c>
      <c r="F261" s="21">
        <f>INDEX(Data[],MATCH($A261,Data[Dist],0),MATCH(F$4,Data[#Headers],0))</f>
        <v>30731</v>
      </c>
      <c r="G261" s="21">
        <f>INDEX(Data[],MATCH($A261,Data[Dist],0),MATCH(G$4,Data[#Headers],0))</f>
        <v>146941</v>
      </c>
      <c r="H261" s="21">
        <f>INDEX(Data[],MATCH($A261,Data[Dist],0),MATCH(H$4,Data[#Headers],0))</f>
        <v>2017906</v>
      </c>
      <c r="I261" s="21">
        <f>INDEX(Data[],MATCH($A261,Data[Dist],0),MATCH(I$4,Data[#Headers],0))</f>
        <v>2706761</v>
      </c>
      <c r="J261" s="22"/>
    </row>
    <row r="262" spans="1:10" x14ac:dyDescent="0.2">
      <c r="A262" s="19" t="str">
        <f>Data!B258</f>
        <v>6012</v>
      </c>
      <c r="B262" s="20" t="str">
        <f>INDEX(Data[],MATCH($A262,Data[Dist],0),MATCH(B$4,Data[#Headers],0))</f>
        <v>Sigourney</v>
      </c>
      <c r="C262" s="21">
        <f>INDEX(Data[],MATCH($A262,Data[Dist],0),MATCH(C$4,Data[#Headers],0))</f>
        <v>74110</v>
      </c>
      <c r="D262" s="21">
        <f>INDEX(Data[],MATCH($A262,Data[Dist],0),MATCH(D$4,Data[#Headers],0))</f>
        <v>518832</v>
      </c>
      <c r="E262" s="21">
        <f>INDEX(Data[],MATCH($A262,Data[Dist],0),MATCH(E$4,Data[#Headers],0))</f>
        <v>44619</v>
      </c>
      <c r="F262" s="21">
        <f>INDEX(Data[],MATCH($A262,Data[Dist],0),MATCH(F$4,Data[#Headers],0))</f>
        <v>42652</v>
      </c>
      <c r="G262" s="21">
        <f>INDEX(Data[],MATCH($A262,Data[Dist],0),MATCH(G$4,Data[#Headers],0))</f>
        <v>213536</v>
      </c>
      <c r="H262" s="21">
        <f>INDEX(Data[],MATCH($A262,Data[Dist],0),MATCH(H$4,Data[#Headers],0))</f>
        <v>3402927</v>
      </c>
      <c r="I262" s="21">
        <f>INDEX(Data[],MATCH($A262,Data[Dist],0),MATCH(I$4,Data[#Headers],0))</f>
        <v>4296676</v>
      </c>
      <c r="J262" s="22"/>
    </row>
    <row r="263" spans="1:10" x14ac:dyDescent="0.2">
      <c r="A263" s="19" t="str">
        <f>Data!B259</f>
        <v>6030</v>
      </c>
      <c r="B263" s="20" t="str">
        <f>INDEX(Data[],MATCH($A263,Data[Dist],0),MATCH(B$4,Data[#Headers],0))</f>
        <v>Sioux Center</v>
      </c>
      <c r="C263" s="21">
        <f>INDEX(Data[],MATCH($A263,Data[Dist],0),MATCH(C$4,Data[#Headers],0))</f>
        <v>557187</v>
      </c>
      <c r="D263" s="21">
        <f>INDEX(Data[],MATCH($A263,Data[Dist],0),MATCH(D$4,Data[#Headers],0))</f>
        <v>1373740</v>
      </c>
      <c r="E263" s="21">
        <f>INDEX(Data[],MATCH($A263,Data[Dist],0),MATCH(E$4,Data[#Headers],0))</f>
        <v>170106</v>
      </c>
      <c r="F263" s="21">
        <f>INDEX(Data[],MATCH($A263,Data[Dist],0),MATCH(F$4,Data[#Headers],0))</f>
        <v>161094</v>
      </c>
      <c r="G263" s="21">
        <f>INDEX(Data[],MATCH($A263,Data[Dist],0),MATCH(G$4,Data[#Headers],0))</f>
        <v>710718</v>
      </c>
      <c r="H263" s="21">
        <f>INDEX(Data[],MATCH($A263,Data[Dist],0),MATCH(H$4,Data[#Headers],0))</f>
        <v>9331040</v>
      </c>
      <c r="I263" s="21">
        <f>INDEX(Data[],MATCH($A263,Data[Dist],0),MATCH(I$4,Data[#Headers],0))</f>
        <v>12303885</v>
      </c>
      <c r="J263" s="22"/>
    </row>
    <row r="264" spans="1:10" x14ac:dyDescent="0.2">
      <c r="A264" s="19" t="str">
        <f>Data!B260</f>
        <v>6039</v>
      </c>
      <c r="B264" s="20" t="str">
        <f>INDEX(Data[],MATCH($A264,Data[Dist],0),MATCH(B$4,Data[#Headers],0))</f>
        <v>Sioux City</v>
      </c>
      <c r="C264" s="21">
        <f>INDEX(Data[],MATCH($A264,Data[Dist],0),MATCH(C$4,Data[#Headers],0))</f>
        <v>2563131</v>
      </c>
      <c r="D264" s="21">
        <f>INDEX(Data[],MATCH($A264,Data[Dist],0),MATCH(D$4,Data[#Headers],0))</f>
        <v>10821084</v>
      </c>
      <c r="E264" s="21">
        <f>INDEX(Data[],MATCH($A264,Data[Dist],0),MATCH(E$4,Data[#Headers],0))</f>
        <v>1475849</v>
      </c>
      <c r="F264" s="21">
        <f>INDEX(Data[],MATCH($A264,Data[Dist],0),MATCH(F$4,Data[#Headers],0))</f>
        <v>1199282</v>
      </c>
      <c r="G264" s="21">
        <f>INDEX(Data[],MATCH($A264,Data[Dist],0),MATCH(G$4,Data[#Headers],0))</f>
        <v>5846131</v>
      </c>
      <c r="H264" s="21">
        <f>INDEX(Data[],MATCH($A264,Data[Dist],0),MATCH(H$4,Data[#Headers],0))</f>
        <v>111888452</v>
      </c>
      <c r="I264" s="21">
        <f>INDEX(Data[],MATCH($A264,Data[Dist],0),MATCH(I$4,Data[#Headers],0))</f>
        <v>133793929</v>
      </c>
      <c r="J264" s="22"/>
    </row>
    <row r="265" spans="1:10" x14ac:dyDescent="0.2">
      <c r="A265" s="19" t="str">
        <f>Data!B261</f>
        <v>6048</v>
      </c>
      <c r="B265" s="20" t="str">
        <f>INDEX(Data[],MATCH($A265,Data[Dist],0),MATCH(B$4,Data[#Headers],0))</f>
        <v>Sioux Central</v>
      </c>
      <c r="C265" s="21">
        <f>INDEX(Data[],MATCH($A265,Data[Dist],0),MATCH(C$4,Data[#Headers],0))</f>
        <v>89618</v>
      </c>
      <c r="D265" s="21">
        <f>INDEX(Data[],MATCH($A265,Data[Dist],0),MATCH(D$4,Data[#Headers],0))</f>
        <v>471663</v>
      </c>
      <c r="E265" s="21">
        <f>INDEX(Data[],MATCH($A265,Data[Dist],0),MATCH(E$4,Data[#Headers],0))</f>
        <v>37115</v>
      </c>
      <c r="F265" s="21">
        <f>INDEX(Data[],MATCH($A265,Data[Dist],0),MATCH(F$4,Data[#Headers],0))</f>
        <v>39928</v>
      </c>
      <c r="G265" s="21">
        <f>INDEX(Data[],MATCH($A265,Data[Dist],0),MATCH(G$4,Data[#Headers],0))</f>
        <v>166583</v>
      </c>
      <c r="H265" s="21">
        <f>INDEX(Data[],MATCH($A265,Data[Dist],0),MATCH(H$4,Data[#Headers],0))</f>
        <v>2010977</v>
      </c>
      <c r="I265" s="21">
        <f>INDEX(Data[],MATCH($A265,Data[Dist],0),MATCH(I$4,Data[#Headers],0))</f>
        <v>2815884</v>
      </c>
      <c r="J265" s="22"/>
    </row>
    <row r="266" spans="1:10" x14ac:dyDescent="0.2">
      <c r="A266" s="19" t="str">
        <f>Data!B262</f>
        <v>6091</v>
      </c>
      <c r="B266" s="20" t="str">
        <f>INDEX(Data[],MATCH($A266,Data[Dist],0),MATCH(B$4,Data[#Headers],0))</f>
        <v>South Central Calhoun</v>
      </c>
      <c r="C266" s="21">
        <f>INDEX(Data[],MATCH($A266,Data[Dist],0),MATCH(C$4,Data[#Headers],0))</f>
        <v>144167</v>
      </c>
      <c r="D266" s="21">
        <f>INDEX(Data[],MATCH($A266,Data[Dist],0),MATCH(D$4,Data[#Headers],0))</f>
        <v>806673</v>
      </c>
      <c r="E266" s="21">
        <f>INDEX(Data[],MATCH($A266,Data[Dist],0),MATCH(E$4,Data[#Headers],0))</f>
        <v>76312</v>
      </c>
      <c r="F266" s="21">
        <f>INDEX(Data[],MATCH($A266,Data[Dist],0),MATCH(F$4,Data[#Headers],0))</f>
        <v>71970</v>
      </c>
      <c r="G266" s="21">
        <f>INDEX(Data[],MATCH($A266,Data[Dist],0),MATCH(G$4,Data[#Headers],0))</f>
        <v>357380</v>
      </c>
      <c r="H266" s="21">
        <f>INDEX(Data[],MATCH($A266,Data[Dist],0),MATCH(H$4,Data[#Headers],0))</f>
        <v>3893520</v>
      </c>
      <c r="I266" s="21">
        <f>INDEX(Data[],MATCH($A266,Data[Dist],0),MATCH(I$4,Data[#Headers],0))</f>
        <v>5350022</v>
      </c>
      <c r="J266" s="22"/>
    </row>
    <row r="267" spans="1:10" x14ac:dyDescent="0.2">
      <c r="A267" s="19" t="str">
        <f>Data!B263</f>
        <v>6093</v>
      </c>
      <c r="B267" s="20" t="str">
        <f>INDEX(Data[],MATCH($A267,Data[Dist],0),MATCH(B$4,Data[#Headers],0))</f>
        <v>Solon</v>
      </c>
      <c r="C267" s="21">
        <f>INDEX(Data[],MATCH($A267,Data[Dist],0),MATCH(C$4,Data[#Headers],0))</f>
        <v>307817</v>
      </c>
      <c r="D267" s="21">
        <f>INDEX(Data[],MATCH($A267,Data[Dist],0),MATCH(D$4,Data[#Headers],0))</f>
        <v>1056790</v>
      </c>
      <c r="E267" s="21">
        <f>INDEX(Data[],MATCH($A267,Data[Dist],0),MATCH(E$4,Data[#Headers],0))</f>
        <v>92069</v>
      </c>
      <c r="F267" s="21">
        <f>INDEX(Data[],MATCH($A267,Data[Dist],0),MATCH(F$4,Data[#Headers],0))</f>
        <v>98003</v>
      </c>
      <c r="G267" s="21">
        <f>INDEX(Data[],MATCH($A267,Data[Dist],0),MATCH(G$4,Data[#Headers],0))</f>
        <v>546741</v>
      </c>
      <c r="H267" s="21">
        <f>INDEX(Data[],MATCH($A267,Data[Dist],0),MATCH(H$4,Data[#Headers],0))</f>
        <v>7663963</v>
      </c>
      <c r="I267" s="21">
        <f>INDEX(Data[],MATCH($A267,Data[Dist],0),MATCH(I$4,Data[#Headers],0))</f>
        <v>9765383</v>
      </c>
      <c r="J267" s="22"/>
    </row>
    <row r="268" spans="1:10" x14ac:dyDescent="0.2">
      <c r="A268" s="19" t="str">
        <f>Data!B264</f>
        <v>6094</v>
      </c>
      <c r="B268" s="20" t="str">
        <f>INDEX(Data[],MATCH($A268,Data[Dist],0),MATCH(B$4,Data[#Headers],0))</f>
        <v>Southeast Warren</v>
      </c>
      <c r="C268" s="21">
        <f>INDEX(Data[],MATCH($A268,Data[Dist],0),MATCH(C$4,Data[#Headers],0))</f>
        <v>93514</v>
      </c>
      <c r="D268" s="21">
        <f>INDEX(Data[],MATCH($A268,Data[Dist],0),MATCH(D$4,Data[#Headers],0))</f>
        <v>529203</v>
      </c>
      <c r="E268" s="21">
        <f>INDEX(Data[],MATCH($A268,Data[Dist],0),MATCH(E$4,Data[#Headers],0))</f>
        <v>35329</v>
      </c>
      <c r="F268" s="21">
        <f>INDEX(Data[],MATCH($A268,Data[Dist],0),MATCH(F$4,Data[#Headers],0))</f>
        <v>36021</v>
      </c>
      <c r="G268" s="21">
        <f>INDEX(Data[],MATCH($A268,Data[Dist],0),MATCH(G$4,Data[#Headers],0))</f>
        <v>186906</v>
      </c>
      <c r="H268" s="21">
        <f>INDEX(Data[],MATCH($A268,Data[Dist],0),MATCH(H$4,Data[#Headers],0))</f>
        <v>2994784</v>
      </c>
      <c r="I268" s="21">
        <f>INDEX(Data[],MATCH($A268,Data[Dist],0),MATCH(I$4,Data[#Headers],0))</f>
        <v>3875757</v>
      </c>
      <c r="J268" s="22"/>
    </row>
    <row r="269" spans="1:10" x14ac:dyDescent="0.2">
      <c r="A269" s="19" t="str">
        <f>Data!B265</f>
        <v>6095</v>
      </c>
      <c r="B269" s="20" t="str">
        <f>INDEX(Data[],MATCH($A269,Data[Dist],0),MATCH(B$4,Data[#Headers],0))</f>
        <v>South Hamilton</v>
      </c>
      <c r="C269" s="21">
        <f>INDEX(Data[],MATCH($A269,Data[Dist],0),MATCH(C$4,Data[#Headers],0))</f>
        <v>120789</v>
      </c>
      <c r="D269" s="21">
        <f>INDEX(Data[],MATCH($A269,Data[Dist],0),MATCH(D$4,Data[#Headers],0))</f>
        <v>562153</v>
      </c>
      <c r="E269" s="21">
        <f>INDEX(Data[],MATCH($A269,Data[Dist],0),MATCH(E$4,Data[#Headers],0))</f>
        <v>51358</v>
      </c>
      <c r="F269" s="21">
        <f>INDEX(Data[],MATCH($A269,Data[Dist],0),MATCH(F$4,Data[#Headers],0))</f>
        <v>53107</v>
      </c>
      <c r="G269" s="21">
        <f>INDEX(Data[],MATCH($A269,Data[Dist],0),MATCH(G$4,Data[#Headers],0))</f>
        <v>231366</v>
      </c>
      <c r="H269" s="21">
        <f>INDEX(Data[],MATCH($A269,Data[Dist],0),MATCH(H$4,Data[#Headers],0))</f>
        <v>2640517</v>
      </c>
      <c r="I269" s="21">
        <f>INDEX(Data[],MATCH($A269,Data[Dist],0),MATCH(I$4,Data[#Headers],0))</f>
        <v>3659290</v>
      </c>
      <c r="J269" s="22"/>
    </row>
    <row r="270" spans="1:10" x14ac:dyDescent="0.2">
      <c r="A270" s="19" t="str">
        <f>Data!B266</f>
        <v>6096</v>
      </c>
      <c r="B270" s="20" t="str">
        <f>INDEX(Data[],MATCH($A270,Data[Dist],0),MATCH(B$4,Data[#Headers],0))</f>
        <v>Southeast Valley</v>
      </c>
      <c r="C270" s="21">
        <f>INDEX(Data[],MATCH($A270,Data[Dist],0),MATCH(C$4,Data[#Headers],0))</f>
        <v>257163</v>
      </c>
      <c r="D270" s="21">
        <f>INDEX(Data[],MATCH($A270,Data[Dist],0),MATCH(D$4,Data[#Headers],0))</f>
        <v>1224453</v>
      </c>
      <c r="E270" s="21">
        <f>INDEX(Data[],MATCH($A270,Data[Dist],0),MATCH(E$4,Data[#Headers],0))</f>
        <v>94185</v>
      </c>
      <c r="F270" s="21">
        <f>INDEX(Data[],MATCH($A270,Data[Dist],0),MATCH(F$4,Data[#Headers],0))</f>
        <v>96929</v>
      </c>
      <c r="G270" s="21">
        <f>INDEX(Data[],MATCH($A270,Data[Dist],0),MATCH(G$4,Data[#Headers],0))</f>
        <v>424806</v>
      </c>
      <c r="H270" s="21">
        <f>INDEX(Data[],MATCH($A270,Data[Dist],0),MATCH(H$4,Data[#Headers],0))</f>
        <v>4820589</v>
      </c>
      <c r="I270" s="21">
        <f>INDEX(Data[],MATCH($A270,Data[Dist],0),MATCH(I$4,Data[#Headers],0))</f>
        <v>6918125</v>
      </c>
      <c r="J270" s="22"/>
    </row>
    <row r="271" spans="1:10" x14ac:dyDescent="0.2">
      <c r="A271" s="19" t="str">
        <f>Data!B267</f>
        <v>6097</v>
      </c>
      <c r="B271" s="20" t="str">
        <f>INDEX(Data[],MATCH($A271,Data[Dist],0),MATCH(B$4,Data[#Headers],0))</f>
        <v>South Page</v>
      </c>
      <c r="C271" s="21">
        <f>INDEX(Data[],MATCH($A271,Data[Dist],0),MATCH(C$4,Data[#Headers],0))</f>
        <v>7793</v>
      </c>
      <c r="D271" s="21">
        <f>INDEX(Data[],MATCH($A271,Data[Dist],0),MATCH(D$4,Data[#Headers],0))</f>
        <v>253773</v>
      </c>
      <c r="E271" s="21">
        <f>INDEX(Data[],MATCH($A271,Data[Dist],0),MATCH(E$4,Data[#Headers],0))</f>
        <v>13266</v>
      </c>
      <c r="F271" s="21">
        <f>INDEX(Data[],MATCH($A271,Data[Dist],0),MATCH(F$4,Data[#Headers],0))</f>
        <v>15449</v>
      </c>
      <c r="G271" s="21">
        <f>INDEX(Data[],MATCH($A271,Data[Dist],0),MATCH(G$4,Data[#Headers],0))</f>
        <v>74528</v>
      </c>
      <c r="H271" s="21">
        <f>INDEX(Data[],MATCH($A271,Data[Dist],0),MATCH(H$4,Data[#Headers],0))</f>
        <v>1023038</v>
      </c>
      <c r="I271" s="21">
        <f>INDEX(Data[],MATCH($A271,Data[Dist],0),MATCH(I$4,Data[#Headers],0))</f>
        <v>1387847</v>
      </c>
      <c r="J271" s="22"/>
    </row>
    <row r="272" spans="1:10" x14ac:dyDescent="0.2">
      <c r="A272" s="19" t="str">
        <f>Data!B268</f>
        <v>6098</v>
      </c>
      <c r="B272" s="20" t="str">
        <f>INDEX(Data[],MATCH($A272,Data[Dist],0),MATCH(B$4,Data[#Headers],0))</f>
        <v>South Tama</v>
      </c>
      <c r="C272" s="21">
        <f>INDEX(Data[],MATCH($A272,Data[Dist],0),MATCH(C$4,Data[#Headers],0))</f>
        <v>249371</v>
      </c>
      <c r="D272" s="21">
        <f>INDEX(Data[],MATCH($A272,Data[Dist],0),MATCH(D$4,Data[#Headers],0))</f>
        <v>1081187</v>
      </c>
      <c r="E272" s="21">
        <f>INDEX(Data[],MATCH($A272,Data[Dist],0),MATCH(E$4,Data[#Headers],0))</f>
        <v>126430</v>
      </c>
      <c r="F272" s="21">
        <f>INDEX(Data[],MATCH($A272,Data[Dist],0),MATCH(F$4,Data[#Headers],0))</f>
        <v>102534</v>
      </c>
      <c r="G272" s="21">
        <f>INDEX(Data[],MATCH($A272,Data[Dist],0),MATCH(G$4,Data[#Headers],0))</f>
        <v>533410</v>
      </c>
      <c r="H272" s="21">
        <f>INDEX(Data[],MATCH($A272,Data[Dist],0),MATCH(H$4,Data[#Headers],0))</f>
        <v>9985262</v>
      </c>
      <c r="I272" s="21">
        <f>INDEX(Data[],MATCH($A272,Data[Dist],0),MATCH(I$4,Data[#Headers],0))</f>
        <v>12078194</v>
      </c>
      <c r="J272" s="22"/>
    </row>
    <row r="273" spans="1:10" x14ac:dyDescent="0.2">
      <c r="A273" s="19" t="str">
        <f>Data!B269</f>
        <v>6100</v>
      </c>
      <c r="B273" s="20" t="str">
        <f>INDEX(Data[],MATCH($A273,Data[Dist],0),MATCH(B$4,Data[#Headers],0))</f>
        <v>South Winneshiek</v>
      </c>
      <c r="C273" s="21">
        <f>INDEX(Data[],MATCH($A273,Data[Dist],0),MATCH(C$4,Data[#Headers],0))</f>
        <v>225992</v>
      </c>
      <c r="D273" s="21">
        <f>INDEX(Data[],MATCH($A273,Data[Dist],0),MATCH(D$4,Data[#Headers],0))</f>
        <v>573533</v>
      </c>
      <c r="E273" s="21">
        <f>INDEX(Data[],MATCH($A273,Data[Dist],0),MATCH(E$4,Data[#Headers],0))</f>
        <v>39769</v>
      </c>
      <c r="F273" s="21">
        <f>INDEX(Data[],MATCH($A273,Data[Dist],0),MATCH(F$4,Data[#Headers],0))</f>
        <v>49605</v>
      </c>
      <c r="G273" s="21">
        <f>INDEX(Data[],MATCH($A273,Data[Dist],0),MATCH(G$4,Data[#Headers],0))</f>
        <v>236050</v>
      </c>
      <c r="H273" s="21">
        <f>INDEX(Data[],MATCH($A273,Data[Dist],0),MATCH(H$4,Data[#Headers],0))</f>
        <v>3037065</v>
      </c>
      <c r="I273" s="21">
        <f>INDEX(Data[],MATCH($A273,Data[Dist],0),MATCH(I$4,Data[#Headers],0))</f>
        <v>4162014</v>
      </c>
      <c r="J273" s="22"/>
    </row>
    <row r="274" spans="1:10" x14ac:dyDescent="0.2">
      <c r="A274" s="19" t="str">
        <f>Data!B270</f>
        <v>6101</v>
      </c>
      <c r="B274" s="20" t="str">
        <f>INDEX(Data[],MATCH($A274,Data[Dist],0),MATCH(B$4,Data[#Headers],0))</f>
        <v>Southeast Polk</v>
      </c>
      <c r="C274" s="21">
        <f>INDEX(Data[],MATCH($A274,Data[Dist],0),MATCH(C$4,Data[#Headers],0))</f>
        <v>985871</v>
      </c>
      <c r="D274" s="21">
        <f>INDEX(Data[],MATCH($A274,Data[Dist],0),MATCH(D$4,Data[#Headers],0))</f>
        <v>5161840</v>
      </c>
      <c r="E274" s="21">
        <f>INDEX(Data[],MATCH($A274,Data[Dist],0),MATCH(E$4,Data[#Headers],0))</f>
        <v>540849</v>
      </c>
      <c r="F274" s="21">
        <f>INDEX(Data[],MATCH($A274,Data[Dist],0),MATCH(F$4,Data[#Headers],0))</f>
        <v>537749</v>
      </c>
      <c r="G274" s="21">
        <f>INDEX(Data[],MATCH($A274,Data[Dist],0),MATCH(G$4,Data[#Headers],0))</f>
        <v>2788703</v>
      </c>
      <c r="H274" s="21">
        <f>INDEX(Data[],MATCH($A274,Data[Dist],0),MATCH(H$4,Data[#Headers],0))</f>
        <v>46301374</v>
      </c>
      <c r="I274" s="21">
        <f>INDEX(Data[],MATCH($A274,Data[Dist],0),MATCH(I$4,Data[#Headers],0))</f>
        <v>56316386</v>
      </c>
      <c r="J274" s="22"/>
    </row>
    <row r="275" spans="1:10" x14ac:dyDescent="0.2">
      <c r="A275" s="19" t="str">
        <f>Data!B271</f>
        <v>6102</v>
      </c>
      <c r="B275" s="20" t="str">
        <f>INDEX(Data[],MATCH($A275,Data[Dist],0),MATCH(B$4,Data[#Headers],0))</f>
        <v>Spencer</v>
      </c>
      <c r="C275" s="21">
        <f>INDEX(Data[],MATCH($A275,Data[Dist],0),MATCH(C$4,Data[#Headers],0))</f>
        <v>607841</v>
      </c>
      <c r="D275" s="21">
        <f>INDEX(Data[],MATCH($A275,Data[Dist],0),MATCH(D$4,Data[#Headers],0))</f>
        <v>1553644</v>
      </c>
      <c r="E275" s="21">
        <f>INDEX(Data[],MATCH($A275,Data[Dist],0),MATCH(E$4,Data[#Headers],0))</f>
        <v>172168</v>
      </c>
      <c r="F275" s="21">
        <f>INDEX(Data[],MATCH($A275,Data[Dist],0),MATCH(F$4,Data[#Headers],0))</f>
        <v>173169</v>
      </c>
      <c r="G275" s="21">
        <f>INDEX(Data[],MATCH($A275,Data[Dist],0),MATCH(G$4,Data[#Headers],0))</f>
        <v>803793</v>
      </c>
      <c r="H275" s="21">
        <f>INDEX(Data[],MATCH($A275,Data[Dist],0),MATCH(H$4,Data[#Headers],0))</f>
        <v>13079225</v>
      </c>
      <c r="I275" s="21">
        <f>INDEX(Data[],MATCH($A275,Data[Dist],0),MATCH(I$4,Data[#Headers],0))</f>
        <v>16389840</v>
      </c>
      <c r="J275" s="22"/>
    </row>
    <row r="276" spans="1:10" x14ac:dyDescent="0.2">
      <c r="A276" s="19" t="str">
        <f>Data!B272</f>
        <v>6120</v>
      </c>
      <c r="B276" s="20" t="str">
        <f>INDEX(Data[],MATCH($A276,Data[Dist],0),MATCH(B$4,Data[#Headers],0))</f>
        <v>Spirit Lake</v>
      </c>
      <c r="C276" s="21">
        <f>INDEX(Data[],MATCH($A276,Data[Dist],0),MATCH(C$4,Data[#Headers],0))</f>
        <v>315610</v>
      </c>
      <c r="D276" s="21">
        <f>INDEX(Data[],MATCH($A276,Data[Dist],0),MATCH(D$4,Data[#Headers],0))</f>
        <v>937099</v>
      </c>
      <c r="E276" s="21">
        <f>INDEX(Data[],MATCH($A276,Data[Dist],0),MATCH(E$4,Data[#Headers],0))</f>
        <v>90448</v>
      </c>
      <c r="F276" s="21">
        <f>INDEX(Data[],MATCH($A276,Data[Dist],0),MATCH(F$4,Data[#Headers],0))</f>
        <v>93047</v>
      </c>
      <c r="G276" s="21">
        <f>INDEX(Data[],MATCH($A276,Data[Dist],0),MATCH(G$4,Data[#Headers],0))</f>
        <v>442220</v>
      </c>
      <c r="H276" s="21">
        <f>INDEX(Data[],MATCH($A276,Data[Dist],0),MATCH(H$4,Data[#Headers],0))</f>
        <v>178845</v>
      </c>
      <c r="I276" s="21">
        <f>INDEX(Data[],MATCH($A276,Data[Dist],0),MATCH(I$4,Data[#Headers],0))</f>
        <v>2057269</v>
      </c>
      <c r="J276" s="22"/>
    </row>
    <row r="277" spans="1:10" x14ac:dyDescent="0.2">
      <c r="A277" s="19" t="str">
        <f>Data!B273</f>
        <v>6138</v>
      </c>
      <c r="B277" s="20" t="str">
        <f>INDEX(Data[],MATCH($A277,Data[Dist],0),MATCH(B$4,Data[#Headers],0))</f>
        <v>Springville</v>
      </c>
      <c r="C277" s="21">
        <f>INDEX(Data[],MATCH($A277,Data[Dist],0),MATCH(C$4,Data[#Headers],0))</f>
        <v>101307</v>
      </c>
      <c r="D277" s="21">
        <f>INDEX(Data[],MATCH($A277,Data[Dist],0),MATCH(D$4,Data[#Headers],0))</f>
        <v>531119</v>
      </c>
      <c r="E277" s="21">
        <f>INDEX(Data[],MATCH($A277,Data[Dist],0),MATCH(E$4,Data[#Headers],0))</f>
        <v>27496</v>
      </c>
      <c r="F277" s="21">
        <f>INDEX(Data[],MATCH($A277,Data[Dist],0),MATCH(F$4,Data[#Headers],0))</f>
        <v>29053</v>
      </c>
      <c r="G277" s="21">
        <f>INDEX(Data[],MATCH($A277,Data[Dist],0),MATCH(G$4,Data[#Headers],0))</f>
        <v>156044</v>
      </c>
      <c r="H277" s="21">
        <f>INDEX(Data[],MATCH($A277,Data[Dist],0),MATCH(H$4,Data[#Headers],0))</f>
        <v>2309990</v>
      </c>
      <c r="I277" s="21">
        <f>INDEX(Data[],MATCH($A277,Data[Dist],0),MATCH(I$4,Data[#Headers],0))</f>
        <v>3155009</v>
      </c>
      <c r="J277" s="22"/>
    </row>
    <row r="278" spans="1:10" x14ac:dyDescent="0.2">
      <c r="A278" s="19" t="str">
        <f>Data!B274</f>
        <v>6165</v>
      </c>
      <c r="B278" s="20" t="str">
        <f>INDEX(Data[],MATCH($A278,Data[Dist],0),MATCH(B$4,Data[#Headers],0))</f>
        <v>Stanton</v>
      </c>
      <c r="C278" s="21">
        <f>INDEX(Data[],MATCH($A278,Data[Dist],0),MATCH(C$4,Data[#Headers],0))</f>
        <v>74032</v>
      </c>
      <c r="D278" s="21">
        <f>INDEX(Data[],MATCH($A278,Data[Dist],0),MATCH(D$4,Data[#Headers],0))</f>
        <v>226657</v>
      </c>
      <c r="E278" s="21">
        <f>INDEX(Data[],MATCH($A278,Data[Dist],0),MATCH(E$4,Data[#Headers],0))</f>
        <v>15025</v>
      </c>
      <c r="F278" s="21">
        <f>INDEX(Data[],MATCH($A278,Data[Dist],0),MATCH(F$4,Data[#Headers],0))</f>
        <v>18039</v>
      </c>
      <c r="G278" s="21">
        <f>INDEX(Data[],MATCH($A278,Data[Dist],0),MATCH(G$4,Data[#Headers],0))</f>
        <v>72600</v>
      </c>
      <c r="H278" s="21">
        <f>INDEX(Data[],MATCH($A278,Data[Dist],0),MATCH(H$4,Data[#Headers],0))</f>
        <v>1098478</v>
      </c>
      <c r="I278" s="21">
        <f>INDEX(Data[],MATCH($A278,Data[Dist],0),MATCH(I$4,Data[#Headers],0))</f>
        <v>1504831</v>
      </c>
      <c r="J278" s="22"/>
    </row>
    <row r="279" spans="1:10" x14ac:dyDescent="0.2">
      <c r="A279" s="19" t="str">
        <f>Data!B275</f>
        <v>6175</v>
      </c>
      <c r="B279" s="20" t="str">
        <f>INDEX(Data[],MATCH($A279,Data[Dist],0),MATCH(B$4,Data[#Headers],0))</f>
        <v>Starmont</v>
      </c>
      <c r="C279" s="21">
        <f>INDEX(Data[],MATCH($A279,Data[Dist],0),MATCH(C$4,Data[#Headers],0))</f>
        <v>124685</v>
      </c>
      <c r="D279" s="21">
        <f>INDEX(Data[],MATCH($A279,Data[Dist],0),MATCH(D$4,Data[#Headers],0))</f>
        <v>529479</v>
      </c>
      <c r="E279" s="21">
        <f>INDEX(Data[],MATCH($A279,Data[Dist],0),MATCH(E$4,Data[#Headers],0))</f>
        <v>51523</v>
      </c>
      <c r="F279" s="21">
        <f>INDEX(Data[],MATCH($A279,Data[Dist],0),MATCH(F$4,Data[#Headers],0))</f>
        <v>46631</v>
      </c>
      <c r="G279" s="21">
        <f>INDEX(Data[],MATCH($A279,Data[Dist],0),MATCH(G$4,Data[#Headers],0))</f>
        <v>217918</v>
      </c>
      <c r="H279" s="21">
        <f>INDEX(Data[],MATCH($A279,Data[Dist],0),MATCH(H$4,Data[#Headers],0))</f>
        <v>3280100</v>
      </c>
      <c r="I279" s="21">
        <f>INDEX(Data[],MATCH($A279,Data[Dist],0),MATCH(I$4,Data[#Headers],0))</f>
        <v>4250336</v>
      </c>
      <c r="J279" s="22"/>
    </row>
    <row r="280" spans="1:10" x14ac:dyDescent="0.2">
      <c r="A280" s="19" t="str">
        <f>Data!B276</f>
        <v>6219</v>
      </c>
      <c r="B280" s="20" t="str">
        <f>INDEX(Data[],MATCH($A280,Data[Dist],0),MATCH(B$4,Data[#Headers],0))</f>
        <v>Storm Lake</v>
      </c>
      <c r="C280" s="21">
        <f>INDEX(Data[],MATCH($A280,Data[Dist],0),MATCH(C$4,Data[#Headers],0))</f>
        <v>615634</v>
      </c>
      <c r="D280" s="21">
        <f>INDEX(Data[],MATCH($A280,Data[Dist],0),MATCH(D$4,Data[#Headers],0))</f>
        <v>1974345</v>
      </c>
      <c r="E280" s="21">
        <f>INDEX(Data[],MATCH($A280,Data[Dist],0),MATCH(E$4,Data[#Headers],0))</f>
        <v>256673</v>
      </c>
      <c r="F280" s="21">
        <f>INDEX(Data[],MATCH($A280,Data[Dist],0),MATCH(F$4,Data[#Headers],0))</f>
        <v>204484</v>
      </c>
      <c r="G280" s="21">
        <f>INDEX(Data[],MATCH($A280,Data[Dist],0),MATCH(G$4,Data[#Headers],0))</f>
        <v>1021447</v>
      </c>
      <c r="H280" s="21">
        <f>INDEX(Data[],MATCH($A280,Data[Dist],0),MATCH(H$4,Data[#Headers],0))</f>
        <v>19942332</v>
      </c>
      <c r="I280" s="21">
        <f>INDEX(Data[],MATCH($A280,Data[Dist],0),MATCH(I$4,Data[#Headers],0))</f>
        <v>24014915</v>
      </c>
      <c r="J280" s="22"/>
    </row>
    <row r="281" spans="1:10" x14ac:dyDescent="0.2">
      <c r="A281" s="19" t="str">
        <f>Data!B277</f>
        <v>6246</v>
      </c>
      <c r="B281" s="20" t="str">
        <f>INDEX(Data[],MATCH($A281,Data[Dist],0),MATCH(B$4,Data[#Headers],0))</f>
        <v>Stratford</v>
      </c>
      <c r="C281" s="21">
        <f>INDEX(Data[],MATCH($A281,Data[Dist],0),MATCH(C$4,Data[#Headers],0))</f>
        <v>46757</v>
      </c>
      <c r="D281" s="21">
        <f>INDEX(Data[],MATCH($A281,Data[Dist],0),MATCH(D$4,Data[#Headers],0))</f>
        <v>180516</v>
      </c>
      <c r="E281" s="21">
        <f>INDEX(Data[],MATCH($A281,Data[Dist],0),MATCH(E$4,Data[#Headers],0))</f>
        <v>10995</v>
      </c>
      <c r="F281" s="21">
        <f>INDEX(Data[],MATCH($A281,Data[Dist],0),MATCH(F$4,Data[#Headers],0))</f>
        <v>9715</v>
      </c>
      <c r="G281" s="21">
        <f>INDEX(Data[],MATCH($A281,Data[Dist],0),MATCH(G$4,Data[#Headers],0))</f>
        <v>56623</v>
      </c>
      <c r="H281" s="21">
        <f>INDEX(Data[],MATCH($A281,Data[Dist],0),MATCH(H$4,Data[#Headers],0))</f>
        <v>809043</v>
      </c>
      <c r="I281" s="21">
        <f>INDEX(Data[],MATCH($A281,Data[Dist],0),MATCH(I$4,Data[#Headers],0))</f>
        <v>1113649</v>
      </c>
      <c r="J281" s="22"/>
    </row>
    <row r="282" spans="1:10" x14ac:dyDescent="0.2">
      <c r="A282" s="19" t="str">
        <f>Data!B278</f>
        <v>6264</v>
      </c>
      <c r="B282" s="20" t="str">
        <f>INDEX(Data[],MATCH($A282,Data[Dist],0),MATCH(B$4,Data[#Headers],0))</f>
        <v>West Central Valley</v>
      </c>
      <c r="C282" s="21">
        <f>INDEX(Data[],MATCH($A282,Data[Dist],0),MATCH(C$4,Data[#Headers],0))</f>
        <v>198717</v>
      </c>
      <c r="D282" s="21">
        <f>INDEX(Data[],MATCH($A282,Data[Dist],0),MATCH(D$4,Data[#Headers],0))</f>
        <v>774275</v>
      </c>
      <c r="E282" s="21">
        <f>INDEX(Data[],MATCH($A282,Data[Dist],0),MATCH(E$4,Data[#Headers],0))</f>
        <v>71219</v>
      </c>
      <c r="F282" s="21">
        <f>INDEX(Data[],MATCH($A282,Data[Dist],0),MATCH(F$4,Data[#Headers],0))</f>
        <v>64591</v>
      </c>
      <c r="G282" s="21">
        <f>INDEX(Data[],MATCH($A282,Data[Dist],0),MATCH(G$4,Data[#Headers],0))</f>
        <v>356133</v>
      </c>
      <c r="H282" s="21">
        <f>INDEX(Data[],MATCH($A282,Data[Dist],0),MATCH(H$4,Data[#Headers],0))</f>
        <v>4159378</v>
      </c>
      <c r="I282" s="21">
        <f>INDEX(Data[],MATCH($A282,Data[Dist],0),MATCH(I$4,Data[#Headers],0))</f>
        <v>5624313</v>
      </c>
      <c r="J282" s="22"/>
    </row>
    <row r="283" spans="1:10" x14ac:dyDescent="0.2">
      <c r="A283" s="19" t="str">
        <f>Data!B279</f>
        <v>6273</v>
      </c>
      <c r="B283" s="20" t="str">
        <f>INDEX(Data[],MATCH($A283,Data[Dist],0),MATCH(B$4,Data[#Headers],0))</f>
        <v>Sumner-Fredericksburg</v>
      </c>
      <c r="C283" s="21">
        <f>INDEX(Data[],MATCH($A283,Data[Dist],0),MATCH(C$4,Data[#Headers],0))</f>
        <v>151960</v>
      </c>
      <c r="D283" s="21">
        <f>INDEX(Data[],MATCH($A283,Data[Dist],0),MATCH(D$4,Data[#Headers],0))</f>
        <v>692688</v>
      </c>
      <c r="E283" s="21">
        <f>INDEX(Data[],MATCH($A283,Data[Dist],0),MATCH(E$4,Data[#Headers],0))</f>
        <v>56104</v>
      </c>
      <c r="F283" s="21">
        <f>INDEX(Data[],MATCH($A283,Data[Dist],0),MATCH(F$4,Data[#Headers],0))</f>
        <v>59326</v>
      </c>
      <c r="G283" s="21">
        <f>INDEX(Data[],MATCH($A283,Data[Dist],0),MATCH(G$4,Data[#Headers],0))</f>
        <v>294751</v>
      </c>
      <c r="H283" s="21">
        <f>INDEX(Data[],MATCH($A283,Data[Dist],0),MATCH(H$4,Data[#Headers],0))</f>
        <v>4420389</v>
      </c>
      <c r="I283" s="21">
        <f>INDEX(Data[],MATCH($A283,Data[Dist],0),MATCH(I$4,Data[#Headers],0))</f>
        <v>5675218</v>
      </c>
      <c r="J283" s="22"/>
    </row>
    <row r="284" spans="1:10" x14ac:dyDescent="0.2">
      <c r="A284" s="19" t="str">
        <f>Data!B280</f>
        <v>6408</v>
      </c>
      <c r="B284" s="20" t="str">
        <f>INDEX(Data[],MATCH($A284,Data[Dist],0),MATCH(B$4,Data[#Headers],0))</f>
        <v>Tipton</v>
      </c>
      <c r="C284" s="21">
        <f>INDEX(Data[],MATCH($A284,Data[Dist],0),MATCH(C$4,Data[#Headers],0))</f>
        <v>120789</v>
      </c>
      <c r="D284" s="21">
        <f>INDEX(Data[],MATCH($A284,Data[Dist],0),MATCH(D$4,Data[#Headers],0))</f>
        <v>793337</v>
      </c>
      <c r="E284" s="21">
        <f>INDEX(Data[],MATCH($A284,Data[Dist],0),MATCH(E$4,Data[#Headers],0))</f>
        <v>63148</v>
      </c>
      <c r="F284" s="21">
        <f>INDEX(Data[],MATCH($A284,Data[Dist],0),MATCH(F$4,Data[#Headers],0))</f>
        <v>57423</v>
      </c>
      <c r="G284" s="21">
        <f>INDEX(Data[],MATCH($A284,Data[Dist],0),MATCH(G$4,Data[#Headers],0))</f>
        <v>305894</v>
      </c>
      <c r="H284" s="21">
        <f>INDEX(Data[],MATCH($A284,Data[Dist],0),MATCH(H$4,Data[#Headers],0))</f>
        <v>4626962</v>
      </c>
      <c r="I284" s="21">
        <f>INDEX(Data[],MATCH($A284,Data[Dist],0),MATCH(I$4,Data[#Headers],0))</f>
        <v>5967553</v>
      </c>
      <c r="J284" s="22"/>
    </row>
    <row r="285" spans="1:10" x14ac:dyDescent="0.2">
      <c r="A285" s="19" t="str">
        <f>Data!B281</f>
        <v>6453</v>
      </c>
      <c r="B285" s="20" t="str">
        <f>INDEX(Data[],MATCH($A285,Data[Dist],0),MATCH(B$4,Data[#Headers],0))</f>
        <v>Treynor</v>
      </c>
      <c r="C285" s="21">
        <f>INDEX(Data[],MATCH($A285,Data[Dist],0),MATCH(C$4,Data[#Headers],0))</f>
        <v>0</v>
      </c>
      <c r="D285" s="21">
        <f>INDEX(Data[],MATCH($A285,Data[Dist],0),MATCH(D$4,Data[#Headers],0))</f>
        <v>530764</v>
      </c>
      <c r="E285" s="21">
        <f>INDEX(Data[],MATCH($A285,Data[Dist],0),MATCH(E$4,Data[#Headers],0))</f>
        <v>43789</v>
      </c>
      <c r="F285" s="21">
        <f>INDEX(Data[],MATCH($A285,Data[Dist],0),MATCH(F$4,Data[#Headers],0))</f>
        <v>41620</v>
      </c>
      <c r="G285" s="21">
        <f>INDEX(Data[],MATCH($A285,Data[Dist],0),MATCH(G$4,Data[#Headers],0))</f>
        <v>218447</v>
      </c>
      <c r="H285" s="21">
        <f>INDEX(Data[],MATCH($A285,Data[Dist],0),MATCH(H$4,Data[#Headers],0))</f>
        <v>2791548</v>
      </c>
      <c r="I285" s="21">
        <f>INDEX(Data[],MATCH($A285,Data[Dist],0),MATCH(I$4,Data[#Headers],0))</f>
        <v>3626168</v>
      </c>
      <c r="J285" s="22"/>
    </row>
    <row r="286" spans="1:10" x14ac:dyDescent="0.2">
      <c r="A286" s="19" t="str">
        <f>Data!B282</f>
        <v>6460</v>
      </c>
      <c r="B286" s="20" t="str">
        <f>INDEX(Data[],MATCH($A286,Data[Dist],0),MATCH(B$4,Data[#Headers],0))</f>
        <v>Tri-Center</v>
      </c>
      <c r="C286" s="21">
        <f>INDEX(Data[],MATCH($A286,Data[Dist],0),MATCH(C$4,Data[#Headers],0))</f>
        <v>167546</v>
      </c>
      <c r="D286" s="21">
        <f>INDEX(Data[],MATCH($A286,Data[Dist],0),MATCH(D$4,Data[#Headers],0))</f>
        <v>610771</v>
      </c>
      <c r="E286" s="21">
        <f>INDEX(Data[],MATCH($A286,Data[Dist],0),MATCH(E$4,Data[#Headers],0))</f>
        <v>49597</v>
      </c>
      <c r="F286" s="21">
        <f>INDEX(Data[],MATCH($A286,Data[Dist],0),MATCH(F$4,Data[#Headers],0))</f>
        <v>50033</v>
      </c>
      <c r="G286" s="21">
        <f>INDEX(Data[],MATCH($A286,Data[Dist],0),MATCH(G$4,Data[#Headers],0))</f>
        <v>249497</v>
      </c>
      <c r="H286" s="21">
        <f>INDEX(Data[],MATCH($A286,Data[Dist],0),MATCH(H$4,Data[#Headers],0))</f>
        <v>3791279</v>
      </c>
      <c r="I286" s="21">
        <f>INDEX(Data[],MATCH($A286,Data[Dist],0),MATCH(I$4,Data[#Headers],0))</f>
        <v>4918723</v>
      </c>
      <c r="J286" s="22"/>
    </row>
    <row r="287" spans="1:10" x14ac:dyDescent="0.2">
      <c r="A287" s="19" t="str">
        <f>Data!B283</f>
        <v>6462</v>
      </c>
      <c r="B287" s="20" t="str">
        <f>INDEX(Data[],MATCH($A287,Data[Dist],0),MATCH(B$4,Data[#Headers],0))</f>
        <v>Tri-County</v>
      </c>
      <c r="C287" s="21">
        <f>INDEX(Data[],MATCH($A287,Data[Dist],0),MATCH(C$4,Data[#Headers],0))</f>
        <v>38964</v>
      </c>
      <c r="D287" s="21">
        <f>INDEX(Data[],MATCH($A287,Data[Dist],0),MATCH(D$4,Data[#Headers],0))</f>
        <v>311657</v>
      </c>
      <c r="E287" s="21">
        <f>INDEX(Data[],MATCH($A287,Data[Dist],0),MATCH(E$4,Data[#Headers],0))</f>
        <v>23369</v>
      </c>
      <c r="F287" s="21">
        <f>INDEX(Data[],MATCH($A287,Data[Dist],0),MATCH(F$4,Data[#Headers],0))</f>
        <v>18579</v>
      </c>
      <c r="G287" s="21">
        <f>INDEX(Data[],MATCH($A287,Data[Dist],0),MATCH(G$4,Data[#Headers],0))</f>
        <v>97955</v>
      </c>
      <c r="H287" s="21">
        <f>INDEX(Data[],MATCH($A287,Data[Dist],0),MATCH(H$4,Data[#Headers],0))</f>
        <v>1405154</v>
      </c>
      <c r="I287" s="21">
        <f>INDEX(Data[],MATCH($A287,Data[Dist],0),MATCH(I$4,Data[#Headers],0))</f>
        <v>1895678</v>
      </c>
      <c r="J287" s="22"/>
    </row>
    <row r="288" spans="1:10" x14ac:dyDescent="0.2">
      <c r="A288" s="19" t="str">
        <f>Data!B284</f>
        <v>6471</v>
      </c>
      <c r="B288" s="20" t="str">
        <f>INDEX(Data[],MATCH($A288,Data[Dist],0),MATCH(B$4,Data[#Headers],0))</f>
        <v>Tripoli</v>
      </c>
      <c r="C288" s="21">
        <f>INDEX(Data[],MATCH($A288,Data[Dist],0),MATCH(C$4,Data[#Headers],0))</f>
        <v>91620</v>
      </c>
      <c r="D288" s="21">
        <f>INDEX(Data[],MATCH($A288,Data[Dist],0),MATCH(D$4,Data[#Headers],0))</f>
        <v>407812</v>
      </c>
      <c r="E288" s="21">
        <f>INDEX(Data[],MATCH($A288,Data[Dist],0),MATCH(E$4,Data[#Headers],0))</f>
        <v>29924</v>
      </c>
      <c r="F288" s="21">
        <f>INDEX(Data[],MATCH($A288,Data[Dist],0),MATCH(F$4,Data[#Headers],0))</f>
        <v>28807</v>
      </c>
      <c r="G288" s="21">
        <f>INDEX(Data[],MATCH($A288,Data[Dist],0),MATCH(G$4,Data[#Headers],0))</f>
        <v>144032</v>
      </c>
      <c r="H288" s="21">
        <f>INDEX(Data[],MATCH($A288,Data[Dist],0),MATCH(H$4,Data[#Headers],0))</f>
        <v>2447833</v>
      </c>
      <c r="I288" s="21">
        <f>INDEX(Data[],MATCH($A288,Data[Dist],0),MATCH(I$4,Data[#Headers],0))</f>
        <v>3150028</v>
      </c>
      <c r="J288" s="22"/>
    </row>
    <row r="289" spans="1:10" x14ac:dyDescent="0.2">
      <c r="A289" s="19" t="str">
        <f>Data!B285</f>
        <v>6509</v>
      </c>
      <c r="B289" s="20" t="str">
        <f>INDEX(Data[],MATCH($A289,Data[Dist],0),MATCH(B$4,Data[#Headers],0))</f>
        <v>Turkey Valley</v>
      </c>
      <c r="C289" s="21">
        <f>INDEX(Data[],MATCH($A289,Data[Dist],0),MATCH(C$4,Data[#Headers],0))</f>
        <v>140271</v>
      </c>
      <c r="D289" s="21">
        <f>INDEX(Data[],MATCH($A289,Data[Dist],0),MATCH(D$4,Data[#Headers],0))</f>
        <v>407812</v>
      </c>
      <c r="E289" s="21">
        <f>INDEX(Data[],MATCH($A289,Data[Dist],0),MATCH(E$4,Data[#Headers],0))</f>
        <v>23953</v>
      </c>
      <c r="F289" s="21">
        <f>INDEX(Data[],MATCH($A289,Data[Dist],0),MATCH(F$4,Data[#Headers],0))</f>
        <v>31331</v>
      </c>
      <c r="G289" s="21">
        <f>INDEX(Data[],MATCH($A289,Data[Dist],0),MATCH(G$4,Data[#Headers],0))</f>
        <v>144032</v>
      </c>
      <c r="H289" s="21">
        <f>INDEX(Data[],MATCH($A289,Data[Dist],0),MATCH(H$4,Data[#Headers],0))</f>
        <v>1730073</v>
      </c>
      <c r="I289" s="21">
        <f>INDEX(Data[],MATCH($A289,Data[Dist],0),MATCH(I$4,Data[#Headers],0))</f>
        <v>2477472</v>
      </c>
      <c r="J289" s="22"/>
    </row>
    <row r="290" spans="1:10" x14ac:dyDescent="0.2">
      <c r="A290" s="19" t="str">
        <f>Data!B286</f>
        <v>6512</v>
      </c>
      <c r="B290" s="20" t="str">
        <f>INDEX(Data[],MATCH($A290,Data[Dist],0),MATCH(B$4,Data[#Headers],0))</f>
        <v>Twin Cedars</v>
      </c>
      <c r="C290" s="21">
        <f>INDEX(Data[],MATCH($A290,Data[Dist],0),MATCH(C$4,Data[#Headers],0))</f>
        <v>70135</v>
      </c>
      <c r="D290" s="21">
        <f>INDEX(Data[],MATCH($A290,Data[Dist],0),MATCH(D$4,Data[#Headers],0))</f>
        <v>385598</v>
      </c>
      <c r="E290" s="21">
        <f>INDEX(Data[],MATCH($A290,Data[Dist],0),MATCH(E$4,Data[#Headers],0))</f>
        <v>28386</v>
      </c>
      <c r="F290" s="21">
        <f>INDEX(Data[],MATCH($A290,Data[Dist],0),MATCH(F$4,Data[#Headers],0))</f>
        <v>24543</v>
      </c>
      <c r="G290" s="21">
        <f>INDEX(Data[],MATCH($A290,Data[Dist],0),MATCH(G$4,Data[#Headers],0))</f>
        <v>120952</v>
      </c>
      <c r="H290" s="21">
        <f>INDEX(Data[],MATCH($A290,Data[Dist],0),MATCH(H$4,Data[#Headers],0))</f>
        <v>2076855</v>
      </c>
      <c r="I290" s="21">
        <f>INDEX(Data[],MATCH($A290,Data[Dist],0),MATCH(I$4,Data[#Headers],0))</f>
        <v>2706469</v>
      </c>
      <c r="J290" s="22"/>
    </row>
    <row r="291" spans="1:10" x14ac:dyDescent="0.2">
      <c r="A291" s="19" t="str">
        <f>Data!B287</f>
        <v>6516</v>
      </c>
      <c r="B291" s="20" t="str">
        <f>INDEX(Data[],MATCH($A291,Data[Dist],0),MATCH(B$4,Data[#Headers],0))</f>
        <v>Twin Rivers</v>
      </c>
      <c r="C291" s="21">
        <f>INDEX(Data[],MATCH($A291,Data[Dist],0),MATCH(C$4,Data[#Headers],0))</f>
        <v>31171</v>
      </c>
      <c r="D291" s="21">
        <f>INDEX(Data[],MATCH($A291,Data[Dist],0),MATCH(D$4,Data[#Headers],0))</f>
        <v>196291</v>
      </c>
      <c r="E291" s="21">
        <f>INDEX(Data[],MATCH($A291,Data[Dist],0),MATCH(E$4,Data[#Headers],0))</f>
        <v>12202</v>
      </c>
      <c r="F291" s="21">
        <f>INDEX(Data[],MATCH($A291,Data[Dist],0),MATCH(F$4,Data[#Headers],0))</f>
        <v>12176</v>
      </c>
      <c r="G291" s="21">
        <f>INDEX(Data[],MATCH($A291,Data[Dist],0),MATCH(G$4,Data[#Headers],0))</f>
        <v>61572</v>
      </c>
      <c r="H291" s="21">
        <f>INDEX(Data[],MATCH($A291,Data[Dist],0),MATCH(H$4,Data[#Headers],0))</f>
        <v>466758</v>
      </c>
      <c r="I291" s="21">
        <f>INDEX(Data[],MATCH($A291,Data[Dist],0),MATCH(I$4,Data[#Headers],0))</f>
        <v>780170</v>
      </c>
      <c r="J291" s="22"/>
    </row>
    <row r="292" spans="1:10" x14ac:dyDescent="0.2">
      <c r="A292" s="19" t="str">
        <f>Data!B288</f>
        <v>6534</v>
      </c>
      <c r="B292" s="20" t="str">
        <f>INDEX(Data[],MATCH($A292,Data[Dist],0),MATCH(B$4,Data[#Headers],0))</f>
        <v>Underwood</v>
      </c>
      <c r="C292" s="21">
        <f>INDEX(Data[],MATCH($A292,Data[Dist],0),MATCH(C$4,Data[#Headers],0))</f>
        <v>179235</v>
      </c>
      <c r="D292" s="21">
        <f>INDEX(Data[],MATCH($A292,Data[Dist],0),MATCH(D$4,Data[#Headers],0))</f>
        <v>660730</v>
      </c>
      <c r="E292" s="21">
        <f>INDEX(Data[],MATCH($A292,Data[Dist],0),MATCH(E$4,Data[#Headers],0))</f>
        <v>55145</v>
      </c>
      <c r="F292" s="21">
        <f>INDEX(Data[],MATCH($A292,Data[Dist],0),MATCH(F$4,Data[#Headers],0))</f>
        <v>50054</v>
      </c>
      <c r="G292" s="21">
        <f>INDEX(Data[],MATCH($A292,Data[Dist],0),MATCH(G$4,Data[#Headers],0))</f>
        <v>281815</v>
      </c>
      <c r="H292" s="21">
        <f>INDEX(Data[],MATCH($A292,Data[Dist],0),MATCH(H$4,Data[#Headers],0))</f>
        <v>4086527</v>
      </c>
      <c r="I292" s="21">
        <f>INDEX(Data[],MATCH($A292,Data[Dist],0),MATCH(I$4,Data[#Headers],0))</f>
        <v>5313506</v>
      </c>
      <c r="J292" s="22"/>
    </row>
    <row r="293" spans="1:10" x14ac:dyDescent="0.2">
      <c r="A293" s="19" t="str">
        <f>Data!B289</f>
        <v>6561</v>
      </c>
      <c r="B293" s="20" t="str">
        <f>INDEX(Data[],MATCH($A293,Data[Dist],0),MATCH(B$4,Data[#Headers],0))</f>
        <v>United</v>
      </c>
      <c r="C293" s="21">
        <f>INDEX(Data[],MATCH($A293,Data[Dist],0),MATCH(C$4,Data[#Headers],0))</f>
        <v>190924</v>
      </c>
      <c r="D293" s="21">
        <f>INDEX(Data[],MATCH($A293,Data[Dist],0),MATCH(D$4,Data[#Headers],0))</f>
        <v>484275</v>
      </c>
      <c r="E293" s="21">
        <f>INDEX(Data[],MATCH($A293,Data[Dist],0),MATCH(E$4,Data[#Headers],0))</f>
        <v>29818</v>
      </c>
      <c r="F293" s="21">
        <f>INDEX(Data[],MATCH($A293,Data[Dist],0),MATCH(F$4,Data[#Headers],0))</f>
        <v>19924</v>
      </c>
      <c r="G293" s="21">
        <f>INDEX(Data[],MATCH($A293,Data[Dist],0),MATCH(G$4,Data[#Headers],0))</f>
        <v>142216</v>
      </c>
      <c r="H293" s="21">
        <f>INDEX(Data[],MATCH($A293,Data[Dist],0),MATCH(H$4,Data[#Headers],0))</f>
        <v>759515</v>
      </c>
      <c r="I293" s="21">
        <f>INDEX(Data[],MATCH($A293,Data[Dist],0),MATCH(I$4,Data[#Headers],0))</f>
        <v>1626672</v>
      </c>
      <c r="J293" s="22"/>
    </row>
    <row r="294" spans="1:10" x14ac:dyDescent="0.2">
      <c r="A294" s="19" t="str">
        <f>Data!B290</f>
        <v>6579</v>
      </c>
      <c r="B294" s="20" t="str">
        <f>INDEX(Data[],MATCH($A294,Data[Dist],0),MATCH(B$4,Data[#Headers],0))</f>
        <v>Urbandale</v>
      </c>
      <c r="C294" s="21">
        <f>INDEX(Data[],MATCH($A294,Data[Dist],0),MATCH(C$4,Data[#Headers],0))</f>
        <v>833833</v>
      </c>
      <c r="D294" s="21">
        <f>INDEX(Data[],MATCH($A294,Data[Dist],0),MATCH(D$4,Data[#Headers],0))</f>
        <v>2631754</v>
      </c>
      <c r="E294" s="21">
        <f>INDEX(Data[],MATCH($A294,Data[Dist],0),MATCH(E$4,Data[#Headers],0))</f>
        <v>280755</v>
      </c>
      <c r="F294" s="21">
        <f>INDEX(Data[],MATCH($A294,Data[Dist],0),MATCH(F$4,Data[#Headers],0))</f>
        <v>287062</v>
      </c>
      <c r="G294" s="21">
        <f>INDEX(Data[],MATCH($A294,Data[Dist],0),MATCH(G$4,Data[#Headers],0))</f>
        <v>1361564</v>
      </c>
      <c r="H294" s="21">
        <f>INDEX(Data[],MATCH($A294,Data[Dist],0),MATCH(H$4,Data[#Headers],0))</f>
        <v>19445213</v>
      </c>
      <c r="I294" s="21">
        <f>INDEX(Data[],MATCH($A294,Data[Dist],0),MATCH(I$4,Data[#Headers],0))</f>
        <v>24840181</v>
      </c>
      <c r="J294" s="22"/>
    </row>
    <row r="295" spans="1:10" x14ac:dyDescent="0.2">
      <c r="A295" s="19" t="str">
        <f>Data!B291</f>
        <v>6592</v>
      </c>
      <c r="B295" s="20" t="str">
        <f>INDEX(Data[],MATCH($A295,Data[Dist],0),MATCH(B$4,Data[#Headers],0))</f>
        <v>Van Buren County</v>
      </c>
      <c r="C295" s="21">
        <f>INDEX(Data[],MATCH($A295,Data[Dist],0),MATCH(C$4,Data[#Headers],0))</f>
        <v>206510</v>
      </c>
      <c r="D295" s="21">
        <f>INDEX(Data[],MATCH($A295,Data[Dist],0),MATCH(D$4,Data[#Headers],0))</f>
        <v>881998</v>
      </c>
      <c r="E295" s="21">
        <f>INDEX(Data[],MATCH($A295,Data[Dist],0),MATCH(E$4,Data[#Headers],0))</f>
        <v>78224</v>
      </c>
      <c r="F295" s="21">
        <f>INDEX(Data[],MATCH($A295,Data[Dist],0),MATCH(F$4,Data[#Headers],0))</f>
        <v>65002</v>
      </c>
      <c r="G295" s="21">
        <f>INDEX(Data[],MATCH($A295,Data[Dist],0),MATCH(G$4,Data[#Headers],0))</f>
        <v>364028</v>
      </c>
      <c r="H295" s="21">
        <f>INDEX(Data[],MATCH($A295,Data[Dist],0),MATCH(H$4,Data[#Headers],0))</f>
        <v>4904829</v>
      </c>
      <c r="I295" s="21">
        <f>INDEX(Data[],MATCH($A295,Data[Dist],0),MATCH(I$4,Data[#Headers],0))</f>
        <v>6500591</v>
      </c>
      <c r="J295" s="22"/>
    </row>
    <row r="296" spans="1:10" x14ac:dyDescent="0.2">
      <c r="A296" s="19" t="str">
        <f>Data!B292</f>
        <v>6615</v>
      </c>
      <c r="B296" s="20" t="str">
        <f>INDEX(Data[],MATCH($A296,Data[Dist],0),MATCH(B$4,Data[#Headers],0))</f>
        <v>Van Meter</v>
      </c>
      <c r="C296" s="21">
        <f>INDEX(Data[],MATCH($A296,Data[Dist],0),MATCH(C$4,Data[#Headers],0))</f>
        <v>206510</v>
      </c>
      <c r="D296" s="21">
        <f>INDEX(Data[],MATCH($A296,Data[Dist],0),MATCH(D$4,Data[#Headers],0))</f>
        <v>751552</v>
      </c>
      <c r="E296" s="21">
        <f>INDEX(Data[],MATCH($A296,Data[Dist],0),MATCH(E$4,Data[#Headers],0))</f>
        <v>71460</v>
      </c>
      <c r="F296" s="21">
        <f>INDEX(Data[],MATCH($A296,Data[Dist],0),MATCH(F$4,Data[#Headers],0))</f>
        <v>67629</v>
      </c>
      <c r="G296" s="21">
        <f>INDEX(Data[],MATCH($A296,Data[Dist],0),MATCH(G$4,Data[#Headers],0))</f>
        <v>354660</v>
      </c>
      <c r="H296" s="21">
        <f>INDEX(Data[],MATCH($A296,Data[Dist],0),MATCH(H$4,Data[#Headers],0))</f>
        <v>5281657</v>
      </c>
      <c r="I296" s="21">
        <f>INDEX(Data[],MATCH($A296,Data[Dist],0),MATCH(I$4,Data[#Headers],0))</f>
        <v>6733468</v>
      </c>
      <c r="J296" s="22"/>
    </row>
    <row r="297" spans="1:10" x14ac:dyDescent="0.2">
      <c r="A297" s="19" t="str">
        <f>Data!B293</f>
        <v>6651</v>
      </c>
      <c r="B297" s="20" t="str">
        <f>INDEX(Data[],MATCH($A297,Data[Dist],0),MATCH(B$4,Data[#Headers],0))</f>
        <v>Villisca</v>
      </c>
      <c r="C297" s="21">
        <f>INDEX(Data[],MATCH($A297,Data[Dist],0),MATCH(C$4,Data[#Headers],0))</f>
        <v>46757</v>
      </c>
      <c r="D297" s="21">
        <f>INDEX(Data[],MATCH($A297,Data[Dist],0),MATCH(D$4,Data[#Headers],0))</f>
        <v>339596</v>
      </c>
      <c r="E297" s="21">
        <f>INDEX(Data[],MATCH($A297,Data[Dist],0),MATCH(E$4,Data[#Headers],0))</f>
        <v>25485</v>
      </c>
      <c r="F297" s="21">
        <f>INDEX(Data[],MATCH($A297,Data[Dist],0),MATCH(F$4,Data[#Headers],0))</f>
        <v>22496</v>
      </c>
      <c r="G297" s="21">
        <f>INDEX(Data[],MATCH($A297,Data[Dist],0),MATCH(G$4,Data[#Headers],0))</f>
        <v>114650</v>
      </c>
      <c r="H297" s="21">
        <f>INDEX(Data[],MATCH($A297,Data[Dist],0),MATCH(H$4,Data[#Headers],0))</f>
        <v>1441673</v>
      </c>
      <c r="I297" s="21">
        <f>INDEX(Data[],MATCH($A297,Data[Dist],0),MATCH(I$4,Data[#Headers],0))</f>
        <v>1990657</v>
      </c>
      <c r="J297" s="22"/>
    </row>
    <row r="298" spans="1:10" x14ac:dyDescent="0.2">
      <c r="A298" s="19" t="str">
        <f>Data!B294</f>
        <v>6660</v>
      </c>
      <c r="B298" s="20" t="str">
        <f>INDEX(Data[],MATCH($A298,Data[Dist],0),MATCH(B$4,Data[#Headers],0))</f>
        <v>Vinton-Shellsburg</v>
      </c>
      <c r="C298" s="21">
        <f>INDEX(Data[],MATCH($A298,Data[Dist],0),MATCH(C$4,Data[#Headers],0))</f>
        <v>319506</v>
      </c>
      <c r="D298" s="21">
        <f>INDEX(Data[],MATCH($A298,Data[Dist],0),MATCH(D$4,Data[#Headers],0))</f>
        <v>1302046</v>
      </c>
      <c r="E298" s="21">
        <f>INDEX(Data[],MATCH($A298,Data[Dist],0),MATCH(E$4,Data[#Headers],0))</f>
        <v>123695</v>
      </c>
      <c r="F298" s="21">
        <f>INDEX(Data[],MATCH($A298,Data[Dist],0),MATCH(F$4,Data[#Headers],0))</f>
        <v>125939</v>
      </c>
      <c r="G298" s="21">
        <f>INDEX(Data[],MATCH($A298,Data[Dist],0),MATCH(G$4,Data[#Headers],0))</f>
        <v>609823</v>
      </c>
      <c r="H298" s="21">
        <f>INDEX(Data[],MATCH($A298,Data[Dist],0),MATCH(H$4,Data[#Headers],0))</f>
        <v>9511620</v>
      </c>
      <c r="I298" s="21">
        <f>INDEX(Data[],MATCH($A298,Data[Dist],0),MATCH(I$4,Data[#Headers],0))</f>
        <v>11992629</v>
      </c>
      <c r="J298" s="22"/>
    </row>
    <row r="299" spans="1:10" x14ac:dyDescent="0.2">
      <c r="A299" s="19" t="str">
        <f>Data!B295</f>
        <v>6700</v>
      </c>
      <c r="B299" s="20" t="str">
        <f>INDEX(Data[],MATCH($A299,Data[Dist],0),MATCH(B$4,Data[#Headers],0))</f>
        <v>Waco</v>
      </c>
      <c r="C299" s="21">
        <f>INDEX(Data[],MATCH($A299,Data[Dist],0),MATCH(C$4,Data[#Headers],0))</f>
        <v>148064</v>
      </c>
      <c r="D299" s="21">
        <f>INDEX(Data[],MATCH($A299,Data[Dist],0),MATCH(D$4,Data[#Headers],0))</f>
        <v>643521</v>
      </c>
      <c r="E299" s="21">
        <f>INDEX(Data[],MATCH($A299,Data[Dist],0),MATCH(E$4,Data[#Headers],0))</f>
        <v>38888</v>
      </c>
      <c r="F299" s="21">
        <f>INDEX(Data[],MATCH($A299,Data[Dist],0),MATCH(F$4,Data[#Headers],0))</f>
        <v>38325</v>
      </c>
      <c r="G299" s="21">
        <f>INDEX(Data[],MATCH($A299,Data[Dist],0),MATCH(G$4,Data[#Headers],0))</f>
        <v>180359</v>
      </c>
      <c r="H299" s="21">
        <f>INDEX(Data[],MATCH($A299,Data[Dist],0),MATCH(H$4,Data[#Headers],0))</f>
        <v>2882329</v>
      </c>
      <c r="I299" s="21">
        <f>INDEX(Data[],MATCH($A299,Data[Dist],0),MATCH(I$4,Data[#Headers],0))</f>
        <v>3931486</v>
      </c>
      <c r="J299" s="22"/>
    </row>
    <row r="300" spans="1:10" x14ac:dyDescent="0.2">
      <c r="A300" s="19" t="str">
        <f>Data!B296</f>
        <v>6741</v>
      </c>
      <c r="B300" s="20" t="str">
        <f>INDEX(Data[],MATCH($A300,Data[Dist],0),MATCH(B$4,Data[#Headers],0))</f>
        <v>East Sac County</v>
      </c>
      <c r="C300" s="21">
        <f>INDEX(Data[],MATCH($A300,Data[Dist],0),MATCH(C$4,Data[#Headers],0))</f>
        <v>206510</v>
      </c>
      <c r="D300" s="21">
        <f>INDEX(Data[],MATCH($A300,Data[Dist],0),MATCH(D$4,Data[#Headers],0))</f>
        <v>790243</v>
      </c>
      <c r="E300" s="21">
        <f>INDEX(Data[],MATCH($A300,Data[Dist],0),MATCH(E$4,Data[#Headers],0))</f>
        <v>70907</v>
      </c>
      <c r="F300" s="21">
        <f>INDEX(Data[],MATCH($A300,Data[Dist],0),MATCH(F$4,Data[#Headers],0))</f>
        <v>65318</v>
      </c>
      <c r="G300" s="21">
        <f>INDEX(Data[],MATCH($A300,Data[Dist],0),MATCH(G$4,Data[#Headers],0))</f>
        <v>325763</v>
      </c>
      <c r="H300" s="21">
        <f>INDEX(Data[],MATCH($A300,Data[Dist],0),MATCH(H$4,Data[#Headers],0))</f>
        <v>3885689</v>
      </c>
      <c r="I300" s="21">
        <f>INDEX(Data[],MATCH($A300,Data[Dist],0),MATCH(I$4,Data[#Headers],0))</f>
        <v>5344430</v>
      </c>
      <c r="J300" s="22"/>
    </row>
    <row r="301" spans="1:10" x14ac:dyDescent="0.2">
      <c r="A301" s="19" t="str">
        <f>Data!B297</f>
        <v>6759</v>
      </c>
      <c r="B301" s="20" t="str">
        <f>INDEX(Data[],MATCH($A301,Data[Dist],0),MATCH(B$4,Data[#Headers],0))</f>
        <v>Wapello</v>
      </c>
      <c r="C301" s="21">
        <f>INDEX(Data[],MATCH($A301,Data[Dist],0),MATCH(C$4,Data[#Headers],0))</f>
        <v>112996</v>
      </c>
      <c r="D301" s="21">
        <f>INDEX(Data[],MATCH($A301,Data[Dist],0),MATCH(D$4,Data[#Headers],0))</f>
        <v>505148</v>
      </c>
      <c r="E301" s="21">
        <f>INDEX(Data[],MATCH($A301,Data[Dist],0),MATCH(E$4,Data[#Headers],0))</f>
        <v>45873</v>
      </c>
      <c r="F301" s="21">
        <f>INDEX(Data[],MATCH($A301,Data[Dist],0),MATCH(F$4,Data[#Headers],0))</f>
        <v>38541</v>
      </c>
      <c r="G301" s="21">
        <f>INDEX(Data[],MATCH($A301,Data[Dist],0),MATCH(G$4,Data[#Headers],0))</f>
        <v>196942</v>
      </c>
      <c r="H301" s="21">
        <f>INDEX(Data[],MATCH($A301,Data[Dist],0),MATCH(H$4,Data[#Headers],0))</f>
        <v>2849664</v>
      </c>
      <c r="I301" s="21">
        <f>INDEX(Data[],MATCH($A301,Data[Dist],0),MATCH(I$4,Data[#Headers],0))</f>
        <v>3749164</v>
      </c>
      <c r="J301" s="22"/>
    </row>
    <row r="302" spans="1:10" x14ac:dyDescent="0.2">
      <c r="A302" s="19" t="str">
        <f>Data!B298</f>
        <v>6762</v>
      </c>
      <c r="B302" s="20" t="str">
        <f>INDEX(Data[],MATCH($A302,Data[Dist],0),MATCH(B$4,Data[#Headers],0))</f>
        <v>Wapsie Valley</v>
      </c>
      <c r="C302" s="21">
        <f>INDEX(Data[],MATCH($A302,Data[Dist],0),MATCH(C$4,Data[#Headers],0))</f>
        <v>109100</v>
      </c>
      <c r="D302" s="21">
        <f>INDEX(Data[],MATCH($A302,Data[Dist],0),MATCH(D$4,Data[#Headers],0))</f>
        <v>583143</v>
      </c>
      <c r="E302" s="21">
        <f>INDEX(Data[],MATCH($A302,Data[Dist],0),MATCH(E$4,Data[#Headers],0))</f>
        <v>52427</v>
      </c>
      <c r="F302" s="21">
        <f>INDEX(Data[],MATCH($A302,Data[Dist],0),MATCH(F$4,Data[#Headers],0))</f>
        <v>49563</v>
      </c>
      <c r="G302" s="21">
        <f>INDEX(Data[],MATCH($A302,Data[Dist],0),MATCH(G$4,Data[#Headers],0))</f>
        <v>248137</v>
      </c>
      <c r="H302" s="21">
        <f>INDEX(Data[],MATCH($A302,Data[Dist],0),MATCH(H$4,Data[#Headers],0))</f>
        <v>3886909</v>
      </c>
      <c r="I302" s="21">
        <f>INDEX(Data[],MATCH($A302,Data[Dist],0),MATCH(I$4,Data[#Headers],0))</f>
        <v>4929279</v>
      </c>
      <c r="J302" s="22"/>
    </row>
    <row r="303" spans="1:10" x14ac:dyDescent="0.2">
      <c r="A303" s="19" t="str">
        <f>Data!B299</f>
        <v>6768</v>
      </c>
      <c r="B303" s="20" t="str">
        <f>INDEX(Data[],MATCH($A303,Data[Dist],0),MATCH(B$4,Data[#Headers],0))</f>
        <v>Washington</v>
      </c>
      <c r="C303" s="21">
        <f>INDEX(Data[],MATCH($A303,Data[Dist],0),MATCH(C$4,Data[#Headers],0))</f>
        <v>261060</v>
      </c>
      <c r="D303" s="21">
        <f>INDEX(Data[],MATCH($A303,Data[Dist],0),MATCH(D$4,Data[#Headers],0))</f>
        <v>1649524</v>
      </c>
      <c r="E303" s="21">
        <f>INDEX(Data[],MATCH($A303,Data[Dist],0),MATCH(E$4,Data[#Headers],0))</f>
        <v>140333</v>
      </c>
      <c r="F303" s="21">
        <f>INDEX(Data[],MATCH($A303,Data[Dist],0),MATCH(F$4,Data[#Headers],0))</f>
        <v>126670</v>
      </c>
      <c r="G303" s="21">
        <f>INDEX(Data[],MATCH($A303,Data[Dist],0),MATCH(G$4,Data[#Headers],0))</f>
        <v>639514</v>
      </c>
      <c r="H303" s="21">
        <f>INDEX(Data[],MATCH($A303,Data[Dist],0),MATCH(H$4,Data[#Headers],0))</f>
        <v>10739791</v>
      </c>
      <c r="I303" s="21">
        <f>INDEX(Data[],MATCH($A303,Data[Dist],0),MATCH(I$4,Data[#Headers],0))</f>
        <v>13556892</v>
      </c>
      <c r="J303" s="22"/>
    </row>
    <row r="304" spans="1:10" x14ac:dyDescent="0.2">
      <c r="A304" s="19" t="str">
        <f>Data!B300</f>
        <v>6795</v>
      </c>
      <c r="B304" s="20" t="str">
        <f>INDEX(Data[],MATCH($A304,Data[Dist],0),MATCH(B$4,Data[#Headers],0))</f>
        <v>Waterloo</v>
      </c>
      <c r="C304" s="21">
        <f>INDEX(Data[],MATCH($A304,Data[Dist],0),MATCH(C$4,Data[#Headers],0))</f>
        <v>1804276</v>
      </c>
      <c r="D304" s="21">
        <f>INDEX(Data[],MATCH($A304,Data[Dist],0),MATCH(D$4,Data[#Headers],0))</f>
        <v>7981743</v>
      </c>
      <c r="E304" s="21">
        <f>INDEX(Data[],MATCH($A304,Data[Dist],0),MATCH(E$4,Data[#Headers],0))</f>
        <v>1033577</v>
      </c>
      <c r="F304" s="21">
        <f>INDEX(Data[],MATCH($A304,Data[Dist],0),MATCH(F$4,Data[#Headers],0))</f>
        <v>826611</v>
      </c>
      <c r="G304" s="21">
        <f>INDEX(Data[],MATCH($A304,Data[Dist],0),MATCH(G$4,Data[#Headers],0))</f>
        <v>4312167</v>
      </c>
      <c r="H304" s="21">
        <f>INDEX(Data[],MATCH($A304,Data[Dist],0),MATCH(H$4,Data[#Headers],0))</f>
        <v>82320457</v>
      </c>
      <c r="I304" s="21">
        <f>INDEX(Data[],MATCH($A304,Data[Dist],0),MATCH(I$4,Data[#Headers],0))</f>
        <v>98278831</v>
      </c>
      <c r="J304" s="22"/>
    </row>
    <row r="305" spans="1:10" x14ac:dyDescent="0.2">
      <c r="A305" s="19" t="str">
        <f>Data!B301</f>
        <v>6822</v>
      </c>
      <c r="B305" s="20" t="str">
        <f>INDEX(Data[],MATCH($A305,Data[Dist],0),MATCH(B$4,Data[#Headers],0))</f>
        <v>Waukee</v>
      </c>
      <c r="C305" s="21">
        <f>INDEX(Data[],MATCH($A305,Data[Dist],0),MATCH(C$4,Data[#Headers],0))</f>
        <v>907865</v>
      </c>
      <c r="D305" s="21">
        <f>INDEX(Data[],MATCH($A305,Data[Dist],0),MATCH(D$4,Data[#Headers],0))</f>
        <v>9749505</v>
      </c>
      <c r="E305" s="21">
        <f>INDEX(Data[],MATCH($A305,Data[Dist],0),MATCH(E$4,Data[#Headers],0))</f>
        <v>1101018</v>
      </c>
      <c r="F305" s="21">
        <f>INDEX(Data[],MATCH($A305,Data[Dist],0),MATCH(F$4,Data[#Headers],0))</f>
        <v>881400</v>
      </c>
      <c r="G305" s="21">
        <f>INDEX(Data[],MATCH($A305,Data[Dist],0),MATCH(G$4,Data[#Headers],0))</f>
        <v>5267207</v>
      </c>
      <c r="H305" s="21">
        <f>INDEX(Data[],MATCH($A305,Data[Dist],0),MATCH(H$4,Data[#Headers],0))</f>
        <v>74388545</v>
      </c>
      <c r="I305" s="21">
        <f>INDEX(Data[],MATCH($A305,Data[Dist],0),MATCH(I$4,Data[#Headers],0))</f>
        <v>92295540</v>
      </c>
      <c r="J305" s="22"/>
    </row>
    <row r="306" spans="1:10" x14ac:dyDescent="0.2">
      <c r="A306" s="19" t="str">
        <f>Data!B302</f>
        <v>6840</v>
      </c>
      <c r="B306" s="20" t="str">
        <f>INDEX(Data[],MATCH($A306,Data[Dist],0),MATCH(B$4,Data[#Headers],0))</f>
        <v>Waverly-Shell Rock</v>
      </c>
      <c r="C306" s="21">
        <f>INDEX(Data[],MATCH($A306,Data[Dist],0),MATCH(C$4,Data[#Headers],0))</f>
        <v>385745</v>
      </c>
      <c r="D306" s="21">
        <f>INDEX(Data[],MATCH($A306,Data[Dist],0),MATCH(D$4,Data[#Headers],0))</f>
        <v>1647684</v>
      </c>
      <c r="E306" s="21">
        <f>INDEX(Data[],MATCH($A306,Data[Dist],0),MATCH(E$4,Data[#Headers],0))</f>
        <v>157495</v>
      </c>
      <c r="F306" s="21">
        <f>INDEX(Data[],MATCH($A306,Data[Dist],0),MATCH(F$4,Data[#Headers],0))</f>
        <v>179001</v>
      </c>
      <c r="G306" s="21">
        <f>INDEX(Data[],MATCH($A306,Data[Dist],0),MATCH(G$4,Data[#Headers],0))</f>
        <v>852446</v>
      </c>
      <c r="H306" s="21">
        <f>INDEX(Data[],MATCH($A306,Data[Dist],0),MATCH(H$4,Data[#Headers],0))</f>
        <v>13231412</v>
      </c>
      <c r="I306" s="21">
        <f>INDEX(Data[],MATCH($A306,Data[Dist],0),MATCH(I$4,Data[#Headers],0))</f>
        <v>16453783</v>
      </c>
      <c r="J306" s="22"/>
    </row>
    <row r="307" spans="1:10" x14ac:dyDescent="0.2">
      <c r="A307" s="19" t="str">
        <f>Data!B303</f>
        <v>6854</v>
      </c>
      <c r="B307" s="20" t="str">
        <f>INDEX(Data[],MATCH($A307,Data[Dist],0),MATCH(B$4,Data[#Headers],0))</f>
        <v>Wayne</v>
      </c>
      <c r="C307" s="21">
        <f>INDEX(Data[],MATCH($A307,Data[Dist],0),MATCH(C$4,Data[#Headers],0))</f>
        <v>128582</v>
      </c>
      <c r="D307" s="21">
        <f>INDEX(Data[],MATCH($A307,Data[Dist],0),MATCH(D$4,Data[#Headers],0))</f>
        <v>653184</v>
      </c>
      <c r="E307" s="21">
        <f>INDEX(Data[],MATCH($A307,Data[Dist],0),MATCH(E$4,Data[#Headers],0))</f>
        <v>49985</v>
      </c>
      <c r="F307" s="21">
        <f>INDEX(Data[],MATCH($A307,Data[Dist],0),MATCH(F$4,Data[#Headers],0))</f>
        <v>49289</v>
      </c>
      <c r="G307" s="21">
        <f>INDEX(Data[],MATCH($A307,Data[Dist],0),MATCH(G$4,Data[#Headers],0))</f>
        <v>215614</v>
      </c>
      <c r="H307" s="21">
        <f>INDEX(Data[],MATCH($A307,Data[Dist],0),MATCH(H$4,Data[#Headers],0))</f>
        <v>3077031</v>
      </c>
      <c r="I307" s="21">
        <f>INDEX(Data[],MATCH($A307,Data[Dist],0),MATCH(I$4,Data[#Headers],0))</f>
        <v>4173685</v>
      </c>
      <c r="J307" s="22"/>
    </row>
    <row r="308" spans="1:10" x14ac:dyDescent="0.2">
      <c r="A308" s="19" t="str">
        <f>Data!B304</f>
        <v>6867</v>
      </c>
      <c r="B308" s="20" t="str">
        <f>INDEX(Data[],MATCH($A308,Data[Dist],0),MATCH(B$4,Data[#Headers],0))</f>
        <v>Webster City</v>
      </c>
      <c r="C308" s="21">
        <f>INDEX(Data[],MATCH($A308,Data[Dist],0),MATCH(C$4,Data[#Headers],0))</f>
        <v>432502</v>
      </c>
      <c r="D308" s="21">
        <f>INDEX(Data[],MATCH($A308,Data[Dist],0),MATCH(D$4,Data[#Headers],0))</f>
        <v>1420158</v>
      </c>
      <c r="E308" s="21">
        <f>INDEX(Data[],MATCH($A308,Data[Dist],0),MATCH(E$4,Data[#Headers],0))</f>
        <v>151457</v>
      </c>
      <c r="F308" s="21">
        <f>INDEX(Data[],MATCH($A308,Data[Dist],0),MATCH(F$4,Data[#Headers],0))</f>
        <v>137015</v>
      </c>
      <c r="G308" s="21">
        <f>INDEX(Data[],MATCH($A308,Data[Dist],0),MATCH(G$4,Data[#Headers],0))</f>
        <v>680196</v>
      </c>
      <c r="H308" s="21">
        <f>INDEX(Data[],MATCH($A308,Data[Dist],0),MATCH(H$4,Data[#Headers],0))</f>
        <v>9799384</v>
      </c>
      <c r="I308" s="21">
        <f>INDEX(Data[],MATCH($A308,Data[Dist],0),MATCH(I$4,Data[#Headers],0))</f>
        <v>12620712</v>
      </c>
      <c r="J308" s="22"/>
    </row>
    <row r="309" spans="1:10" x14ac:dyDescent="0.2">
      <c r="A309" s="19" t="str">
        <f>Data!B305</f>
        <v>6921</v>
      </c>
      <c r="B309" s="20" t="str">
        <f>INDEX(Data[],MATCH($A309,Data[Dist],0),MATCH(B$4,Data[#Headers],0))</f>
        <v>West Bend-Mallard</v>
      </c>
      <c r="C309" s="21">
        <f>INDEX(Data[],MATCH($A309,Data[Dist],0),MATCH(C$4,Data[#Headers],0))</f>
        <v>89618</v>
      </c>
      <c r="D309" s="21">
        <f>INDEX(Data[],MATCH($A309,Data[Dist],0),MATCH(D$4,Data[#Headers],0))</f>
        <v>522651</v>
      </c>
      <c r="E309" s="21">
        <f>INDEX(Data[],MATCH($A309,Data[Dist],0),MATCH(E$4,Data[#Headers],0))</f>
        <v>26116</v>
      </c>
      <c r="F309" s="21">
        <f>INDEX(Data[],MATCH($A309,Data[Dist],0),MATCH(F$4,Data[#Headers],0))</f>
        <v>28759</v>
      </c>
      <c r="G309" s="21">
        <f>INDEX(Data[],MATCH($A309,Data[Dist],0),MATCH(G$4,Data[#Headers],0))</f>
        <v>135269</v>
      </c>
      <c r="H309" s="21">
        <f>INDEX(Data[],MATCH($A309,Data[Dist],0),MATCH(H$4,Data[#Headers],0))</f>
        <v>1341573</v>
      </c>
      <c r="I309" s="21">
        <f>INDEX(Data[],MATCH($A309,Data[Dist],0),MATCH(I$4,Data[#Headers],0))</f>
        <v>2143986</v>
      </c>
      <c r="J309" s="22"/>
    </row>
    <row r="310" spans="1:10" x14ac:dyDescent="0.2">
      <c r="A310" s="19" t="str">
        <f>Data!B306</f>
        <v>6930</v>
      </c>
      <c r="B310" s="20" t="str">
        <f>INDEX(Data[],MATCH($A310,Data[Dist],0),MATCH(B$4,Data[#Headers],0))</f>
        <v>West Branch</v>
      </c>
      <c r="C310" s="21">
        <f>INDEX(Data[],MATCH($A310,Data[Dist],0),MATCH(C$4,Data[#Headers],0))</f>
        <v>167546</v>
      </c>
      <c r="D310" s="21">
        <f>INDEX(Data[],MATCH($A310,Data[Dist],0),MATCH(D$4,Data[#Headers],0))</f>
        <v>703518</v>
      </c>
      <c r="E310" s="21">
        <f>INDEX(Data[],MATCH($A310,Data[Dist],0),MATCH(E$4,Data[#Headers],0))</f>
        <v>58257</v>
      </c>
      <c r="F310" s="21">
        <f>INDEX(Data[],MATCH($A310,Data[Dist],0),MATCH(F$4,Data[#Headers],0))</f>
        <v>56521</v>
      </c>
      <c r="G310" s="21">
        <f>INDEX(Data[],MATCH($A310,Data[Dist],0),MATCH(G$4,Data[#Headers],0))</f>
        <v>299359</v>
      </c>
      <c r="H310" s="21">
        <f>INDEX(Data[],MATCH($A310,Data[Dist],0),MATCH(H$4,Data[#Headers],0))</f>
        <v>3754572</v>
      </c>
      <c r="I310" s="21">
        <f>INDEX(Data[],MATCH($A310,Data[Dist],0),MATCH(I$4,Data[#Headers],0))</f>
        <v>5039773</v>
      </c>
      <c r="J310" s="22"/>
    </row>
    <row r="311" spans="1:10" x14ac:dyDescent="0.2">
      <c r="A311" s="19" t="str">
        <f>Data!B307</f>
        <v>6937</v>
      </c>
      <c r="B311" s="20" t="str">
        <f>INDEX(Data[],MATCH($A311,Data[Dist],0),MATCH(B$4,Data[#Headers],0))</f>
        <v>West Burlington</v>
      </c>
      <c r="C311" s="21">
        <f>INDEX(Data[],MATCH($A311,Data[Dist],0),MATCH(C$4,Data[#Headers],0))</f>
        <v>120789</v>
      </c>
      <c r="D311" s="21">
        <f>INDEX(Data[],MATCH($A311,Data[Dist],0),MATCH(D$4,Data[#Headers],0))</f>
        <v>414978</v>
      </c>
      <c r="E311" s="21">
        <f>INDEX(Data[],MATCH($A311,Data[Dist],0),MATCH(E$4,Data[#Headers],0))</f>
        <v>50536</v>
      </c>
      <c r="F311" s="21">
        <f>INDEX(Data[],MATCH($A311,Data[Dist],0),MATCH(F$4,Data[#Headers],0))</f>
        <v>40451</v>
      </c>
      <c r="G311" s="21">
        <f>INDEX(Data[],MATCH($A311,Data[Dist],0),MATCH(G$4,Data[#Headers],0))</f>
        <v>149255</v>
      </c>
      <c r="H311" s="21">
        <f>INDEX(Data[],MATCH($A311,Data[Dist],0),MATCH(H$4,Data[#Headers],0))</f>
        <v>1996213</v>
      </c>
      <c r="I311" s="21">
        <f>INDEX(Data[],MATCH($A311,Data[Dist],0),MATCH(I$4,Data[#Headers],0))</f>
        <v>2772222</v>
      </c>
      <c r="J311" s="22"/>
    </row>
    <row r="312" spans="1:10" x14ac:dyDescent="0.2">
      <c r="A312" s="19" t="str">
        <f>Data!B308</f>
        <v>6943</v>
      </c>
      <c r="B312" s="20" t="str">
        <f>INDEX(Data[],MATCH($A312,Data[Dist],0),MATCH(B$4,Data[#Headers],0))</f>
        <v>West Central</v>
      </c>
      <c r="C312" s="21">
        <f>INDEX(Data[],MATCH($A312,Data[Dist],0),MATCH(C$4,Data[#Headers],0))</f>
        <v>120789</v>
      </c>
      <c r="D312" s="21">
        <f>INDEX(Data[],MATCH($A312,Data[Dist],0),MATCH(D$4,Data[#Headers],0))</f>
        <v>388947</v>
      </c>
      <c r="E312" s="21">
        <f>INDEX(Data[],MATCH($A312,Data[Dist],0),MATCH(E$4,Data[#Headers],0))</f>
        <v>18487</v>
      </c>
      <c r="F312" s="21">
        <f>INDEX(Data[],MATCH($A312,Data[Dist],0),MATCH(F$4,Data[#Headers],0))</f>
        <v>19646</v>
      </c>
      <c r="G312" s="21">
        <f>INDEX(Data[],MATCH($A312,Data[Dist],0),MATCH(G$4,Data[#Headers],0))</f>
        <v>98840</v>
      </c>
      <c r="H312" s="21">
        <f>INDEX(Data[],MATCH($A312,Data[Dist],0),MATCH(H$4,Data[#Headers],0))</f>
        <v>1224465</v>
      </c>
      <c r="I312" s="21">
        <f>INDEX(Data[],MATCH($A312,Data[Dist],0),MATCH(I$4,Data[#Headers],0))</f>
        <v>1871174</v>
      </c>
      <c r="J312" s="22"/>
    </row>
    <row r="313" spans="1:10" x14ac:dyDescent="0.2">
      <c r="A313" s="19" t="str">
        <f>Data!B309</f>
        <v>6950</v>
      </c>
      <c r="B313" s="20" t="str">
        <f>INDEX(Data[],MATCH($A313,Data[Dist],0),MATCH(B$4,Data[#Headers],0))</f>
        <v>West Delaware Co</v>
      </c>
      <c r="C313" s="21">
        <f>INDEX(Data[],MATCH($A313,Data[Dist],0),MATCH(C$4,Data[#Headers],0))</f>
        <v>233785</v>
      </c>
      <c r="D313" s="21">
        <f>INDEX(Data[],MATCH($A313,Data[Dist],0),MATCH(D$4,Data[#Headers],0))</f>
        <v>1120244</v>
      </c>
      <c r="E313" s="21">
        <f>INDEX(Data[],MATCH($A313,Data[Dist],0),MATCH(E$4,Data[#Headers],0))</f>
        <v>104137</v>
      </c>
      <c r="F313" s="21">
        <f>INDEX(Data[],MATCH($A313,Data[Dist],0),MATCH(F$4,Data[#Headers],0))</f>
        <v>104487</v>
      </c>
      <c r="G313" s="21">
        <f>INDEX(Data[],MATCH($A313,Data[Dist],0),MATCH(G$4,Data[#Headers],0))</f>
        <v>528647</v>
      </c>
      <c r="H313" s="21">
        <f>INDEX(Data[],MATCH($A313,Data[Dist],0),MATCH(H$4,Data[#Headers],0))</f>
        <v>6849501</v>
      </c>
      <c r="I313" s="21">
        <f>INDEX(Data[],MATCH($A313,Data[Dist],0),MATCH(I$4,Data[#Headers],0))</f>
        <v>8940801</v>
      </c>
      <c r="J313" s="22"/>
    </row>
    <row r="314" spans="1:10" x14ac:dyDescent="0.2">
      <c r="A314" s="19" t="str">
        <f>Data!B310</f>
        <v>6957</v>
      </c>
      <c r="B314" s="20" t="str">
        <f>INDEX(Data[],MATCH($A314,Data[Dist],0),MATCH(B$4,Data[#Headers],0))</f>
        <v>West Des Moines</v>
      </c>
      <c r="C314" s="21">
        <f>INDEX(Data[],MATCH($A314,Data[Dist],0),MATCH(C$4,Data[#Headers],0))</f>
        <v>1375750</v>
      </c>
      <c r="D314" s="21">
        <f>INDEX(Data[],MATCH($A314,Data[Dist],0),MATCH(D$4,Data[#Headers],0))</f>
        <v>6227825</v>
      </c>
      <c r="E314" s="21">
        <f>INDEX(Data[],MATCH($A314,Data[Dist],0),MATCH(E$4,Data[#Headers],0))</f>
        <v>649424</v>
      </c>
      <c r="F314" s="21">
        <f>INDEX(Data[],MATCH($A314,Data[Dist],0),MATCH(F$4,Data[#Headers],0))</f>
        <v>653521</v>
      </c>
      <c r="G314" s="21">
        <f>INDEX(Data[],MATCH($A314,Data[Dist],0),MATCH(G$4,Data[#Headers],0))</f>
        <v>3364606</v>
      </c>
      <c r="H314" s="21">
        <f>INDEX(Data[],MATCH($A314,Data[Dist],0),MATCH(H$4,Data[#Headers],0))</f>
        <v>40118862</v>
      </c>
      <c r="I314" s="21">
        <f>INDEX(Data[],MATCH($A314,Data[Dist],0),MATCH(I$4,Data[#Headers],0))</f>
        <v>52389988</v>
      </c>
      <c r="J314" s="22"/>
    </row>
    <row r="315" spans="1:10" x14ac:dyDescent="0.2">
      <c r="A315" s="19" t="str">
        <f>Data!B311</f>
        <v>6961</v>
      </c>
      <c r="B315" s="20" t="str">
        <f>INDEX(Data[],MATCH($A315,Data[Dist],0),MATCH(B$4,Data[#Headers],0))</f>
        <v>Western Dubuque Co</v>
      </c>
      <c r="C315" s="21">
        <f>INDEX(Data[],MATCH($A315,Data[Dist],0),MATCH(C$4,Data[#Headers],0))</f>
        <v>1130039</v>
      </c>
      <c r="D315" s="21">
        <f>INDEX(Data[],MATCH($A315,Data[Dist],0),MATCH(D$4,Data[#Headers],0))</f>
        <v>2612186</v>
      </c>
      <c r="E315" s="21">
        <f>INDEX(Data[],MATCH($A315,Data[Dist],0),MATCH(E$4,Data[#Headers],0))</f>
        <v>275841</v>
      </c>
      <c r="F315" s="21">
        <f>INDEX(Data[],MATCH($A315,Data[Dist],0),MATCH(F$4,Data[#Headers],0))</f>
        <v>265573</v>
      </c>
      <c r="G315" s="21">
        <f>INDEX(Data[],MATCH($A315,Data[Dist],0),MATCH(G$4,Data[#Headers],0))</f>
        <v>1351440</v>
      </c>
      <c r="H315" s="21">
        <f>INDEX(Data[],MATCH($A315,Data[Dist],0),MATCH(H$4,Data[#Headers],0))</f>
        <v>15942938</v>
      </c>
      <c r="I315" s="21">
        <f>INDEX(Data[],MATCH($A315,Data[Dist],0),MATCH(I$4,Data[#Headers],0))</f>
        <v>21578017</v>
      </c>
      <c r="J315" s="22"/>
    </row>
    <row r="316" spans="1:10" x14ac:dyDescent="0.2">
      <c r="A316" s="19" t="str">
        <f>Data!B312</f>
        <v>6969</v>
      </c>
      <c r="B316" s="20" t="str">
        <f>INDEX(Data[],MATCH($A316,Data[Dist],0),MATCH(B$4,Data[#Headers],0))</f>
        <v>West Harrison</v>
      </c>
      <c r="C316" s="21">
        <f>INDEX(Data[],MATCH($A316,Data[Dist],0),MATCH(C$4,Data[#Headers],0))</f>
        <v>74032</v>
      </c>
      <c r="D316" s="21">
        <f>INDEX(Data[],MATCH($A316,Data[Dist],0),MATCH(D$4,Data[#Headers],0))</f>
        <v>375084</v>
      </c>
      <c r="E316" s="21">
        <f>INDEX(Data[],MATCH($A316,Data[Dist],0),MATCH(E$4,Data[#Headers],0))</f>
        <v>23181</v>
      </c>
      <c r="F316" s="21">
        <f>INDEX(Data[],MATCH($A316,Data[Dist],0),MATCH(F$4,Data[#Headers],0))</f>
        <v>26464</v>
      </c>
      <c r="G316" s="21">
        <f>INDEX(Data[],MATCH($A316,Data[Dist],0),MATCH(G$4,Data[#Headers],0))</f>
        <v>132473</v>
      </c>
      <c r="H316" s="21">
        <f>INDEX(Data[],MATCH($A316,Data[Dist],0),MATCH(H$4,Data[#Headers],0))</f>
        <v>1417747</v>
      </c>
      <c r="I316" s="21">
        <f>INDEX(Data[],MATCH($A316,Data[Dist],0),MATCH(I$4,Data[#Headers],0))</f>
        <v>2048981</v>
      </c>
      <c r="J316" s="22"/>
    </row>
    <row r="317" spans="1:10" x14ac:dyDescent="0.2">
      <c r="A317" s="19" t="str">
        <f>Data!B313</f>
        <v>6975</v>
      </c>
      <c r="B317" s="20" t="str">
        <f>INDEX(Data[],MATCH($A317,Data[Dist],0),MATCH(B$4,Data[#Headers],0))</f>
        <v>West Liberty</v>
      </c>
      <c r="C317" s="21">
        <f>INDEX(Data[],MATCH($A317,Data[Dist],0),MATCH(C$4,Data[#Headers],0))</f>
        <v>210406</v>
      </c>
      <c r="D317" s="21">
        <f>INDEX(Data[],MATCH($A317,Data[Dist],0),MATCH(D$4,Data[#Headers],0))</f>
        <v>1101826</v>
      </c>
      <c r="E317" s="21">
        <f>INDEX(Data[],MATCH($A317,Data[Dist],0),MATCH(E$4,Data[#Headers],0))</f>
        <v>115200</v>
      </c>
      <c r="F317" s="21">
        <f>INDEX(Data[],MATCH($A317,Data[Dist],0),MATCH(F$4,Data[#Headers],0))</f>
        <v>89756</v>
      </c>
      <c r="G317" s="21">
        <f>INDEX(Data[],MATCH($A317,Data[Dist],0),MATCH(G$4,Data[#Headers],0))</f>
        <v>473459</v>
      </c>
      <c r="H317" s="21">
        <f>INDEX(Data[],MATCH($A317,Data[Dist],0),MATCH(H$4,Data[#Headers],0))</f>
        <v>8744663</v>
      </c>
      <c r="I317" s="21">
        <f>INDEX(Data[],MATCH($A317,Data[Dist],0),MATCH(I$4,Data[#Headers],0))</f>
        <v>10735310</v>
      </c>
      <c r="J317" s="22"/>
    </row>
    <row r="318" spans="1:10" x14ac:dyDescent="0.2">
      <c r="A318" s="19" t="str">
        <f>Data!B314</f>
        <v>6983</v>
      </c>
      <c r="B318" s="20" t="str">
        <f>INDEX(Data[],MATCH($A318,Data[Dist],0),MATCH(B$4,Data[#Headers],0))</f>
        <v>West Lyon</v>
      </c>
      <c r="C318" s="21">
        <f>INDEX(Data[],MATCH($A318,Data[Dist],0),MATCH(C$4,Data[#Headers],0))</f>
        <v>225992</v>
      </c>
      <c r="D318" s="21">
        <f>INDEX(Data[],MATCH($A318,Data[Dist],0),MATCH(D$4,Data[#Headers],0))</f>
        <v>832879</v>
      </c>
      <c r="E318" s="21">
        <f>INDEX(Data[],MATCH($A318,Data[Dist],0),MATCH(E$4,Data[#Headers],0))</f>
        <v>76841</v>
      </c>
      <c r="F318" s="21">
        <f>INDEX(Data[],MATCH($A318,Data[Dist],0),MATCH(F$4,Data[#Headers],0))</f>
        <v>74635</v>
      </c>
      <c r="G318" s="21">
        <f>INDEX(Data[],MATCH($A318,Data[Dist],0),MATCH(G$4,Data[#Headers],0))</f>
        <v>393038</v>
      </c>
      <c r="H318" s="21">
        <f>INDEX(Data[],MATCH($A318,Data[Dist],0),MATCH(H$4,Data[#Headers],0))</f>
        <v>4242029</v>
      </c>
      <c r="I318" s="21">
        <f>INDEX(Data[],MATCH($A318,Data[Dist],0),MATCH(I$4,Data[#Headers],0))</f>
        <v>5845414</v>
      </c>
      <c r="J318" s="22"/>
    </row>
    <row r="319" spans="1:10" x14ac:dyDescent="0.2">
      <c r="A319" s="19" t="str">
        <f>Data!B315</f>
        <v>6985</v>
      </c>
      <c r="B319" s="20" t="str">
        <f>INDEX(Data[],MATCH($A319,Data[Dist],0),MATCH(B$4,Data[#Headers],0))</f>
        <v>West Marshall</v>
      </c>
      <c r="C319" s="21">
        <f>INDEX(Data[],MATCH($A319,Data[Dist],0),MATCH(C$4,Data[#Headers],0))</f>
        <v>155857</v>
      </c>
      <c r="D319" s="21">
        <f>INDEX(Data[],MATCH($A319,Data[Dist],0),MATCH(D$4,Data[#Headers],0))</f>
        <v>676088</v>
      </c>
      <c r="E319" s="21">
        <f>INDEX(Data[],MATCH($A319,Data[Dist],0),MATCH(E$4,Data[#Headers],0))</f>
        <v>62204</v>
      </c>
      <c r="F319" s="21">
        <f>INDEX(Data[],MATCH($A319,Data[Dist],0),MATCH(F$4,Data[#Headers],0))</f>
        <v>51261</v>
      </c>
      <c r="G319" s="21">
        <f>INDEX(Data[],MATCH($A319,Data[Dist],0),MATCH(G$4,Data[#Headers],0))</f>
        <v>289923</v>
      </c>
      <c r="H319" s="21">
        <f>INDEX(Data[],MATCH($A319,Data[Dist],0),MATCH(H$4,Data[#Headers],0))</f>
        <v>3920634</v>
      </c>
      <c r="I319" s="21">
        <f>INDEX(Data[],MATCH($A319,Data[Dist],0),MATCH(I$4,Data[#Headers],0))</f>
        <v>5155967</v>
      </c>
      <c r="J319" s="22"/>
    </row>
    <row r="320" spans="1:10" x14ac:dyDescent="0.2">
      <c r="A320" s="19" t="str">
        <f>Data!B316</f>
        <v>6987</v>
      </c>
      <c r="B320" s="20" t="str">
        <f>INDEX(Data[],MATCH($A320,Data[Dist],0),MATCH(B$4,Data[#Headers],0))</f>
        <v>West Monona</v>
      </c>
      <c r="C320" s="21">
        <f>INDEX(Data[],MATCH($A320,Data[Dist],0),MATCH(C$4,Data[#Headers],0))</f>
        <v>171442</v>
      </c>
      <c r="D320" s="21">
        <f>INDEX(Data[],MATCH($A320,Data[Dist],0),MATCH(D$4,Data[#Headers],0))</f>
        <v>584823</v>
      </c>
      <c r="E320" s="21">
        <f>INDEX(Data[],MATCH($A320,Data[Dist],0),MATCH(E$4,Data[#Headers],0))</f>
        <v>46537</v>
      </c>
      <c r="F320" s="21">
        <f>INDEX(Data[],MATCH($A320,Data[Dist],0),MATCH(F$4,Data[#Headers],0))</f>
        <v>43396</v>
      </c>
      <c r="G320" s="21">
        <f>INDEX(Data[],MATCH($A320,Data[Dist],0),MATCH(G$4,Data[#Headers],0))</f>
        <v>221781</v>
      </c>
      <c r="H320" s="21">
        <f>INDEX(Data[],MATCH($A320,Data[Dist],0),MATCH(H$4,Data[#Headers],0))</f>
        <v>2950791</v>
      </c>
      <c r="I320" s="21">
        <f>INDEX(Data[],MATCH($A320,Data[Dist],0),MATCH(I$4,Data[#Headers],0))</f>
        <v>4018770</v>
      </c>
      <c r="J320" s="22"/>
    </row>
    <row r="321" spans="1:10" x14ac:dyDescent="0.2">
      <c r="A321" s="19" t="str">
        <f>Data!B317</f>
        <v>6990</v>
      </c>
      <c r="B321" s="20" t="str">
        <f>INDEX(Data[],MATCH($A321,Data[Dist],0),MATCH(B$4,Data[#Headers],0))</f>
        <v>West Sioux</v>
      </c>
      <c r="C321" s="21">
        <f>INDEX(Data[],MATCH($A321,Data[Dist],0),MATCH(C$4,Data[#Headers],0))</f>
        <v>171679</v>
      </c>
      <c r="D321" s="21">
        <f>INDEX(Data[],MATCH($A321,Data[Dist],0),MATCH(D$4,Data[#Headers],0))</f>
        <v>722870</v>
      </c>
      <c r="E321" s="21">
        <f>INDEX(Data[],MATCH($A321,Data[Dist],0),MATCH(E$4,Data[#Headers],0))</f>
        <v>68206</v>
      </c>
      <c r="F321" s="21">
        <f>INDEX(Data[],MATCH($A321,Data[Dist],0),MATCH(F$4,Data[#Headers],0))</f>
        <v>65681</v>
      </c>
      <c r="G321" s="21">
        <f>INDEX(Data[],MATCH($A321,Data[Dist],0),MATCH(G$4,Data[#Headers],0))</f>
        <v>307594</v>
      </c>
      <c r="H321" s="21">
        <f>INDEX(Data[],MATCH($A321,Data[Dist],0),MATCH(H$4,Data[#Headers],0))</f>
        <v>4936766</v>
      </c>
      <c r="I321" s="21">
        <f>INDEX(Data[],MATCH($A321,Data[Dist],0),MATCH(I$4,Data[#Headers],0))</f>
        <v>6272796</v>
      </c>
      <c r="J321" s="22"/>
    </row>
    <row r="322" spans="1:10" x14ac:dyDescent="0.2">
      <c r="A322" s="19" t="str">
        <f>Data!B318</f>
        <v>6992</v>
      </c>
      <c r="B322" s="20" t="str">
        <f>INDEX(Data[],MATCH($A322,Data[Dist],0),MATCH(B$4,Data[#Headers],0))</f>
        <v>Westwood</v>
      </c>
      <c r="C322" s="21">
        <f>INDEX(Data[],MATCH($A322,Data[Dist],0),MATCH(C$4,Data[#Headers],0))</f>
        <v>109100</v>
      </c>
      <c r="D322" s="21">
        <f>INDEX(Data[],MATCH($A322,Data[Dist],0),MATCH(D$4,Data[#Headers],0))</f>
        <v>493685</v>
      </c>
      <c r="E322" s="21">
        <f>INDEX(Data[],MATCH($A322,Data[Dist],0),MATCH(E$4,Data[#Headers],0))</f>
        <v>43608</v>
      </c>
      <c r="F322" s="21">
        <f>INDEX(Data[],MATCH($A322,Data[Dist],0),MATCH(F$4,Data[#Headers],0))</f>
        <v>43742</v>
      </c>
      <c r="G322" s="21">
        <f>INDEX(Data[],MATCH($A322,Data[Dist],0),MATCH(G$4,Data[#Headers],0))</f>
        <v>203186</v>
      </c>
      <c r="H322" s="21">
        <f>INDEX(Data[],MATCH($A322,Data[Dist],0),MATCH(H$4,Data[#Headers],0))</f>
        <v>2134098</v>
      </c>
      <c r="I322" s="21">
        <f>INDEX(Data[],MATCH($A322,Data[Dist],0),MATCH(I$4,Data[#Headers],0))</f>
        <v>3027419</v>
      </c>
      <c r="J322" s="22"/>
    </row>
    <row r="323" spans="1:10" x14ac:dyDescent="0.2">
      <c r="A323" s="19" t="str">
        <f>Data!B319</f>
        <v>7002</v>
      </c>
      <c r="B323" s="20" t="str">
        <f>INDEX(Data[],MATCH($A323,Data[Dist],0),MATCH(B$4,Data[#Headers],0))</f>
        <v>Whiting</v>
      </c>
      <c r="C323" s="21">
        <f>INDEX(Data[],MATCH($A323,Data[Dist],0),MATCH(C$4,Data[#Headers],0))</f>
        <v>31171</v>
      </c>
      <c r="D323" s="21">
        <f>INDEX(Data[],MATCH($A323,Data[Dist],0),MATCH(D$4,Data[#Headers],0))</f>
        <v>276313</v>
      </c>
      <c r="E323" s="21">
        <f>INDEX(Data[],MATCH($A323,Data[Dist],0),MATCH(E$4,Data[#Headers],0))</f>
        <v>19287</v>
      </c>
      <c r="F323" s="21">
        <f>INDEX(Data[],MATCH($A323,Data[Dist],0),MATCH(F$4,Data[#Headers],0))</f>
        <v>17540</v>
      </c>
      <c r="G323" s="21">
        <f>INDEX(Data[],MATCH($A323,Data[Dist],0),MATCH(G$4,Data[#Headers],0))</f>
        <v>72790</v>
      </c>
      <c r="H323" s="21">
        <f>INDEX(Data[],MATCH($A323,Data[Dist],0),MATCH(H$4,Data[#Headers],0))</f>
        <v>822701</v>
      </c>
      <c r="I323" s="21">
        <f>INDEX(Data[],MATCH($A323,Data[Dist],0),MATCH(I$4,Data[#Headers],0))</f>
        <v>1239802</v>
      </c>
      <c r="J323" s="22"/>
    </row>
    <row r="324" spans="1:10" x14ac:dyDescent="0.2">
      <c r="A324" s="19" t="str">
        <f>Data!B320</f>
        <v>7029</v>
      </c>
      <c r="B324" s="20" t="str">
        <f>INDEX(Data[],MATCH($A324,Data[Dist],0),MATCH(B$4,Data[#Headers],0))</f>
        <v>Williamsburg</v>
      </c>
      <c r="C324" s="21">
        <f>INDEX(Data[],MATCH($A324,Data[Dist],0),MATCH(C$4,Data[#Headers],0))</f>
        <v>187028</v>
      </c>
      <c r="D324" s="21">
        <f>INDEX(Data[],MATCH($A324,Data[Dist],0),MATCH(D$4,Data[#Headers],0))</f>
        <v>954949</v>
      </c>
      <c r="E324" s="21">
        <f>INDEX(Data[],MATCH($A324,Data[Dist],0),MATCH(E$4,Data[#Headers],0))</f>
        <v>79191</v>
      </c>
      <c r="F324" s="21">
        <f>INDEX(Data[],MATCH($A324,Data[Dist],0),MATCH(F$4,Data[#Headers],0))</f>
        <v>88115</v>
      </c>
      <c r="G324" s="21">
        <f>INDEX(Data[],MATCH($A324,Data[Dist],0),MATCH(G$4,Data[#Headers],0))</f>
        <v>450644</v>
      </c>
      <c r="H324" s="21">
        <f>INDEX(Data[],MATCH($A324,Data[Dist],0),MATCH(H$4,Data[#Headers],0))</f>
        <v>6463064</v>
      </c>
      <c r="I324" s="21">
        <f>INDEX(Data[],MATCH($A324,Data[Dist],0),MATCH(I$4,Data[#Headers],0))</f>
        <v>8222991</v>
      </c>
      <c r="J324" s="22"/>
    </row>
    <row r="325" spans="1:10" x14ac:dyDescent="0.2">
      <c r="A325" s="19" t="str">
        <f>Data!B321</f>
        <v>7038</v>
      </c>
      <c r="B325" s="20" t="str">
        <f>INDEX(Data[],MATCH($A325,Data[Dist],0),MATCH(B$4,Data[#Headers],0))</f>
        <v>Wilton</v>
      </c>
      <c r="C325" s="21">
        <f>INDEX(Data[],MATCH($A325,Data[Dist],0),MATCH(C$4,Data[#Headers],0))</f>
        <v>155857</v>
      </c>
      <c r="D325" s="21">
        <f>INDEX(Data[],MATCH($A325,Data[Dist],0),MATCH(D$4,Data[#Headers],0))</f>
        <v>755894</v>
      </c>
      <c r="E325" s="21">
        <f>INDEX(Data[],MATCH($A325,Data[Dist],0),MATCH(E$4,Data[#Headers],0))</f>
        <v>66970</v>
      </c>
      <c r="F325" s="21">
        <f>INDEX(Data[],MATCH($A325,Data[Dist],0),MATCH(F$4,Data[#Headers],0))</f>
        <v>65370</v>
      </c>
      <c r="G325" s="21">
        <f>INDEX(Data[],MATCH($A325,Data[Dist],0),MATCH(G$4,Data[#Headers],0))</f>
        <v>321646</v>
      </c>
      <c r="H325" s="21">
        <f>INDEX(Data[],MATCH($A325,Data[Dist],0),MATCH(H$4,Data[#Headers],0))</f>
        <v>5336245</v>
      </c>
      <c r="I325" s="21">
        <f>INDEX(Data[],MATCH($A325,Data[Dist],0),MATCH(I$4,Data[#Headers],0))</f>
        <v>6701982</v>
      </c>
      <c r="J325" s="22"/>
    </row>
    <row r="326" spans="1:10" x14ac:dyDescent="0.2">
      <c r="A326" s="19" t="str">
        <f>Data!B322</f>
        <v>7047</v>
      </c>
      <c r="B326" s="20" t="str">
        <f>INDEX(Data[],MATCH($A326,Data[Dist],0),MATCH(B$4,Data[#Headers],0))</f>
        <v>Winfield-Mt Union</v>
      </c>
      <c r="C326" s="21">
        <f>INDEX(Data[],MATCH($A326,Data[Dist],0),MATCH(C$4,Data[#Headers],0))</f>
        <v>74032</v>
      </c>
      <c r="D326" s="21">
        <f>INDEX(Data[],MATCH($A326,Data[Dist],0),MATCH(D$4,Data[#Headers],0))</f>
        <v>382475</v>
      </c>
      <c r="E326" s="21">
        <f>INDEX(Data[],MATCH($A326,Data[Dist],0),MATCH(E$4,Data[#Headers],0))</f>
        <v>27253</v>
      </c>
      <c r="F326" s="21">
        <f>INDEX(Data[],MATCH($A326,Data[Dist],0),MATCH(F$4,Data[#Headers],0))</f>
        <v>24134</v>
      </c>
      <c r="G326" s="21">
        <f>INDEX(Data[],MATCH($A326,Data[Dist],0),MATCH(G$4,Data[#Headers],0))</f>
        <v>119592</v>
      </c>
      <c r="H326" s="21">
        <f>INDEX(Data[],MATCH($A326,Data[Dist],0),MATCH(H$4,Data[#Headers],0))</f>
        <v>1915885</v>
      </c>
      <c r="I326" s="21">
        <f>INDEX(Data[],MATCH($A326,Data[Dist],0),MATCH(I$4,Data[#Headers],0))</f>
        <v>2543371</v>
      </c>
      <c r="J326" s="22"/>
    </row>
    <row r="327" spans="1:10" x14ac:dyDescent="0.2">
      <c r="A327" s="19" t="str">
        <f>Data!B323</f>
        <v>7056</v>
      </c>
      <c r="B327" s="20" t="str">
        <f>INDEX(Data[],MATCH($A327,Data[Dist],0),MATCH(B$4,Data[#Headers],0))</f>
        <v>Winterset</v>
      </c>
      <c r="C327" s="21">
        <f>INDEX(Data[],MATCH($A327,Data[Dist],0),MATCH(C$4,Data[#Headers],0))</f>
        <v>284517</v>
      </c>
      <c r="D327" s="21">
        <f>INDEX(Data[],MATCH($A327,Data[Dist],0),MATCH(D$4,Data[#Headers],0))</f>
        <v>1220631</v>
      </c>
      <c r="E327" s="21">
        <f>INDEX(Data[],MATCH($A327,Data[Dist],0),MATCH(E$4,Data[#Headers],0))</f>
        <v>140766</v>
      </c>
      <c r="F327" s="21">
        <f>INDEX(Data[],MATCH($A327,Data[Dist],0),MATCH(F$4,Data[#Headers],0))</f>
        <v>118848</v>
      </c>
      <c r="G327" s="21">
        <f>INDEX(Data[],MATCH($A327,Data[Dist],0),MATCH(G$4,Data[#Headers],0))</f>
        <v>631506</v>
      </c>
      <c r="H327" s="21">
        <f>INDEX(Data[],MATCH($A327,Data[Dist],0),MATCH(H$4,Data[#Headers],0))</f>
        <v>9913583</v>
      </c>
      <c r="I327" s="21">
        <f>INDEX(Data[],MATCH($A327,Data[Dist],0),MATCH(I$4,Data[#Headers],0))</f>
        <v>12309851</v>
      </c>
      <c r="J327" s="22"/>
    </row>
    <row r="328" spans="1:10" x14ac:dyDescent="0.2">
      <c r="A328" s="19" t="str">
        <f>Data!B324</f>
        <v>7092</v>
      </c>
      <c r="B328" s="20" t="str">
        <f>INDEX(Data[],MATCH($A328,Data[Dist],0),MATCH(B$4,Data[#Headers],0))</f>
        <v>Woodbine</v>
      </c>
      <c r="C328" s="21">
        <f>INDEX(Data[],MATCH($A328,Data[Dist],0),MATCH(C$4,Data[#Headers],0))</f>
        <v>112996</v>
      </c>
      <c r="D328" s="21">
        <f>INDEX(Data[],MATCH($A328,Data[Dist],0),MATCH(D$4,Data[#Headers],0))</f>
        <v>512161</v>
      </c>
      <c r="E328" s="21">
        <f>INDEX(Data[],MATCH($A328,Data[Dist],0),MATCH(E$4,Data[#Headers],0))</f>
        <v>43128</v>
      </c>
      <c r="F328" s="21">
        <f>INDEX(Data[],MATCH($A328,Data[Dist],0),MATCH(F$4,Data[#Headers],0))</f>
        <v>41265</v>
      </c>
      <c r="G328" s="21">
        <f>INDEX(Data[],MATCH($A328,Data[Dist],0),MATCH(G$4,Data[#Headers],0))</f>
        <v>192270</v>
      </c>
      <c r="H328" s="21">
        <f>INDEX(Data[],MATCH($A328,Data[Dist],0),MATCH(H$4,Data[#Headers],0))</f>
        <v>2932201</v>
      </c>
      <c r="I328" s="21">
        <f>INDEX(Data[],MATCH($A328,Data[Dist],0),MATCH(I$4,Data[#Headers],0))</f>
        <v>3834021</v>
      </c>
      <c r="J328" s="22"/>
    </row>
    <row r="329" spans="1:10" x14ac:dyDescent="0.2">
      <c r="A329" s="19" t="str">
        <f>Data!B325</f>
        <v>7098</v>
      </c>
      <c r="B329" s="20" t="str">
        <f>INDEX(Data[],MATCH($A329,Data[Dist],0),MATCH(B$4,Data[#Headers],0))</f>
        <v>Woodbury Central</v>
      </c>
      <c r="C329" s="21">
        <f>INDEX(Data[],MATCH($A329,Data[Dist],0),MATCH(C$4,Data[#Headers],0))</f>
        <v>109100</v>
      </c>
      <c r="D329" s="21">
        <f>INDEX(Data[],MATCH($A329,Data[Dist],0),MATCH(D$4,Data[#Headers],0))</f>
        <v>486476</v>
      </c>
      <c r="E329" s="21">
        <f>INDEX(Data[],MATCH($A329,Data[Dist],0),MATCH(E$4,Data[#Headers],0))</f>
        <v>40186</v>
      </c>
      <c r="F329" s="21">
        <f>INDEX(Data[],MATCH($A329,Data[Dist],0),MATCH(F$4,Data[#Headers],0))</f>
        <v>38254</v>
      </c>
      <c r="G329" s="21">
        <f>INDEX(Data[],MATCH($A329,Data[Dist],0),MATCH(G$4,Data[#Headers],0))</f>
        <v>195745</v>
      </c>
      <c r="H329" s="21">
        <f>INDEX(Data[],MATCH($A329,Data[Dist],0),MATCH(H$4,Data[#Headers],0))</f>
        <v>2991340</v>
      </c>
      <c r="I329" s="21">
        <f>INDEX(Data[],MATCH($A329,Data[Dist],0),MATCH(I$4,Data[#Headers],0))</f>
        <v>3861101</v>
      </c>
      <c r="J329" s="22"/>
    </row>
    <row r="330" spans="1:10" x14ac:dyDescent="0.2">
      <c r="A330" s="19" t="str">
        <f>Data!B326</f>
        <v>7110</v>
      </c>
      <c r="B330" s="20" t="str">
        <f>INDEX(Data[],MATCH($A330,Data[Dist],0),MATCH(B$4,Data[#Headers],0))</f>
        <v>Woodward-Granger</v>
      </c>
      <c r="C330" s="21">
        <f>INDEX(Data[],MATCH($A330,Data[Dist],0),MATCH(C$4,Data[#Headers],0))</f>
        <v>229888</v>
      </c>
      <c r="D330" s="21">
        <f>INDEX(Data[],MATCH($A330,Data[Dist],0),MATCH(D$4,Data[#Headers],0))</f>
        <v>867378</v>
      </c>
      <c r="E330" s="21">
        <f>INDEX(Data[],MATCH($A330,Data[Dist],0),MATCH(E$4,Data[#Headers],0))</f>
        <v>81205</v>
      </c>
      <c r="F330" s="21">
        <f>INDEX(Data[],MATCH($A330,Data[Dist],0),MATCH(F$4,Data[#Headers],0))</f>
        <v>76535</v>
      </c>
      <c r="G330" s="21">
        <f>INDEX(Data[],MATCH($A330,Data[Dist],0),MATCH(G$4,Data[#Headers],0))</f>
        <v>409319</v>
      </c>
      <c r="H330" s="21">
        <f>INDEX(Data[],MATCH($A330,Data[Dist],0),MATCH(H$4,Data[#Headers],0))</f>
        <v>6186440</v>
      </c>
      <c r="I330" s="21">
        <f>INDEX(Data[],MATCH($A330,Data[Dist],0),MATCH(I$4,Data[#Headers],0))</f>
        <v>7850765</v>
      </c>
      <c r="J330" s="22"/>
    </row>
    <row r="331" spans="1:10" ht="13.5" thickBot="1" x14ac:dyDescent="0.25">
      <c r="C331" s="23">
        <f t="shared" ref="C331:I331" si="0">SUM(C6:C330)</f>
        <v>91034073</v>
      </c>
      <c r="D331" s="23">
        <f t="shared" si="0"/>
        <v>401143347</v>
      </c>
      <c r="E331" s="23">
        <f t="shared" si="0"/>
        <v>41289183</v>
      </c>
      <c r="F331" s="23">
        <f t="shared" si="0"/>
        <v>37967116</v>
      </c>
      <c r="G331" s="23">
        <f t="shared" si="0"/>
        <v>189229348</v>
      </c>
      <c r="H331" s="23">
        <f t="shared" si="0"/>
        <v>2870435571</v>
      </c>
      <c r="I331" s="23">
        <f t="shared" si="0"/>
        <v>3631098638</v>
      </c>
    </row>
    <row r="332" spans="1:10" ht="13.5" thickTop="1" x14ac:dyDescent="0.2"/>
  </sheetData>
  <sheetProtection sheet="1" objects="1" scenarios="1"/>
  <mergeCells count="1">
    <mergeCell ref="A1:I1"/>
  </mergeCells>
  <pageMargins left="0.5" right="0.45" top="0.6" bottom="0.5" header="0.3" footer="0.3"/>
  <pageSetup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Y343"/>
  <sheetViews>
    <sheetView workbookViewId="0">
      <pane xSplit="2" ySplit="5" topLeftCell="C299" activePane="bottomRight" state="frozen"/>
      <selection pane="topRight" activeCell="C1" sqref="C1"/>
      <selection pane="bottomLeft" activeCell="A6" sqref="A6"/>
      <selection pane="bottomRight" activeCell="H332" sqref="G332:H332"/>
    </sheetView>
  </sheetViews>
  <sheetFormatPr defaultRowHeight="11.25" x14ac:dyDescent="0.2"/>
  <cols>
    <col min="1" max="1" width="9.140625" style="42" customWidth="1"/>
    <col min="2" max="2" width="24.5703125" style="43" bestFit="1" customWidth="1"/>
    <col min="3" max="4" width="15.42578125" style="44" customWidth="1"/>
    <col min="5" max="6" width="15.42578125" style="44" hidden="1" customWidth="1"/>
    <col min="7" max="8" width="15.42578125" style="44" customWidth="1"/>
    <col min="9" max="9" width="9.140625" style="43" customWidth="1"/>
    <col min="10" max="15" width="9.140625" style="43" hidden="1" customWidth="1"/>
    <col min="16" max="16" width="12.85546875" style="43" hidden="1" customWidth="1"/>
    <col min="17" max="18" width="9.140625" style="43" hidden="1" customWidth="1"/>
    <col min="19" max="19" width="10" style="43" hidden="1" customWidth="1"/>
    <col min="20" max="25" width="9.140625" style="43" hidden="1" customWidth="1"/>
    <col min="26" max="26" width="9.140625" style="43" customWidth="1"/>
    <col min="27" max="16384" width="9.140625" style="43"/>
  </cols>
  <sheetData>
    <row r="1" spans="1:25" s="11" customFormat="1" ht="17.25" customHeight="1" x14ac:dyDescent="0.3">
      <c r="A1" s="190" t="str">
        <f>CONCATENATE("FY ",Notes!$B$1," State Payments to School Districts (",Notes!$B$2," Total)")</f>
        <v>FY 2025 State Payments to School Districts (January Total)</v>
      </c>
      <c r="B1" s="190"/>
      <c r="C1" s="190"/>
      <c r="D1" s="190"/>
      <c r="E1" s="190"/>
      <c r="F1" s="190"/>
      <c r="G1" s="190"/>
      <c r="H1" s="190"/>
      <c r="I1" s="10"/>
      <c r="J1" s="201" t="s">
        <v>756</v>
      </c>
      <c r="K1" s="201"/>
      <c r="L1" s="201"/>
      <c r="M1" s="201"/>
      <c r="N1" s="201"/>
      <c r="O1" s="10"/>
      <c r="P1" s="32"/>
      <c r="Q1" s="32"/>
      <c r="R1" s="33"/>
      <c r="S1" s="33"/>
      <c r="T1" s="199" t="s">
        <v>759</v>
      </c>
    </row>
    <row r="2" spans="1:25" s="11" customFormat="1" ht="27.75" customHeight="1" x14ac:dyDescent="0.2">
      <c r="A2" s="198" t="s">
        <v>17</v>
      </c>
      <c r="B2" s="198"/>
      <c r="C2" s="198"/>
      <c r="D2" s="198"/>
      <c r="E2" s="198"/>
      <c r="F2" s="198"/>
      <c r="G2" s="198"/>
      <c r="H2" s="198"/>
      <c r="I2" s="27"/>
      <c r="J2" s="200" t="s">
        <v>748</v>
      </c>
      <c r="K2" s="200" t="s">
        <v>749</v>
      </c>
      <c r="L2" s="200" t="s">
        <v>750</v>
      </c>
      <c r="M2" s="200" t="s">
        <v>760</v>
      </c>
      <c r="N2" s="200" t="s">
        <v>751</v>
      </c>
      <c r="O2" s="27"/>
      <c r="P2" s="34"/>
      <c r="Q2" s="34"/>
      <c r="R2" s="33"/>
      <c r="S2" s="199" t="s">
        <v>740</v>
      </c>
      <c r="T2" s="199"/>
      <c r="V2" s="192" t="s">
        <v>796</v>
      </c>
      <c r="W2" s="192"/>
      <c r="X2" s="192"/>
      <c r="Y2" s="192"/>
    </row>
    <row r="3" spans="1:25" s="14" customFormat="1" ht="12.75" customHeight="1" x14ac:dyDescent="0.2">
      <c r="A3" s="193"/>
      <c r="B3" s="194"/>
      <c r="C3" s="195" t="s">
        <v>12</v>
      </c>
      <c r="D3" s="196"/>
      <c r="E3" s="196"/>
      <c r="F3" s="196"/>
      <c r="G3" s="196"/>
      <c r="H3" s="197"/>
      <c r="J3" s="200"/>
      <c r="K3" s="200"/>
      <c r="L3" s="200"/>
      <c r="M3" s="200"/>
      <c r="N3" s="200"/>
      <c r="P3" s="35"/>
      <c r="Q3" s="35"/>
      <c r="R3" s="35"/>
      <c r="S3" s="199"/>
      <c r="T3" s="199"/>
      <c r="V3" s="192"/>
      <c r="W3" s="192"/>
      <c r="X3" s="192"/>
      <c r="Y3" s="192"/>
    </row>
    <row r="4" spans="1:25" s="14" customFormat="1" ht="11.25" customHeight="1" x14ac:dyDescent="0.2">
      <c r="A4" s="13"/>
      <c r="C4" s="54" t="str">
        <f>IF(OR(Notes!$B$2="September",Notes!$B$2="October",Notes!$B$2="November",Notes!$B$2="December"),Notes!$B$2,"Sept - Dec")</f>
        <v>Sept - Dec</v>
      </c>
      <c r="D4" s="54" t="str">
        <f>IF(OR(Notes!$B$2="January",Notes!$B$2="February"),Notes!$B$2,"Jan - Feb")</f>
        <v>January</v>
      </c>
      <c r="E4" s="54" t="str">
        <f>IF(OR(Notes!$B$2="March",Notes!$B$2="April",Notes!$B$2="May"),Notes!$B$2,"March - May")</f>
        <v>March - May</v>
      </c>
      <c r="F4" s="54" t="str">
        <f>IF(Notes!$B$2="June",Notes!$B$2,"June")</f>
        <v>June</v>
      </c>
      <c r="G4" s="54" t="s">
        <v>718</v>
      </c>
      <c r="H4" s="36" t="s">
        <v>737</v>
      </c>
      <c r="J4" s="200"/>
      <c r="K4" s="200"/>
      <c r="L4" s="200"/>
      <c r="M4" s="200"/>
      <c r="N4" s="200"/>
      <c r="P4" s="35"/>
      <c r="Q4" s="35"/>
      <c r="R4" s="35"/>
      <c r="S4" s="199"/>
      <c r="T4" s="199"/>
      <c r="V4" s="192"/>
      <c r="W4" s="192"/>
      <c r="X4" s="192"/>
      <c r="Y4" s="192"/>
    </row>
    <row r="5" spans="1:25" s="14" customFormat="1" ht="11.25" customHeight="1" x14ac:dyDescent="0.2">
      <c r="A5" s="13"/>
      <c r="C5" s="37" t="s">
        <v>717</v>
      </c>
      <c r="D5" s="37" t="s">
        <v>717</v>
      </c>
      <c r="E5" s="37" t="s">
        <v>717</v>
      </c>
      <c r="F5" s="37" t="s">
        <v>717</v>
      </c>
      <c r="G5" s="37" t="str">
        <f>Notes!$B$2</f>
        <v>January</v>
      </c>
      <c r="H5" s="38" t="s">
        <v>738</v>
      </c>
      <c r="J5" s="200"/>
      <c r="K5" s="200"/>
      <c r="L5" s="200"/>
      <c r="M5" s="200"/>
      <c r="N5" s="200"/>
      <c r="P5" s="35" t="s">
        <v>743</v>
      </c>
      <c r="Q5" s="35"/>
      <c r="R5" s="35"/>
      <c r="S5" s="199"/>
      <c r="T5" s="199"/>
      <c r="V5" s="192"/>
      <c r="W5" s="192"/>
      <c r="X5" s="192"/>
      <c r="Y5" s="192"/>
    </row>
    <row r="6" spans="1:25" s="14" customFormat="1" ht="11.25" hidden="1" customHeight="1" x14ac:dyDescent="0.2">
      <c r="A6" s="16"/>
      <c r="B6" s="17" t="str">
        <f>Data[[#Headers],[Label]]</f>
        <v>Label</v>
      </c>
      <c r="C6" s="39" t="str">
        <f>IF(OR(Notes!$B$2="September",Notes!$B$2="October",Notes!$B$2="November",Notes!$B$2="December"),CONCATENATE(Notes!$B$2," Payment"),"December Payment")</f>
        <v>December Payment</v>
      </c>
      <c r="D6" s="141" t="str">
        <f>IF(OR(Notes!$B$2="January",Notes!$B$2="February"),CONCATENATE(Notes!$B$2," Payment"),"February Payment")</f>
        <v>January Payment</v>
      </c>
      <c r="E6" s="141" t="str">
        <f>IF(OR(Notes!$B$2="March",Notes!$B$2="April",Notes!$B$2="May"),CONCATENATE(Notes!$B$2," Payment"),"May Payment")</f>
        <v>May Payment</v>
      </c>
      <c r="F6" s="141" t="str">
        <f>IF(Notes!$B$2="June",CONCATENATE(Notes!$B$2," Payment"),"June Payment")</f>
        <v>June Payment</v>
      </c>
      <c r="G6" s="39" t="str">
        <f>CONCATENATE("Paid Thru ",Notes!$B$2)</f>
        <v>Paid Thru January</v>
      </c>
      <c r="H6" s="40" t="str">
        <f>Notes!$B$3</f>
        <v>Pay 2 Regular State Payment Budget</v>
      </c>
      <c r="P6" s="35" t="s">
        <v>739</v>
      </c>
      <c r="Q6" s="35"/>
      <c r="R6" s="35"/>
      <c r="S6" s="35"/>
      <c r="T6" s="35" t="s">
        <v>741</v>
      </c>
    </row>
    <row r="7" spans="1:25" s="20" customFormat="1" ht="12.75" x14ac:dyDescent="0.2">
      <c r="A7" s="19" t="str">
        <f>Data!B2</f>
        <v>0009</v>
      </c>
      <c r="B7" s="20" t="str">
        <f>INDEX(Data[],MATCH($A7,Data[Dist],0),MATCH(B$6,Data[#Headers],0))</f>
        <v>AGWSR</v>
      </c>
      <c r="C7" s="21">
        <f>INDEX(Data[],MATCH($A7,Data[Dist],0),MATCH(C$6,Data[#Headers],0))</f>
        <v>434043</v>
      </c>
      <c r="D7" s="21">
        <f>INDEX(Data[],MATCH($A7,Data[Dist],0),MATCH(D$6,Data[#Headers],0))</f>
        <v>431380</v>
      </c>
      <c r="E7" s="21">
        <f>INDEX(Data[],MATCH($A7,Data[Dist],0),MATCH(E$6,Data[#Headers],0))</f>
        <v>431380</v>
      </c>
      <c r="F7" s="21">
        <f>INDEX(Data[],MATCH($A7,Data[Dist],0),MATCH(F$6,Data[#Headers],0))</f>
        <v>431380</v>
      </c>
      <c r="G7" s="21">
        <f>INDEX(Data[],MATCH($A7,Data[Dist],0),MATCH(G$6,Data[#Headers],0))</f>
        <v>2167552</v>
      </c>
      <c r="H7" s="21">
        <f>INDEX(Data[],MATCH($A7,Data[Dist],0),MATCH(H$6,Data[#Headers],0))-G7</f>
        <v>2156900</v>
      </c>
      <c r="I7" s="22"/>
      <c r="J7" s="21">
        <f>INDEX(Notes!$I$2:$N$11,MATCH(Notes!$B$2,Notes!$I$2:$I$11,0),4)*$C7</f>
        <v>1736172</v>
      </c>
      <c r="K7" s="21">
        <f>INDEX(Notes!$I$2:$N$11,MATCH(Notes!$B$2,Notes!$I$2:$I$11,0),5)*$D7</f>
        <v>431380</v>
      </c>
      <c r="L7" s="21">
        <f>INDEX(Notes!$I$2:$N$11,MATCH(Notes!$B$2,Notes!$I$2:$I$11,0),6)*$E7</f>
        <v>0</v>
      </c>
      <c r="M7" s="21">
        <f>IF(Notes!$B$2="June",'Payment Total'!$F7,0)</f>
        <v>0</v>
      </c>
      <c r="N7" s="21">
        <f>SUM(J7:M7)-G7</f>
        <v>0</v>
      </c>
      <c r="P7" s="188" t="s">
        <v>830</v>
      </c>
      <c r="Q7" s="20">
        <v>431380</v>
      </c>
      <c r="R7" s="20" t="str">
        <f>TEXT(P7/10000,"0000")</f>
        <v>0009</v>
      </c>
      <c r="S7" s="20" t="str">
        <f>IF(R7="1968","3582",IF(R7="5160","5319",IF(R7="5510","4824",IF(R7="6536","1935",IF(R7="6035","6048",IF(R7="5325","5323",IF(R7="6099","5157",R7)))))))</f>
        <v>0009</v>
      </c>
      <c r="T7" s="41">
        <f>INDEX($A$7:$H$331,MATCH($S7,$A$7:$A$331,0),4)-Q7</f>
        <v>0</v>
      </c>
      <c r="V7" s="41"/>
    </row>
    <row r="8" spans="1:25" s="20" customFormat="1" ht="12.75" x14ac:dyDescent="0.2">
      <c r="A8" s="19" t="str">
        <f>Data!B3</f>
        <v>0018</v>
      </c>
      <c r="B8" s="20" t="str">
        <f>INDEX(Data[],MATCH($A8,Data[Dist],0),MATCH(B$6,Data[#Headers],0))</f>
        <v>Adair-Casey</v>
      </c>
      <c r="C8" s="21">
        <f>INDEX(Data[],MATCH($A8,Data[Dist],0),MATCH(C$6,Data[#Headers],0))</f>
        <v>199672</v>
      </c>
      <c r="D8" s="21">
        <f>INDEX(Data[],MATCH($A8,Data[Dist],0),MATCH(D$6,Data[#Headers],0))</f>
        <v>198605</v>
      </c>
      <c r="E8" s="21">
        <f>INDEX(Data[],MATCH($A8,Data[Dist],0),MATCH(E$6,Data[#Headers],0))</f>
        <v>198605</v>
      </c>
      <c r="F8" s="21">
        <f>INDEX(Data[],MATCH($A8,Data[Dist],0),MATCH(F$6,Data[#Headers],0))</f>
        <v>198603</v>
      </c>
      <c r="G8" s="21">
        <f>INDEX(Data[],MATCH($A8,Data[Dist],0),MATCH(G$6,Data[#Headers],0))</f>
        <v>997293</v>
      </c>
      <c r="H8" s="21">
        <f>INDEX(Data[],MATCH($A8,Data[Dist],0),MATCH(H$6,Data[#Headers],0))-G8</f>
        <v>993023</v>
      </c>
      <c r="I8" s="22"/>
      <c r="J8" s="21">
        <f>INDEX(Notes!$I$2:$N$11,MATCH(Notes!$B$2,Notes!$I$2:$I$11,0),4)*$C8</f>
        <v>798688</v>
      </c>
      <c r="K8" s="21">
        <f>INDEX(Notes!$I$2:$N$11,MATCH(Notes!$B$2,Notes!$I$2:$I$11,0),5)*$D8</f>
        <v>198605</v>
      </c>
      <c r="L8" s="21">
        <f>INDEX(Notes!$I$2:$N$11,MATCH(Notes!$B$2,Notes!$I$2:$I$11,0),6)*$E8</f>
        <v>0</v>
      </c>
      <c r="M8" s="21">
        <f>IF(Notes!$B$2="June",'Payment Total'!$F8,0)</f>
        <v>0</v>
      </c>
      <c r="N8" s="21">
        <f t="shared" ref="N8:N71" si="0">SUM(J8:M8)-G8</f>
        <v>0</v>
      </c>
      <c r="P8" s="188" t="s">
        <v>831</v>
      </c>
      <c r="Q8" s="20">
        <v>198605</v>
      </c>
      <c r="R8" s="20" t="str">
        <f t="shared" ref="R8:R71" si="1">TEXT(P8/10000,"0000")</f>
        <v>0018</v>
      </c>
      <c r="S8" s="20" t="str">
        <f t="shared" ref="S8:S71" si="2">IF(R8="1968","3582",IF(R8="5160","5319",IF(R8="5510","4824",IF(R8="6536","1935",IF(R8="6035","6048",IF(R8="5325","5323",IF(R8="6099","5157",R8)))))))</f>
        <v>0018</v>
      </c>
      <c r="T8" s="41">
        <f t="shared" ref="T8:T71" si="3">INDEX($A$7:$H$331,MATCH($S8,$A$7:$A$331,0),4)-Q8</f>
        <v>0</v>
      </c>
      <c r="V8" s="41"/>
    </row>
    <row r="9" spans="1:25" s="20" customFormat="1" ht="12.75" x14ac:dyDescent="0.2">
      <c r="A9" s="19" t="str">
        <f>Data!B4</f>
        <v>0027</v>
      </c>
      <c r="B9" s="20" t="str">
        <f>INDEX(Data[],MATCH($A9,Data[Dist],0),MATCH(B$6,Data[#Headers],0))</f>
        <v>Adel-Desoto-Minburn</v>
      </c>
      <c r="C9" s="21">
        <f>INDEX(Data[],MATCH($A9,Data[Dist],0),MATCH(C$6,Data[#Headers],0))</f>
        <v>1673019</v>
      </c>
      <c r="D9" s="21">
        <f>INDEX(Data[],MATCH($A9,Data[Dist],0),MATCH(D$6,Data[#Headers],0))</f>
        <v>1664889</v>
      </c>
      <c r="E9" s="21">
        <f>INDEX(Data[],MATCH($A9,Data[Dist],0),MATCH(E$6,Data[#Headers],0))</f>
        <v>1664889</v>
      </c>
      <c r="F9" s="21">
        <f>INDEX(Data[],MATCH($A9,Data[Dist],0),MATCH(F$6,Data[#Headers],0))</f>
        <v>1664888</v>
      </c>
      <c r="G9" s="21">
        <f>INDEX(Data[],MATCH($A9,Data[Dist],0),MATCH(G$6,Data[#Headers],0))</f>
        <v>8356965</v>
      </c>
      <c r="H9" s="21">
        <f>INDEX(Data[],MATCH($A9,Data[Dist],0),MATCH(H$6,Data[#Headers],0))-G9</f>
        <v>8324444</v>
      </c>
      <c r="I9" s="22"/>
      <c r="J9" s="21">
        <f>INDEX(Notes!$I$2:$N$11,MATCH(Notes!$B$2,Notes!$I$2:$I$11,0),4)*$C9</f>
        <v>6692076</v>
      </c>
      <c r="K9" s="21">
        <f>INDEX(Notes!$I$2:$N$11,MATCH(Notes!$B$2,Notes!$I$2:$I$11,0),5)*$D9</f>
        <v>1664889</v>
      </c>
      <c r="L9" s="21">
        <f>INDEX(Notes!$I$2:$N$11,MATCH(Notes!$B$2,Notes!$I$2:$I$11,0),6)*$E9</f>
        <v>0</v>
      </c>
      <c r="M9" s="21">
        <f>IF(Notes!$B$2="June",'Payment Total'!$F9,0)</f>
        <v>0</v>
      </c>
      <c r="N9" s="21">
        <f t="shared" si="0"/>
        <v>0</v>
      </c>
      <c r="P9" s="188" t="s">
        <v>832</v>
      </c>
      <c r="Q9" s="20">
        <v>1664889</v>
      </c>
      <c r="R9" s="20" t="str">
        <f t="shared" si="1"/>
        <v>0027</v>
      </c>
      <c r="S9" s="20" t="str">
        <f t="shared" si="2"/>
        <v>0027</v>
      </c>
      <c r="T9" s="41">
        <f t="shared" si="3"/>
        <v>0</v>
      </c>
      <c r="V9" s="41"/>
    </row>
    <row r="10" spans="1:25" s="20" customFormat="1" ht="12.75" x14ac:dyDescent="0.2">
      <c r="A10" s="19" t="str">
        <f>Data!B5</f>
        <v>0063</v>
      </c>
      <c r="B10" s="20" t="str">
        <f>INDEX(Data[],MATCH($A10,Data[Dist],0),MATCH(B$6,Data[#Headers],0))</f>
        <v>Akron-Westfield</v>
      </c>
      <c r="C10" s="21">
        <f>INDEX(Data[],MATCH($A10,Data[Dist],0),MATCH(C$6,Data[#Headers],0))</f>
        <v>403282</v>
      </c>
      <c r="D10" s="21">
        <f>INDEX(Data[],MATCH($A10,Data[Dist],0),MATCH(D$6,Data[#Headers],0))</f>
        <v>401264</v>
      </c>
      <c r="E10" s="21">
        <f>INDEX(Data[],MATCH($A10,Data[Dist],0),MATCH(E$6,Data[#Headers],0))</f>
        <v>401264</v>
      </c>
      <c r="F10" s="21">
        <f>INDEX(Data[],MATCH($A10,Data[Dist],0),MATCH(F$6,Data[#Headers],0))</f>
        <v>401262</v>
      </c>
      <c r="G10" s="21">
        <f>INDEX(Data[],MATCH($A10,Data[Dist],0),MATCH(G$6,Data[#Headers],0))</f>
        <v>2014392</v>
      </c>
      <c r="H10" s="21">
        <f>INDEX(Data[],MATCH($A10,Data[Dist],0),MATCH(H$6,Data[#Headers],0))-G10</f>
        <v>2006318</v>
      </c>
      <c r="I10" s="22"/>
      <c r="J10" s="21">
        <f>INDEX(Notes!$I$2:$N$11,MATCH(Notes!$B$2,Notes!$I$2:$I$11,0),4)*$C10</f>
        <v>1613128</v>
      </c>
      <c r="K10" s="21">
        <f>INDEX(Notes!$I$2:$N$11,MATCH(Notes!$B$2,Notes!$I$2:$I$11,0),5)*$D10</f>
        <v>401264</v>
      </c>
      <c r="L10" s="21">
        <f>INDEX(Notes!$I$2:$N$11,MATCH(Notes!$B$2,Notes!$I$2:$I$11,0),6)*$E10</f>
        <v>0</v>
      </c>
      <c r="M10" s="21">
        <f>IF(Notes!$B$2="June",'Payment Total'!$F10,0)</f>
        <v>0</v>
      </c>
      <c r="N10" s="21">
        <f t="shared" si="0"/>
        <v>0</v>
      </c>
      <c r="P10" s="188" t="s">
        <v>833</v>
      </c>
      <c r="Q10" s="20">
        <v>401264</v>
      </c>
      <c r="R10" s="20" t="str">
        <f t="shared" si="1"/>
        <v>0063</v>
      </c>
      <c r="S10" s="20" t="str">
        <f t="shared" si="2"/>
        <v>0063</v>
      </c>
      <c r="T10" s="41">
        <f t="shared" si="3"/>
        <v>0</v>
      </c>
      <c r="V10" s="41"/>
    </row>
    <row r="11" spans="1:25" s="20" customFormat="1" ht="12.75" x14ac:dyDescent="0.2">
      <c r="A11" s="19" t="str">
        <f>Data!B6</f>
        <v>0072</v>
      </c>
      <c r="B11" s="20" t="str">
        <f>INDEX(Data[],MATCH($A11,Data[Dist],0),MATCH(B$6,Data[#Headers],0))</f>
        <v>Albert City-Truesdale</v>
      </c>
      <c r="C11" s="21">
        <f>INDEX(Data[],MATCH($A11,Data[Dist],0),MATCH(C$6,Data[#Headers],0))</f>
        <v>102011</v>
      </c>
      <c r="D11" s="21">
        <f>INDEX(Data[],MATCH($A11,Data[Dist],0),MATCH(D$6,Data[#Headers],0))</f>
        <v>101266</v>
      </c>
      <c r="E11" s="21">
        <f>INDEX(Data[],MATCH($A11,Data[Dist],0),MATCH(E$6,Data[#Headers],0))</f>
        <v>101266</v>
      </c>
      <c r="F11" s="21">
        <f>INDEX(Data[],MATCH($A11,Data[Dist],0),MATCH(F$6,Data[#Headers],0))</f>
        <v>101264</v>
      </c>
      <c r="G11" s="21">
        <f>INDEX(Data[],MATCH($A11,Data[Dist],0),MATCH(G$6,Data[#Headers],0))</f>
        <v>509310</v>
      </c>
      <c r="H11" s="21">
        <f>INDEX(Data[],MATCH($A11,Data[Dist],0),MATCH(H$6,Data[#Headers],0))-G11</f>
        <v>506328</v>
      </c>
      <c r="I11" s="22"/>
      <c r="J11" s="21">
        <f>INDEX(Notes!$I$2:$N$11,MATCH(Notes!$B$2,Notes!$I$2:$I$11,0),4)*$C11</f>
        <v>408044</v>
      </c>
      <c r="K11" s="21">
        <f>INDEX(Notes!$I$2:$N$11,MATCH(Notes!$B$2,Notes!$I$2:$I$11,0),5)*$D11</f>
        <v>101266</v>
      </c>
      <c r="L11" s="21">
        <f>INDEX(Notes!$I$2:$N$11,MATCH(Notes!$B$2,Notes!$I$2:$I$11,0),6)*$E11</f>
        <v>0</v>
      </c>
      <c r="M11" s="21">
        <f>IF(Notes!$B$2="June",'Payment Total'!$F11,0)</f>
        <v>0</v>
      </c>
      <c r="N11" s="21">
        <f t="shared" si="0"/>
        <v>0</v>
      </c>
      <c r="P11" s="188" t="s">
        <v>834</v>
      </c>
      <c r="Q11" s="20">
        <v>101266</v>
      </c>
      <c r="R11" s="20" t="str">
        <f t="shared" si="1"/>
        <v>0072</v>
      </c>
      <c r="S11" s="20" t="str">
        <f t="shared" si="2"/>
        <v>0072</v>
      </c>
      <c r="T11" s="41">
        <f t="shared" si="3"/>
        <v>0</v>
      </c>
      <c r="V11" s="41"/>
    </row>
    <row r="12" spans="1:25" s="20" customFormat="1" ht="12.75" x14ac:dyDescent="0.2">
      <c r="A12" s="19" t="str">
        <f>Data!B7</f>
        <v>0081</v>
      </c>
      <c r="B12" s="20" t="str">
        <f>INDEX(Data[],MATCH($A12,Data[Dist],0),MATCH(B$6,Data[#Headers],0))</f>
        <v>Albia</v>
      </c>
      <c r="C12" s="21">
        <f>INDEX(Data[],MATCH($A12,Data[Dist],0),MATCH(C$6,Data[#Headers],0))</f>
        <v>859129</v>
      </c>
      <c r="D12" s="21">
        <f>INDEX(Data[],MATCH($A12,Data[Dist],0),MATCH(D$6,Data[#Headers],0))</f>
        <v>855070</v>
      </c>
      <c r="E12" s="21">
        <f>INDEX(Data[],MATCH($A12,Data[Dist],0),MATCH(E$6,Data[#Headers],0))</f>
        <v>855069</v>
      </c>
      <c r="F12" s="21">
        <f>INDEX(Data[],MATCH($A12,Data[Dist],0),MATCH(F$6,Data[#Headers],0))</f>
        <v>855070</v>
      </c>
      <c r="G12" s="21">
        <f>INDEX(Data[],MATCH($A12,Data[Dist],0),MATCH(G$6,Data[#Headers],0))</f>
        <v>4291586</v>
      </c>
      <c r="H12" s="21">
        <f>INDEX(Data[],MATCH($A12,Data[Dist],0),MATCH(H$6,Data[#Headers],0))-G12</f>
        <v>4275347</v>
      </c>
      <c r="I12" s="22"/>
      <c r="J12" s="21">
        <f>INDEX(Notes!$I$2:$N$11,MATCH(Notes!$B$2,Notes!$I$2:$I$11,0),4)*$C12</f>
        <v>3436516</v>
      </c>
      <c r="K12" s="21">
        <f>INDEX(Notes!$I$2:$N$11,MATCH(Notes!$B$2,Notes!$I$2:$I$11,0),5)*$D12</f>
        <v>855070</v>
      </c>
      <c r="L12" s="21">
        <f>INDEX(Notes!$I$2:$N$11,MATCH(Notes!$B$2,Notes!$I$2:$I$11,0),6)*$E12</f>
        <v>0</v>
      </c>
      <c r="M12" s="21">
        <f>IF(Notes!$B$2="June",'Payment Total'!$F12,0)</f>
        <v>0</v>
      </c>
      <c r="N12" s="21">
        <f t="shared" si="0"/>
        <v>0</v>
      </c>
      <c r="P12" s="188" t="s">
        <v>835</v>
      </c>
      <c r="Q12" s="20">
        <v>855070</v>
      </c>
      <c r="R12" s="20" t="str">
        <f t="shared" si="1"/>
        <v>0081</v>
      </c>
      <c r="S12" s="20" t="str">
        <f t="shared" si="2"/>
        <v>0081</v>
      </c>
      <c r="T12" s="41">
        <f t="shared" si="3"/>
        <v>0</v>
      </c>
      <c r="V12" s="41"/>
    </row>
    <row r="13" spans="1:25" s="20" customFormat="1" ht="12.75" x14ac:dyDescent="0.2">
      <c r="A13" s="19" t="str">
        <f>Data!B8</f>
        <v>0099</v>
      </c>
      <c r="B13" s="20" t="str">
        <f>INDEX(Data[],MATCH($A13,Data[Dist],0),MATCH(B$6,Data[#Headers],0))</f>
        <v>Alburnett</v>
      </c>
      <c r="C13" s="21">
        <f>INDEX(Data[],MATCH($A13,Data[Dist],0),MATCH(C$6,Data[#Headers],0))</f>
        <v>371171</v>
      </c>
      <c r="D13" s="21">
        <f>INDEX(Data[],MATCH($A13,Data[Dist],0),MATCH(D$6,Data[#Headers],0))</f>
        <v>369136</v>
      </c>
      <c r="E13" s="21">
        <f>INDEX(Data[],MATCH($A13,Data[Dist],0),MATCH(E$6,Data[#Headers],0))</f>
        <v>369135</v>
      </c>
      <c r="F13" s="21">
        <f>INDEX(Data[],MATCH($A13,Data[Dist],0),MATCH(F$6,Data[#Headers],0))</f>
        <v>369136</v>
      </c>
      <c r="G13" s="21">
        <f>INDEX(Data[],MATCH($A13,Data[Dist],0),MATCH(G$6,Data[#Headers],0))</f>
        <v>1853820</v>
      </c>
      <c r="H13" s="21">
        <f>INDEX(Data[],MATCH($A13,Data[Dist],0),MATCH(H$6,Data[#Headers],0))-G13</f>
        <v>1845677</v>
      </c>
      <c r="I13" s="22"/>
      <c r="J13" s="21">
        <f>INDEX(Notes!$I$2:$N$11,MATCH(Notes!$B$2,Notes!$I$2:$I$11,0),4)*$C13</f>
        <v>1484684</v>
      </c>
      <c r="K13" s="21">
        <f>INDEX(Notes!$I$2:$N$11,MATCH(Notes!$B$2,Notes!$I$2:$I$11,0),5)*$D13</f>
        <v>369136</v>
      </c>
      <c r="L13" s="21">
        <f>INDEX(Notes!$I$2:$N$11,MATCH(Notes!$B$2,Notes!$I$2:$I$11,0),6)*$E13</f>
        <v>0</v>
      </c>
      <c r="M13" s="21">
        <f>IF(Notes!$B$2="June",'Payment Total'!$F13,0)</f>
        <v>0</v>
      </c>
      <c r="N13" s="21">
        <f t="shared" si="0"/>
        <v>0</v>
      </c>
      <c r="P13" s="188" t="s">
        <v>836</v>
      </c>
      <c r="Q13" s="20">
        <v>369136</v>
      </c>
      <c r="R13" s="20" t="str">
        <f t="shared" si="1"/>
        <v>0099</v>
      </c>
      <c r="S13" s="20" t="str">
        <f t="shared" si="2"/>
        <v>0099</v>
      </c>
      <c r="T13" s="41">
        <f t="shared" si="3"/>
        <v>0</v>
      </c>
      <c r="V13" s="41"/>
    </row>
    <row r="14" spans="1:25" s="20" customFormat="1" ht="12.75" x14ac:dyDescent="0.2">
      <c r="A14" s="19" t="str">
        <f>Data!B9</f>
        <v>0108</v>
      </c>
      <c r="B14" s="20" t="str">
        <f>INDEX(Data[],MATCH($A14,Data[Dist],0),MATCH(B$6,Data[#Headers],0))</f>
        <v>Alden</v>
      </c>
      <c r="C14" s="21">
        <f>INDEX(Data[],MATCH($A14,Data[Dist],0),MATCH(C$6,Data[#Headers],0))</f>
        <v>184912</v>
      </c>
      <c r="D14" s="21">
        <f>INDEX(Data[],MATCH($A14,Data[Dist],0),MATCH(D$6,Data[#Headers],0))</f>
        <v>183908</v>
      </c>
      <c r="E14" s="21">
        <f>INDEX(Data[],MATCH($A14,Data[Dist],0),MATCH(E$6,Data[#Headers],0))</f>
        <v>183908</v>
      </c>
      <c r="F14" s="21">
        <f>INDEX(Data[],MATCH($A14,Data[Dist],0),MATCH(F$6,Data[#Headers],0))</f>
        <v>183908</v>
      </c>
      <c r="G14" s="21">
        <f>INDEX(Data[],MATCH($A14,Data[Dist],0),MATCH(G$6,Data[#Headers],0))</f>
        <v>923556</v>
      </c>
      <c r="H14" s="21">
        <f>INDEX(Data[],MATCH($A14,Data[Dist],0),MATCH(H$6,Data[#Headers],0))-G14</f>
        <v>919540</v>
      </c>
      <c r="I14" s="22"/>
      <c r="J14" s="21">
        <f>INDEX(Notes!$I$2:$N$11,MATCH(Notes!$B$2,Notes!$I$2:$I$11,0),4)*$C14</f>
        <v>739648</v>
      </c>
      <c r="K14" s="21">
        <f>INDEX(Notes!$I$2:$N$11,MATCH(Notes!$B$2,Notes!$I$2:$I$11,0),5)*$D14</f>
        <v>183908</v>
      </c>
      <c r="L14" s="21">
        <f>INDEX(Notes!$I$2:$N$11,MATCH(Notes!$B$2,Notes!$I$2:$I$11,0),6)*$E14</f>
        <v>0</v>
      </c>
      <c r="M14" s="21">
        <f>IF(Notes!$B$2="June",'Payment Total'!$F14,0)</f>
        <v>0</v>
      </c>
      <c r="N14" s="21">
        <f t="shared" si="0"/>
        <v>0</v>
      </c>
      <c r="P14" s="188" t="s">
        <v>837</v>
      </c>
      <c r="Q14" s="20">
        <v>183908</v>
      </c>
      <c r="R14" s="20" t="str">
        <f t="shared" si="1"/>
        <v>0108</v>
      </c>
      <c r="S14" s="20" t="str">
        <f t="shared" si="2"/>
        <v>0108</v>
      </c>
      <c r="T14" s="41">
        <f t="shared" si="3"/>
        <v>0</v>
      </c>
      <c r="V14" s="41"/>
    </row>
    <row r="15" spans="1:25" s="20" customFormat="1" ht="12.75" x14ac:dyDescent="0.2">
      <c r="A15" s="19" t="str">
        <f>Data!B10</f>
        <v>0126</v>
      </c>
      <c r="B15" s="20" t="str">
        <f>INDEX(Data[],MATCH($A15,Data[Dist],0),MATCH(B$6,Data[#Headers],0))</f>
        <v>Algona</v>
      </c>
      <c r="C15" s="21">
        <f>INDEX(Data[],MATCH($A15,Data[Dist],0),MATCH(C$6,Data[#Headers],0))</f>
        <v>872358</v>
      </c>
      <c r="D15" s="21">
        <f>INDEX(Data[],MATCH($A15,Data[Dist],0),MATCH(D$6,Data[#Headers],0))</f>
        <v>867059</v>
      </c>
      <c r="E15" s="21">
        <f>INDEX(Data[],MATCH($A15,Data[Dist],0),MATCH(E$6,Data[#Headers],0))</f>
        <v>867059</v>
      </c>
      <c r="F15" s="21">
        <f>INDEX(Data[],MATCH($A15,Data[Dist],0),MATCH(F$6,Data[#Headers],0))</f>
        <v>867060</v>
      </c>
      <c r="G15" s="21">
        <f>INDEX(Data[],MATCH($A15,Data[Dist],0),MATCH(G$6,Data[#Headers],0))</f>
        <v>4356491</v>
      </c>
      <c r="H15" s="21">
        <f>INDEX(Data[],MATCH($A15,Data[Dist],0),MATCH(H$6,Data[#Headers],0))-G15</f>
        <v>4335296</v>
      </c>
      <c r="I15" s="22"/>
      <c r="J15" s="21">
        <f>INDEX(Notes!$I$2:$N$11,MATCH(Notes!$B$2,Notes!$I$2:$I$11,0),4)*$C15</f>
        <v>3489432</v>
      </c>
      <c r="K15" s="21">
        <f>INDEX(Notes!$I$2:$N$11,MATCH(Notes!$B$2,Notes!$I$2:$I$11,0),5)*$D15</f>
        <v>867059</v>
      </c>
      <c r="L15" s="21">
        <f>INDEX(Notes!$I$2:$N$11,MATCH(Notes!$B$2,Notes!$I$2:$I$11,0),6)*$E15</f>
        <v>0</v>
      </c>
      <c r="M15" s="21">
        <f>IF(Notes!$B$2="June",'Payment Total'!$F15,0)</f>
        <v>0</v>
      </c>
      <c r="N15" s="21">
        <f t="shared" si="0"/>
        <v>0</v>
      </c>
      <c r="P15" s="188" t="s">
        <v>838</v>
      </c>
      <c r="Q15" s="20">
        <v>867059</v>
      </c>
      <c r="R15" s="20" t="str">
        <f t="shared" si="1"/>
        <v>0126</v>
      </c>
      <c r="S15" s="20" t="str">
        <f t="shared" si="2"/>
        <v>0126</v>
      </c>
      <c r="T15" s="41">
        <f t="shared" si="3"/>
        <v>0</v>
      </c>
      <c r="V15" s="41"/>
    </row>
    <row r="16" spans="1:25" s="20" customFormat="1" ht="12.75" x14ac:dyDescent="0.2">
      <c r="A16" s="19" t="str">
        <f>Data!B11</f>
        <v>0135</v>
      </c>
      <c r="B16" s="20" t="str">
        <f>INDEX(Data[],MATCH($A16,Data[Dist],0),MATCH(B$6,Data[#Headers],0))</f>
        <v>Allamakee</v>
      </c>
      <c r="C16" s="21">
        <f>INDEX(Data[],MATCH($A16,Data[Dist],0),MATCH(C$6,Data[#Headers],0))</f>
        <v>779528</v>
      </c>
      <c r="D16" s="21">
        <f>INDEX(Data[],MATCH($A16,Data[Dist],0),MATCH(D$6,Data[#Headers],0))</f>
        <v>775361</v>
      </c>
      <c r="E16" s="21">
        <f>INDEX(Data[],MATCH($A16,Data[Dist],0),MATCH(E$6,Data[#Headers],0))</f>
        <v>775361</v>
      </c>
      <c r="F16" s="21">
        <f>INDEX(Data[],MATCH($A16,Data[Dist],0),MATCH(F$6,Data[#Headers],0))</f>
        <v>775362</v>
      </c>
      <c r="G16" s="21">
        <f>INDEX(Data[],MATCH($A16,Data[Dist],0),MATCH(G$6,Data[#Headers],0))</f>
        <v>3893473</v>
      </c>
      <c r="H16" s="21">
        <f>INDEX(Data[],MATCH($A16,Data[Dist],0),MATCH(H$6,Data[#Headers],0))-G16</f>
        <v>3876806</v>
      </c>
      <c r="I16" s="22"/>
      <c r="J16" s="21">
        <f>INDEX(Notes!$I$2:$N$11,MATCH(Notes!$B$2,Notes!$I$2:$I$11,0),4)*$C16</f>
        <v>3118112</v>
      </c>
      <c r="K16" s="21">
        <f>INDEX(Notes!$I$2:$N$11,MATCH(Notes!$B$2,Notes!$I$2:$I$11,0),5)*$D16</f>
        <v>775361</v>
      </c>
      <c r="L16" s="21">
        <f>INDEX(Notes!$I$2:$N$11,MATCH(Notes!$B$2,Notes!$I$2:$I$11,0),6)*$E16</f>
        <v>0</v>
      </c>
      <c r="M16" s="21">
        <f>IF(Notes!$B$2="June",'Payment Total'!$F16,0)</f>
        <v>0</v>
      </c>
      <c r="N16" s="21">
        <f t="shared" si="0"/>
        <v>0</v>
      </c>
      <c r="P16" s="188" t="s">
        <v>839</v>
      </c>
      <c r="Q16" s="20">
        <v>775361</v>
      </c>
      <c r="R16" s="20" t="str">
        <f t="shared" si="1"/>
        <v>0135</v>
      </c>
      <c r="S16" s="20" t="str">
        <f t="shared" si="2"/>
        <v>0135</v>
      </c>
      <c r="T16" s="41">
        <f t="shared" si="3"/>
        <v>0</v>
      </c>
      <c r="V16" s="41"/>
    </row>
    <row r="17" spans="1:22" s="20" customFormat="1" ht="12.75" x14ac:dyDescent="0.2">
      <c r="A17" s="19" t="str">
        <f>Data!B12</f>
        <v>0153</v>
      </c>
      <c r="B17" s="20" t="str">
        <f>INDEX(Data[],MATCH($A17,Data[Dist],0),MATCH(B$6,Data[#Headers],0))</f>
        <v>North Butler</v>
      </c>
      <c r="C17" s="21">
        <f>INDEX(Data[],MATCH($A17,Data[Dist],0),MATCH(C$6,Data[#Headers],0))</f>
        <v>358375</v>
      </c>
      <c r="D17" s="21">
        <f>INDEX(Data[],MATCH($A17,Data[Dist],0),MATCH(D$6,Data[#Headers],0))</f>
        <v>356441</v>
      </c>
      <c r="E17" s="21">
        <f>INDEX(Data[],MATCH($A17,Data[Dist],0),MATCH(E$6,Data[#Headers],0))</f>
        <v>356440</v>
      </c>
      <c r="F17" s="21">
        <f>INDEX(Data[],MATCH($A17,Data[Dist],0),MATCH(F$6,Data[#Headers],0))</f>
        <v>356441</v>
      </c>
      <c r="G17" s="21">
        <f>INDEX(Data[],MATCH($A17,Data[Dist],0),MATCH(G$6,Data[#Headers],0))</f>
        <v>1789941</v>
      </c>
      <c r="H17" s="21">
        <f>INDEX(Data[],MATCH($A17,Data[Dist],0),MATCH(H$6,Data[#Headers],0))-G17</f>
        <v>1782202</v>
      </c>
      <c r="I17" s="22"/>
      <c r="J17" s="21">
        <f>INDEX(Notes!$I$2:$N$11,MATCH(Notes!$B$2,Notes!$I$2:$I$11,0),4)*$C17</f>
        <v>1433500</v>
      </c>
      <c r="K17" s="21">
        <f>INDEX(Notes!$I$2:$N$11,MATCH(Notes!$B$2,Notes!$I$2:$I$11,0),5)*$D17</f>
        <v>356441</v>
      </c>
      <c r="L17" s="21">
        <f>INDEX(Notes!$I$2:$N$11,MATCH(Notes!$B$2,Notes!$I$2:$I$11,0),6)*$E17</f>
        <v>0</v>
      </c>
      <c r="M17" s="21">
        <f>IF(Notes!$B$2="June",'Payment Total'!$F17,0)</f>
        <v>0</v>
      </c>
      <c r="N17" s="21">
        <f t="shared" si="0"/>
        <v>0</v>
      </c>
      <c r="P17" s="188" t="s">
        <v>840</v>
      </c>
      <c r="Q17" s="20">
        <v>356441</v>
      </c>
      <c r="R17" s="20" t="str">
        <f t="shared" si="1"/>
        <v>0153</v>
      </c>
      <c r="S17" s="20" t="str">
        <f t="shared" si="2"/>
        <v>0153</v>
      </c>
      <c r="T17" s="41">
        <f t="shared" si="3"/>
        <v>0</v>
      </c>
      <c r="V17" s="41"/>
    </row>
    <row r="18" spans="1:22" s="20" customFormat="1" ht="12.75" x14ac:dyDescent="0.2">
      <c r="A18" s="19" t="str">
        <f>Data!B13</f>
        <v>0171</v>
      </c>
      <c r="B18" s="20" t="str">
        <f>INDEX(Data[],MATCH($A18,Data[Dist],0),MATCH(B$6,Data[#Headers],0))</f>
        <v>Alta-Aurelia</v>
      </c>
      <c r="C18" s="21">
        <f>INDEX(Data[],MATCH($A18,Data[Dist],0),MATCH(C$6,Data[#Headers],0))</f>
        <v>524419</v>
      </c>
      <c r="D18" s="21">
        <f>INDEX(Data[],MATCH($A18,Data[Dist],0),MATCH(D$6,Data[#Headers],0))</f>
        <v>521263</v>
      </c>
      <c r="E18" s="21">
        <f>INDEX(Data[],MATCH($A18,Data[Dist],0),MATCH(E$6,Data[#Headers],0))</f>
        <v>521263</v>
      </c>
      <c r="F18" s="21">
        <f>INDEX(Data[],MATCH($A18,Data[Dist],0),MATCH(F$6,Data[#Headers],0))</f>
        <v>521263</v>
      </c>
      <c r="G18" s="21">
        <f>INDEX(Data[],MATCH($A18,Data[Dist],0),MATCH(G$6,Data[#Headers],0))</f>
        <v>2618939</v>
      </c>
      <c r="H18" s="21">
        <f>INDEX(Data[],MATCH($A18,Data[Dist],0),MATCH(H$6,Data[#Headers],0))-G18</f>
        <v>2606315</v>
      </c>
      <c r="I18" s="22"/>
      <c r="J18" s="21">
        <f>INDEX(Notes!$I$2:$N$11,MATCH(Notes!$B$2,Notes!$I$2:$I$11,0),4)*$C18</f>
        <v>2097676</v>
      </c>
      <c r="K18" s="21">
        <f>INDEX(Notes!$I$2:$N$11,MATCH(Notes!$B$2,Notes!$I$2:$I$11,0),5)*$D18</f>
        <v>521263</v>
      </c>
      <c r="L18" s="21">
        <f>INDEX(Notes!$I$2:$N$11,MATCH(Notes!$B$2,Notes!$I$2:$I$11,0),6)*$E18</f>
        <v>0</v>
      </c>
      <c r="M18" s="21">
        <f>IF(Notes!$B$2="June",'Payment Total'!$F18,0)</f>
        <v>0</v>
      </c>
      <c r="N18" s="21">
        <f t="shared" si="0"/>
        <v>0</v>
      </c>
      <c r="P18" s="188" t="s">
        <v>841</v>
      </c>
      <c r="Q18" s="20">
        <v>521263</v>
      </c>
      <c r="R18" s="20" t="str">
        <f t="shared" si="1"/>
        <v>0171</v>
      </c>
      <c r="S18" s="20" t="str">
        <f t="shared" si="2"/>
        <v>0171</v>
      </c>
      <c r="T18" s="41">
        <f t="shared" si="3"/>
        <v>0</v>
      </c>
      <c r="V18" s="41"/>
    </row>
    <row r="19" spans="1:22" s="20" customFormat="1" ht="12.75" x14ac:dyDescent="0.2">
      <c r="A19" s="19" t="str">
        <f>Data!B14</f>
        <v>0225</v>
      </c>
      <c r="B19" s="20" t="str">
        <f>INDEX(Data[],MATCH($A19,Data[Dist],0),MATCH(B$6,Data[#Headers],0))</f>
        <v>Ames</v>
      </c>
      <c r="C19" s="21">
        <f>INDEX(Data[],MATCH($A19,Data[Dist],0),MATCH(C$6,Data[#Headers],0))</f>
        <v>2648995</v>
      </c>
      <c r="D19" s="21">
        <f>INDEX(Data[],MATCH($A19,Data[Dist],0),MATCH(D$6,Data[#Headers],0))</f>
        <v>2631926</v>
      </c>
      <c r="E19" s="21">
        <f>INDEX(Data[],MATCH($A19,Data[Dist],0),MATCH(E$6,Data[#Headers],0))</f>
        <v>2631926</v>
      </c>
      <c r="F19" s="21">
        <f>INDEX(Data[],MATCH($A19,Data[Dist],0),MATCH(F$6,Data[#Headers],0))</f>
        <v>2631926</v>
      </c>
      <c r="G19" s="21">
        <f>INDEX(Data[],MATCH($A19,Data[Dist],0),MATCH(G$6,Data[#Headers],0))</f>
        <v>13227906</v>
      </c>
      <c r="H19" s="21">
        <f>INDEX(Data[],MATCH($A19,Data[Dist],0),MATCH(H$6,Data[#Headers],0))-G19</f>
        <v>13159630</v>
      </c>
      <c r="I19" s="22"/>
      <c r="J19" s="21">
        <f>INDEX(Notes!$I$2:$N$11,MATCH(Notes!$B$2,Notes!$I$2:$I$11,0),4)*$C19</f>
        <v>10595980</v>
      </c>
      <c r="K19" s="21">
        <f>INDEX(Notes!$I$2:$N$11,MATCH(Notes!$B$2,Notes!$I$2:$I$11,0),5)*$D19</f>
        <v>2631926</v>
      </c>
      <c r="L19" s="21">
        <f>INDEX(Notes!$I$2:$N$11,MATCH(Notes!$B$2,Notes!$I$2:$I$11,0),6)*$E19</f>
        <v>0</v>
      </c>
      <c r="M19" s="21">
        <f>IF(Notes!$B$2="June",'Payment Total'!$F19,0)</f>
        <v>0</v>
      </c>
      <c r="N19" s="21">
        <f t="shared" si="0"/>
        <v>0</v>
      </c>
      <c r="P19" s="188" t="s">
        <v>842</v>
      </c>
      <c r="Q19" s="20">
        <v>2631926</v>
      </c>
      <c r="R19" s="20" t="str">
        <f t="shared" si="1"/>
        <v>0225</v>
      </c>
      <c r="S19" s="20" t="str">
        <f t="shared" si="2"/>
        <v>0225</v>
      </c>
      <c r="T19" s="41">
        <f t="shared" si="3"/>
        <v>0</v>
      </c>
      <c r="V19" s="41"/>
    </row>
    <row r="20" spans="1:22" s="20" customFormat="1" ht="12.75" x14ac:dyDescent="0.2">
      <c r="A20" s="19" t="str">
        <f>Data!B15</f>
        <v>0234</v>
      </c>
      <c r="B20" s="20" t="str">
        <f>INDEX(Data[],MATCH($A20,Data[Dist],0),MATCH(B$6,Data[#Headers],0))</f>
        <v>Anamosa</v>
      </c>
      <c r="C20" s="21">
        <f>INDEX(Data[],MATCH($A20,Data[Dist],0),MATCH(C$6,Data[#Headers],0))</f>
        <v>950250</v>
      </c>
      <c r="D20" s="21">
        <f>INDEX(Data[],MATCH($A20,Data[Dist],0),MATCH(D$6,Data[#Headers],0))</f>
        <v>945531</v>
      </c>
      <c r="E20" s="21">
        <f>INDEX(Data[],MATCH($A20,Data[Dist],0),MATCH(E$6,Data[#Headers],0))</f>
        <v>945531</v>
      </c>
      <c r="F20" s="21">
        <f>INDEX(Data[],MATCH($A20,Data[Dist],0),MATCH(F$6,Data[#Headers],0))</f>
        <v>945529</v>
      </c>
      <c r="G20" s="21">
        <f>INDEX(Data[],MATCH($A20,Data[Dist],0),MATCH(G$6,Data[#Headers],0))</f>
        <v>4746531</v>
      </c>
      <c r="H20" s="21">
        <f>INDEX(Data[],MATCH($A20,Data[Dist],0),MATCH(H$6,Data[#Headers],0))-G20</f>
        <v>4727653</v>
      </c>
      <c r="I20" s="22"/>
      <c r="J20" s="21">
        <f>INDEX(Notes!$I$2:$N$11,MATCH(Notes!$B$2,Notes!$I$2:$I$11,0),4)*$C20</f>
        <v>3801000</v>
      </c>
      <c r="K20" s="21">
        <f>INDEX(Notes!$I$2:$N$11,MATCH(Notes!$B$2,Notes!$I$2:$I$11,0),5)*$D20</f>
        <v>945531</v>
      </c>
      <c r="L20" s="21">
        <f>INDEX(Notes!$I$2:$N$11,MATCH(Notes!$B$2,Notes!$I$2:$I$11,0),6)*$E20</f>
        <v>0</v>
      </c>
      <c r="M20" s="21">
        <f>IF(Notes!$B$2="June",'Payment Total'!$F20,0)</f>
        <v>0</v>
      </c>
      <c r="N20" s="21">
        <f t="shared" si="0"/>
        <v>0</v>
      </c>
      <c r="P20" s="188" t="s">
        <v>843</v>
      </c>
      <c r="Q20" s="20">
        <v>945531</v>
      </c>
      <c r="R20" s="20" t="str">
        <f t="shared" si="1"/>
        <v>0234</v>
      </c>
      <c r="S20" s="20" t="str">
        <f t="shared" si="2"/>
        <v>0234</v>
      </c>
      <c r="T20" s="41">
        <f t="shared" si="3"/>
        <v>0</v>
      </c>
      <c r="V20" s="41"/>
    </row>
    <row r="21" spans="1:22" s="20" customFormat="1" ht="12.75" x14ac:dyDescent="0.2">
      <c r="A21" s="19" t="str">
        <f>Data!B16</f>
        <v>0243</v>
      </c>
      <c r="B21" s="20" t="str">
        <f>INDEX(Data[],MATCH($A21,Data[Dist],0),MATCH(B$6,Data[#Headers],0))</f>
        <v>Andrew</v>
      </c>
      <c r="C21" s="21">
        <f>INDEX(Data[],MATCH($A21,Data[Dist],0),MATCH(C$6,Data[#Headers],0))</f>
        <v>167951</v>
      </c>
      <c r="D21" s="21">
        <f>INDEX(Data[],MATCH($A21,Data[Dist],0),MATCH(D$6,Data[#Headers],0))</f>
        <v>167118</v>
      </c>
      <c r="E21" s="21">
        <f>INDEX(Data[],MATCH($A21,Data[Dist],0),MATCH(E$6,Data[#Headers],0))</f>
        <v>167117</v>
      </c>
      <c r="F21" s="21">
        <f>INDEX(Data[],MATCH($A21,Data[Dist],0),MATCH(F$6,Data[#Headers],0))</f>
        <v>167118</v>
      </c>
      <c r="G21" s="21">
        <f>INDEX(Data[],MATCH($A21,Data[Dist],0),MATCH(G$6,Data[#Headers],0))</f>
        <v>838922</v>
      </c>
      <c r="H21" s="21">
        <f>INDEX(Data[],MATCH($A21,Data[Dist],0),MATCH(H$6,Data[#Headers],0))-G21</f>
        <v>835587</v>
      </c>
      <c r="I21" s="22"/>
      <c r="J21" s="21">
        <f>INDEX(Notes!$I$2:$N$11,MATCH(Notes!$B$2,Notes!$I$2:$I$11,0),4)*$C21</f>
        <v>671804</v>
      </c>
      <c r="K21" s="21">
        <f>INDEX(Notes!$I$2:$N$11,MATCH(Notes!$B$2,Notes!$I$2:$I$11,0),5)*$D21</f>
        <v>167118</v>
      </c>
      <c r="L21" s="21">
        <f>INDEX(Notes!$I$2:$N$11,MATCH(Notes!$B$2,Notes!$I$2:$I$11,0),6)*$E21</f>
        <v>0</v>
      </c>
      <c r="M21" s="21">
        <f>IF(Notes!$B$2="June",'Payment Total'!$F21,0)</f>
        <v>0</v>
      </c>
      <c r="N21" s="21">
        <f t="shared" si="0"/>
        <v>0</v>
      </c>
      <c r="P21" s="188" t="s">
        <v>844</v>
      </c>
      <c r="Q21" s="20">
        <v>167118</v>
      </c>
      <c r="R21" s="20" t="str">
        <f t="shared" si="1"/>
        <v>0243</v>
      </c>
      <c r="S21" s="20" t="str">
        <f t="shared" si="2"/>
        <v>0243</v>
      </c>
      <c r="T21" s="41">
        <f t="shared" si="3"/>
        <v>0</v>
      </c>
      <c r="V21" s="41"/>
    </row>
    <row r="22" spans="1:22" s="25" customFormat="1" ht="12.75" x14ac:dyDescent="0.2">
      <c r="A22" s="19" t="str">
        <f>Data!B17</f>
        <v>0261</v>
      </c>
      <c r="B22" s="20" t="str">
        <f>INDEX(Data[],MATCH($A22,Data[Dist],0),MATCH(B$6,Data[#Headers],0))</f>
        <v>Ankeny</v>
      </c>
      <c r="C22" s="21">
        <f>INDEX(Data[],MATCH($A22,Data[Dist],0),MATCH(C$6,Data[#Headers],0))</f>
        <v>8770305</v>
      </c>
      <c r="D22" s="21">
        <f>INDEX(Data[],MATCH($A22,Data[Dist],0),MATCH(D$6,Data[#Headers],0))</f>
        <v>8722861</v>
      </c>
      <c r="E22" s="21">
        <f>INDEX(Data[],MATCH($A22,Data[Dist],0),MATCH(E$6,Data[#Headers],0))</f>
        <v>8722861</v>
      </c>
      <c r="F22" s="21">
        <f>INDEX(Data[],MATCH($A22,Data[Dist],0),MATCH(F$6,Data[#Headers],0))</f>
        <v>8722861</v>
      </c>
      <c r="G22" s="21">
        <f>INDEX(Data[],MATCH($A22,Data[Dist],0),MATCH(G$6,Data[#Headers],0))</f>
        <v>43804081</v>
      </c>
      <c r="H22" s="21">
        <f>INDEX(Data[],MATCH($A22,Data[Dist],0),MATCH(H$6,Data[#Headers],0))-G22</f>
        <v>43614305</v>
      </c>
      <c r="I22" s="24"/>
      <c r="J22" s="21">
        <f>INDEX(Notes!$I$2:$N$11,MATCH(Notes!$B$2,Notes!$I$2:$I$11,0),4)*$C22</f>
        <v>35081220</v>
      </c>
      <c r="K22" s="21">
        <f>INDEX(Notes!$I$2:$N$11,MATCH(Notes!$B$2,Notes!$I$2:$I$11,0),5)*$D22</f>
        <v>8722861</v>
      </c>
      <c r="L22" s="21">
        <f>INDEX(Notes!$I$2:$N$11,MATCH(Notes!$B$2,Notes!$I$2:$I$11,0),6)*$E22</f>
        <v>0</v>
      </c>
      <c r="M22" s="21">
        <f>IF(Notes!$B$2="June",'Payment Total'!$F22,0)</f>
        <v>0</v>
      </c>
      <c r="N22" s="21">
        <f t="shared" si="0"/>
        <v>0</v>
      </c>
      <c r="P22" s="189" t="s">
        <v>845</v>
      </c>
      <c r="Q22" s="25">
        <v>8722861</v>
      </c>
      <c r="R22" s="20" t="str">
        <f t="shared" si="1"/>
        <v>0261</v>
      </c>
      <c r="S22" s="20" t="str">
        <f t="shared" si="2"/>
        <v>0261</v>
      </c>
      <c r="T22" s="41">
        <f t="shared" si="3"/>
        <v>0</v>
      </c>
      <c r="V22" s="41"/>
    </row>
    <row r="23" spans="1:22" s="25" customFormat="1" ht="12.75" x14ac:dyDescent="0.2">
      <c r="A23" s="19" t="str">
        <f>Data!B18</f>
        <v>0279</v>
      </c>
      <c r="B23" s="20" t="str">
        <f>INDEX(Data[],MATCH($A23,Data[Dist],0),MATCH(B$6,Data[#Headers],0))</f>
        <v>Aplington-Parkersburg</v>
      </c>
      <c r="C23" s="21">
        <f>INDEX(Data[],MATCH($A23,Data[Dist],0),MATCH(C$6,Data[#Headers],0))</f>
        <v>610198</v>
      </c>
      <c r="D23" s="21">
        <f>INDEX(Data[],MATCH($A23,Data[Dist],0),MATCH(D$6,Data[#Headers],0))</f>
        <v>607217</v>
      </c>
      <c r="E23" s="21">
        <f>INDEX(Data[],MATCH($A23,Data[Dist],0),MATCH(E$6,Data[#Headers],0))</f>
        <v>607217</v>
      </c>
      <c r="F23" s="21">
        <f>INDEX(Data[],MATCH($A23,Data[Dist],0),MATCH(F$6,Data[#Headers],0))</f>
        <v>607216</v>
      </c>
      <c r="G23" s="21">
        <f>INDEX(Data[],MATCH($A23,Data[Dist],0),MATCH(G$6,Data[#Headers],0))</f>
        <v>3048009</v>
      </c>
      <c r="H23" s="21">
        <f>INDEX(Data[],MATCH($A23,Data[Dist],0),MATCH(H$6,Data[#Headers],0))-G23</f>
        <v>3036084</v>
      </c>
      <c r="I23" s="24"/>
      <c r="J23" s="21">
        <f>INDEX(Notes!$I$2:$N$11,MATCH(Notes!$B$2,Notes!$I$2:$I$11,0),4)*$C23</f>
        <v>2440792</v>
      </c>
      <c r="K23" s="21">
        <f>INDEX(Notes!$I$2:$N$11,MATCH(Notes!$B$2,Notes!$I$2:$I$11,0),5)*$D23</f>
        <v>607217</v>
      </c>
      <c r="L23" s="21">
        <f>INDEX(Notes!$I$2:$N$11,MATCH(Notes!$B$2,Notes!$I$2:$I$11,0),6)*$E23</f>
        <v>0</v>
      </c>
      <c r="M23" s="21">
        <f>IF(Notes!$B$2="June",'Payment Total'!$F23,0)</f>
        <v>0</v>
      </c>
      <c r="N23" s="21">
        <f t="shared" si="0"/>
        <v>0</v>
      </c>
      <c r="P23" s="189" t="s">
        <v>846</v>
      </c>
      <c r="Q23" s="25">
        <v>607217</v>
      </c>
      <c r="R23" s="20" t="str">
        <f t="shared" si="1"/>
        <v>0279</v>
      </c>
      <c r="S23" s="20" t="str">
        <f t="shared" si="2"/>
        <v>0279</v>
      </c>
      <c r="T23" s="41">
        <f t="shared" si="3"/>
        <v>0</v>
      </c>
      <c r="V23" s="41"/>
    </row>
    <row r="24" spans="1:22" s="25" customFormat="1" ht="12.75" x14ac:dyDescent="0.2">
      <c r="A24" s="19" t="str">
        <f>Data!B19</f>
        <v>0333</v>
      </c>
      <c r="B24" s="20" t="str">
        <f>INDEX(Data[],MATCH($A24,Data[Dist],0),MATCH(B$6,Data[#Headers],0))</f>
        <v>North Union</v>
      </c>
      <c r="C24" s="21">
        <f>INDEX(Data[],MATCH($A24,Data[Dist],0),MATCH(C$6,Data[#Headers],0))</f>
        <v>183405</v>
      </c>
      <c r="D24" s="21">
        <f>INDEX(Data[],MATCH($A24,Data[Dist],0),MATCH(D$6,Data[#Headers],0))</f>
        <v>181915</v>
      </c>
      <c r="E24" s="21">
        <f>INDEX(Data[],MATCH($A24,Data[Dist],0),MATCH(E$6,Data[#Headers],0))</f>
        <v>181915</v>
      </c>
      <c r="F24" s="21">
        <f>INDEX(Data[],MATCH($A24,Data[Dist],0),MATCH(F$6,Data[#Headers],0))</f>
        <v>181913</v>
      </c>
      <c r="G24" s="21">
        <f>INDEX(Data[],MATCH($A24,Data[Dist],0),MATCH(G$6,Data[#Headers],0))</f>
        <v>915535</v>
      </c>
      <c r="H24" s="21">
        <f>INDEX(Data[],MATCH($A24,Data[Dist],0),MATCH(H$6,Data[#Headers],0))-G24</f>
        <v>909573</v>
      </c>
      <c r="I24" s="24"/>
      <c r="J24" s="21">
        <f>INDEX(Notes!$I$2:$N$11,MATCH(Notes!$B$2,Notes!$I$2:$I$11,0),4)*$C24</f>
        <v>733620</v>
      </c>
      <c r="K24" s="21">
        <f>INDEX(Notes!$I$2:$N$11,MATCH(Notes!$B$2,Notes!$I$2:$I$11,0),5)*$D24</f>
        <v>181915</v>
      </c>
      <c r="L24" s="21">
        <f>INDEX(Notes!$I$2:$N$11,MATCH(Notes!$B$2,Notes!$I$2:$I$11,0),6)*$E24</f>
        <v>0</v>
      </c>
      <c r="M24" s="21">
        <f>IF(Notes!$B$2="June",'Payment Total'!$F24,0)</f>
        <v>0</v>
      </c>
      <c r="N24" s="21">
        <f t="shared" si="0"/>
        <v>0</v>
      </c>
      <c r="P24" s="189" t="s">
        <v>847</v>
      </c>
      <c r="Q24" s="25">
        <v>181915</v>
      </c>
      <c r="R24" s="20" t="str">
        <f t="shared" si="1"/>
        <v>0333</v>
      </c>
      <c r="S24" s="20" t="str">
        <f t="shared" si="2"/>
        <v>0333</v>
      </c>
      <c r="T24" s="41">
        <f t="shared" si="3"/>
        <v>0</v>
      </c>
      <c r="V24" s="41"/>
    </row>
    <row r="25" spans="1:22" s="25" customFormat="1" ht="12.75" x14ac:dyDescent="0.2">
      <c r="A25" s="19" t="str">
        <f>Data!B20</f>
        <v>0355</v>
      </c>
      <c r="B25" s="20" t="str">
        <f>INDEX(Data[],MATCH($A25,Data[Dist],0),MATCH(B$6,Data[#Headers],0))</f>
        <v>Ar-We-Va</v>
      </c>
      <c r="C25" s="21">
        <f>INDEX(Data[],MATCH($A25,Data[Dist],0),MATCH(C$6,Data[#Headers],0))</f>
        <v>154429</v>
      </c>
      <c r="D25" s="21">
        <f>INDEX(Data[],MATCH($A25,Data[Dist],0),MATCH(D$6,Data[#Headers],0))</f>
        <v>153331</v>
      </c>
      <c r="E25" s="21">
        <f>INDEX(Data[],MATCH($A25,Data[Dist],0),MATCH(E$6,Data[#Headers],0))</f>
        <v>153331</v>
      </c>
      <c r="F25" s="21">
        <f>INDEX(Data[],MATCH($A25,Data[Dist],0),MATCH(F$6,Data[#Headers],0))</f>
        <v>153329</v>
      </c>
      <c r="G25" s="21">
        <f>INDEX(Data[],MATCH($A25,Data[Dist],0),MATCH(G$6,Data[#Headers],0))</f>
        <v>771047</v>
      </c>
      <c r="H25" s="21">
        <f>INDEX(Data[],MATCH($A25,Data[Dist],0),MATCH(H$6,Data[#Headers],0))-G25</f>
        <v>766653</v>
      </c>
      <c r="I25" s="24"/>
      <c r="J25" s="21">
        <f>INDEX(Notes!$I$2:$N$11,MATCH(Notes!$B$2,Notes!$I$2:$I$11,0),4)*$C25</f>
        <v>617716</v>
      </c>
      <c r="K25" s="21">
        <f>INDEX(Notes!$I$2:$N$11,MATCH(Notes!$B$2,Notes!$I$2:$I$11,0),5)*$D25</f>
        <v>153331</v>
      </c>
      <c r="L25" s="21">
        <f>INDEX(Notes!$I$2:$N$11,MATCH(Notes!$B$2,Notes!$I$2:$I$11,0),6)*$E25</f>
        <v>0</v>
      </c>
      <c r="M25" s="21">
        <f>IF(Notes!$B$2="June",'Payment Total'!$F25,0)</f>
        <v>0</v>
      </c>
      <c r="N25" s="21">
        <f t="shared" si="0"/>
        <v>0</v>
      </c>
      <c r="P25" s="189" t="s">
        <v>848</v>
      </c>
      <c r="Q25" s="25">
        <v>153331</v>
      </c>
      <c r="R25" s="20" t="str">
        <f t="shared" si="1"/>
        <v>0355</v>
      </c>
      <c r="S25" s="20" t="str">
        <f t="shared" si="2"/>
        <v>0355</v>
      </c>
      <c r="T25" s="41">
        <f t="shared" si="3"/>
        <v>0</v>
      </c>
      <c r="V25" s="41"/>
    </row>
    <row r="26" spans="1:22" s="25" customFormat="1" ht="12.75" x14ac:dyDescent="0.2">
      <c r="A26" s="19" t="str">
        <f>Data!B21</f>
        <v>0387</v>
      </c>
      <c r="B26" s="20" t="str">
        <f>INDEX(Data[],MATCH($A26,Data[Dist],0),MATCH(B$6,Data[#Headers],0))</f>
        <v>Atlantic</v>
      </c>
      <c r="C26" s="21">
        <f>INDEX(Data[],MATCH($A26,Data[Dist],0),MATCH(C$6,Data[#Headers],0))</f>
        <v>1127270</v>
      </c>
      <c r="D26" s="21">
        <f>INDEX(Data[],MATCH($A26,Data[Dist],0),MATCH(D$6,Data[#Headers],0))</f>
        <v>1121961</v>
      </c>
      <c r="E26" s="21">
        <f>INDEX(Data[],MATCH($A26,Data[Dist],0),MATCH(E$6,Data[#Headers],0))</f>
        <v>1121961</v>
      </c>
      <c r="F26" s="21">
        <f>INDEX(Data[],MATCH($A26,Data[Dist],0),MATCH(F$6,Data[#Headers],0))</f>
        <v>1121960</v>
      </c>
      <c r="G26" s="21">
        <f>INDEX(Data[],MATCH($A26,Data[Dist],0),MATCH(G$6,Data[#Headers],0))</f>
        <v>5631041</v>
      </c>
      <c r="H26" s="21">
        <f>INDEX(Data[],MATCH($A26,Data[Dist],0),MATCH(H$6,Data[#Headers],0))-G26</f>
        <v>5609804</v>
      </c>
      <c r="I26" s="24"/>
      <c r="J26" s="21">
        <f>INDEX(Notes!$I$2:$N$11,MATCH(Notes!$B$2,Notes!$I$2:$I$11,0),4)*$C26</f>
        <v>4509080</v>
      </c>
      <c r="K26" s="21">
        <f>INDEX(Notes!$I$2:$N$11,MATCH(Notes!$B$2,Notes!$I$2:$I$11,0),5)*$D26</f>
        <v>1121961</v>
      </c>
      <c r="L26" s="21">
        <f>INDEX(Notes!$I$2:$N$11,MATCH(Notes!$B$2,Notes!$I$2:$I$11,0),6)*$E26</f>
        <v>0</v>
      </c>
      <c r="M26" s="21">
        <f>IF(Notes!$B$2="June",'Payment Total'!$F26,0)</f>
        <v>0</v>
      </c>
      <c r="N26" s="21">
        <f t="shared" si="0"/>
        <v>0</v>
      </c>
      <c r="P26" s="189" t="s">
        <v>849</v>
      </c>
      <c r="Q26" s="25">
        <v>1121961</v>
      </c>
      <c r="R26" s="20" t="str">
        <f t="shared" si="1"/>
        <v>0387</v>
      </c>
      <c r="S26" s="20" t="str">
        <f t="shared" si="2"/>
        <v>0387</v>
      </c>
      <c r="T26" s="41">
        <f t="shared" si="3"/>
        <v>0</v>
      </c>
      <c r="V26" s="41"/>
    </row>
    <row r="27" spans="1:22" s="25" customFormat="1" ht="12.75" x14ac:dyDescent="0.2">
      <c r="A27" s="19" t="str">
        <f>Data!B22</f>
        <v>0414</v>
      </c>
      <c r="B27" s="20" t="str">
        <f>INDEX(Data[],MATCH($A27,Data[Dist],0),MATCH(B$6,Data[#Headers],0))</f>
        <v>Audubon</v>
      </c>
      <c r="C27" s="21">
        <f>INDEX(Data[],MATCH($A27,Data[Dist],0),MATCH(C$6,Data[#Headers],0))</f>
        <v>327590</v>
      </c>
      <c r="D27" s="21">
        <f>INDEX(Data[],MATCH($A27,Data[Dist],0),MATCH(D$6,Data[#Headers],0))</f>
        <v>325673</v>
      </c>
      <c r="E27" s="21">
        <f>INDEX(Data[],MATCH($A27,Data[Dist],0),MATCH(E$6,Data[#Headers],0))</f>
        <v>325673</v>
      </c>
      <c r="F27" s="21">
        <f>INDEX(Data[],MATCH($A27,Data[Dist],0),MATCH(F$6,Data[#Headers],0))</f>
        <v>325674</v>
      </c>
      <c r="G27" s="21">
        <f>INDEX(Data[],MATCH($A27,Data[Dist],0),MATCH(G$6,Data[#Headers],0))</f>
        <v>1636033</v>
      </c>
      <c r="H27" s="21">
        <f>INDEX(Data[],MATCH($A27,Data[Dist],0),MATCH(H$6,Data[#Headers],0))-G27</f>
        <v>1628366</v>
      </c>
      <c r="I27" s="24"/>
      <c r="J27" s="21">
        <f>INDEX(Notes!$I$2:$N$11,MATCH(Notes!$B$2,Notes!$I$2:$I$11,0),4)*$C27</f>
        <v>1310360</v>
      </c>
      <c r="K27" s="21">
        <f>INDEX(Notes!$I$2:$N$11,MATCH(Notes!$B$2,Notes!$I$2:$I$11,0),5)*$D27</f>
        <v>325673</v>
      </c>
      <c r="L27" s="21">
        <f>INDEX(Notes!$I$2:$N$11,MATCH(Notes!$B$2,Notes!$I$2:$I$11,0),6)*$E27</f>
        <v>0</v>
      </c>
      <c r="M27" s="21">
        <f>IF(Notes!$B$2="June",'Payment Total'!$F27,0)</f>
        <v>0</v>
      </c>
      <c r="N27" s="21">
        <f t="shared" si="0"/>
        <v>0</v>
      </c>
      <c r="P27" s="189" t="s">
        <v>850</v>
      </c>
      <c r="Q27" s="25">
        <v>325673</v>
      </c>
      <c r="R27" s="20" t="str">
        <f t="shared" si="1"/>
        <v>0414</v>
      </c>
      <c r="S27" s="20" t="str">
        <f t="shared" si="2"/>
        <v>0414</v>
      </c>
      <c r="T27" s="41">
        <f t="shared" si="3"/>
        <v>0</v>
      </c>
      <c r="V27" s="41"/>
    </row>
    <row r="28" spans="1:22" s="25" customFormat="1" ht="12.75" x14ac:dyDescent="0.2">
      <c r="A28" s="19" t="str">
        <f>Data!B23</f>
        <v>0441</v>
      </c>
      <c r="B28" s="20" t="str">
        <f>INDEX(Data[],MATCH($A28,Data[Dist],0),MATCH(B$6,Data[#Headers],0))</f>
        <v>AHSTW</v>
      </c>
      <c r="C28" s="21">
        <f>INDEX(Data[],MATCH($A28,Data[Dist],0),MATCH(C$6,Data[#Headers],0))</f>
        <v>433230</v>
      </c>
      <c r="D28" s="21">
        <f>INDEX(Data[],MATCH($A28,Data[Dist],0),MATCH(D$6,Data[#Headers],0))</f>
        <v>430299</v>
      </c>
      <c r="E28" s="21">
        <f>INDEX(Data[],MATCH($A28,Data[Dist],0),MATCH(E$6,Data[#Headers],0))</f>
        <v>430300</v>
      </c>
      <c r="F28" s="21">
        <f>INDEX(Data[],MATCH($A28,Data[Dist],0),MATCH(F$6,Data[#Headers],0))</f>
        <v>430298</v>
      </c>
      <c r="G28" s="21">
        <f>INDEX(Data[],MATCH($A28,Data[Dist],0),MATCH(G$6,Data[#Headers],0))</f>
        <v>2163219</v>
      </c>
      <c r="H28" s="21">
        <f>INDEX(Data[],MATCH($A28,Data[Dist],0),MATCH(H$6,Data[#Headers],0))-G28</f>
        <v>2151497</v>
      </c>
      <c r="I28" s="24"/>
      <c r="J28" s="21">
        <f>INDEX(Notes!$I$2:$N$11,MATCH(Notes!$B$2,Notes!$I$2:$I$11,0),4)*$C28</f>
        <v>1732920</v>
      </c>
      <c r="K28" s="21">
        <f>INDEX(Notes!$I$2:$N$11,MATCH(Notes!$B$2,Notes!$I$2:$I$11,0),5)*$D28</f>
        <v>430299</v>
      </c>
      <c r="L28" s="21">
        <f>INDEX(Notes!$I$2:$N$11,MATCH(Notes!$B$2,Notes!$I$2:$I$11,0),6)*$E28</f>
        <v>0</v>
      </c>
      <c r="M28" s="21">
        <f>IF(Notes!$B$2="June",'Payment Total'!$F28,0)</f>
        <v>0</v>
      </c>
      <c r="N28" s="21">
        <f t="shared" si="0"/>
        <v>0</v>
      </c>
      <c r="P28" s="189" t="s">
        <v>851</v>
      </c>
      <c r="Q28" s="25">
        <v>430299</v>
      </c>
      <c r="R28" s="20" t="str">
        <f t="shared" si="1"/>
        <v>0441</v>
      </c>
      <c r="S28" s="20" t="str">
        <f t="shared" si="2"/>
        <v>0441</v>
      </c>
      <c r="T28" s="41">
        <f t="shared" si="3"/>
        <v>0</v>
      </c>
      <c r="V28" s="41"/>
    </row>
    <row r="29" spans="1:22" s="25" customFormat="1" ht="12.75" x14ac:dyDescent="0.2">
      <c r="A29" s="19" t="str">
        <f>Data!B24</f>
        <v>0472</v>
      </c>
      <c r="B29" s="20" t="str">
        <f>INDEX(Data[],MATCH($A29,Data[Dist],0),MATCH(B$6,Data[#Headers],0))</f>
        <v>Ballard</v>
      </c>
      <c r="C29" s="21">
        <f>INDEX(Data[],MATCH($A29,Data[Dist],0),MATCH(C$6,Data[#Headers],0))</f>
        <v>1354212</v>
      </c>
      <c r="D29" s="21">
        <f>INDEX(Data[],MATCH($A29,Data[Dist],0),MATCH(D$6,Data[#Headers],0))</f>
        <v>1347705</v>
      </c>
      <c r="E29" s="21">
        <f>INDEX(Data[],MATCH($A29,Data[Dist],0),MATCH(E$6,Data[#Headers],0))</f>
        <v>1347705</v>
      </c>
      <c r="F29" s="21">
        <f>INDEX(Data[],MATCH($A29,Data[Dist],0),MATCH(F$6,Data[#Headers],0))</f>
        <v>1347706</v>
      </c>
      <c r="G29" s="21">
        <f>INDEX(Data[],MATCH($A29,Data[Dist],0),MATCH(G$6,Data[#Headers],0))</f>
        <v>6764553</v>
      </c>
      <c r="H29" s="21">
        <f>INDEX(Data[],MATCH($A29,Data[Dist],0),MATCH(H$6,Data[#Headers],0))-G29</f>
        <v>6738526</v>
      </c>
      <c r="I29" s="24"/>
      <c r="J29" s="21">
        <f>INDEX(Notes!$I$2:$N$11,MATCH(Notes!$B$2,Notes!$I$2:$I$11,0),4)*$C29</f>
        <v>5416848</v>
      </c>
      <c r="K29" s="21">
        <f>INDEX(Notes!$I$2:$N$11,MATCH(Notes!$B$2,Notes!$I$2:$I$11,0),5)*$D29</f>
        <v>1347705</v>
      </c>
      <c r="L29" s="21">
        <f>INDEX(Notes!$I$2:$N$11,MATCH(Notes!$B$2,Notes!$I$2:$I$11,0),6)*$E29</f>
        <v>0</v>
      </c>
      <c r="M29" s="21">
        <f>IF(Notes!$B$2="June",'Payment Total'!$F29,0)</f>
        <v>0</v>
      </c>
      <c r="N29" s="21">
        <f t="shared" si="0"/>
        <v>0</v>
      </c>
      <c r="P29" s="189" t="s">
        <v>852</v>
      </c>
      <c r="Q29" s="25">
        <v>1347705</v>
      </c>
      <c r="R29" s="20" t="str">
        <f t="shared" si="1"/>
        <v>0472</v>
      </c>
      <c r="S29" s="20" t="str">
        <f t="shared" si="2"/>
        <v>0472</v>
      </c>
      <c r="T29" s="41">
        <f t="shared" si="3"/>
        <v>0</v>
      </c>
      <c r="V29" s="41"/>
    </row>
    <row r="30" spans="1:22" s="25" customFormat="1" ht="12.75" x14ac:dyDescent="0.2">
      <c r="A30" s="19" t="str">
        <f>Data!B25</f>
        <v>0513</v>
      </c>
      <c r="B30" s="20" t="str">
        <f>INDEX(Data[],MATCH($A30,Data[Dist],0),MATCH(B$6,Data[#Headers],0))</f>
        <v>Baxter</v>
      </c>
      <c r="C30" s="21">
        <f>INDEX(Data[],MATCH($A30,Data[Dist],0),MATCH(C$6,Data[#Headers],0))</f>
        <v>282654</v>
      </c>
      <c r="D30" s="21">
        <f>INDEX(Data[],MATCH($A30,Data[Dist],0),MATCH(D$6,Data[#Headers],0))</f>
        <v>281383</v>
      </c>
      <c r="E30" s="21">
        <f>INDEX(Data[],MATCH($A30,Data[Dist],0),MATCH(E$6,Data[#Headers],0))</f>
        <v>281383</v>
      </c>
      <c r="F30" s="21">
        <f>INDEX(Data[],MATCH($A30,Data[Dist],0),MATCH(F$6,Data[#Headers],0))</f>
        <v>281383</v>
      </c>
      <c r="G30" s="21">
        <f>INDEX(Data[],MATCH($A30,Data[Dist],0),MATCH(G$6,Data[#Headers],0))</f>
        <v>1411999</v>
      </c>
      <c r="H30" s="21">
        <f>INDEX(Data[],MATCH($A30,Data[Dist],0),MATCH(H$6,Data[#Headers],0))-G30</f>
        <v>1406915</v>
      </c>
      <c r="I30" s="24"/>
      <c r="J30" s="21">
        <f>INDEX(Notes!$I$2:$N$11,MATCH(Notes!$B$2,Notes!$I$2:$I$11,0),4)*$C30</f>
        <v>1130616</v>
      </c>
      <c r="K30" s="21">
        <f>INDEX(Notes!$I$2:$N$11,MATCH(Notes!$B$2,Notes!$I$2:$I$11,0),5)*$D30</f>
        <v>281383</v>
      </c>
      <c r="L30" s="21">
        <f>INDEX(Notes!$I$2:$N$11,MATCH(Notes!$B$2,Notes!$I$2:$I$11,0),6)*$E30</f>
        <v>0</v>
      </c>
      <c r="M30" s="21">
        <f>IF(Notes!$B$2="June",'Payment Total'!$F30,0)</f>
        <v>0</v>
      </c>
      <c r="N30" s="21">
        <f t="shared" si="0"/>
        <v>0</v>
      </c>
      <c r="P30" s="189" t="s">
        <v>853</v>
      </c>
      <c r="Q30" s="25">
        <v>281383</v>
      </c>
      <c r="R30" s="20" t="str">
        <f t="shared" si="1"/>
        <v>0513</v>
      </c>
      <c r="S30" s="20" t="str">
        <f t="shared" si="2"/>
        <v>0513</v>
      </c>
      <c r="T30" s="41">
        <f t="shared" si="3"/>
        <v>0</v>
      </c>
      <c r="V30" s="41"/>
    </row>
    <row r="31" spans="1:22" s="25" customFormat="1" ht="12.75" x14ac:dyDescent="0.2">
      <c r="A31" s="19" t="str">
        <f>Data!B26</f>
        <v>0540</v>
      </c>
      <c r="B31" s="20" t="str">
        <f>INDEX(Data[],MATCH($A31,Data[Dist],0),MATCH(B$6,Data[#Headers],0))</f>
        <v>BCLUW</v>
      </c>
      <c r="C31" s="21">
        <f>INDEX(Data[],MATCH($A31,Data[Dist],0),MATCH(C$6,Data[#Headers],0))</f>
        <v>273779</v>
      </c>
      <c r="D31" s="21">
        <f>INDEX(Data[],MATCH($A31,Data[Dist],0),MATCH(D$6,Data[#Headers],0))</f>
        <v>272106</v>
      </c>
      <c r="E31" s="21">
        <f>INDEX(Data[],MATCH($A31,Data[Dist],0),MATCH(E$6,Data[#Headers],0))</f>
        <v>272107</v>
      </c>
      <c r="F31" s="21">
        <f>INDEX(Data[],MATCH($A31,Data[Dist],0),MATCH(F$6,Data[#Headers],0))</f>
        <v>272105</v>
      </c>
      <c r="G31" s="21">
        <f>INDEX(Data[],MATCH($A31,Data[Dist],0),MATCH(G$6,Data[#Headers],0))</f>
        <v>1367222</v>
      </c>
      <c r="H31" s="21">
        <f>INDEX(Data[],MATCH($A31,Data[Dist],0),MATCH(H$6,Data[#Headers],0))-G31</f>
        <v>1360532</v>
      </c>
      <c r="I31" s="24"/>
      <c r="J31" s="21">
        <f>INDEX(Notes!$I$2:$N$11,MATCH(Notes!$B$2,Notes!$I$2:$I$11,0),4)*$C31</f>
        <v>1095116</v>
      </c>
      <c r="K31" s="21">
        <f>INDEX(Notes!$I$2:$N$11,MATCH(Notes!$B$2,Notes!$I$2:$I$11,0),5)*$D31</f>
        <v>272106</v>
      </c>
      <c r="L31" s="21">
        <f>INDEX(Notes!$I$2:$N$11,MATCH(Notes!$B$2,Notes!$I$2:$I$11,0),6)*$E31</f>
        <v>0</v>
      </c>
      <c r="M31" s="21">
        <f>IF(Notes!$B$2="June",'Payment Total'!$F31,0)</f>
        <v>0</v>
      </c>
      <c r="N31" s="21">
        <f t="shared" si="0"/>
        <v>0</v>
      </c>
      <c r="P31" s="189" t="s">
        <v>854</v>
      </c>
      <c r="Q31" s="25">
        <v>272106</v>
      </c>
      <c r="R31" s="20" t="str">
        <f t="shared" si="1"/>
        <v>0540</v>
      </c>
      <c r="S31" s="20" t="str">
        <f t="shared" si="2"/>
        <v>0540</v>
      </c>
      <c r="T31" s="41">
        <f t="shared" si="3"/>
        <v>0</v>
      </c>
      <c r="V31" s="41"/>
    </row>
    <row r="32" spans="1:22" s="25" customFormat="1" ht="12.75" x14ac:dyDescent="0.2">
      <c r="A32" s="19" t="str">
        <f>Data!B27</f>
        <v>0549</v>
      </c>
      <c r="B32" s="20" t="str">
        <f>INDEX(Data[],MATCH($A32,Data[Dist],0),MATCH(B$6,Data[#Headers],0))</f>
        <v>Bedford</v>
      </c>
      <c r="C32" s="21">
        <f>INDEX(Data[],MATCH($A32,Data[Dist],0),MATCH(C$6,Data[#Headers],0))</f>
        <v>353128</v>
      </c>
      <c r="D32" s="21">
        <f>INDEX(Data[],MATCH($A32,Data[Dist],0),MATCH(D$6,Data[#Headers],0))</f>
        <v>351210</v>
      </c>
      <c r="E32" s="21">
        <f>INDEX(Data[],MATCH($A32,Data[Dist],0),MATCH(E$6,Data[#Headers],0))</f>
        <v>351210</v>
      </c>
      <c r="F32" s="21">
        <f>INDEX(Data[],MATCH($A32,Data[Dist],0),MATCH(F$6,Data[#Headers],0))</f>
        <v>351209</v>
      </c>
      <c r="G32" s="21">
        <f>INDEX(Data[],MATCH($A32,Data[Dist],0),MATCH(G$6,Data[#Headers],0))</f>
        <v>1763722</v>
      </c>
      <c r="H32" s="21">
        <f>INDEX(Data[],MATCH($A32,Data[Dist],0),MATCH(H$6,Data[#Headers],0))-G32</f>
        <v>1756049</v>
      </c>
      <c r="I32" s="24"/>
      <c r="J32" s="21">
        <f>INDEX(Notes!$I$2:$N$11,MATCH(Notes!$B$2,Notes!$I$2:$I$11,0),4)*$C32</f>
        <v>1412512</v>
      </c>
      <c r="K32" s="21">
        <f>INDEX(Notes!$I$2:$N$11,MATCH(Notes!$B$2,Notes!$I$2:$I$11,0),5)*$D32</f>
        <v>351210</v>
      </c>
      <c r="L32" s="21">
        <f>INDEX(Notes!$I$2:$N$11,MATCH(Notes!$B$2,Notes!$I$2:$I$11,0),6)*$E32</f>
        <v>0</v>
      </c>
      <c r="M32" s="21">
        <f>IF(Notes!$B$2="June",'Payment Total'!$F32,0)</f>
        <v>0</v>
      </c>
      <c r="N32" s="21">
        <f t="shared" si="0"/>
        <v>0</v>
      </c>
      <c r="P32" s="189" t="s">
        <v>855</v>
      </c>
      <c r="Q32" s="25">
        <v>351210</v>
      </c>
      <c r="R32" s="20" t="str">
        <f t="shared" si="1"/>
        <v>0549</v>
      </c>
      <c r="S32" s="20" t="str">
        <f t="shared" si="2"/>
        <v>0549</v>
      </c>
      <c r="T32" s="41">
        <f t="shared" si="3"/>
        <v>0</v>
      </c>
      <c r="V32" s="41"/>
    </row>
    <row r="33" spans="1:22" s="25" customFormat="1" ht="12.75" x14ac:dyDescent="0.2">
      <c r="A33" s="19" t="str">
        <f>Data!B28</f>
        <v>0576</v>
      </c>
      <c r="B33" s="20" t="str">
        <f>INDEX(Data[],MATCH($A33,Data[Dist],0),MATCH(B$6,Data[#Headers],0))</f>
        <v>Belle Plaine</v>
      </c>
      <c r="C33" s="21">
        <f>INDEX(Data[],MATCH($A33,Data[Dist],0),MATCH(C$6,Data[#Headers],0))</f>
        <v>375200</v>
      </c>
      <c r="D33" s="21">
        <f>INDEX(Data[],MATCH($A33,Data[Dist],0),MATCH(D$6,Data[#Headers],0))</f>
        <v>373421</v>
      </c>
      <c r="E33" s="21">
        <f>INDEX(Data[],MATCH($A33,Data[Dist],0),MATCH(E$6,Data[#Headers],0))</f>
        <v>373421</v>
      </c>
      <c r="F33" s="21">
        <f>INDEX(Data[],MATCH($A33,Data[Dist],0),MATCH(F$6,Data[#Headers],0))</f>
        <v>373419</v>
      </c>
      <c r="G33" s="21">
        <f>INDEX(Data[],MATCH($A33,Data[Dist],0),MATCH(G$6,Data[#Headers],0))</f>
        <v>1874221</v>
      </c>
      <c r="H33" s="21">
        <f>INDEX(Data[],MATCH($A33,Data[Dist],0),MATCH(H$6,Data[#Headers],0))-G33</f>
        <v>1867103</v>
      </c>
      <c r="I33" s="24"/>
      <c r="J33" s="21">
        <f>INDEX(Notes!$I$2:$N$11,MATCH(Notes!$B$2,Notes!$I$2:$I$11,0),4)*$C33</f>
        <v>1500800</v>
      </c>
      <c r="K33" s="21">
        <f>INDEX(Notes!$I$2:$N$11,MATCH(Notes!$B$2,Notes!$I$2:$I$11,0),5)*$D33</f>
        <v>373421</v>
      </c>
      <c r="L33" s="21">
        <f>INDEX(Notes!$I$2:$N$11,MATCH(Notes!$B$2,Notes!$I$2:$I$11,0),6)*$E33</f>
        <v>0</v>
      </c>
      <c r="M33" s="21">
        <f>IF(Notes!$B$2="June",'Payment Total'!$F33,0)</f>
        <v>0</v>
      </c>
      <c r="N33" s="21">
        <f t="shared" si="0"/>
        <v>0</v>
      </c>
      <c r="P33" s="189" t="s">
        <v>856</v>
      </c>
      <c r="Q33" s="25">
        <v>373421</v>
      </c>
      <c r="R33" s="20" t="str">
        <f t="shared" si="1"/>
        <v>0576</v>
      </c>
      <c r="S33" s="20" t="str">
        <f t="shared" si="2"/>
        <v>0576</v>
      </c>
      <c r="T33" s="41">
        <f t="shared" si="3"/>
        <v>0</v>
      </c>
      <c r="V33" s="41"/>
    </row>
    <row r="34" spans="1:22" s="25" customFormat="1" ht="12.75" x14ac:dyDescent="0.2">
      <c r="A34" s="19" t="str">
        <f>Data!B29</f>
        <v>0585</v>
      </c>
      <c r="B34" s="20" t="str">
        <f>INDEX(Data[],MATCH($A34,Data[Dist],0),MATCH(B$6,Data[#Headers],0))</f>
        <v>Bellevue</v>
      </c>
      <c r="C34" s="21">
        <f>INDEX(Data[],MATCH($A34,Data[Dist],0),MATCH(C$6,Data[#Headers],0))</f>
        <v>424113</v>
      </c>
      <c r="D34" s="21">
        <f>INDEX(Data[],MATCH($A34,Data[Dist],0),MATCH(D$6,Data[#Headers],0))</f>
        <v>421780</v>
      </c>
      <c r="E34" s="21">
        <f>INDEX(Data[],MATCH($A34,Data[Dist],0),MATCH(E$6,Data[#Headers],0))</f>
        <v>421780</v>
      </c>
      <c r="F34" s="21">
        <f>INDEX(Data[],MATCH($A34,Data[Dist],0),MATCH(F$6,Data[#Headers],0))</f>
        <v>421778</v>
      </c>
      <c r="G34" s="21">
        <f>INDEX(Data[],MATCH($A34,Data[Dist],0),MATCH(G$6,Data[#Headers],0))</f>
        <v>2118232</v>
      </c>
      <c r="H34" s="21">
        <f>INDEX(Data[],MATCH($A34,Data[Dist],0),MATCH(H$6,Data[#Headers],0))-G34</f>
        <v>2108898</v>
      </c>
      <c r="I34" s="24"/>
      <c r="J34" s="21">
        <f>INDEX(Notes!$I$2:$N$11,MATCH(Notes!$B$2,Notes!$I$2:$I$11,0),4)*$C34</f>
        <v>1696452</v>
      </c>
      <c r="K34" s="21">
        <f>INDEX(Notes!$I$2:$N$11,MATCH(Notes!$B$2,Notes!$I$2:$I$11,0),5)*$D34</f>
        <v>421780</v>
      </c>
      <c r="L34" s="21">
        <f>INDEX(Notes!$I$2:$N$11,MATCH(Notes!$B$2,Notes!$I$2:$I$11,0),6)*$E34</f>
        <v>0</v>
      </c>
      <c r="M34" s="21">
        <f>IF(Notes!$B$2="June",'Payment Total'!$F34,0)</f>
        <v>0</v>
      </c>
      <c r="N34" s="21">
        <f t="shared" si="0"/>
        <v>0</v>
      </c>
      <c r="P34" s="189" t="s">
        <v>857</v>
      </c>
      <c r="Q34" s="25">
        <v>421780</v>
      </c>
      <c r="R34" s="20" t="str">
        <f t="shared" si="1"/>
        <v>0585</v>
      </c>
      <c r="S34" s="20" t="str">
        <f t="shared" si="2"/>
        <v>0585</v>
      </c>
      <c r="T34" s="41">
        <f t="shared" si="3"/>
        <v>0</v>
      </c>
      <c r="V34" s="41"/>
    </row>
    <row r="35" spans="1:22" s="25" customFormat="1" ht="12.75" x14ac:dyDescent="0.2">
      <c r="A35" s="19" t="str">
        <f>Data!B30</f>
        <v>0594</v>
      </c>
      <c r="B35" s="20" t="str">
        <f>INDEX(Data[],MATCH($A35,Data[Dist],0),MATCH(B$6,Data[#Headers],0))</f>
        <v>Belmond-Klemme</v>
      </c>
      <c r="C35" s="21">
        <f>INDEX(Data[],MATCH($A35,Data[Dist],0),MATCH(C$6,Data[#Headers],0))</f>
        <v>530298</v>
      </c>
      <c r="D35" s="21">
        <f>INDEX(Data[],MATCH($A35,Data[Dist],0),MATCH(D$6,Data[#Headers],0))</f>
        <v>527494</v>
      </c>
      <c r="E35" s="21">
        <f>INDEX(Data[],MATCH($A35,Data[Dist],0),MATCH(E$6,Data[#Headers],0))</f>
        <v>527494</v>
      </c>
      <c r="F35" s="21">
        <f>INDEX(Data[],MATCH($A35,Data[Dist],0),MATCH(F$6,Data[#Headers],0))</f>
        <v>527493</v>
      </c>
      <c r="G35" s="21">
        <f>INDEX(Data[],MATCH($A35,Data[Dist],0),MATCH(G$6,Data[#Headers],0))</f>
        <v>2648686</v>
      </c>
      <c r="H35" s="21">
        <f>INDEX(Data[],MATCH($A35,Data[Dist],0),MATCH(H$6,Data[#Headers],0))-G35</f>
        <v>2637469</v>
      </c>
      <c r="I35" s="24"/>
      <c r="J35" s="21">
        <f>INDEX(Notes!$I$2:$N$11,MATCH(Notes!$B$2,Notes!$I$2:$I$11,0),4)*$C35</f>
        <v>2121192</v>
      </c>
      <c r="K35" s="21">
        <f>INDEX(Notes!$I$2:$N$11,MATCH(Notes!$B$2,Notes!$I$2:$I$11,0),5)*$D35</f>
        <v>527494</v>
      </c>
      <c r="L35" s="21">
        <f>INDEX(Notes!$I$2:$N$11,MATCH(Notes!$B$2,Notes!$I$2:$I$11,0),6)*$E35</f>
        <v>0</v>
      </c>
      <c r="M35" s="21">
        <f>IF(Notes!$B$2="June",'Payment Total'!$F35,0)</f>
        <v>0</v>
      </c>
      <c r="N35" s="21">
        <f t="shared" si="0"/>
        <v>0</v>
      </c>
      <c r="P35" s="189" t="s">
        <v>858</v>
      </c>
      <c r="Q35" s="25">
        <v>527494</v>
      </c>
      <c r="R35" s="20" t="str">
        <f t="shared" si="1"/>
        <v>0594</v>
      </c>
      <c r="S35" s="20" t="str">
        <f t="shared" si="2"/>
        <v>0594</v>
      </c>
      <c r="T35" s="41">
        <f t="shared" si="3"/>
        <v>0</v>
      </c>
      <c r="V35" s="41"/>
    </row>
    <row r="36" spans="1:22" s="25" customFormat="1" ht="12.75" x14ac:dyDescent="0.2">
      <c r="A36" s="19" t="str">
        <f>Data!B31</f>
        <v>0603</v>
      </c>
      <c r="B36" s="20" t="str">
        <f>INDEX(Data[],MATCH($A36,Data[Dist],0),MATCH(B$6,Data[#Headers],0))</f>
        <v>Bennett</v>
      </c>
      <c r="C36" s="21">
        <f>INDEX(Data[],MATCH($A36,Data[Dist],0),MATCH(C$6,Data[#Headers],0))</f>
        <v>101207</v>
      </c>
      <c r="D36" s="21">
        <f>INDEX(Data[],MATCH($A36,Data[Dist],0),MATCH(D$6,Data[#Headers],0))</f>
        <v>100606</v>
      </c>
      <c r="E36" s="21">
        <f>INDEX(Data[],MATCH($A36,Data[Dist],0),MATCH(E$6,Data[#Headers],0))</f>
        <v>100606</v>
      </c>
      <c r="F36" s="21">
        <f>INDEX(Data[],MATCH($A36,Data[Dist],0),MATCH(F$6,Data[#Headers],0))</f>
        <v>100605</v>
      </c>
      <c r="G36" s="21">
        <f>INDEX(Data[],MATCH($A36,Data[Dist],0),MATCH(G$6,Data[#Headers],0))</f>
        <v>505434</v>
      </c>
      <c r="H36" s="21">
        <f>INDEX(Data[],MATCH($A36,Data[Dist],0),MATCH(H$6,Data[#Headers],0))-G36</f>
        <v>503029</v>
      </c>
      <c r="I36" s="24"/>
      <c r="J36" s="21">
        <f>INDEX(Notes!$I$2:$N$11,MATCH(Notes!$B$2,Notes!$I$2:$I$11,0),4)*$C36</f>
        <v>404828</v>
      </c>
      <c r="K36" s="21">
        <f>INDEX(Notes!$I$2:$N$11,MATCH(Notes!$B$2,Notes!$I$2:$I$11,0),5)*$D36</f>
        <v>100606</v>
      </c>
      <c r="L36" s="21">
        <f>INDEX(Notes!$I$2:$N$11,MATCH(Notes!$B$2,Notes!$I$2:$I$11,0),6)*$E36</f>
        <v>0</v>
      </c>
      <c r="M36" s="21">
        <f>IF(Notes!$B$2="June",'Payment Total'!$F36,0)</f>
        <v>0</v>
      </c>
      <c r="N36" s="21">
        <f t="shared" si="0"/>
        <v>0</v>
      </c>
      <c r="P36" s="189" t="s">
        <v>859</v>
      </c>
      <c r="Q36" s="25">
        <v>100606</v>
      </c>
      <c r="R36" s="20" t="str">
        <f t="shared" si="1"/>
        <v>0603</v>
      </c>
      <c r="S36" s="20" t="str">
        <f t="shared" si="2"/>
        <v>0603</v>
      </c>
      <c r="T36" s="41">
        <f t="shared" si="3"/>
        <v>0</v>
      </c>
      <c r="V36" s="41"/>
    </row>
    <row r="37" spans="1:22" s="25" customFormat="1" ht="12.75" x14ac:dyDescent="0.2">
      <c r="A37" s="19" t="str">
        <f>Data!B32</f>
        <v>0609</v>
      </c>
      <c r="B37" s="20" t="str">
        <f>INDEX(Data[],MATCH($A37,Data[Dist],0),MATCH(B$6,Data[#Headers],0))</f>
        <v>Benton</v>
      </c>
      <c r="C37" s="21">
        <f>INDEX(Data[],MATCH($A37,Data[Dist],0),MATCH(C$6,Data[#Headers],0))</f>
        <v>958530</v>
      </c>
      <c r="D37" s="21">
        <f>INDEX(Data[],MATCH($A37,Data[Dist],0),MATCH(D$6,Data[#Headers],0))</f>
        <v>952966</v>
      </c>
      <c r="E37" s="21">
        <f>INDEX(Data[],MATCH($A37,Data[Dist],0),MATCH(E$6,Data[#Headers],0))</f>
        <v>952967</v>
      </c>
      <c r="F37" s="21">
        <f>INDEX(Data[],MATCH($A37,Data[Dist],0),MATCH(F$6,Data[#Headers],0))</f>
        <v>952965</v>
      </c>
      <c r="G37" s="21">
        <f>INDEX(Data[],MATCH($A37,Data[Dist],0),MATCH(G$6,Data[#Headers],0))</f>
        <v>4787086</v>
      </c>
      <c r="H37" s="21">
        <f>INDEX(Data[],MATCH($A37,Data[Dist],0),MATCH(H$6,Data[#Headers],0))-G37</f>
        <v>4764832</v>
      </c>
      <c r="I37" s="24"/>
      <c r="J37" s="21">
        <f>INDEX(Notes!$I$2:$N$11,MATCH(Notes!$B$2,Notes!$I$2:$I$11,0),4)*$C37</f>
        <v>3834120</v>
      </c>
      <c r="K37" s="21">
        <f>INDEX(Notes!$I$2:$N$11,MATCH(Notes!$B$2,Notes!$I$2:$I$11,0),5)*$D37</f>
        <v>952966</v>
      </c>
      <c r="L37" s="21">
        <f>INDEX(Notes!$I$2:$N$11,MATCH(Notes!$B$2,Notes!$I$2:$I$11,0),6)*$E37</f>
        <v>0</v>
      </c>
      <c r="M37" s="21">
        <f>IF(Notes!$B$2="June",'Payment Total'!$F37,0)</f>
        <v>0</v>
      </c>
      <c r="N37" s="21">
        <f t="shared" si="0"/>
        <v>0</v>
      </c>
      <c r="P37" s="189" t="s">
        <v>860</v>
      </c>
      <c r="Q37" s="25">
        <v>952966</v>
      </c>
      <c r="R37" s="20" t="str">
        <f t="shared" si="1"/>
        <v>0609</v>
      </c>
      <c r="S37" s="20" t="str">
        <f t="shared" si="2"/>
        <v>0609</v>
      </c>
      <c r="T37" s="41">
        <f t="shared" si="3"/>
        <v>0</v>
      </c>
      <c r="V37" s="41"/>
    </row>
    <row r="38" spans="1:22" s="25" customFormat="1" ht="12.75" x14ac:dyDescent="0.2">
      <c r="A38" s="19" t="str">
        <f>Data!B33</f>
        <v>0621</v>
      </c>
      <c r="B38" s="20" t="str">
        <f>INDEX(Data[],MATCH($A38,Data[Dist],0),MATCH(B$6,Data[#Headers],0))</f>
        <v>Bettendorf</v>
      </c>
      <c r="C38" s="21">
        <f>INDEX(Data[],MATCH($A38,Data[Dist],0),MATCH(C$6,Data[#Headers],0))</f>
        <v>2812158</v>
      </c>
      <c r="D38" s="21">
        <f>INDEX(Data[],MATCH($A38,Data[Dist],0),MATCH(D$6,Data[#Headers],0))</f>
        <v>2797320</v>
      </c>
      <c r="E38" s="21">
        <f>INDEX(Data[],MATCH($A38,Data[Dist],0),MATCH(E$6,Data[#Headers],0))</f>
        <v>2797319</v>
      </c>
      <c r="F38" s="21">
        <f>INDEX(Data[],MATCH($A38,Data[Dist],0),MATCH(F$6,Data[#Headers],0))</f>
        <v>2797320</v>
      </c>
      <c r="G38" s="21">
        <f>INDEX(Data[],MATCH($A38,Data[Dist],0),MATCH(G$6,Data[#Headers],0))</f>
        <v>14045952</v>
      </c>
      <c r="H38" s="21">
        <f>INDEX(Data[],MATCH($A38,Data[Dist],0),MATCH(H$6,Data[#Headers],0))-G38</f>
        <v>13986597</v>
      </c>
      <c r="I38" s="24"/>
      <c r="J38" s="21">
        <f>INDEX(Notes!$I$2:$N$11,MATCH(Notes!$B$2,Notes!$I$2:$I$11,0),4)*$C38</f>
        <v>11248632</v>
      </c>
      <c r="K38" s="21">
        <f>INDEX(Notes!$I$2:$N$11,MATCH(Notes!$B$2,Notes!$I$2:$I$11,0),5)*$D38</f>
        <v>2797320</v>
      </c>
      <c r="L38" s="21">
        <f>INDEX(Notes!$I$2:$N$11,MATCH(Notes!$B$2,Notes!$I$2:$I$11,0),6)*$E38</f>
        <v>0</v>
      </c>
      <c r="M38" s="21">
        <f>IF(Notes!$B$2="June",'Payment Total'!$F38,0)</f>
        <v>0</v>
      </c>
      <c r="N38" s="21">
        <f t="shared" si="0"/>
        <v>0</v>
      </c>
      <c r="P38" s="189" t="s">
        <v>861</v>
      </c>
      <c r="Q38" s="25">
        <v>2797320</v>
      </c>
      <c r="R38" s="20" t="str">
        <f t="shared" si="1"/>
        <v>0621</v>
      </c>
      <c r="S38" s="20" t="str">
        <f t="shared" si="2"/>
        <v>0621</v>
      </c>
      <c r="T38" s="41">
        <f t="shared" si="3"/>
        <v>0</v>
      </c>
      <c r="V38" s="41"/>
    </row>
    <row r="39" spans="1:22" s="25" customFormat="1" ht="12.75" x14ac:dyDescent="0.2">
      <c r="A39" s="19" t="str">
        <f>Data!B34</f>
        <v>0657</v>
      </c>
      <c r="B39" s="20" t="str">
        <f>INDEX(Data[],MATCH($A39,Data[Dist],0),MATCH(B$6,Data[#Headers],0))</f>
        <v>Eddyville-Blakesburg-Fremont</v>
      </c>
      <c r="C39" s="21">
        <f>INDEX(Data[],MATCH($A39,Data[Dist],0),MATCH(C$6,Data[#Headers],0))</f>
        <v>470769</v>
      </c>
      <c r="D39" s="21">
        <f>INDEX(Data[],MATCH($A39,Data[Dist],0),MATCH(D$6,Data[#Headers],0))</f>
        <v>467784</v>
      </c>
      <c r="E39" s="21">
        <f>INDEX(Data[],MATCH($A39,Data[Dist],0),MATCH(E$6,Data[#Headers],0))</f>
        <v>467784</v>
      </c>
      <c r="F39" s="21">
        <f>INDEX(Data[],MATCH($A39,Data[Dist],0),MATCH(F$6,Data[#Headers],0))</f>
        <v>467783</v>
      </c>
      <c r="G39" s="21">
        <f>INDEX(Data[],MATCH($A39,Data[Dist],0),MATCH(G$6,Data[#Headers],0))</f>
        <v>2350860</v>
      </c>
      <c r="H39" s="21">
        <f>INDEX(Data[],MATCH($A39,Data[Dist],0),MATCH(H$6,Data[#Headers],0))-G39</f>
        <v>2338919</v>
      </c>
      <c r="I39" s="24"/>
      <c r="J39" s="21">
        <f>INDEX(Notes!$I$2:$N$11,MATCH(Notes!$B$2,Notes!$I$2:$I$11,0),4)*$C39</f>
        <v>1883076</v>
      </c>
      <c r="K39" s="21">
        <f>INDEX(Notes!$I$2:$N$11,MATCH(Notes!$B$2,Notes!$I$2:$I$11,0),5)*$D39</f>
        <v>467784</v>
      </c>
      <c r="L39" s="21">
        <f>INDEX(Notes!$I$2:$N$11,MATCH(Notes!$B$2,Notes!$I$2:$I$11,0),6)*$E39</f>
        <v>0</v>
      </c>
      <c r="M39" s="21">
        <f>IF(Notes!$B$2="June",'Payment Total'!$F39,0)</f>
        <v>0</v>
      </c>
      <c r="N39" s="21">
        <f t="shared" si="0"/>
        <v>0</v>
      </c>
      <c r="P39" s="189" t="s">
        <v>862</v>
      </c>
      <c r="Q39" s="25">
        <v>467784</v>
      </c>
      <c r="R39" s="20" t="str">
        <f t="shared" si="1"/>
        <v>0657</v>
      </c>
      <c r="S39" s="20" t="str">
        <f t="shared" si="2"/>
        <v>0657</v>
      </c>
      <c r="T39" s="41">
        <f t="shared" si="3"/>
        <v>0</v>
      </c>
      <c r="V39" s="41"/>
    </row>
    <row r="40" spans="1:22" s="25" customFormat="1" ht="12.75" x14ac:dyDescent="0.2">
      <c r="A40" s="19" t="str">
        <f>Data!B35</f>
        <v>0720</v>
      </c>
      <c r="B40" s="20" t="str">
        <f>INDEX(Data[],MATCH($A40,Data[Dist],0),MATCH(B$6,Data[#Headers],0))</f>
        <v>Bondurant-Farrar</v>
      </c>
      <c r="C40" s="21">
        <f>INDEX(Data[],MATCH($A40,Data[Dist],0),MATCH(C$6,Data[#Headers],0))</f>
        <v>1927827</v>
      </c>
      <c r="D40" s="21">
        <f>INDEX(Data[],MATCH($A40,Data[Dist],0),MATCH(D$6,Data[#Headers],0))</f>
        <v>1918217</v>
      </c>
      <c r="E40" s="21">
        <f>INDEX(Data[],MATCH($A40,Data[Dist],0),MATCH(E$6,Data[#Headers],0))</f>
        <v>1918217</v>
      </c>
      <c r="F40" s="21">
        <f>INDEX(Data[],MATCH($A40,Data[Dist],0),MATCH(F$6,Data[#Headers],0))</f>
        <v>1918217</v>
      </c>
      <c r="G40" s="21">
        <f>INDEX(Data[],MATCH($A40,Data[Dist],0),MATCH(G$6,Data[#Headers],0))</f>
        <v>9629525</v>
      </c>
      <c r="H40" s="21">
        <f>INDEX(Data[],MATCH($A40,Data[Dist],0),MATCH(H$6,Data[#Headers],0))-G40</f>
        <v>9591085</v>
      </c>
      <c r="I40" s="24"/>
      <c r="J40" s="21">
        <f>INDEX(Notes!$I$2:$N$11,MATCH(Notes!$B$2,Notes!$I$2:$I$11,0),4)*$C40</f>
        <v>7711308</v>
      </c>
      <c r="K40" s="21">
        <f>INDEX(Notes!$I$2:$N$11,MATCH(Notes!$B$2,Notes!$I$2:$I$11,0),5)*$D40</f>
        <v>1918217</v>
      </c>
      <c r="L40" s="21">
        <f>INDEX(Notes!$I$2:$N$11,MATCH(Notes!$B$2,Notes!$I$2:$I$11,0),6)*$E40</f>
        <v>0</v>
      </c>
      <c r="M40" s="21">
        <f>IF(Notes!$B$2="June",'Payment Total'!$F40,0)</f>
        <v>0</v>
      </c>
      <c r="N40" s="21">
        <f t="shared" si="0"/>
        <v>0</v>
      </c>
      <c r="P40" s="189" t="s">
        <v>863</v>
      </c>
      <c r="Q40" s="25">
        <v>1918217</v>
      </c>
      <c r="R40" s="20" t="str">
        <f t="shared" si="1"/>
        <v>0720</v>
      </c>
      <c r="S40" s="20" t="str">
        <f t="shared" si="2"/>
        <v>0720</v>
      </c>
      <c r="T40" s="41">
        <f t="shared" si="3"/>
        <v>0</v>
      </c>
      <c r="V40" s="41"/>
    </row>
    <row r="41" spans="1:22" s="25" customFormat="1" ht="12.75" x14ac:dyDescent="0.2">
      <c r="A41" s="19" t="str">
        <f>Data!B36</f>
        <v>0729</v>
      </c>
      <c r="B41" s="20" t="str">
        <f>INDEX(Data[],MATCH($A41,Data[Dist],0),MATCH(B$6,Data[#Headers],0))</f>
        <v>Boone</v>
      </c>
      <c r="C41" s="21">
        <f>INDEX(Data[],MATCH($A41,Data[Dist],0),MATCH(C$6,Data[#Headers],0))</f>
        <v>1651900</v>
      </c>
      <c r="D41" s="21">
        <f>INDEX(Data[],MATCH($A41,Data[Dist],0),MATCH(D$6,Data[#Headers],0))</f>
        <v>1644406</v>
      </c>
      <c r="E41" s="21">
        <f>INDEX(Data[],MATCH($A41,Data[Dist],0),MATCH(E$6,Data[#Headers],0))</f>
        <v>1644406</v>
      </c>
      <c r="F41" s="21">
        <f>INDEX(Data[],MATCH($A41,Data[Dist],0),MATCH(F$6,Data[#Headers],0))</f>
        <v>1644406</v>
      </c>
      <c r="G41" s="21">
        <f>INDEX(Data[],MATCH($A41,Data[Dist],0),MATCH(G$6,Data[#Headers],0))</f>
        <v>8252006</v>
      </c>
      <c r="H41" s="21">
        <f>INDEX(Data[],MATCH($A41,Data[Dist],0),MATCH(H$6,Data[#Headers],0))-G41</f>
        <v>8222030</v>
      </c>
      <c r="I41" s="24"/>
      <c r="J41" s="21">
        <f>INDEX(Notes!$I$2:$N$11,MATCH(Notes!$B$2,Notes!$I$2:$I$11,0),4)*$C41</f>
        <v>6607600</v>
      </c>
      <c r="K41" s="21">
        <f>INDEX(Notes!$I$2:$N$11,MATCH(Notes!$B$2,Notes!$I$2:$I$11,0),5)*$D41</f>
        <v>1644406</v>
      </c>
      <c r="L41" s="21">
        <f>INDEX(Notes!$I$2:$N$11,MATCH(Notes!$B$2,Notes!$I$2:$I$11,0),6)*$E41</f>
        <v>0</v>
      </c>
      <c r="M41" s="21">
        <f>IF(Notes!$B$2="June",'Payment Total'!$F41,0)</f>
        <v>0</v>
      </c>
      <c r="N41" s="21">
        <f t="shared" si="0"/>
        <v>0</v>
      </c>
      <c r="P41" s="189" t="s">
        <v>864</v>
      </c>
      <c r="Q41" s="25">
        <v>1644406</v>
      </c>
      <c r="R41" s="20" t="str">
        <f t="shared" si="1"/>
        <v>0729</v>
      </c>
      <c r="S41" s="20" t="str">
        <f t="shared" si="2"/>
        <v>0729</v>
      </c>
      <c r="T41" s="41">
        <f t="shared" si="3"/>
        <v>0</v>
      </c>
      <c r="V41" s="41"/>
    </row>
    <row r="42" spans="1:22" s="25" customFormat="1" ht="12.75" x14ac:dyDescent="0.2">
      <c r="A42" s="19" t="str">
        <f>Data!B37</f>
        <v>0747</v>
      </c>
      <c r="B42" s="20" t="str">
        <f>INDEX(Data[],MATCH($A42,Data[Dist],0),MATCH(B$6,Data[#Headers],0))</f>
        <v>Boyden-Hull</v>
      </c>
      <c r="C42" s="21">
        <f>INDEX(Data[],MATCH($A42,Data[Dist],0),MATCH(C$6,Data[#Headers],0))</f>
        <v>443922</v>
      </c>
      <c r="D42" s="21">
        <f>INDEX(Data[],MATCH($A42,Data[Dist],0),MATCH(D$6,Data[#Headers],0))</f>
        <v>441806</v>
      </c>
      <c r="E42" s="21">
        <f>INDEX(Data[],MATCH($A42,Data[Dist],0),MATCH(E$6,Data[#Headers],0))</f>
        <v>441805</v>
      </c>
      <c r="F42" s="21">
        <f>INDEX(Data[],MATCH($A42,Data[Dist],0),MATCH(F$6,Data[#Headers],0))</f>
        <v>441806</v>
      </c>
      <c r="G42" s="21">
        <f>INDEX(Data[],MATCH($A42,Data[Dist],0),MATCH(G$6,Data[#Headers],0))</f>
        <v>2217494</v>
      </c>
      <c r="H42" s="21">
        <f>INDEX(Data[],MATCH($A42,Data[Dist],0),MATCH(H$6,Data[#Headers],0))-G42</f>
        <v>2209027</v>
      </c>
      <c r="I42" s="24"/>
      <c r="J42" s="21">
        <f>INDEX(Notes!$I$2:$N$11,MATCH(Notes!$B$2,Notes!$I$2:$I$11,0),4)*$C42</f>
        <v>1775688</v>
      </c>
      <c r="K42" s="21">
        <f>INDEX(Notes!$I$2:$N$11,MATCH(Notes!$B$2,Notes!$I$2:$I$11,0),5)*$D42</f>
        <v>441806</v>
      </c>
      <c r="L42" s="21">
        <f>INDEX(Notes!$I$2:$N$11,MATCH(Notes!$B$2,Notes!$I$2:$I$11,0),6)*$E42</f>
        <v>0</v>
      </c>
      <c r="M42" s="21">
        <f>IF(Notes!$B$2="June",'Payment Total'!$F42,0)</f>
        <v>0</v>
      </c>
      <c r="N42" s="21">
        <f t="shared" si="0"/>
        <v>0</v>
      </c>
      <c r="P42" s="189" t="s">
        <v>865</v>
      </c>
      <c r="Q42" s="25">
        <v>441806</v>
      </c>
      <c r="R42" s="20" t="str">
        <f t="shared" si="1"/>
        <v>0747</v>
      </c>
      <c r="S42" s="20" t="str">
        <f t="shared" si="2"/>
        <v>0747</v>
      </c>
      <c r="T42" s="41">
        <f t="shared" si="3"/>
        <v>0</v>
      </c>
      <c r="V42" s="41"/>
    </row>
    <row r="43" spans="1:22" s="25" customFormat="1" ht="12.75" x14ac:dyDescent="0.2">
      <c r="A43" s="19" t="str">
        <f>Data!B38</f>
        <v>0819</v>
      </c>
      <c r="B43" s="20" t="str">
        <f>INDEX(Data[],MATCH($A43,Data[Dist],0),MATCH(B$6,Data[#Headers],0))</f>
        <v>West Hancock</v>
      </c>
      <c r="C43" s="21">
        <f>INDEX(Data[],MATCH($A43,Data[Dist],0),MATCH(C$6,Data[#Headers],0))</f>
        <v>371777</v>
      </c>
      <c r="D43" s="21">
        <f>INDEX(Data[],MATCH($A43,Data[Dist],0),MATCH(D$6,Data[#Headers],0))</f>
        <v>369597</v>
      </c>
      <c r="E43" s="21">
        <f>INDEX(Data[],MATCH($A43,Data[Dist],0),MATCH(E$6,Data[#Headers],0))</f>
        <v>369597</v>
      </c>
      <c r="F43" s="21">
        <f>INDEX(Data[],MATCH($A43,Data[Dist],0),MATCH(F$6,Data[#Headers],0))</f>
        <v>369598</v>
      </c>
      <c r="G43" s="21">
        <f>INDEX(Data[],MATCH($A43,Data[Dist],0),MATCH(G$6,Data[#Headers],0))</f>
        <v>1856705</v>
      </c>
      <c r="H43" s="21">
        <f>INDEX(Data[],MATCH($A43,Data[Dist],0),MATCH(H$6,Data[#Headers],0))-G43</f>
        <v>1847986</v>
      </c>
      <c r="I43" s="24"/>
      <c r="J43" s="21">
        <f>INDEX(Notes!$I$2:$N$11,MATCH(Notes!$B$2,Notes!$I$2:$I$11,0),4)*$C43</f>
        <v>1487108</v>
      </c>
      <c r="K43" s="21">
        <f>INDEX(Notes!$I$2:$N$11,MATCH(Notes!$B$2,Notes!$I$2:$I$11,0),5)*$D43</f>
        <v>369597</v>
      </c>
      <c r="L43" s="21">
        <f>INDEX(Notes!$I$2:$N$11,MATCH(Notes!$B$2,Notes!$I$2:$I$11,0),6)*$E43</f>
        <v>0</v>
      </c>
      <c r="M43" s="21">
        <f>IF(Notes!$B$2="June",'Payment Total'!$F43,0)</f>
        <v>0</v>
      </c>
      <c r="N43" s="21">
        <f t="shared" si="0"/>
        <v>0</v>
      </c>
      <c r="P43" s="189" t="s">
        <v>866</v>
      </c>
      <c r="Q43" s="25">
        <v>369597</v>
      </c>
      <c r="R43" s="20" t="str">
        <f t="shared" si="1"/>
        <v>0819</v>
      </c>
      <c r="S43" s="20" t="str">
        <f t="shared" si="2"/>
        <v>0819</v>
      </c>
      <c r="T43" s="41">
        <f t="shared" si="3"/>
        <v>0</v>
      </c>
      <c r="V43" s="41"/>
    </row>
    <row r="44" spans="1:22" s="25" customFormat="1" ht="12.75" x14ac:dyDescent="0.2">
      <c r="A44" s="19" t="str">
        <f>Data!B39</f>
        <v>0846</v>
      </c>
      <c r="B44" s="20" t="str">
        <f>INDEX(Data[],MATCH($A44,Data[Dist],0),MATCH(B$6,Data[#Headers],0))</f>
        <v>Brooklyn-Guernsey-Malcom</v>
      </c>
      <c r="C44" s="21">
        <f>INDEX(Data[],MATCH($A44,Data[Dist],0),MATCH(C$6,Data[#Headers],0))</f>
        <v>364341</v>
      </c>
      <c r="D44" s="21">
        <f>INDEX(Data[],MATCH($A44,Data[Dist],0),MATCH(D$6,Data[#Headers],0))</f>
        <v>362417</v>
      </c>
      <c r="E44" s="21">
        <f>INDEX(Data[],MATCH($A44,Data[Dist],0),MATCH(E$6,Data[#Headers],0))</f>
        <v>362417</v>
      </c>
      <c r="F44" s="21">
        <f>INDEX(Data[],MATCH($A44,Data[Dist],0),MATCH(F$6,Data[#Headers],0))</f>
        <v>362415</v>
      </c>
      <c r="G44" s="21">
        <f>INDEX(Data[],MATCH($A44,Data[Dist],0),MATCH(G$6,Data[#Headers],0))</f>
        <v>1819781</v>
      </c>
      <c r="H44" s="21">
        <f>INDEX(Data[],MATCH($A44,Data[Dist],0),MATCH(H$6,Data[#Headers],0))-G44</f>
        <v>1812083</v>
      </c>
      <c r="I44" s="24"/>
      <c r="J44" s="21">
        <f>INDEX(Notes!$I$2:$N$11,MATCH(Notes!$B$2,Notes!$I$2:$I$11,0),4)*$C44</f>
        <v>1457364</v>
      </c>
      <c r="K44" s="21">
        <f>INDEX(Notes!$I$2:$N$11,MATCH(Notes!$B$2,Notes!$I$2:$I$11,0),5)*$D44</f>
        <v>362417</v>
      </c>
      <c r="L44" s="21">
        <f>INDEX(Notes!$I$2:$N$11,MATCH(Notes!$B$2,Notes!$I$2:$I$11,0),6)*$E44</f>
        <v>0</v>
      </c>
      <c r="M44" s="21">
        <f>IF(Notes!$B$2="June",'Payment Total'!$F44,0)</f>
        <v>0</v>
      </c>
      <c r="N44" s="21">
        <f t="shared" si="0"/>
        <v>0</v>
      </c>
      <c r="P44" s="189" t="s">
        <v>867</v>
      </c>
      <c r="Q44" s="25">
        <v>362417</v>
      </c>
      <c r="R44" s="20" t="str">
        <f t="shared" si="1"/>
        <v>0846</v>
      </c>
      <c r="S44" s="20" t="str">
        <f t="shared" si="2"/>
        <v>0846</v>
      </c>
      <c r="T44" s="41">
        <f t="shared" si="3"/>
        <v>0</v>
      </c>
      <c r="V44" s="41"/>
    </row>
    <row r="45" spans="1:22" s="25" customFormat="1" ht="12.75" x14ac:dyDescent="0.2">
      <c r="A45" s="19" t="str">
        <f>Data!B40</f>
        <v>0873</v>
      </c>
      <c r="B45" s="20" t="str">
        <f>INDEX(Data[],MATCH($A45,Data[Dist],0),MATCH(B$6,Data[#Headers],0))</f>
        <v>North Iowa</v>
      </c>
      <c r="C45" s="21">
        <f>INDEX(Data[],MATCH($A45,Data[Dist],0),MATCH(C$6,Data[#Headers],0))</f>
        <v>243627</v>
      </c>
      <c r="D45" s="21">
        <f>INDEX(Data[],MATCH($A45,Data[Dist],0),MATCH(D$6,Data[#Headers],0))</f>
        <v>241855</v>
      </c>
      <c r="E45" s="21">
        <f>INDEX(Data[],MATCH($A45,Data[Dist],0),MATCH(E$6,Data[#Headers],0))</f>
        <v>241854</v>
      </c>
      <c r="F45" s="21">
        <f>INDEX(Data[],MATCH($A45,Data[Dist],0),MATCH(F$6,Data[#Headers],0))</f>
        <v>241855</v>
      </c>
      <c r="G45" s="21">
        <f>INDEX(Data[],MATCH($A45,Data[Dist],0),MATCH(G$6,Data[#Headers],0))</f>
        <v>1216363</v>
      </c>
      <c r="H45" s="21">
        <f>INDEX(Data[],MATCH($A45,Data[Dist],0),MATCH(H$6,Data[#Headers],0))-G45</f>
        <v>1209272</v>
      </c>
      <c r="I45" s="24"/>
      <c r="J45" s="21">
        <f>INDEX(Notes!$I$2:$N$11,MATCH(Notes!$B$2,Notes!$I$2:$I$11,0),4)*$C45</f>
        <v>974508</v>
      </c>
      <c r="K45" s="21">
        <f>INDEX(Notes!$I$2:$N$11,MATCH(Notes!$B$2,Notes!$I$2:$I$11,0),5)*$D45</f>
        <v>241855</v>
      </c>
      <c r="L45" s="21">
        <f>INDEX(Notes!$I$2:$N$11,MATCH(Notes!$B$2,Notes!$I$2:$I$11,0),6)*$E45</f>
        <v>0</v>
      </c>
      <c r="M45" s="21">
        <f>IF(Notes!$B$2="June",'Payment Total'!$F45,0)</f>
        <v>0</v>
      </c>
      <c r="N45" s="21">
        <f t="shared" si="0"/>
        <v>0</v>
      </c>
      <c r="P45" s="189" t="s">
        <v>868</v>
      </c>
      <c r="Q45" s="25">
        <v>241855</v>
      </c>
      <c r="R45" s="20" t="str">
        <f t="shared" si="1"/>
        <v>0873</v>
      </c>
      <c r="S45" s="20" t="str">
        <f t="shared" si="2"/>
        <v>0873</v>
      </c>
      <c r="T45" s="41">
        <f t="shared" si="3"/>
        <v>0</v>
      </c>
      <c r="V45" s="41"/>
    </row>
    <row r="46" spans="1:22" s="25" customFormat="1" ht="12.75" x14ac:dyDescent="0.2">
      <c r="A46" s="19" t="str">
        <f>Data!B41</f>
        <v>0882</v>
      </c>
      <c r="B46" s="20" t="str">
        <f>INDEX(Data[],MATCH($A46,Data[Dist],0),MATCH(B$6,Data[#Headers],0))</f>
        <v>Burlington</v>
      </c>
      <c r="C46" s="21">
        <f>INDEX(Data[],MATCH($A46,Data[Dist],0),MATCH(C$6,Data[#Headers],0))</f>
        <v>3220470</v>
      </c>
      <c r="D46" s="21">
        <f>INDEX(Data[],MATCH($A46,Data[Dist],0),MATCH(D$6,Data[#Headers],0))</f>
        <v>3206216</v>
      </c>
      <c r="E46" s="21">
        <f>INDEX(Data[],MATCH($A46,Data[Dist],0),MATCH(E$6,Data[#Headers],0))</f>
        <v>3206216</v>
      </c>
      <c r="F46" s="21">
        <f>INDEX(Data[],MATCH($A46,Data[Dist],0),MATCH(F$6,Data[#Headers],0))</f>
        <v>3206215</v>
      </c>
      <c r="G46" s="21">
        <f>INDEX(Data[],MATCH($A46,Data[Dist],0),MATCH(G$6,Data[#Headers],0))</f>
        <v>16088096</v>
      </c>
      <c r="H46" s="21">
        <f>INDEX(Data[],MATCH($A46,Data[Dist],0),MATCH(H$6,Data[#Headers],0))-G46</f>
        <v>16031079</v>
      </c>
      <c r="I46" s="24"/>
      <c r="J46" s="21">
        <f>INDEX(Notes!$I$2:$N$11,MATCH(Notes!$B$2,Notes!$I$2:$I$11,0),4)*$C46</f>
        <v>12881880</v>
      </c>
      <c r="K46" s="21">
        <f>INDEX(Notes!$I$2:$N$11,MATCH(Notes!$B$2,Notes!$I$2:$I$11,0),5)*$D46</f>
        <v>3206216</v>
      </c>
      <c r="L46" s="21">
        <f>INDEX(Notes!$I$2:$N$11,MATCH(Notes!$B$2,Notes!$I$2:$I$11,0),6)*$E46</f>
        <v>0</v>
      </c>
      <c r="M46" s="21">
        <f>IF(Notes!$B$2="June",'Payment Total'!$F46,0)</f>
        <v>0</v>
      </c>
      <c r="N46" s="21">
        <f t="shared" si="0"/>
        <v>0</v>
      </c>
      <c r="P46" s="189" t="s">
        <v>869</v>
      </c>
      <c r="Q46" s="25">
        <v>3206216</v>
      </c>
      <c r="R46" s="20" t="str">
        <f t="shared" si="1"/>
        <v>0882</v>
      </c>
      <c r="S46" s="20" t="str">
        <f t="shared" si="2"/>
        <v>0882</v>
      </c>
      <c r="T46" s="41">
        <f t="shared" si="3"/>
        <v>0</v>
      </c>
      <c r="V46" s="41"/>
    </row>
    <row r="47" spans="1:22" s="25" customFormat="1" ht="12.75" x14ac:dyDescent="0.2">
      <c r="A47" s="19" t="str">
        <f>Data!B42</f>
        <v>0914</v>
      </c>
      <c r="B47" s="20" t="str">
        <f>INDEX(Data[],MATCH($A47,Data[Dist],0),MATCH(B$6,Data[#Headers],0))</f>
        <v>CAM</v>
      </c>
      <c r="C47" s="21">
        <f>INDEX(Data[],MATCH($A47,Data[Dist],0),MATCH(C$6,Data[#Headers],0))</f>
        <v>214460</v>
      </c>
      <c r="D47" s="21">
        <f>INDEX(Data[],MATCH($A47,Data[Dist],0),MATCH(D$6,Data[#Headers],0))</f>
        <v>212779</v>
      </c>
      <c r="E47" s="21">
        <f>INDEX(Data[],MATCH($A47,Data[Dist],0),MATCH(E$6,Data[#Headers],0))</f>
        <v>212780</v>
      </c>
      <c r="F47" s="21">
        <f>INDEX(Data[],MATCH($A47,Data[Dist],0),MATCH(F$6,Data[#Headers],0))</f>
        <v>212778</v>
      </c>
      <c r="G47" s="21">
        <f>INDEX(Data[],MATCH($A47,Data[Dist],0),MATCH(G$6,Data[#Headers],0))</f>
        <v>1070619</v>
      </c>
      <c r="H47" s="21">
        <f>INDEX(Data[],MATCH($A47,Data[Dist],0),MATCH(H$6,Data[#Headers],0))-G47</f>
        <v>1063897</v>
      </c>
      <c r="I47" s="24"/>
      <c r="J47" s="21">
        <f>INDEX(Notes!$I$2:$N$11,MATCH(Notes!$B$2,Notes!$I$2:$I$11,0),4)*$C47</f>
        <v>857840</v>
      </c>
      <c r="K47" s="21">
        <f>INDEX(Notes!$I$2:$N$11,MATCH(Notes!$B$2,Notes!$I$2:$I$11,0),5)*$D47</f>
        <v>212779</v>
      </c>
      <c r="L47" s="21">
        <f>INDEX(Notes!$I$2:$N$11,MATCH(Notes!$B$2,Notes!$I$2:$I$11,0),6)*$E47</f>
        <v>0</v>
      </c>
      <c r="M47" s="21">
        <f>IF(Notes!$B$2="June",'Payment Total'!$F47,0)</f>
        <v>0</v>
      </c>
      <c r="N47" s="21">
        <f t="shared" si="0"/>
        <v>0</v>
      </c>
      <c r="P47" s="189" t="s">
        <v>870</v>
      </c>
      <c r="Q47" s="25">
        <v>212779</v>
      </c>
      <c r="R47" s="20" t="str">
        <f t="shared" si="1"/>
        <v>0914</v>
      </c>
      <c r="S47" s="20" t="str">
        <f t="shared" si="2"/>
        <v>0914</v>
      </c>
      <c r="T47" s="41">
        <f t="shared" si="3"/>
        <v>0</v>
      </c>
      <c r="V47" s="41"/>
    </row>
    <row r="48" spans="1:22" s="25" customFormat="1" ht="12.75" x14ac:dyDescent="0.2">
      <c r="A48" s="19" t="str">
        <f>Data!B43</f>
        <v>0916</v>
      </c>
      <c r="B48" s="20" t="str">
        <f>INDEX(Data[],MATCH($A48,Data[Dist],0),MATCH(B$6,Data[#Headers],0))</f>
        <v>CAL</v>
      </c>
      <c r="C48" s="21">
        <f>INDEX(Data[],MATCH($A48,Data[Dist],0),MATCH(C$6,Data[#Headers],0))</f>
        <v>209312</v>
      </c>
      <c r="D48" s="21">
        <f>INDEX(Data[],MATCH($A48,Data[Dist],0),MATCH(D$6,Data[#Headers],0))</f>
        <v>208242</v>
      </c>
      <c r="E48" s="21">
        <f>INDEX(Data[],MATCH($A48,Data[Dist],0),MATCH(E$6,Data[#Headers],0))</f>
        <v>208241</v>
      </c>
      <c r="F48" s="21">
        <f>INDEX(Data[],MATCH($A48,Data[Dist],0),MATCH(F$6,Data[#Headers],0))</f>
        <v>208242</v>
      </c>
      <c r="G48" s="21">
        <f>INDEX(Data[],MATCH($A48,Data[Dist],0),MATCH(G$6,Data[#Headers],0))</f>
        <v>1045490</v>
      </c>
      <c r="H48" s="21">
        <f>INDEX(Data[],MATCH($A48,Data[Dist],0),MATCH(H$6,Data[#Headers],0))-G48</f>
        <v>1041207</v>
      </c>
      <c r="I48" s="24"/>
      <c r="J48" s="21">
        <f>INDEX(Notes!$I$2:$N$11,MATCH(Notes!$B$2,Notes!$I$2:$I$11,0),4)*$C48</f>
        <v>837248</v>
      </c>
      <c r="K48" s="21">
        <f>INDEX(Notes!$I$2:$N$11,MATCH(Notes!$B$2,Notes!$I$2:$I$11,0),5)*$D48</f>
        <v>208242</v>
      </c>
      <c r="L48" s="21">
        <f>INDEX(Notes!$I$2:$N$11,MATCH(Notes!$B$2,Notes!$I$2:$I$11,0),6)*$E48</f>
        <v>0</v>
      </c>
      <c r="M48" s="21">
        <f>IF(Notes!$B$2="June",'Payment Total'!$F48,0)</f>
        <v>0</v>
      </c>
      <c r="N48" s="21">
        <f t="shared" si="0"/>
        <v>0</v>
      </c>
      <c r="P48" s="189" t="s">
        <v>871</v>
      </c>
      <c r="Q48" s="25">
        <v>208242</v>
      </c>
      <c r="R48" s="20" t="str">
        <f t="shared" si="1"/>
        <v>0916</v>
      </c>
      <c r="S48" s="20" t="str">
        <f t="shared" si="2"/>
        <v>0916</v>
      </c>
      <c r="T48" s="41">
        <f t="shared" si="3"/>
        <v>0</v>
      </c>
      <c r="V48" s="41"/>
    </row>
    <row r="49" spans="1:22" s="25" customFormat="1" ht="12.75" x14ac:dyDescent="0.2">
      <c r="A49" s="19" t="str">
        <f>Data!B44</f>
        <v>0918</v>
      </c>
      <c r="B49" s="20" t="str">
        <f>INDEX(Data[],MATCH($A49,Data[Dist],0),MATCH(B$6,Data[#Headers],0))</f>
        <v>Calamus-Wheatland</v>
      </c>
      <c r="C49" s="21">
        <f>INDEX(Data[],MATCH($A49,Data[Dist],0),MATCH(C$6,Data[#Headers],0))</f>
        <v>255052</v>
      </c>
      <c r="D49" s="21">
        <f>INDEX(Data[],MATCH($A49,Data[Dist],0),MATCH(D$6,Data[#Headers],0))</f>
        <v>253692</v>
      </c>
      <c r="E49" s="21">
        <f>INDEX(Data[],MATCH($A49,Data[Dist],0),MATCH(E$6,Data[#Headers],0))</f>
        <v>253692</v>
      </c>
      <c r="F49" s="21">
        <f>INDEX(Data[],MATCH($A49,Data[Dist],0),MATCH(F$6,Data[#Headers],0))</f>
        <v>253692</v>
      </c>
      <c r="G49" s="21">
        <f>INDEX(Data[],MATCH($A49,Data[Dist],0),MATCH(G$6,Data[#Headers],0))</f>
        <v>1273900</v>
      </c>
      <c r="H49" s="21">
        <f>INDEX(Data[],MATCH($A49,Data[Dist],0),MATCH(H$6,Data[#Headers],0))-G49</f>
        <v>1268460</v>
      </c>
      <c r="I49" s="24"/>
      <c r="J49" s="21">
        <f>INDEX(Notes!$I$2:$N$11,MATCH(Notes!$B$2,Notes!$I$2:$I$11,0),4)*$C49</f>
        <v>1020208</v>
      </c>
      <c r="K49" s="21">
        <f>INDEX(Notes!$I$2:$N$11,MATCH(Notes!$B$2,Notes!$I$2:$I$11,0),5)*$D49</f>
        <v>253692</v>
      </c>
      <c r="L49" s="21">
        <f>INDEX(Notes!$I$2:$N$11,MATCH(Notes!$B$2,Notes!$I$2:$I$11,0),6)*$E49</f>
        <v>0</v>
      </c>
      <c r="M49" s="21">
        <f>IF(Notes!$B$2="June",'Payment Total'!$F49,0)</f>
        <v>0</v>
      </c>
      <c r="N49" s="21">
        <f t="shared" si="0"/>
        <v>0</v>
      </c>
      <c r="P49" s="189" t="s">
        <v>872</v>
      </c>
      <c r="Q49" s="25">
        <v>253692</v>
      </c>
      <c r="R49" s="20" t="str">
        <f t="shared" si="1"/>
        <v>0918</v>
      </c>
      <c r="S49" s="20" t="str">
        <f t="shared" si="2"/>
        <v>0918</v>
      </c>
      <c r="T49" s="41">
        <f t="shared" si="3"/>
        <v>0</v>
      </c>
      <c r="V49" s="41"/>
    </row>
    <row r="50" spans="1:22" s="25" customFormat="1" ht="12.75" x14ac:dyDescent="0.2">
      <c r="A50" s="19" t="str">
        <f>Data!B45</f>
        <v>0936</v>
      </c>
      <c r="B50" s="20" t="str">
        <f>INDEX(Data[],MATCH($A50,Data[Dist],0),MATCH(B$6,Data[#Headers],0))</f>
        <v>Camanche</v>
      </c>
      <c r="C50" s="21">
        <f>INDEX(Data[],MATCH($A50,Data[Dist],0),MATCH(C$6,Data[#Headers],0))</f>
        <v>609490</v>
      </c>
      <c r="D50" s="21">
        <f>INDEX(Data[],MATCH($A50,Data[Dist],0),MATCH(D$6,Data[#Headers],0))</f>
        <v>606404</v>
      </c>
      <c r="E50" s="21">
        <f>INDEX(Data[],MATCH($A50,Data[Dist],0),MATCH(E$6,Data[#Headers],0))</f>
        <v>606403</v>
      </c>
      <c r="F50" s="21">
        <f>INDEX(Data[],MATCH($A50,Data[Dist],0),MATCH(F$6,Data[#Headers],0))</f>
        <v>606404</v>
      </c>
      <c r="G50" s="21">
        <f>INDEX(Data[],MATCH($A50,Data[Dist],0),MATCH(G$6,Data[#Headers],0))</f>
        <v>3044364</v>
      </c>
      <c r="H50" s="21">
        <f>INDEX(Data[],MATCH($A50,Data[Dist],0),MATCH(H$6,Data[#Headers],0))-G50</f>
        <v>3032017</v>
      </c>
      <c r="I50" s="24"/>
      <c r="J50" s="21">
        <f>INDEX(Notes!$I$2:$N$11,MATCH(Notes!$B$2,Notes!$I$2:$I$11,0),4)*$C50</f>
        <v>2437960</v>
      </c>
      <c r="K50" s="21">
        <f>INDEX(Notes!$I$2:$N$11,MATCH(Notes!$B$2,Notes!$I$2:$I$11,0),5)*$D50</f>
        <v>606404</v>
      </c>
      <c r="L50" s="21">
        <f>INDEX(Notes!$I$2:$N$11,MATCH(Notes!$B$2,Notes!$I$2:$I$11,0),6)*$E50</f>
        <v>0</v>
      </c>
      <c r="M50" s="21">
        <f>IF(Notes!$B$2="June",'Payment Total'!$F50,0)</f>
        <v>0</v>
      </c>
      <c r="N50" s="21">
        <f t="shared" si="0"/>
        <v>0</v>
      </c>
      <c r="P50" s="189" t="s">
        <v>873</v>
      </c>
      <c r="Q50" s="25">
        <v>606404</v>
      </c>
      <c r="R50" s="20" t="str">
        <f t="shared" si="1"/>
        <v>0936</v>
      </c>
      <c r="S50" s="20" t="str">
        <f t="shared" si="2"/>
        <v>0936</v>
      </c>
      <c r="T50" s="41">
        <f t="shared" si="3"/>
        <v>0</v>
      </c>
      <c r="V50" s="41"/>
    </row>
    <row r="51" spans="1:22" s="25" customFormat="1" ht="12.75" x14ac:dyDescent="0.2">
      <c r="A51" s="19" t="str">
        <f>Data!B46</f>
        <v>0977</v>
      </c>
      <c r="B51" s="20" t="str">
        <f>INDEX(Data[],MATCH($A51,Data[Dist],0),MATCH(B$6,Data[#Headers],0))</f>
        <v>Cardinal</v>
      </c>
      <c r="C51" s="21">
        <f>INDEX(Data[],MATCH($A51,Data[Dist],0),MATCH(C$6,Data[#Headers],0))</f>
        <v>479329</v>
      </c>
      <c r="D51" s="21">
        <f>INDEX(Data[],MATCH($A51,Data[Dist],0),MATCH(D$6,Data[#Headers],0))</f>
        <v>477300</v>
      </c>
      <c r="E51" s="21">
        <f>INDEX(Data[],MATCH($A51,Data[Dist],0),MATCH(E$6,Data[#Headers],0))</f>
        <v>477300</v>
      </c>
      <c r="F51" s="21">
        <f>INDEX(Data[],MATCH($A51,Data[Dist],0),MATCH(F$6,Data[#Headers],0))</f>
        <v>477299</v>
      </c>
      <c r="G51" s="21">
        <f>INDEX(Data[],MATCH($A51,Data[Dist],0),MATCH(G$6,Data[#Headers],0))</f>
        <v>2394616</v>
      </c>
      <c r="H51" s="21">
        <f>INDEX(Data[],MATCH($A51,Data[Dist],0),MATCH(H$6,Data[#Headers],0))-G51</f>
        <v>2386499</v>
      </c>
      <c r="I51" s="24"/>
      <c r="J51" s="21">
        <f>INDEX(Notes!$I$2:$N$11,MATCH(Notes!$B$2,Notes!$I$2:$I$11,0),4)*$C51</f>
        <v>1917316</v>
      </c>
      <c r="K51" s="21">
        <f>INDEX(Notes!$I$2:$N$11,MATCH(Notes!$B$2,Notes!$I$2:$I$11,0),5)*$D51</f>
        <v>477300</v>
      </c>
      <c r="L51" s="21">
        <f>INDEX(Notes!$I$2:$N$11,MATCH(Notes!$B$2,Notes!$I$2:$I$11,0),6)*$E51</f>
        <v>0</v>
      </c>
      <c r="M51" s="21">
        <f>IF(Notes!$B$2="June",'Payment Total'!$F51,0)</f>
        <v>0</v>
      </c>
      <c r="N51" s="21">
        <f t="shared" si="0"/>
        <v>0</v>
      </c>
      <c r="P51" s="189" t="s">
        <v>874</v>
      </c>
      <c r="Q51" s="25">
        <v>477300</v>
      </c>
      <c r="R51" s="20" t="str">
        <f t="shared" si="1"/>
        <v>0977</v>
      </c>
      <c r="S51" s="20" t="str">
        <f t="shared" si="2"/>
        <v>0977</v>
      </c>
      <c r="T51" s="41">
        <f t="shared" si="3"/>
        <v>0</v>
      </c>
      <c r="V51" s="41"/>
    </row>
    <row r="52" spans="1:22" s="25" customFormat="1" ht="12.75" x14ac:dyDescent="0.2">
      <c r="A52" s="19" t="str">
        <f>Data!B47</f>
        <v>0981</v>
      </c>
      <c r="B52" s="20" t="str">
        <f>INDEX(Data[],MATCH($A52,Data[Dist],0),MATCH(B$6,Data[#Headers],0))</f>
        <v>Carlisle</v>
      </c>
      <c r="C52" s="21">
        <f>INDEX(Data[],MATCH($A52,Data[Dist],0),MATCH(C$6,Data[#Headers],0))</f>
        <v>1686788</v>
      </c>
      <c r="D52" s="21">
        <f>INDEX(Data[],MATCH($A52,Data[Dist],0),MATCH(D$6,Data[#Headers],0))</f>
        <v>1679336</v>
      </c>
      <c r="E52" s="21">
        <f>INDEX(Data[],MATCH($A52,Data[Dist],0),MATCH(E$6,Data[#Headers],0))</f>
        <v>1679336</v>
      </c>
      <c r="F52" s="21">
        <f>INDEX(Data[],MATCH($A52,Data[Dist],0),MATCH(F$6,Data[#Headers],0))</f>
        <v>1679337</v>
      </c>
      <c r="G52" s="21">
        <f>INDEX(Data[],MATCH($A52,Data[Dist],0),MATCH(G$6,Data[#Headers],0))</f>
        <v>8426488</v>
      </c>
      <c r="H52" s="21">
        <f>INDEX(Data[],MATCH($A52,Data[Dist],0),MATCH(H$6,Data[#Headers],0))-G52</f>
        <v>8396681</v>
      </c>
      <c r="I52" s="24"/>
      <c r="J52" s="21">
        <f>INDEX(Notes!$I$2:$N$11,MATCH(Notes!$B$2,Notes!$I$2:$I$11,0),4)*$C52</f>
        <v>6747152</v>
      </c>
      <c r="K52" s="21">
        <f>INDEX(Notes!$I$2:$N$11,MATCH(Notes!$B$2,Notes!$I$2:$I$11,0),5)*$D52</f>
        <v>1679336</v>
      </c>
      <c r="L52" s="21">
        <f>INDEX(Notes!$I$2:$N$11,MATCH(Notes!$B$2,Notes!$I$2:$I$11,0),6)*$E52</f>
        <v>0</v>
      </c>
      <c r="M52" s="21">
        <f>IF(Notes!$B$2="June",'Payment Total'!$F52,0)</f>
        <v>0</v>
      </c>
      <c r="N52" s="21">
        <f t="shared" si="0"/>
        <v>0</v>
      </c>
      <c r="P52" s="189" t="s">
        <v>875</v>
      </c>
      <c r="Q52" s="25">
        <v>1679336</v>
      </c>
      <c r="R52" s="20" t="str">
        <f t="shared" si="1"/>
        <v>0981</v>
      </c>
      <c r="S52" s="20" t="str">
        <f t="shared" si="2"/>
        <v>0981</v>
      </c>
      <c r="T52" s="41">
        <f t="shared" si="3"/>
        <v>0</v>
      </c>
      <c r="V52" s="41"/>
    </row>
    <row r="53" spans="1:22" s="25" customFormat="1" ht="12.75" x14ac:dyDescent="0.2">
      <c r="A53" s="19" t="str">
        <f>Data!B48</f>
        <v>0999</v>
      </c>
      <c r="B53" s="20" t="str">
        <f>INDEX(Data[],MATCH($A53,Data[Dist],0),MATCH(B$6,Data[#Headers],0))</f>
        <v>Carroll</v>
      </c>
      <c r="C53" s="21">
        <f>INDEX(Data[],MATCH($A53,Data[Dist],0),MATCH(C$6,Data[#Headers],0))</f>
        <v>1050548</v>
      </c>
      <c r="D53" s="21">
        <f>INDEX(Data[],MATCH($A53,Data[Dist],0),MATCH(D$6,Data[#Headers],0))</f>
        <v>1044490</v>
      </c>
      <c r="E53" s="21">
        <f>INDEX(Data[],MATCH($A53,Data[Dist],0),MATCH(E$6,Data[#Headers],0))</f>
        <v>1044489</v>
      </c>
      <c r="F53" s="21">
        <f>INDEX(Data[],MATCH($A53,Data[Dist],0),MATCH(F$6,Data[#Headers],0))</f>
        <v>1044490</v>
      </c>
      <c r="G53" s="21">
        <f>INDEX(Data[],MATCH($A53,Data[Dist],0),MATCH(G$6,Data[#Headers],0))</f>
        <v>5246682</v>
      </c>
      <c r="H53" s="21">
        <f>INDEX(Data[],MATCH($A53,Data[Dist],0),MATCH(H$6,Data[#Headers],0))-G53</f>
        <v>5222447</v>
      </c>
      <c r="I53" s="24"/>
      <c r="J53" s="21">
        <f>INDEX(Notes!$I$2:$N$11,MATCH(Notes!$B$2,Notes!$I$2:$I$11,0),4)*$C53</f>
        <v>4202192</v>
      </c>
      <c r="K53" s="21">
        <f>INDEX(Notes!$I$2:$N$11,MATCH(Notes!$B$2,Notes!$I$2:$I$11,0),5)*$D53</f>
        <v>1044490</v>
      </c>
      <c r="L53" s="21">
        <f>INDEX(Notes!$I$2:$N$11,MATCH(Notes!$B$2,Notes!$I$2:$I$11,0),6)*$E53</f>
        <v>0</v>
      </c>
      <c r="M53" s="21">
        <f>IF(Notes!$B$2="June",'Payment Total'!$F53,0)</f>
        <v>0</v>
      </c>
      <c r="N53" s="21">
        <f t="shared" si="0"/>
        <v>0</v>
      </c>
      <c r="P53" s="189" t="s">
        <v>876</v>
      </c>
      <c r="Q53" s="25">
        <v>1044490</v>
      </c>
      <c r="R53" s="20" t="str">
        <f t="shared" si="1"/>
        <v>0999</v>
      </c>
      <c r="S53" s="20" t="str">
        <f t="shared" si="2"/>
        <v>0999</v>
      </c>
      <c r="T53" s="41">
        <f t="shared" si="3"/>
        <v>0</v>
      </c>
      <c r="V53" s="41"/>
    </row>
    <row r="54" spans="1:22" s="25" customFormat="1" ht="12.75" x14ac:dyDescent="0.2">
      <c r="A54" s="19" t="str">
        <f>Data!B49</f>
        <v>1044</v>
      </c>
      <c r="B54" s="20" t="str">
        <f>INDEX(Data[],MATCH($A54,Data[Dist],0),MATCH(B$6,Data[#Headers],0))</f>
        <v>Cedar Falls</v>
      </c>
      <c r="C54" s="21">
        <f>INDEX(Data[],MATCH($A54,Data[Dist],0),MATCH(C$6,Data[#Headers],0))</f>
        <v>4067129</v>
      </c>
      <c r="D54" s="21">
        <f>INDEX(Data[],MATCH($A54,Data[Dist],0),MATCH(D$6,Data[#Headers],0))</f>
        <v>4046386</v>
      </c>
      <c r="E54" s="21">
        <f>INDEX(Data[],MATCH($A54,Data[Dist],0),MATCH(E$6,Data[#Headers],0))</f>
        <v>4046385</v>
      </c>
      <c r="F54" s="21">
        <f>INDEX(Data[],MATCH($A54,Data[Dist],0),MATCH(F$6,Data[#Headers],0))</f>
        <v>4046386</v>
      </c>
      <c r="G54" s="21">
        <f>INDEX(Data[],MATCH($A54,Data[Dist],0),MATCH(G$6,Data[#Headers],0))</f>
        <v>20314902</v>
      </c>
      <c r="H54" s="21">
        <f>INDEX(Data[],MATCH($A54,Data[Dist],0),MATCH(H$6,Data[#Headers],0))-G54</f>
        <v>20231927</v>
      </c>
      <c r="I54" s="24"/>
      <c r="J54" s="21">
        <f>INDEX(Notes!$I$2:$N$11,MATCH(Notes!$B$2,Notes!$I$2:$I$11,0),4)*$C54</f>
        <v>16268516</v>
      </c>
      <c r="K54" s="21">
        <f>INDEX(Notes!$I$2:$N$11,MATCH(Notes!$B$2,Notes!$I$2:$I$11,0),5)*$D54</f>
        <v>4046386</v>
      </c>
      <c r="L54" s="21">
        <f>INDEX(Notes!$I$2:$N$11,MATCH(Notes!$B$2,Notes!$I$2:$I$11,0),6)*$E54</f>
        <v>0</v>
      </c>
      <c r="M54" s="21">
        <f>IF(Notes!$B$2="June",'Payment Total'!$F54,0)</f>
        <v>0</v>
      </c>
      <c r="N54" s="21">
        <f t="shared" si="0"/>
        <v>0</v>
      </c>
      <c r="P54" s="25" t="s">
        <v>877</v>
      </c>
      <c r="Q54" s="25">
        <v>4046386</v>
      </c>
      <c r="R54" s="20" t="str">
        <f t="shared" si="1"/>
        <v>1044</v>
      </c>
      <c r="S54" s="20" t="str">
        <f t="shared" si="2"/>
        <v>1044</v>
      </c>
      <c r="T54" s="41">
        <f t="shared" si="3"/>
        <v>0</v>
      </c>
      <c r="V54" s="41"/>
    </row>
    <row r="55" spans="1:22" s="25" customFormat="1" ht="12.75" x14ac:dyDescent="0.2">
      <c r="A55" s="19" t="str">
        <f>Data!B50</f>
        <v>1053</v>
      </c>
      <c r="B55" s="20" t="str">
        <f>INDEX(Data[],MATCH($A55,Data[Dist],0),MATCH(B$6,Data[#Headers],0))</f>
        <v>Cedar Rapids</v>
      </c>
      <c r="C55" s="21">
        <f>INDEX(Data[],MATCH($A55,Data[Dist],0),MATCH(C$6,Data[#Headers],0))</f>
        <v>12558663</v>
      </c>
      <c r="D55" s="21">
        <f>INDEX(Data[],MATCH($A55,Data[Dist],0),MATCH(D$6,Data[#Headers],0))</f>
        <v>12498070</v>
      </c>
      <c r="E55" s="21">
        <f>INDEX(Data[],MATCH($A55,Data[Dist],0),MATCH(E$6,Data[#Headers],0))</f>
        <v>12498070</v>
      </c>
      <c r="F55" s="21">
        <f>INDEX(Data[],MATCH($A55,Data[Dist],0),MATCH(F$6,Data[#Headers],0))</f>
        <v>12498069</v>
      </c>
      <c r="G55" s="21">
        <f>INDEX(Data[],MATCH($A55,Data[Dist],0),MATCH(G$6,Data[#Headers],0))</f>
        <v>62732722</v>
      </c>
      <c r="H55" s="21">
        <f>INDEX(Data[],MATCH($A55,Data[Dist],0),MATCH(H$6,Data[#Headers],0))-G55</f>
        <v>62490349</v>
      </c>
      <c r="I55" s="24"/>
      <c r="J55" s="21">
        <f>INDEX(Notes!$I$2:$N$11,MATCH(Notes!$B$2,Notes!$I$2:$I$11,0),4)*$C55</f>
        <v>50234652</v>
      </c>
      <c r="K55" s="21">
        <f>INDEX(Notes!$I$2:$N$11,MATCH(Notes!$B$2,Notes!$I$2:$I$11,0),5)*$D55</f>
        <v>12498070</v>
      </c>
      <c r="L55" s="21">
        <f>INDEX(Notes!$I$2:$N$11,MATCH(Notes!$B$2,Notes!$I$2:$I$11,0),6)*$E55</f>
        <v>0</v>
      </c>
      <c r="M55" s="21">
        <f>IF(Notes!$B$2="June",'Payment Total'!$F55,0)</f>
        <v>0</v>
      </c>
      <c r="N55" s="21">
        <f t="shared" si="0"/>
        <v>0</v>
      </c>
      <c r="P55" s="25" t="s">
        <v>878</v>
      </c>
      <c r="Q55" s="25">
        <v>12498070</v>
      </c>
      <c r="R55" s="20" t="str">
        <f t="shared" si="1"/>
        <v>1053</v>
      </c>
      <c r="S55" s="20" t="str">
        <f t="shared" si="2"/>
        <v>1053</v>
      </c>
      <c r="T55" s="41">
        <f t="shared" si="3"/>
        <v>0</v>
      </c>
      <c r="V55" s="41"/>
    </row>
    <row r="56" spans="1:22" s="25" customFormat="1" ht="12.75" x14ac:dyDescent="0.2">
      <c r="A56" s="19" t="str">
        <f>Data!B51</f>
        <v>1062</v>
      </c>
      <c r="B56" s="20" t="str">
        <f>INDEX(Data[],MATCH($A56,Data[Dist],0),MATCH(B$6,Data[#Headers],0))</f>
        <v>Center Point-Urbana</v>
      </c>
      <c r="C56" s="21">
        <f>INDEX(Data[],MATCH($A56,Data[Dist],0),MATCH(C$6,Data[#Headers],0))</f>
        <v>911112</v>
      </c>
      <c r="D56" s="21">
        <f>INDEX(Data[],MATCH($A56,Data[Dist],0),MATCH(D$6,Data[#Headers],0))</f>
        <v>906703</v>
      </c>
      <c r="E56" s="21">
        <f>INDEX(Data[],MATCH($A56,Data[Dist],0),MATCH(E$6,Data[#Headers],0))</f>
        <v>906703</v>
      </c>
      <c r="F56" s="21">
        <f>INDEX(Data[],MATCH($A56,Data[Dist],0),MATCH(F$6,Data[#Headers],0))</f>
        <v>906704</v>
      </c>
      <c r="G56" s="21">
        <f>INDEX(Data[],MATCH($A56,Data[Dist],0),MATCH(G$6,Data[#Headers],0))</f>
        <v>4551151</v>
      </c>
      <c r="H56" s="21">
        <f>INDEX(Data[],MATCH($A56,Data[Dist],0),MATCH(H$6,Data[#Headers],0))-G56</f>
        <v>4533516</v>
      </c>
      <c r="I56" s="24"/>
      <c r="J56" s="21">
        <f>INDEX(Notes!$I$2:$N$11,MATCH(Notes!$B$2,Notes!$I$2:$I$11,0),4)*$C56</f>
        <v>3644448</v>
      </c>
      <c r="K56" s="21">
        <f>INDEX(Notes!$I$2:$N$11,MATCH(Notes!$B$2,Notes!$I$2:$I$11,0),5)*$D56</f>
        <v>906703</v>
      </c>
      <c r="L56" s="21">
        <f>INDEX(Notes!$I$2:$N$11,MATCH(Notes!$B$2,Notes!$I$2:$I$11,0),6)*$E56</f>
        <v>0</v>
      </c>
      <c r="M56" s="21">
        <f>IF(Notes!$B$2="June",'Payment Total'!$F56,0)</f>
        <v>0</v>
      </c>
      <c r="N56" s="21">
        <f t="shared" si="0"/>
        <v>0</v>
      </c>
      <c r="P56" s="25" t="s">
        <v>879</v>
      </c>
      <c r="Q56" s="25">
        <v>906703</v>
      </c>
      <c r="R56" s="20" t="str">
        <f t="shared" si="1"/>
        <v>1062</v>
      </c>
      <c r="S56" s="20" t="str">
        <f t="shared" si="2"/>
        <v>1062</v>
      </c>
      <c r="T56" s="41">
        <f t="shared" si="3"/>
        <v>0</v>
      </c>
      <c r="V56" s="41"/>
    </row>
    <row r="57" spans="1:22" s="25" customFormat="1" ht="12.75" x14ac:dyDescent="0.2">
      <c r="A57" s="19" t="str">
        <f>Data!B52</f>
        <v>1071</v>
      </c>
      <c r="B57" s="20" t="str">
        <f>INDEX(Data[],MATCH($A57,Data[Dist],0),MATCH(B$6,Data[#Headers],0))</f>
        <v>Centerville</v>
      </c>
      <c r="C57" s="21">
        <f>INDEX(Data[],MATCH($A57,Data[Dist],0),MATCH(C$6,Data[#Headers],0))</f>
        <v>1150041</v>
      </c>
      <c r="D57" s="21">
        <f>INDEX(Data[],MATCH($A57,Data[Dist],0),MATCH(D$6,Data[#Headers],0))</f>
        <v>1145045</v>
      </c>
      <c r="E57" s="21">
        <f>INDEX(Data[],MATCH($A57,Data[Dist],0),MATCH(E$6,Data[#Headers],0))</f>
        <v>1145045</v>
      </c>
      <c r="F57" s="21">
        <f>INDEX(Data[],MATCH($A57,Data[Dist],0),MATCH(F$6,Data[#Headers],0))</f>
        <v>1145046</v>
      </c>
      <c r="G57" s="21">
        <f>INDEX(Data[],MATCH($A57,Data[Dist],0),MATCH(G$6,Data[#Headers],0))</f>
        <v>5745209</v>
      </c>
      <c r="H57" s="21">
        <f>INDEX(Data[],MATCH($A57,Data[Dist],0),MATCH(H$6,Data[#Headers],0))-G57</f>
        <v>5725226</v>
      </c>
      <c r="I57" s="24"/>
      <c r="J57" s="21">
        <f>INDEX(Notes!$I$2:$N$11,MATCH(Notes!$B$2,Notes!$I$2:$I$11,0),4)*$C57</f>
        <v>4600164</v>
      </c>
      <c r="K57" s="21">
        <f>INDEX(Notes!$I$2:$N$11,MATCH(Notes!$B$2,Notes!$I$2:$I$11,0),5)*$D57</f>
        <v>1145045</v>
      </c>
      <c r="L57" s="21">
        <f>INDEX(Notes!$I$2:$N$11,MATCH(Notes!$B$2,Notes!$I$2:$I$11,0),6)*$E57</f>
        <v>0</v>
      </c>
      <c r="M57" s="21">
        <f>IF(Notes!$B$2="June",'Payment Total'!$F57,0)</f>
        <v>0</v>
      </c>
      <c r="N57" s="21">
        <f t="shared" si="0"/>
        <v>0</v>
      </c>
      <c r="P57" s="25" t="s">
        <v>880</v>
      </c>
      <c r="Q57" s="25">
        <v>1145045</v>
      </c>
      <c r="R57" s="20" t="str">
        <f t="shared" si="1"/>
        <v>1071</v>
      </c>
      <c r="S57" s="20" t="str">
        <f t="shared" si="2"/>
        <v>1071</v>
      </c>
      <c r="T57" s="41">
        <f t="shared" si="3"/>
        <v>0</v>
      </c>
      <c r="V57" s="41"/>
    </row>
    <row r="58" spans="1:22" s="25" customFormat="1" ht="12.75" x14ac:dyDescent="0.2">
      <c r="A58" s="19" t="str">
        <f>Data!B53</f>
        <v>1079</v>
      </c>
      <c r="B58" s="20" t="str">
        <f>INDEX(Data[],MATCH($A58,Data[Dist],0),MATCH(B$6,Data[#Headers],0))</f>
        <v>Central Lee</v>
      </c>
      <c r="C58" s="21">
        <f>INDEX(Data[],MATCH($A58,Data[Dist],0),MATCH(C$6,Data[#Headers],0))</f>
        <v>559700</v>
      </c>
      <c r="D58" s="21">
        <f>INDEX(Data[],MATCH($A58,Data[Dist],0),MATCH(D$6,Data[#Headers],0))</f>
        <v>556653</v>
      </c>
      <c r="E58" s="21">
        <f>INDEX(Data[],MATCH($A58,Data[Dist],0),MATCH(E$6,Data[#Headers],0))</f>
        <v>556653</v>
      </c>
      <c r="F58" s="21">
        <f>INDEX(Data[],MATCH($A58,Data[Dist],0),MATCH(F$6,Data[#Headers],0))</f>
        <v>556651</v>
      </c>
      <c r="G58" s="21">
        <f>INDEX(Data[],MATCH($A58,Data[Dist],0),MATCH(G$6,Data[#Headers],0))</f>
        <v>2795453</v>
      </c>
      <c r="H58" s="21">
        <f>INDEX(Data[],MATCH($A58,Data[Dist],0),MATCH(H$6,Data[#Headers],0))-G58</f>
        <v>2783263</v>
      </c>
      <c r="I58" s="24"/>
      <c r="J58" s="21">
        <f>INDEX(Notes!$I$2:$N$11,MATCH(Notes!$B$2,Notes!$I$2:$I$11,0),4)*$C58</f>
        <v>2238800</v>
      </c>
      <c r="K58" s="21">
        <f>INDEX(Notes!$I$2:$N$11,MATCH(Notes!$B$2,Notes!$I$2:$I$11,0),5)*$D58</f>
        <v>556653</v>
      </c>
      <c r="L58" s="21">
        <f>INDEX(Notes!$I$2:$N$11,MATCH(Notes!$B$2,Notes!$I$2:$I$11,0),6)*$E58</f>
        <v>0</v>
      </c>
      <c r="M58" s="21">
        <f>IF(Notes!$B$2="June",'Payment Total'!$F58,0)</f>
        <v>0</v>
      </c>
      <c r="N58" s="21">
        <f t="shared" si="0"/>
        <v>0</v>
      </c>
      <c r="P58" s="25" t="s">
        <v>881</v>
      </c>
      <c r="Q58" s="25">
        <v>556653</v>
      </c>
      <c r="R58" s="20" t="str">
        <f t="shared" si="1"/>
        <v>1079</v>
      </c>
      <c r="S58" s="20" t="str">
        <f t="shared" si="2"/>
        <v>1079</v>
      </c>
      <c r="T58" s="41">
        <f t="shared" si="3"/>
        <v>0</v>
      </c>
      <c r="V58" s="41"/>
    </row>
    <row r="59" spans="1:22" s="25" customFormat="1" ht="12.75" x14ac:dyDescent="0.2">
      <c r="A59" s="19" t="str">
        <f>Data!B54</f>
        <v>1080</v>
      </c>
      <c r="B59" s="20" t="str">
        <f>INDEX(Data[],MATCH($A59,Data[Dist],0),MATCH(B$6,Data[#Headers],0))</f>
        <v>Central Clayton</v>
      </c>
      <c r="C59" s="21">
        <f>INDEX(Data[],MATCH($A59,Data[Dist],0),MATCH(C$6,Data[#Headers],0))</f>
        <v>354545</v>
      </c>
      <c r="D59" s="21">
        <f>INDEX(Data[],MATCH($A59,Data[Dist],0),MATCH(D$6,Data[#Headers],0))</f>
        <v>352790</v>
      </c>
      <c r="E59" s="21">
        <f>INDEX(Data[],MATCH($A59,Data[Dist],0),MATCH(E$6,Data[#Headers],0))</f>
        <v>352791</v>
      </c>
      <c r="F59" s="21">
        <f>INDEX(Data[],MATCH($A59,Data[Dist],0),MATCH(F$6,Data[#Headers],0))</f>
        <v>352789</v>
      </c>
      <c r="G59" s="21">
        <f>INDEX(Data[],MATCH($A59,Data[Dist],0),MATCH(G$6,Data[#Headers],0))</f>
        <v>1770970</v>
      </c>
      <c r="H59" s="21">
        <f>INDEX(Data[],MATCH($A59,Data[Dist],0),MATCH(H$6,Data[#Headers],0))-G59</f>
        <v>1763952</v>
      </c>
      <c r="I59" s="24"/>
      <c r="J59" s="21">
        <f>INDEX(Notes!$I$2:$N$11,MATCH(Notes!$B$2,Notes!$I$2:$I$11,0),4)*$C59</f>
        <v>1418180</v>
      </c>
      <c r="K59" s="21">
        <f>INDEX(Notes!$I$2:$N$11,MATCH(Notes!$B$2,Notes!$I$2:$I$11,0),5)*$D59</f>
        <v>352790</v>
      </c>
      <c r="L59" s="21">
        <f>INDEX(Notes!$I$2:$N$11,MATCH(Notes!$B$2,Notes!$I$2:$I$11,0),6)*$E59</f>
        <v>0</v>
      </c>
      <c r="M59" s="21">
        <f>IF(Notes!$B$2="June",'Payment Total'!$F59,0)</f>
        <v>0</v>
      </c>
      <c r="N59" s="21">
        <f t="shared" si="0"/>
        <v>0</v>
      </c>
      <c r="P59" s="25" t="s">
        <v>882</v>
      </c>
      <c r="Q59" s="25">
        <v>352790</v>
      </c>
      <c r="R59" s="20" t="str">
        <f t="shared" si="1"/>
        <v>1080</v>
      </c>
      <c r="S59" s="20" t="str">
        <f t="shared" si="2"/>
        <v>1080</v>
      </c>
      <c r="T59" s="41">
        <f t="shared" si="3"/>
        <v>0</v>
      </c>
      <c r="V59" s="41"/>
    </row>
    <row r="60" spans="1:22" s="25" customFormat="1" ht="12.75" x14ac:dyDescent="0.2">
      <c r="A60" s="19" t="str">
        <f>Data!B55</f>
        <v>1082</v>
      </c>
      <c r="B60" s="20" t="str">
        <f>INDEX(Data[],MATCH($A60,Data[Dist],0),MATCH(B$6,Data[#Headers],0))</f>
        <v>Central De Witt</v>
      </c>
      <c r="C60" s="21">
        <f>INDEX(Data[],MATCH($A60,Data[Dist],0),MATCH(C$6,Data[#Headers],0))</f>
        <v>1113712</v>
      </c>
      <c r="D60" s="21">
        <f>INDEX(Data[],MATCH($A60,Data[Dist],0),MATCH(D$6,Data[#Headers],0))</f>
        <v>1108183</v>
      </c>
      <c r="E60" s="21">
        <f>INDEX(Data[],MATCH($A60,Data[Dist],0),MATCH(E$6,Data[#Headers],0))</f>
        <v>1108183</v>
      </c>
      <c r="F60" s="21">
        <f>INDEX(Data[],MATCH($A60,Data[Dist],0),MATCH(F$6,Data[#Headers],0))</f>
        <v>1108184</v>
      </c>
      <c r="G60" s="21">
        <f>INDEX(Data[],MATCH($A60,Data[Dist],0),MATCH(G$6,Data[#Headers],0))</f>
        <v>5563031</v>
      </c>
      <c r="H60" s="21">
        <f>INDEX(Data[],MATCH($A60,Data[Dist],0),MATCH(H$6,Data[#Headers],0))-G60</f>
        <v>5540916</v>
      </c>
      <c r="I60" s="24"/>
      <c r="J60" s="21">
        <f>INDEX(Notes!$I$2:$N$11,MATCH(Notes!$B$2,Notes!$I$2:$I$11,0),4)*$C60</f>
        <v>4454848</v>
      </c>
      <c r="K60" s="21">
        <f>INDEX(Notes!$I$2:$N$11,MATCH(Notes!$B$2,Notes!$I$2:$I$11,0),5)*$D60</f>
        <v>1108183</v>
      </c>
      <c r="L60" s="21">
        <f>INDEX(Notes!$I$2:$N$11,MATCH(Notes!$B$2,Notes!$I$2:$I$11,0),6)*$E60</f>
        <v>0</v>
      </c>
      <c r="M60" s="21">
        <f>IF(Notes!$B$2="June",'Payment Total'!$F60,0)</f>
        <v>0</v>
      </c>
      <c r="N60" s="21">
        <f t="shared" si="0"/>
        <v>0</v>
      </c>
      <c r="P60" s="25" t="s">
        <v>883</v>
      </c>
      <c r="Q60" s="25">
        <v>1108183</v>
      </c>
      <c r="R60" s="20" t="str">
        <f t="shared" si="1"/>
        <v>1082</v>
      </c>
      <c r="S60" s="20" t="str">
        <f t="shared" si="2"/>
        <v>1082</v>
      </c>
      <c r="T60" s="41">
        <f t="shared" si="3"/>
        <v>0</v>
      </c>
      <c r="V60" s="41"/>
    </row>
    <row r="61" spans="1:22" s="25" customFormat="1" ht="12.75" x14ac:dyDescent="0.2">
      <c r="A61" s="19" t="str">
        <f>Data!B56</f>
        <v>1089</v>
      </c>
      <c r="B61" s="20" t="str">
        <f>INDEX(Data[],MATCH($A61,Data[Dist],0),MATCH(B$6,Data[#Headers],0))</f>
        <v>Central City</v>
      </c>
      <c r="C61" s="21">
        <f>INDEX(Data[],MATCH($A61,Data[Dist],0),MATCH(C$6,Data[#Headers],0))</f>
        <v>329173</v>
      </c>
      <c r="D61" s="21">
        <f>INDEX(Data[],MATCH($A61,Data[Dist],0),MATCH(D$6,Data[#Headers],0))</f>
        <v>327592</v>
      </c>
      <c r="E61" s="21">
        <f>INDEX(Data[],MATCH($A61,Data[Dist],0),MATCH(E$6,Data[#Headers],0))</f>
        <v>327593</v>
      </c>
      <c r="F61" s="21">
        <f>INDEX(Data[],MATCH($A61,Data[Dist],0),MATCH(F$6,Data[#Headers],0))</f>
        <v>327591</v>
      </c>
      <c r="G61" s="21">
        <f>INDEX(Data[],MATCH($A61,Data[Dist],0),MATCH(G$6,Data[#Headers],0))</f>
        <v>1644284</v>
      </c>
      <c r="H61" s="21">
        <f>INDEX(Data[],MATCH($A61,Data[Dist],0),MATCH(H$6,Data[#Headers],0))-G61</f>
        <v>1637962</v>
      </c>
      <c r="I61" s="24"/>
      <c r="J61" s="21">
        <f>INDEX(Notes!$I$2:$N$11,MATCH(Notes!$B$2,Notes!$I$2:$I$11,0),4)*$C61</f>
        <v>1316692</v>
      </c>
      <c r="K61" s="21">
        <f>INDEX(Notes!$I$2:$N$11,MATCH(Notes!$B$2,Notes!$I$2:$I$11,0),5)*$D61</f>
        <v>327592</v>
      </c>
      <c r="L61" s="21">
        <f>INDEX(Notes!$I$2:$N$11,MATCH(Notes!$B$2,Notes!$I$2:$I$11,0),6)*$E61</f>
        <v>0</v>
      </c>
      <c r="M61" s="21">
        <f>IF(Notes!$B$2="June",'Payment Total'!$F61,0)</f>
        <v>0</v>
      </c>
      <c r="N61" s="21">
        <f t="shared" si="0"/>
        <v>0</v>
      </c>
      <c r="P61" s="25" t="s">
        <v>884</v>
      </c>
      <c r="Q61" s="25">
        <v>327592</v>
      </c>
      <c r="R61" s="20" t="str">
        <f t="shared" si="1"/>
        <v>1089</v>
      </c>
      <c r="S61" s="20" t="str">
        <f t="shared" si="2"/>
        <v>1089</v>
      </c>
      <c r="T61" s="41">
        <f t="shared" si="3"/>
        <v>0</v>
      </c>
      <c r="V61" s="41"/>
    </row>
    <row r="62" spans="1:22" s="25" customFormat="1" ht="12.75" x14ac:dyDescent="0.2">
      <c r="A62" s="19" t="str">
        <f>Data!B57</f>
        <v>1093</v>
      </c>
      <c r="B62" s="20" t="str">
        <f>INDEX(Data[],MATCH($A62,Data[Dist],0),MATCH(B$6,Data[#Headers],0))</f>
        <v>Central Decatur</v>
      </c>
      <c r="C62" s="21">
        <f>INDEX(Data[],MATCH($A62,Data[Dist],0),MATCH(C$6,Data[#Headers],0))</f>
        <v>583761</v>
      </c>
      <c r="D62" s="21">
        <f>INDEX(Data[],MATCH($A62,Data[Dist],0),MATCH(D$6,Data[#Headers],0))</f>
        <v>581387</v>
      </c>
      <c r="E62" s="21">
        <f>INDEX(Data[],MATCH($A62,Data[Dist],0),MATCH(E$6,Data[#Headers],0))</f>
        <v>581388</v>
      </c>
      <c r="F62" s="21">
        <f>INDEX(Data[],MATCH($A62,Data[Dist],0),MATCH(F$6,Data[#Headers],0))</f>
        <v>581386</v>
      </c>
      <c r="G62" s="21">
        <f>INDEX(Data[],MATCH($A62,Data[Dist],0),MATCH(G$6,Data[#Headers],0))</f>
        <v>2916431</v>
      </c>
      <c r="H62" s="21">
        <f>INDEX(Data[],MATCH($A62,Data[Dist],0),MATCH(H$6,Data[#Headers],0))-G62</f>
        <v>2906937</v>
      </c>
      <c r="I62" s="24"/>
      <c r="J62" s="21">
        <f>INDEX(Notes!$I$2:$N$11,MATCH(Notes!$B$2,Notes!$I$2:$I$11,0),4)*$C62</f>
        <v>2335044</v>
      </c>
      <c r="K62" s="21">
        <f>INDEX(Notes!$I$2:$N$11,MATCH(Notes!$B$2,Notes!$I$2:$I$11,0),5)*$D62</f>
        <v>581387</v>
      </c>
      <c r="L62" s="21">
        <f>INDEX(Notes!$I$2:$N$11,MATCH(Notes!$B$2,Notes!$I$2:$I$11,0),6)*$E62</f>
        <v>0</v>
      </c>
      <c r="M62" s="21">
        <f>IF(Notes!$B$2="June",'Payment Total'!$F62,0)</f>
        <v>0</v>
      </c>
      <c r="N62" s="21">
        <f t="shared" si="0"/>
        <v>0</v>
      </c>
      <c r="P62" s="25" t="s">
        <v>885</v>
      </c>
      <c r="Q62" s="25">
        <v>581387</v>
      </c>
      <c r="R62" s="20" t="str">
        <f t="shared" si="1"/>
        <v>1093</v>
      </c>
      <c r="S62" s="20" t="str">
        <f t="shared" si="2"/>
        <v>1093</v>
      </c>
      <c r="T62" s="41">
        <f t="shared" si="3"/>
        <v>0</v>
      </c>
      <c r="V62" s="41"/>
    </row>
    <row r="63" spans="1:22" s="25" customFormat="1" ht="12.75" x14ac:dyDescent="0.2">
      <c r="A63" s="19" t="str">
        <f>Data!B58</f>
        <v>1095</v>
      </c>
      <c r="B63" s="20" t="str">
        <f>INDEX(Data[],MATCH($A63,Data[Dist],0),MATCH(B$6,Data[#Headers],0))</f>
        <v>Central Lyon</v>
      </c>
      <c r="C63" s="21">
        <f>INDEX(Data[],MATCH($A63,Data[Dist],0),MATCH(C$6,Data[#Headers],0))</f>
        <v>556599</v>
      </c>
      <c r="D63" s="21">
        <f>INDEX(Data[],MATCH($A63,Data[Dist],0),MATCH(D$6,Data[#Headers],0))</f>
        <v>553747</v>
      </c>
      <c r="E63" s="21">
        <f>INDEX(Data[],MATCH($A63,Data[Dist],0),MATCH(E$6,Data[#Headers],0))</f>
        <v>553748</v>
      </c>
      <c r="F63" s="21">
        <f>INDEX(Data[],MATCH($A63,Data[Dist],0),MATCH(F$6,Data[#Headers],0))</f>
        <v>553746</v>
      </c>
      <c r="G63" s="21">
        <f>INDEX(Data[],MATCH($A63,Data[Dist],0),MATCH(G$6,Data[#Headers],0))</f>
        <v>2780143</v>
      </c>
      <c r="H63" s="21">
        <f>INDEX(Data[],MATCH($A63,Data[Dist],0),MATCH(H$6,Data[#Headers],0))-G63</f>
        <v>2768737</v>
      </c>
      <c r="I63" s="24"/>
      <c r="J63" s="21">
        <f>INDEX(Notes!$I$2:$N$11,MATCH(Notes!$B$2,Notes!$I$2:$I$11,0),4)*$C63</f>
        <v>2226396</v>
      </c>
      <c r="K63" s="21">
        <f>INDEX(Notes!$I$2:$N$11,MATCH(Notes!$B$2,Notes!$I$2:$I$11,0),5)*$D63</f>
        <v>553747</v>
      </c>
      <c r="L63" s="21">
        <f>INDEX(Notes!$I$2:$N$11,MATCH(Notes!$B$2,Notes!$I$2:$I$11,0),6)*$E63</f>
        <v>0</v>
      </c>
      <c r="M63" s="21">
        <f>IF(Notes!$B$2="June",'Payment Total'!$F63,0)</f>
        <v>0</v>
      </c>
      <c r="N63" s="21">
        <f t="shared" si="0"/>
        <v>0</v>
      </c>
      <c r="P63" s="25" t="s">
        <v>886</v>
      </c>
      <c r="Q63" s="25">
        <v>553747</v>
      </c>
      <c r="R63" s="20" t="str">
        <f t="shared" si="1"/>
        <v>1095</v>
      </c>
      <c r="S63" s="20" t="str">
        <f t="shared" si="2"/>
        <v>1095</v>
      </c>
      <c r="T63" s="41">
        <f t="shared" si="3"/>
        <v>0</v>
      </c>
      <c r="V63" s="41"/>
    </row>
    <row r="64" spans="1:22" s="25" customFormat="1" ht="12.75" x14ac:dyDescent="0.2">
      <c r="A64" s="19" t="str">
        <f>Data!B59</f>
        <v>1107</v>
      </c>
      <c r="B64" s="20" t="str">
        <f>INDEX(Data[],MATCH($A64,Data[Dist],0),MATCH(B$6,Data[#Headers],0))</f>
        <v>Chariton</v>
      </c>
      <c r="C64" s="21">
        <f>INDEX(Data[],MATCH($A64,Data[Dist],0),MATCH(C$6,Data[#Headers],0))</f>
        <v>1068528</v>
      </c>
      <c r="D64" s="21">
        <f>INDEX(Data[],MATCH($A64,Data[Dist],0),MATCH(D$6,Data[#Headers],0))</f>
        <v>1063609</v>
      </c>
      <c r="E64" s="21">
        <f>INDEX(Data[],MATCH($A64,Data[Dist],0),MATCH(E$6,Data[#Headers],0))</f>
        <v>1063608</v>
      </c>
      <c r="F64" s="21">
        <f>INDEX(Data[],MATCH($A64,Data[Dist],0),MATCH(F$6,Data[#Headers],0))</f>
        <v>1063609</v>
      </c>
      <c r="G64" s="21">
        <f>INDEX(Data[],MATCH($A64,Data[Dist],0),MATCH(G$6,Data[#Headers],0))</f>
        <v>5337721</v>
      </c>
      <c r="H64" s="21">
        <f>INDEX(Data[],MATCH($A64,Data[Dist],0),MATCH(H$6,Data[#Headers],0))-G64</f>
        <v>5318042</v>
      </c>
      <c r="I64" s="24"/>
      <c r="J64" s="21">
        <f>INDEX(Notes!$I$2:$N$11,MATCH(Notes!$B$2,Notes!$I$2:$I$11,0),4)*$C64</f>
        <v>4274112</v>
      </c>
      <c r="K64" s="21">
        <f>INDEX(Notes!$I$2:$N$11,MATCH(Notes!$B$2,Notes!$I$2:$I$11,0),5)*$D64</f>
        <v>1063609</v>
      </c>
      <c r="L64" s="21">
        <f>INDEX(Notes!$I$2:$N$11,MATCH(Notes!$B$2,Notes!$I$2:$I$11,0),6)*$E64</f>
        <v>0</v>
      </c>
      <c r="M64" s="21">
        <f>IF(Notes!$B$2="June",'Payment Total'!$F64,0)</f>
        <v>0</v>
      </c>
      <c r="N64" s="21">
        <f t="shared" si="0"/>
        <v>0</v>
      </c>
      <c r="P64" s="25" t="s">
        <v>887</v>
      </c>
      <c r="Q64" s="25">
        <v>1063609</v>
      </c>
      <c r="R64" s="20" t="str">
        <f t="shared" si="1"/>
        <v>1107</v>
      </c>
      <c r="S64" s="20" t="str">
        <f t="shared" si="2"/>
        <v>1107</v>
      </c>
      <c r="T64" s="41">
        <f t="shared" si="3"/>
        <v>0</v>
      </c>
      <c r="V64" s="41"/>
    </row>
    <row r="65" spans="1:22" s="25" customFormat="1" ht="12.75" x14ac:dyDescent="0.2">
      <c r="A65" s="19" t="str">
        <f>Data!B60</f>
        <v>1116</v>
      </c>
      <c r="B65" s="20" t="str">
        <f>INDEX(Data[],MATCH($A65,Data[Dist],0),MATCH(B$6,Data[#Headers],0))</f>
        <v>Charles City</v>
      </c>
      <c r="C65" s="21">
        <f>INDEX(Data[],MATCH($A65,Data[Dist],0),MATCH(C$6,Data[#Headers],0))</f>
        <v>1160427</v>
      </c>
      <c r="D65" s="21">
        <f>INDEX(Data[],MATCH($A65,Data[Dist],0),MATCH(D$6,Data[#Headers],0))</f>
        <v>1154910</v>
      </c>
      <c r="E65" s="21">
        <f>INDEX(Data[],MATCH($A65,Data[Dist],0),MATCH(E$6,Data[#Headers],0))</f>
        <v>1154911</v>
      </c>
      <c r="F65" s="21">
        <f>INDEX(Data[],MATCH($A65,Data[Dist],0),MATCH(F$6,Data[#Headers],0))</f>
        <v>1154909</v>
      </c>
      <c r="G65" s="21">
        <f>INDEX(Data[],MATCH($A65,Data[Dist],0),MATCH(G$6,Data[#Headers],0))</f>
        <v>5796618</v>
      </c>
      <c r="H65" s="21">
        <f>INDEX(Data[],MATCH($A65,Data[Dist],0),MATCH(H$6,Data[#Headers],0))-G65</f>
        <v>5774552</v>
      </c>
      <c r="I65" s="24"/>
      <c r="J65" s="21">
        <f>INDEX(Notes!$I$2:$N$11,MATCH(Notes!$B$2,Notes!$I$2:$I$11,0),4)*$C65</f>
        <v>4641708</v>
      </c>
      <c r="K65" s="21">
        <f>INDEX(Notes!$I$2:$N$11,MATCH(Notes!$B$2,Notes!$I$2:$I$11,0),5)*$D65</f>
        <v>1154910</v>
      </c>
      <c r="L65" s="21">
        <f>INDEX(Notes!$I$2:$N$11,MATCH(Notes!$B$2,Notes!$I$2:$I$11,0),6)*$E65</f>
        <v>0</v>
      </c>
      <c r="M65" s="21">
        <f>IF(Notes!$B$2="June",'Payment Total'!$F65,0)</f>
        <v>0</v>
      </c>
      <c r="N65" s="21">
        <f t="shared" si="0"/>
        <v>0</v>
      </c>
      <c r="P65" s="25" t="s">
        <v>888</v>
      </c>
      <c r="Q65" s="25">
        <v>1154910</v>
      </c>
      <c r="R65" s="20" t="str">
        <f t="shared" si="1"/>
        <v>1116</v>
      </c>
      <c r="S65" s="20" t="str">
        <f t="shared" si="2"/>
        <v>1116</v>
      </c>
      <c r="T65" s="41">
        <f t="shared" si="3"/>
        <v>0</v>
      </c>
      <c r="V65" s="41"/>
    </row>
    <row r="66" spans="1:22" s="25" customFormat="1" ht="12.75" x14ac:dyDescent="0.2">
      <c r="A66" s="19" t="str">
        <f>Data!B61</f>
        <v>1134</v>
      </c>
      <c r="B66" s="20" t="str">
        <f>INDEX(Data[],MATCH($A66,Data[Dist],0),MATCH(B$6,Data[#Headers],0))</f>
        <v>Charter Oak-Ute</v>
      </c>
      <c r="C66" s="21">
        <f>INDEX(Data[],MATCH($A66,Data[Dist],0),MATCH(C$6,Data[#Headers],0))</f>
        <v>177741</v>
      </c>
      <c r="D66" s="21">
        <f>INDEX(Data[],MATCH($A66,Data[Dist],0),MATCH(D$6,Data[#Headers],0))</f>
        <v>176696</v>
      </c>
      <c r="E66" s="21">
        <f>INDEX(Data[],MATCH($A66,Data[Dist],0),MATCH(E$6,Data[#Headers],0))</f>
        <v>176696</v>
      </c>
      <c r="F66" s="21">
        <f>INDEX(Data[],MATCH($A66,Data[Dist],0),MATCH(F$6,Data[#Headers],0))</f>
        <v>176696</v>
      </c>
      <c r="G66" s="21">
        <f>INDEX(Data[],MATCH($A66,Data[Dist],0),MATCH(G$6,Data[#Headers],0))</f>
        <v>887660</v>
      </c>
      <c r="H66" s="21">
        <f>INDEX(Data[],MATCH($A66,Data[Dist],0),MATCH(H$6,Data[#Headers],0))-G66</f>
        <v>883480</v>
      </c>
      <c r="I66" s="24"/>
      <c r="J66" s="21">
        <f>INDEX(Notes!$I$2:$N$11,MATCH(Notes!$B$2,Notes!$I$2:$I$11,0),4)*$C66</f>
        <v>710964</v>
      </c>
      <c r="K66" s="21">
        <f>INDEX(Notes!$I$2:$N$11,MATCH(Notes!$B$2,Notes!$I$2:$I$11,0),5)*$D66</f>
        <v>176696</v>
      </c>
      <c r="L66" s="21">
        <f>INDEX(Notes!$I$2:$N$11,MATCH(Notes!$B$2,Notes!$I$2:$I$11,0),6)*$E66</f>
        <v>0</v>
      </c>
      <c r="M66" s="21">
        <f>IF(Notes!$B$2="June",'Payment Total'!$F66,0)</f>
        <v>0</v>
      </c>
      <c r="N66" s="21">
        <f t="shared" si="0"/>
        <v>0</v>
      </c>
      <c r="P66" s="25" t="s">
        <v>889</v>
      </c>
      <c r="Q66" s="25">
        <v>176696</v>
      </c>
      <c r="R66" s="20" t="str">
        <f t="shared" si="1"/>
        <v>1134</v>
      </c>
      <c r="S66" s="20" t="str">
        <f t="shared" si="2"/>
        <v>1134</v>
      </c>
      <c r="T66" s="41">
        <f t="shared" si="3"/>
        <v>0</v>
      </c>
      <c r="V66" s="41"/>
    </row>
    <row r="67" spans="1:22" s="25" customFormat="1" ht="12.75" x14ac:dyDescent="0.2">
      <c r="A67" s="19" t="str">
        <f>Data!B62</f>
        <v>1152</v>
      </c>
      <c r="B67" s="20" t="str">
        <f>INDEX(Data[],MATCH($A67,Data[Dist],0),MATCH(B$6,Data[#Headers],0))</f>
        <v>Cherokee</v>
      </c>
      <c r="C67" s="21">
        <f>INDEX(Data[],MATCH($A67,Data[Dist],0),MATCH(C$6,Data[#Headers],0))</f>
        <v>819140</v>
      </c>
      <c r="D67" s="21">
        <f>INDEX(Data[],MATCH($A67,Data[Dist],0),MATCH(D$6,Data[#Headers],0))</f>
        <v>815238</v>
      </c>
      <c r="E67" s="21">
        <f>INDEX(Data[],MATCH($A67,Data[Dist],0),MATCH(E$6,Data[#Headers],0))</f>
        <v>815238</v>
      </c>
      <c r="F67" s="21">
        <f>INDEX(Data[],MATCH($A67,Data[Dist],0),MATCH(F$6,Data[#Headers],0))</f>
        <v>815236</v>
      </c>
      <c r="G67" s="21">
        <f>INDEX(Data[],MATCH($A67,Data[Dist],0),MATCH(G$6,Data[#Headers],0))</f>
        <v>4091798</v>
      </c>
      <c r="H67" s="21">
        <f>INDEX(Data[],MATCH($A67,Data[Dist],0),MATCH(H$6,Data[#Headers],0))-G67</f>
        <v>4076188</v>
      </c>
      <c r="I67" s="24"/>
      <c r="J67" s="21">
        <f>INDEX(Notes!$I$2:$N$11,MATCH(Notes!$B$2,Notes!$I$2:$I$11,0),4)*$C67</f>
        <v>3276560</v>
      </c>
      <c r="K67" s="21">
        <f>INDEX(Notes!$I$2:$N$11,MATCH(Notes!$B$2,Notes!$I$2:$I$11,0),5)*$D67</f>
        <v>815238</v>
      </c>
      <c r="L67" s="21">
        <f>INDEX(Notes!$I$2:$N$11,MATCH(Notes!$B$2,Notes!$I$2:$I$11,0),6)*$E67</f>
        <v>0</v>
      </c>
      <c r="M67" s="21">
        <f>IF(Notes!$B$2="June",'Payment Total'!$F67,0)</f>
        <v>0</v>
      </c>
      <c r="N67" s="21">
        <f t="shared" si="0"/>
        <v>0</v>
      </c>
      <c r="P67" s="25" t="s">
        <v>890</v>
      </c>
      <c r="Q67" s="25">
        <v>815238</v>
      </c>
      <c r="R67" s="20" t="str">
        <f t="shared" si="1"/>
        <v>1152</v>
      </c>
      <c r="S67" s="20" t="str">
        <f t="shared" si="2"/>
        <v>1152</v>
      </c>
      <c r="T67" s="41">
        <f t="shared" si="3"/>
        <v>0</v>
      </c>
      <c r="V67" s="41"/>
    </row>
    <row r="68" spans="1:22" s="25" customFormat="1" ht="12.75" x14ac:dyDescent="0.2">
      <c r="A68" s="19" t="str">
        <f>Data!B63</f>
        <v>1197</v>
      </c>
      <c r="B68" s="20" t="str">
        <f>INDEX(Data[],MATCH($A68,Data[Dist],0),MATCH(B$6,Data[#Headers],0))</f>
        <v>Clarinda</v>
      </c>
      <c r="C68" s="21">
        <f>INDEX(Data[],MATCH($A68,Data[Dist],0),MATCH(C$6,Data[#Headers],0))</f>
        <v>726555</v>
      </c>
      <c r="D68" s="21">
        <f>INDEX(Data[],MATCH($A68,Data[Dist],0),MATCH(D$6,Data[#Headers],0))</f>
        <v>722956</v>
      </c>
      <c r="E68" s="21">
        <f>INDEX(Data[],MATCH($A68,Data[Dist],0),MATCH(E$6,Data[#Headers],0))</f>
        <v>722957</v>
      </c>
      <c r="F68" s="21">
        <f>INDEX(Data[],MATCH($A68,Data[Dist],0),MATCH(F$6,Data[#Headers],0))</f>
        <v>722955</v>
      </c>
      <c r="G68" s="21">
        <f>INDEX(Data[],MATCH($A68,Data[Dist],0),MATCH(G$6,Data[#Headers],0))</f>
        <v>3629176</v>
      </c>
      <c r="H68" s="21">
        <f>INDEX(Data[],MATCH($A68,Data[Dist],0),MATCH(H$6,Data[#Headers],0))-G68</f>
        <v>3614782</v>
      </c>
      <c r="I68" s="24"/>
      <c r="J68" s="21">
        <f>INDEX(Notes!$I$2:$N$11,MATCH(Notes!$B$2,Notes!$I$2:$I$11,0),4)*$C68</f>
        <v>2906220</v>
      </c>
      <c r="K68" s="21">
        <f>INDEX(Notes!$I$2:$N$11,MATCH(Notes!$B$2,Notes!$I$2:$I$11,0),5)*$D68</f>
        <v>722956</v>
      </c>
      <c r="L68" s="21">
        <f>INDEX(Notes!$I$2:$N$11,MATCH(Notes!$B$2,Notes!$I$2:$I$11,0),6)*$E68</f>
        <v>0</v>
      </c>
      <c r="M68" s="21">
        <f>IF(Notes!$B$2="June",'Payment Total'!$F68,0)</f>
        <v>0</v>
      </c>
      <c r="N68" s="21">
        <f t="shared" si="0"/>
        <v>0</v>
      </c>
      <c r="P68" s="25" t="s">
        <v>891</v>
      </c>
      <c r="Q68" s="25">
        <v>722956</v>
      </c>
      <c r="R68" s="20" t="str">
        <f t="shared" si="1"/>
        <v>1197</v>
      </c>
      <c r="S68" s="20" t="str">
        <f t="shared" si="2"/>
        <v>1197</v>
      </c>
      <c r="T68" s="41">
        <f t="shared" si="3"/>
        <v>0</v>
      </c>
      <c r="V68" s="41"/>
    </row>
    <row r="69" spans="1:22" s="25" customFormat="1" ht="12.75" x14ac:dyDescent="0.2">
      <c r="A69" s="19" t="str">
        <f>Data!B64</f>
        <v>1206</v>
      </c>
      <c r="B69" s="20" t="str">
        <f>INDEX(Data[],MATCH($A69,Data[Dist],0),MATCH(B$6,Data[#Headers],0))</f>
        <v>Clarion-Goldfield-Dows</v>
      </c>
      <c r="C69" s="21">
        <f>INDEX(Data[],MATCH($A69,Data[Dist],0),MATCH(C$6,Data[#Headers],0))</f>
        <v>617836</v>
      </c>
      <c r="D69" s="21">
        <f>INDEX(Data[],MATCH($A69,Data[Dist],0),MATCH(D$6,Data[#Headers],0))</f>
        <v>614173</v>
      </c>
      <c r="E69" s="21">
        <f>INDEX(Data[],MATCH($A69,Data[Dist],0),MATCH(E$6,Data[#Headers],0))</f>
        <v>614172</v>
      </c>
      <c r="F69" s="21">
        <f>INDEX(Data[],MATCH($A69,Data[Dist],0),MATCH(F$6,Data[#Headers],0))</f>
        <v>614173</v>
      </c>
      <c r="G69" s="21">
        <f>INDEX(Data[],MATCH($A69,Data[Dist],0),MATCH(G$6,Data[#Headers],0))</f>
        <v>3085517</v>
      </c>
      <c r="H69" s="21">
        <f>INDEX(Data[],MATCH($A69,Data[Dist],0),MATCH(H$6,Data[#Headers],0))-G69</f>
        <v>3070862</v>
      </c>
      <c r="I69" s="24"/>
      <c r="J69" s="21">
        <f>INDEX(Notes!$I$2:$N$11,MATCH(Notes!$B$2,Notes!$I$2:$I$11,0),4)*$C69</f>
        <v>2471344</v>
      </c>
      <c r="K69" s="21">
        <f>INDEX(Notes!$I$2:$N$11,MATCH(Notes!$B$2,Notes!$I$2:$I$11,0),5)*$D69</f>
        <v>614173</v>
      </c>
      <c r="L69" s="21">
        <f>INDEX(Notes!$I$2:$N$11,MATCH(Notes!$B$2,Notes!$I$2:$I$11,0),6)*$E69</f>
        <v>0</v>
      </c>
      <c r="M69" s="21">
        <f>IF(Notes!$B$2="June",'Payment Total'!$F69,0)</f>
        <v>0</v>
      </c>
      <c r="N69" s="21">
        <f t="shared" si="0"/>
        <v>0</v>
      </c>
      <c r="P69" s="25" t="s">
        <v>892</v>
      </c>
      <c r="Q69" s="25">
        <v>614173</v>
      </c>
      <c r="R69" s="20" t="str">
        <f t="shared" si="1"/>
        <v>1206</v>
      </c>
      <c r="S69" s="20" t="str">
        <f t="shared" si="2"/>
        <v>1206</v>
      </c>
      <c r="T69" s="41">
        <f t="shared" si="3"/>
        <v>0</v>
      </c>
      <c r="V69" s="41"/>
    </row>
    <row r="70" spans="1:22" s="25" customFormat="1" ht="12.75" x14ac:dyDescent="0.2">
      <c r="A70" s="19" t="str">
        <f>Data!B65</f>
        <v>1211</v>
      </c>
      <c r="B70" s="20" t="str">
        <f>INDEX(Data[],MATCH($A70,Data[Dist],0),MATCH(B$6,Data[#Headers],0))</f>
        <v>Clarke</v>
      </c>
      <c r="C70" s="21">
        <f>INDEX(Data[],MATCH($A70,Data[Dist],0),MATCH(C$6,Data[#Headers],0))</f>
        <v>1216787</v>
      </c>
      <c r="D70" s="21">
        <f>INDEX(Data[],MATCH($A70,Data[Dist],0),MATCH(D$6,Data[#Headers],0))</f>
        <v>1211421</v>
      </c>
      <c r="E70" s="21">
        <f>INDEX(Data[],MATCH($A70,Data[Dist],0),MATCH(E$6,Data[#Headers],0))</f>
        <v>1211421</v>
      </c>
      <c r="F70" s="21">
        <f>INDEX(Data[],MATCH($A70,Data[Dist],0),MATCH(F$6,Data[#Headers],0))</f>
        <v>1211422</v>
      </c>
      <c r="G70" s="21">
        <f>INDEX(Data[],MATCH($A70,Data[Dist],0),MATCH(G$6,Data[#Headers],0))</f>
        <v>6078569</v>
      </c>
      <c r="H70" s="21">
        <f>INDEX(Data[],MATCH($A70,Data[Dist],0),MATCH(H$6,Data[#Headers],0))-G70</f>
        <v>6057106</v>
      </c>
      <c r="I70" s="24"/>
      <c r="J70" s="21">
        <f>INDEX(Notes!$I$2:$N$11,MATCH(Notes!$B$2,Notes!$I$2:$I$11,0),4)*$C70</f>
        <v>4867148</v>
      </c>
      <c r="K70" s="21">
        <f>INDEX(Notes!$I$2:$N$11,MATCH(Notes!$B$2,Notes!$I$2:$I$11,0),5)*$D70</f>
        <v>1211421</v>
      </c>
      <c r="L70" s="21">
        <f>INDEX(Notes!$I$2:$N$11,MATCH(Notes!$B$2,Notes!$I$2:$I$11,0),6)*$E70</f>
        <v>0</v>
      </c>
      <c r="M70" s="21">
        <f>IF(Notes!$B$2="June",'Payment Total'!$F70,0)</f>
        <v>0</v>
      </c>
      <c r="N70" s="21">
        <f t="shared" si="0"/>
        <v>0</v>
      </c>
      <c r="P70" s="25" t="s">
        <v>893</v>
      </c>
      <c r="Q70" s="25">
        <v>1211421</v>
      </c>
      <c r="R70" s="20" t="str">
        <f t="shared" si="1"/>
        <v>1211</v>
      </c>
      <c r="S70" s="20" t="str">
        <f t="shared" si="2"/>
        <v>1211</v>
      </c>
      <c r="T70" s="41">
        <f t="shared" si="3"/>
        <v>0</v>
      </c>
      <c r="V70" s="41"/>
    </row>
    <row r="71" spans="1:22" s="25" customFormat="1" ht="12.75" x14ac:dyDescent="0.2">
      <c r="A71" s="19" t="str">
        <f>Data!B66</f>
        <v>1215</v>
      </c>
      <c r="B71" s="20" t="str">
        <f>INDEX(Data[],MATCH($A71,Data[Dist],0),MATCH(B$6,Data[#Headers],0))</f>
        <v>Clarksville</v>
      </c>
      <c r="C71" s="21">
        <f>INDEX(Data[],MATCH($A71,Data[Dist],0),MATCH(C$6,Data[#Headers],0))</f>
        <v>239480</v>
      </c>
      <c r="D71" s="21">
        <f>INDEX(Data[],MATCH($A71,Data[Dist],0),MATCH(D$6,Data[#Headers],0))</f>
        <v>238426</v>
      </c>
      <c r="E71" s="21">
        <f>INDEX(Data[],MATCH($A71,Data[Dist],0),MATCH(E$6,Data[#Headers],0))</f>
        <v>238427</v>
      </c>
      <c r="F71" s="21">
        <f>INDEX(Data[],MATCH($A71,Data[Dist],0),MATCH(F$6,Data[#Headers],0))</f>
        <v>238425</v>
      </c>
      <c r="G71" s="21">
        <f>INDEX(Data[],MATCH($A71,Data[Dist],0),MATCH(G$6,Data[#Headers],0))</f>
        <v>1196346</v>
      </c>
      <c r="H71" s="21">
        <f>INDEX(Data[],MATCH($A71,Data[Dist],0),MATCH(H$6,Data[#Headers],0))-G71</f>
        <v>1192132</v>
      </c>
      <c r="I71" s="24"/>
      <c r="J71" s="21">
        <f>INDEX(Notes!$I$2:$N$11,MATCH(Notes!$B$2,Notes!$I$2:$I$11,0),4)*$C71</f>
        <v>957920</v>
      </c>
      <c r="K71" s="21">
        <f>INDEX(Notes!$I$2:$N$11,MATCH(Notes!$B$2,Notes!$I$2:$I$11,0),5)*$D71</f>
        <v>238426</v>
      </c>
      <c r="L71" s="21">
        <f>INDEX(Notes!$I$2:$N$11,MATCH(Notes!$B$2,Notes!$I$2:$I$11,0),6)*$E71</f>
        <v>0</v>
      </c>
      <c r="M71" s="21">
        <f>IF(Notes!$B$2="June",'Payment Total'!$F71,0)</f>
        <v>0</v>
      </c>
      <c r="N71" s="21">
        <f t="shared" si="0"/>
        <v>0</v>
      </c>
      <c r="P71" s="25" t="s">
        <v>894</v>
      </c>
      <c r="Q71" s="25">
        <v>238426</v>
      </c>
      <c r="R71" s="20" t="str">
        <f t="shared" si="1"/>
        <v>1215</v>
      </c>
      <c r="S71" s="20" t="str">
        <f t="shared" si="2"/>
        <v>1215</v>
      </c>
      <c r="T71" s="41">
        <f t="shared" si="3"/>
        <v>0</v>
      </c>
      <c r="V71" s="41"/>
    </row>
    <row r="72" spans="1:22" s="25" customFormat="1" ht="12.75" x14ac:dyDescent="0.2">
      <c r="A72" s="19" t="str">
        <f>Data!B67</f>
        <v>1218</v>
      </c>
      <c r="B72" s="20" t="str">
        <f>INDEX(Data[],MATCH($A72,Data[Dist],0),MATCH(B$6,Data[#Headers],0))</f>
        <v>Clay Central-Everly</v>
      </c>
      <c r="C72" s="21">
        <f>INDEX(Data[],MATCH($A72,Data[Dist],0),MATCH(C$6,Data[#Headers],0))</f>
        <v>97517</v>
      </c>
      <c r="D72" s="21">
        <f>INDEX(Data[],MATCH($A72,Data[Dist],0),MATCH(D$6,Data[#Headers],0))</f>
        <v>96523</v>
      </c>
      <c r="E72" s="21">
        <f>INDEX(Data[],MATCH($A72,Data[Dist],0),MATCH(E$6,Data[#Headers],0))</f>
        <v>96522</v>
      </c>
      <c r="F72" s="21">
        <f>INDEX(Data[],MATCH($A72,Data[Dist],0),MATCH(F$6,Data[#Headers],0))</f>
        <v>96523</v>
      </c>
      <c r="G72" s="21">
        <f>INDEX(Data[],MATCH($A72,Data[Dist],0),MATCH(G$6,Data[#Headers],0))</f>
        <v>486591</v>
      </c>
      <c r="H72" s="21">
        <f>INDEX(Data[],MATCH($A72,Data[Dist],0),MATCH(H$6,Data[#Headers],0))-G72</f>
        <v>482612</v>
      </c>
      <c r="I72" s="24"/>
      <c r="J72" s="21">
        <f>INDEX(Notes!$I$2:$N$11,MATCH(Notes!$B$2,Notes!$I$2:$I$11,0),4)*$C72</f>
        <v>390068</v>
      </c>
      <c r="K72" s="21">
        <f>INDEX(Notes!$I$2:$N$11,MATCH(Notes!$B$2,Notes!$I$2:$I$11,0),5)*$D72</f>
        <v>96523</v>
      </c>
      <c r="L72" s="21">
        <f>INDEX(Notes!$I$2:$N$11,MATCH(Notes!$B$2,Notes!$I$2:$I$11,0),6)*$E72</f>
        <v>0</v>
      </c>
      <c r="M72" s="21">
        <f>IF(Notes!$B$2="June",'Payment Total'!$F72,0)</f>
        <v>0</v>
      </c>
      <c r="N72" s="21">
        <f t="shared" ref="N72:N135" si="4">SUM(J72:M72)-G72</f>
        <v>0</v>
      </c>
      <c r="P72" s="25" t="s">
        <v>895</v>
      </c>
      <c r="Q72" s="25">
        <v>96523</v>
      </c>
      <c r="R72" s="20" t="str">
        <f t="shared" ref="R72:R135" si="5">TEXT(P72/10000,"0000")</f>
        <v>1218</v>
      </c>
      <c r="S72" s="20" t="str">
        <f t="shared" ref="S72:S135" si="6">IF(R72="1968","3582",IF(R72="5160","5319",IF(R72="5510","4824",IF(R72="6536","1935",IF(R72="6035","6048",IF(R72="5325","5323",IF(R72="6099","5157",R72)))))))</f>
        <v>1218</v>
      </c>
      <c r="T72" s="41">
        <f t="shared" ref="T72:T135" si="7">INDEX($A$7:$H$331,MATCH($S72,$A$7:$A$331,0),4)-Q72</f>
        <v>0</v>
      </c>
      <c r="V72" s="41"/>
    </row>
    <row r="73" spans="1:22" s="25" customFormat="1" ht="12.75" x14ac:dyDescent="0.2">
      <c r="A73" s="19" t="str">
        <f>Data!B68</f>
        <v>1221</v>
      </c>
      <c r="B73" s="20" t="str">
        <f>INDEX(Data[],MATCH($A73,Data[Dist],0),MATCH(B$6,Data[#Headers],0))</f>
        <v>Clear Creek-Amana</v>
      </c>
      <c r="C73" s="21">
        <f>INDEX(Data[],MATCH($A73,Data[Dist],0),MATCH(C$6,Data[#Headers],0))</f>
        <v>2124470</v>
      </c>
      <c r="D73" s="21">
        <f>INDEX(Data[],MATCH($A73,Data[Dist],0),MATCH(D$6,Data[#Headers],0))</f>
        <v>2113072</v>
      </c>
      <c r="E73" s="21">
        <f>INDEX(Data[],MATCH($A73,Data[Dist],0),MATCH(E$6,Data[#Headers],0))</f>
        <v>2113071</v>
      </c>
      <c r="F73" s="21">
        <f>INDEX(Data[],MATCH($A73,Data[Dist],0),MATCH(F$6,Data[#Headers],0))</f>
        <v>2113072</v>
      </c>
      <c r="G73" s="21">
        <f>INDEX(Data[],MATCH($A73,Data[Dist],0),MATCH(G$6,Data[#Headers],0))</f>
        <v>10610952</v>
      </c>
      <c r="H73" s="21">
        <f>INDEX(Data[],MATCH($A73,Data[Dist],0),MATCH(H$6,Data[#Headers],0))-G73</f>
        <v>10565357</v>
      </c>
      <c r="I73" s="24"/>
      <c r="J73" s="21">
        <f>INDEX(Notes!$I$2:$N$11,MATCH(Notes!$B$2,Notes!$I$2:$I$11,0),4)*$C73</f>
        <v>8497880</v>
      </c>
      <c r="K73" s="21">
        <f>INDEX(Notes!$I$2:$N$11,MATCH(Notes!$B$2,Notes!$I$2:$I$11,0),5)*$D73</f>
        <v>2113072</v>
      </c>
      <c r="L73" s="21">
        <f>INDEX(Notes!$I$2:$N$11,MATCH(Notes!$B$2,Notes!$I$2:$I$11,0),6)*$E73</f>
        <v>0</v>
      </c>
      <c r="M73" s="21">
        <f>IF(Notes!$B$2="June",'Payment Total'!$F73,0)</f>
        <v>0</v>
      </c>
      <c r="N73" s="21">
        <f t="shared" si="4"/>
        <v>0</v>
      </c>
      <c r="P73" s="25" t="s">
        <v>896</v>
      </c>
      <c r="Q73" s="25">
        <v>2113072</v>
      </c>
      <c r="R73" s="20" t="str">
        <f t="shared" si="5"/>
        <v>1221</v>
      </c>
      <c r="S73" s="20" t="str">
        <f t="shared" si="6"/>
        <v>1221</v>
      </c>
      <c r="T73" s="41">
        <f t="shared" si="7"/>
        <v>0</v>
      </c>
      <c r="V73" s="41"/>
    </row>
    <row r="74" spans="1:22" s="25" customFormat="1" ht="12.75" x14ac:dyDescent="0.2">
      <c r="A74" s="19" t="str">
        <f>Data!B69</f>
        <v>1233</v>
      </c>
      <c r="B74" s="20" t="str">
        <f>INDEX(Data[],MATCH($A74,Data[Dist],0),MATCH(B$6,Data[#Headers],0))</f>
        <v>Clear Lake</v>
      </c>
      <c r="C74" s="21">
        <f>INDEX(Data[],MATCH($A74,Data[Dist],0),MATCH(C$6,Data[#Headers],0))</f>
        <v>492923</v>
      </c>
      <c r="D74" s="21">
        <f>INDEX(Data[],MATCH($A74,Data[Dist],0),MATCH(D$6,Data[#Headers],0))</f>
        <v>488571</v>
      </c>
      <c r="E74" s="21">
        <f>INDEX(Data[],MATCH($A74,Data[Dist],0),MATCH(E$6,Data[#Headers],0))</f>
        <v>488571</v>
      </c>
      <c r="F74" s="21">
        <f>INDEX(Data[],MATCH($A74,Data[Dist],0),MATCH(F$6,Data[#Headers],0))</f>
        <v>488569</v>
      </c>
      <c r="G74" s="21">
        <f>INDEX(Data[],MATCH($A74,Data[Dist],0),MATCH(G$6,Data[#Headers],0))</f>
        <v>2460263</v>
      </c>
      <c r="H74" s="21">
        <f>INDEX(Data[],MATCH($A74,Data[Dist],0),MATCH(H$6,Data[#Headers],0))-G74</f>
        <v>2442853</v>
      </c>
      <c r="I74" s="24"/>
      <c r="J74" s="21">
        <f>INDEX(Notes!$I$2:$N$11,MATCH(Notes!$B$2,Notes!$I$2:$I$11,0),4)*$C74</f>
        <v>1971692</v>
      </c>
      <c r="K74" s="21">
        <f>INDEX(Notes!$I$2:$N$11,MATCH(Notes!$B$2,Notes!$I$2:$I$11,0),5)*$D74</f>
        <v>488571</v>
      </c>
      <c r="L74" s="21">
        <f>INDEX(Notes!$I$2:$N$11,MATCH(Notes!$B$2,Notes!$I$2:$I$11,0),6)*$E74</f>
        <v>0</v>
      </c>
      <c r="M74" s="21">
        <f>IF(Notes!$B$2="June",'Payment Total'!$F74,0)</f>
        <v>0</v>
      </c>
      <c r="N74" s="21">
        <f t="shared" si="4"/>
        <v>0</v>
      </c>
      <c r="P74" s="25" t="s">
        <v>897</v>
      </c>
      <c r="Q74" s="25">
        <v>488571</v>
      </c>
      <c r="R74" s="20" t="str">
        <f t="shared" si="5"/>
        <v>1233</v>
      </c>
      <c r="S74" s="20" t="str">
        <f t="shared" si="6"/>
        <v>1233</v>
      </c>
      <c r="T74" s="41">
        <f t="shared" si="7"/>
        <v>0</v>
      </c>
      <c r="V74" s="41"/>
    </row>
    <row r="75" spans="1:22" s="25" customFormat="1" ht="12.75" x14ac:dyDescent="0.2">
      <c r="A75" s="19" t="str">
        <f>Data!B70</f>
        <v>1278</v>
      </c>
      <c r="B75" s="20" t="str">
        <f>INDEX(Data[],MATCH($A75,Data[Dist],0),MATCH(B$6,Data[#Headers],0))</f>
        <v>Clinton</v>
      </c>
      <c r="C75" s="21">
        <f>INDEX(Data[],MATCH($A75,Data[Dist],0),MATCH(C$6,Data[#Headers],0))</f>
        <v>3219774</v>
      </c>
      <c r="D75" s="21">
        <f>INDEX(Data[],MATCH($A75,Data[Dist],0),MATCH(D$6,Data[#Headers],0))</f>
        <v>3206415</v>
      </c>
      <c r="E75" s="21">
        <f>INDEX(Data[],MATCH($A75,Data[Dist],0),MATCH(E$6,Data[#Headers],0))</f>
        <v>3206415</v>
      </c>
      <c r="F75" s="21">
        <f>INDEX(Data[],MATCH($A75,Data[Dist],0),MATCH(F$6,Data[#Headers],0))</f>
        <v>3206416</v>
      </c>
      <c r="G75" s="21">
        <f>INDEX(Data[],MATCH($A75,Data[Dist],0),MATCH(G$6,Data[#Headers],0))</f>
        <v>16085511</v>
      </c>
      <c r="H75" s="21">
        <f>INDEX(Data[],MATCH($A75,Data[Dist],0),MATCH(H$6,Data[#Headers],0))-G75</f>
        <v>16032076</v>
      </c>
      <c r="I75" s="24"/>
      <c r="J75" s="21">
        <f>INDEX(Notes!$I$2:$N$11,MATCH(Notes!$B$2,Notes!$I$2:$I$11,0),4)*$C75</f>
        <v>12879096</v>
      </c>
      <c r="K75" s="21">
        <f>INDEX(Notes!$I$2:$N$11,MATCH(Notes!$B$2,Notes!$I$2:$I$11,0),5)*$D75</f>
        <v>3206415</v>
      </c>
      <c r="L75" s="21">
        <f>INDEX(Notes!$I$2:$N$11,MATCH(Notes!$B$2,Notes!$I$2:$I$11,0),6)*$E75</f>
        <v>0</v>
      </c>
      <c r="M75" s="21">
        <f>IF(Notes!$B$2="June",'Payment Total'!$F75,0)</f>
        <v>0</v>
      </c>
      <c r="N75" s="21">
        <f t="shared" si="4"/>
        <v>0</v>
      </c>
      <c r="P75" s="25" t="s">
        <v>898</v>
      </c>
      <c r="Q75" s="25">
        <v>3206415</v>
      </c>
      <c r="R75" s="20" t="str">
        <f t="shared" si="5"/>
        <v>1278</v>
      </c>
      <c r="S75" s="20" t="str">
        <f t="shared" si="6"/>
        <v>1278</v>
      </c>
      <c r="T75" s="41">
        <f t="shared" si="7"/>
        <v>0</v>
      </c>
      <c r="V75" s="41"/>
    </row>
    <row r="76" spans="1:22" s="25" customFormat="1" ht="12.75" x14ac:dyDescent="0.2">
      <c r="A76" s="19" t="str">
        <f>Data!B71</f>
        <v>1332</v>
      </c>
      <c r="B76" s="20" t="str">
        <f>INDEX(Data[],MATCH($A76,Data[Dist],0),MATCH(B$6,Data[#Headers],0))</f>
        <v>Colfax-Mingo</v>
      </c>
      <c r="C76" s="21">
        <f>INDEX(Data[],MATCH($A76,Data[Dist],0),MATCH(C$6,Data[#Headers],0))</f>
        <v>539141</v>
      </c>
      <c r="D76" s="21">
        <f>INDEX(Data[],MATCH($A76,Data[Dist],0),MATCH(D$6,Data[#Headers],0))</f>
        <v>536473</v>
      </c>
      <c r="E76" s="21">
        <f>INDEX(Data[],MATCH($A76,Data[Dist],0),MATCH(E$6,Data[#Headers],0))</f>
        <v>536473</v>
      </c>
      <c r="F76" s="21">
        <f>INDEX(Data[],MATCH($A76,Data[Dist],0),MATCH(F$6,Data[#Headers],0))</f>
        <v>536471</v>
      </c>
      <c r="G76" s="21">
        <f>INDEX(Data[],MATCH($A76,Data[Dist],0),MATCH(G$6,Data[#Headers],0))</f>
        <v>2693037</v>
      </c>
      <c r="H76" s="21">
        <f>INDEX(Data[],MATCH($A76,Data[Dist],0),MATCH(H$6,Data[#Headers],0))-G76</f>
        <v>2682363</v>
      </c>
      <c r="I76" s="24"/>
      <c r="J76" s="21">
        <f>INDEX(Notes!$I$2:$N$11,MATCH(Notes!$B$2,Notes!$I$2:$I$11,0),4)*$C76</f>
        <v>2156564</v>
      </c>
      <c r="K76" s="21">
        <f>INDEX(Notes!$I$2:$N$11,MATCH(Notes!$B$2,Notes!$I$2:$I$11,0),5)*$D76</f>
        <v>536473</v>
      </c>
      <c r="L76" s="21">
        <f>INDEX(Notes!$I$2:$N$11,MATCH(Notes!$B$2,Notes!$I$2:$I$11,0),6)*$E76</f>
        <v>0</v>
      </c>
      <c r="M76" s="21">
        <f>IF(Notes!$B$2="June",'Payment Total'!$F76,0)</f>
        <v>0</v>
      </c>
      <c r="N76" s="21">
        <f t="shared" si="4"/>
        <v>0</v>
      </c>
      <c r="P76" s="25" t="s">
        <v>899</v>
      </c>
      <c r="Q76" s="25">
        <v>536473</v>
      </c>
      <c r="R76" s="20" t="str">
        <f t="shared" si="5"/>
        <v>1332</v>
      </c>
      <c r="S76" s="20" t="str">
        <f t="shared" si="6"/>
        <v>1332</v>
      </c>
      <c r="T76" s="41">
        <f t="shared" si="7"/>
        <v>0</v>
      </c>
      <c r="V76" s="41"/>
    </row>
    <row r="77" spans="1:22" s="25" customFormat="1" ht="12.75" x14ac:dyDescent="0.2">
      <c r="A77" s="19" t="str">
        <f>Data!B72</f>
        <v>1337</v>
      </c>
      <c r="B77" s="20" t="str">
        <f>INDEX(Data[],MATCH($A77,Data[Dist],0),MATCH(B$6,Data[#Headers],0))</f>
        <v>College Community</v>
      </c>
      <c r="C77" s="21">
        <f>INDEX(Data[],MATCH($A77,Data[Dist],0),MATCH(C$6,Data[#Headers],0))</f>
        <v>3378525</v>
      </c>
      <c r="D77" s="21">
        <f>INDEX(Data[],MATCH($A77,Data[Dist],0),MATCH(D$6,Data[#Headers],0))</f>
        <v>3359471</v>
      </c>
      <c r="E77" s="21">
        <f>INDEX(Data[],MATCH($A77,Data[Dist],0),MATCH(E$6,Data[#Headers],0))</f>
        <v>3359471</v>
      </c>
      <c r="F77" s="21">
        <f>INDEX(Data[],MATCH($A77,Data[Dist],0),MATCH(F$6,Data[#Headers],0))</f>
        <v>3359469</v>
      </c>
      <c r="G77" s="21">
        <f>INDEX(Data[],MATCH($A77,Data[Dist],0),MATCH(G$6,Data[#Headers],0))</f>
        <v>16873571</v>
      </c>
      <c r="H77" s="21">
        <f>INDEX(Data[],MATCH($A77,Data[Dist],0),MATCH(H$6,Data[#Headers],0))-G77</f>
        <v>16797353</v>
      </c>
      <c r="I77" s="24"/>
      <c r="J77" s="21">
        <f>INDEX(Notes!$I$2:$N$11,MATCH(Notes!$B$2,Notes!$I$2:$I$11,0),4)*$C77</f>
        <v>13514100</v>
      </c>
      <c r="K77" s="21">
        <f>INDEX(Notes!$I$2:$N$11,MATCH(Notes!$B$2,Notes!$I$2:$I$11,0),5)*$D77</f>
        <v>3359471</v>
      </c>
      <c r="L77" s="21">
        <f>INDEX(Notes!$I$2:$N$11,MATCH(Notes!$B$2,Notes!$I$2:$I$11,0),6)*$E77</f>
        <v>0</v>
      </c>
      <c r="M77" s="21">
        <f>IF(Notes!$B$2="June",'Payment Total'!$F77,0)</f>
        <v>0</v>
      </c>
      <c r="N77" s="21">
        <f t="shared" si="4"/>
        <v>0</v>
      </c>
      <c r="P77" s="25" t="s">
        <v>900</v>
      </c>
      <c r="Q77" s="25">
        <v>3359471</v>
      </c>
      <c r="R77" s="20" t="str">
        <f t="shared" si="5"/>
        <v>1337</v>
      </c>
      <c r="S77" s="20" t="str">
        <f t="shared" si="6"/>
        <v>1337</v>
      </c>
      <c r="T77" s="41">
        <f t="shared" si="7"/>
        <v>0</v>
      </c>
      <c r="V77" s="41"/>
    </row>
    <row r="78" spans="1:22" s="25" customFormat="1" ht="12.75" x14ac:dyDescent="0.2">
      <c r="A78" s="19" t="str">
        <f>Data!B73</f>
        <v>1350</v>
      </c>
      <c r="B78" s="20" t="str">
        <f>INDEX(Data[],MATCH($A78,Data[Dist],0),MATCH(B$6,Data[#Headers],0))</f>
        <v>Collins-Maxwell</v>
      </c>
      <c r="C78" s="21">
        <f>INDEX(Data[],MATCH($A78,Data[Dist],0),MATCH(C$6,Data[#Headers],0))</f>
        <v>340661</v>
      </c>
      <c r="D78" s="21">
        <f>INDEX(Data[],MATCH($A78,Data[Dist],0),MATCH(D$6,Data[#Headers],0))</f>
        <v>339002</v>
      </c>
      <c r="E78" s="21">
        <f>INDEX(Data[],MATCH($A78,Data[Dist],0),MATCH(E$6,Data[#Headers],0))</f>
        <v>339002</v>
      </c>
      <c r="F78" s="21">
        <f>INDEX(Data[],MATCH($A78,Data[Dist],0),MATCH(F$6,Data[#Headers],0))</f>
        <v>339002</v>
      </c>
      <c r="G78" s="21">
        <f>INDEX(Data[],MATCH($A78,Data[Dist],0),MATCH(G$6,Data[#Headers],0))</f>
        <v>1701646</v>
      </c>
      <c r="H78" s="21">
        <f>INDEX(Data[],MATCH($A78,Data[Dist],0),MATCH(H$6,Data[#Headers],0))-G78</f>
        <v>1695010</v>
      </c>
      <c r="I78" s="24"/>
      <c r="J78" s="21">
        <f>INDEX(Notes!$I$2:$N$11,MATCH(Notes!$B$2,Notes!$I$2:$I$11,0),4)*$C78</f>
        <v>1362644</v>
      </c>
      <c r="K78" s="21">
        <f>INDEX(Notes!$I$2:$N$11,MATCH(Notes!$B$2,Notes!$I$2:$I$11,0),5)*$D78</f>
        <v>339002</v>
      </c>
      <c r="L78" s="21">
        <f>INDEX(Notes!$I$2:$N$11,MATCH(Notes!$B$2,Notes!$I$2:$I$11,0),6)*$E78</f>
        <v>0</v>
      </c>
      <c r="M78" s="21">
        <f>IF(Notes!$B$2="June",'Payment Total'!$F78,0)</f>
        <v>0</v>
      </c>
      <c r="N78" s="21">
        <f t="shared" si="4"/>
        <v>0</v>
      </c>
      <c r="P78" s="25" t="s">
        <v>901</v>
      </c>
      <c r="Q78" s="25">
        <v>339002</v>
      </c>
      <c r="R78" s="20" t="str">
        <f t="shared" si="5"/>
        <v>1350</v>
      </c>
      <c r="S78" s="20" t="str">
        <f t="shared" si="6"/>
        <v>1350</v>
      </c>
      <c r="T78" s="41">
        <f t="shared" si="7"/>
        <v>0</v>
      </c>
      <c r="V78" s="41"/>
    </row>
    <row r="79" spans="1:22" s="25" customFormat="1" ht="12.75" x14ac:dyDescent="0.2">
      <c r="A79" s="19" t="str">
        <f>Data!B74</f>
        <v>1359</v>
      </c>
      <c r="B79" s="20" t="str">
        <f>INDEX(Data[],MATCH($A79,Data[Dist],0),MATCH(B$6,Data[#Headers],0))</f>
        <v>Colo-Nesco</v>
      </c>
      <c r="C79" s="21">
        <f>INDEX(Data[],MATCH($A79,Data[Dist],0),MATCH(C$6,Data[#Headers],0))</f>
        <v>259867</v>
      </c>
      <c r="D79" s="21">
        <f>INDEX(Data[],MATCH($A79,Data[Dist],0),MATCH(D$6,Data[#Headers],0))</f>
        <v>258159</v>
      </c>
      <c r="E79" s="21">
        <f>INDEX(Data[],MATCH($A79,Data[Dist],0),MATCH(E$6,Data[#Headers],0))</f>
        <v>258159</v>
      </c>
      <c r="F79" s="21">
        <f>INDEX(Data[],MATCH($A79,Data[Dist],0),MATCH(F$6,Data[#Headers],0))</f>
        <v>258158</v>
      </c>
      <c r="G79" s="21">
        <f>INDEX(Data[],MATCH($A79,Data[Dist],0),MATCH(G$6,Data[#Headers],0))</f>
        <v>1297627</v>
      </c>
      <c r="H79" s="21">
        <f>INDEX(Data[],MATCH($A79,Data[Dist],0),MATCH(H$6,Data[#Headers],0))-G79</f>
        <v>1290794</v>
      </c>
      <c r="I79" s="24"/>
      <c r="J79" s="21">
        <f>INDEX(Notes!$I$2:$N$11,MATCH(Notes!$B$2,Notes!$I$2:$I$11,0),4)*$C79</f>
        <v>1039468</v>
      </c>
      <c r="K79" s="21">
        <f>INDEX(Notes!$I$2:$N$11,MATCH(Notes!$B$2,Notes!$I$2:$I$11,0),5)*$D79</f>
        <v>258159</v>
      </c>
      <c r="L79" s="21">
        <f>INDEX(Notes!$I$2:$N$11,MATCH(Notes!$B$2,Notes!$I$2:$I$11,0),6)*$E79</f>
        <v>0</v>
      </c>
      <c r="M79" s="21">
        <f>IF(Notes!$B$2="June",'Payment Total'!$F79,0)</f>
        <v>0</v>
      </c>
      <c r="N79" s="21">
        <f t="shared" si="4"/>
        <v>0</v>
      </c>
      <c r="P79" s="25" t="s">
        <v>902</v>
      </c>
      <c r="Q79" s="25">
        <v>258159</v>
      </c>
      <c r="R79" s="20" t="str">
        <f t="shared" si="5"/>
        <v>1359</v>
      </c>
      <c r="S79" s="20" t="str">
        <f t="shared" si="6"/>
        <v>1359</v>
      </c>
      <c r="T79" s="41">
        <f t="shared" si="7"/>
        <v>0</v>
      </c>
      <c r="V79" s="41"/>
    </row>
    <row r="80" spans="1:22" s="25" customFormat="1" ht="12.75" x14ac:dyDescent="0.2">
      <c r="A80" s="19" t="str">
        <f>Data!B75</f>
        <v>1368</v>
      </c>
      <c r="B80" s="20" t="str">
        <f>INDEX(Data[],MATCH($A80,Data[Dist],0),MATCH(B$6,Data[#Headers],0))</f>
        <v>Columbus</v>
      </c>
      <c r="C80" s="21">
        <f>INDEX(Data[],MATCH($A80,Data[Dist],0),MATCH(C$6,Data[#Headers],0))</f>
        <v>637459</v>
      </c>
      <c r="D80" s="21">
        <f>INDEX(Data[],MATCH($A80,Data[Dist],0),MATCH(D$6,Data[#Headers],0))</f>
        <v>634616</v>
      </c>
      <c r="E80" s="21">
        <f>INDEX(Data[],MATCH($A80,Data[Dist],0),MATCH(E$6,Data[#Headers],0))</f>
        <v>634616</v>
      </c>
      <c r="F80" s="21">
        <f>INDEX(Data[],MATCH($A80,Data[Dist],0),MATCH(F$6,Data[#Headers],0))</f>
        <v>634615</v>
      </c>
      <c r="G80" s="21">
        <f>INDEX(Data[],MATCH($A80,Data[Dist],0),MATCH(G$6,Data[#Headers],0))</f>
        <v>3184452</v>
      </c>
      <c r="H80" s="21">
        <f>INDEX(Data[],MATCH($A80,Data[Dist],0),MATCH(H$6,Data[#Headers],0))-G80</f>
        <v>3173079</v>
      </c>
      <c r="I80" s="24"/>
      <c r="J80" s="21">
        <f>INDEX(Notes!$I$2:$N$11,MATCH(Notes!$B$2,Notes!$I$2:$I$11,0),4)*$C80</f>
        <v>2549836</v>
      </c>
      <c r="K80" s="21">
        <f>INDEX(Notes!$I$2:$N$11,MATCH(Notes!$B$2,Notes!$I$2:$I$11,0),5)*$D80</f>
        <v>634616</v>
      </c>
      <c r="L80" s="21">
        <f>INDEX(Notes!$I$2:$N$11,MATCH(Notes!$B$2,Notes!$I$2:$I$11,0),6)*$E80</f>
        <v>0</v>
      </c>
      <c r="M80" s="21">
        <f>IF(Notes!$B$2="June",'Payment Total'!$F80,0)</f>
        <v>0</v>
      </c>
      <c r="N80" s="21">
        <f t="shared" si="4"/>
        <v>0</v>
      </c>
      <c r="P80" s="25" t="s">
        <v>903</v>
      </c>
      <c r="Q80" s="25">
        <v>634616</v>
      </c>
      <c r="R80" s="20" t="str">
        <f t="shared" si="5"/>
        <v>1368</v>
      </c>
      <c r="S80" s="20" t="str">
        <f t="shared" si="6"/>
        <v>1368</v>
      </c>
      <c r="T80" s="41">
        <f t="shared" si="7"/>
        <v>0</v>
      </c>
      <c r="V80" s="41"/>
    </row>
    <row r="81" spans="1:22" s="25" customFormat="1" ht="12.75" x14ac:dyDescent="0.2">
      <c r="A81" s="19" t="str">
        <f>Data!B76</f>
        <v>1413</v>
      </c>
      <c r="B81" s="20" t="str">
        <f>INDEX(Data[],MATCH($A81,Data[Dist],0),MATCH(B$6,Data[#Headers],0))</f>
        <v>Coon Rapids-Bayard</v>
      </c>
      <c r="C81" s="21">
        <f>INDEX(Data[],MATCH($A81,Data[Dist],0),MATCH(C$6,Data[#Headers],0))</f>
        <v>314253</v>
      </c>
      <c r="D81" s="21">
        <f>INDEX(Data[],MATCH($A81,Data[Dist],0),MATCH(D$6,Data[#Headers],0))</f>
        <v>312619</v>
      </c>
      <c r="E81" s="21">
        <f>INDEX(Data[],MATCH($A81,Data[Dist],0),MATCH(E$6,Data[#Headers],0))</f>
        <v>312620</v>
      </c>
      <c r="F81" s="21">
        <f>INDEX(Data[],MATCH($A81,Data[Dist],0),MATCH(F$6,Data[#Headers],0))</f>
        <v>312618</v>
      </c>
      <c r="G81" s="21">
        <f>INDEX(Data[],MATCH($A81,Data[Dist],0),MATCH(G$6,Data[#Headers],0))</f>
        <v>1569631</v>
      </c>
      <c r="H81" s="21">
        <f>INDEX(Data[],MATCH($A81,Data[Dist],0),MATCH(H$6,Data[#Headers],0))-G81</f>
        <v>1563097</v>
      </c>
      <c r="I81" s="24"/>
      <c r="J81" s="21">
        <f>INDEX(Notes!$I$2:$N$11,MATCH(Notes!$B$2,Notes!$I$2:$I$11,0),4)*$C81</f>
        <v>1257012</v>
      </c>
      <c r="K81" s="21">
        <f>INDEX(Notes!$I$2:$N$11,MATCH(Notes!$B$2,Notes!$I$2:$I$11,0),5)*$D81</f>
        <v>312619</v>
      </c>
      <c r="L81" s="21">
        <f>INDEX(Notes!$I$2:$N$11,MATCH(Notes!$B$2,Notes!$I$2:$I$11,0),6)*$E81</f>
        <v>0</v>
      </c>
      <c r="M81" s="21">
        <f>IF(Notes!$B$2="June",'Payment Total'!$F81,0)</f>
        <v>0</v>
      </c>
      <c r="N81" s="21">
        <f t="shared" si="4"/>
        <v>0</v>
      </c>
      <c r="P81" s="25" t="s">
        <v>904</v>
      </c>
      <c r="Q81" s="25">
        <v>312619</v>
      </c>
      <c r="R81" s="20" t="str">
        <f t="shared" si="5"/>
        <v>1413</v>
      </c>
      <c r="S81" s="20" t="str">
        <f t="shared" si="6"/>
        <v>1413</v>
      </c>
      <c r="T81" s="41">
        <f t="shared" si="7"/>
        <v>0</v>
      </c>
      <c r="V81" s="41"/>
    </row>
    <row r="82" spans="1:22" s="25" customFormat="1" ht="12.75" x14ac:dyDescent="0.2">
      <c r="A82" s="19" t="str">
        <f>Data!B77</f>
        <v>1431</v>
      </c>
      <c r="B82" s="20" t="str">
        <f>INDEX(Data[],MATCH($A82,Data[Dist],0),MATCH(B$6,Data[#Headers],0))</f>
        <v>Corning</v>
      </c>
      <c r="C82" s="21">
        <f>INDEX(Data[],MATCH($A82,Data[Dist],0),MATCH(C$6,Data[#Headers],0))</f>
        <v>195841</v>
      </c>
      <c r="D82" s="21">
        <f>INDEX(Data[],MATCH($A82,Data[Dist],0),MATCH(D$6,Data[#Headers],0))</f>
        <v>194429</v>
      </c>
      <c r="E82" s="21">
        <f>INDEX(Data[],MATCH($A82,Data[Dist],0),MATCH(E$6,Data[#Headers],0))</f>
        <v>194429</v>
      </c>
      <c r="F82" s="21">
        <f>INDEX(Data[],MATCH($A82,Data[Dist],0),MATCH(F$6,Data[#Headers],0))</f>
        <v>194428</v>
      </c>
      <c r="G82" s="21">
        <f>INDEX(Data[],MATCH($A82,Data[Dist],0),MATCH(G$6,Data[#Headers],0))</f>
        <v>977793</v>
      </c>
      <c r="H82" s="21">
        <f>INDEX(Data[],MATCH($A82,Data[Dist],0),MATCH(H$6,Data[#Headers],0))-G82</f>
        <v>972144</v>
      </c>
      <c r="I82" s="24"/>
      <c r="J82" s="21">
        <f>INDEX(Notes!$I$2:$N$11,MATCH(Notes!$B$2,Notes!$I$2:$I$11,0),4)*$C82</f>
        <v>783364</v>
      </c>
      <c r="K82" s="21">
        <f>INDEX(Notes!$I$2:$N$11,MATCH(Notes!$B$2,Notes!$I$2:$I$11,0),5)*$D82</f>
        <v>194429</v>
      </c>
      <c r="L82" s="21">
        <f>INDEX(Notes!$I$2:$N$11,MATCH(Notes!$B$2,Notes!$I$2:$I$11,0),6)*$E82</f>
        <v>0</v>
      </c>
      <c r="M82" s="21">
        <f>IF(Notes!$B$2="June",'Payment Total'!$F82,0)</f>
        <v>0</v>
      </c>
      <c r="N82" s="21">
        <f t="shared" si="4"/>
        <v>0</v>
      </c>
      <c r="P82" s="25" t="s">
        <v>905</v>
      </c>
      <c r="Q82" s="25">
        <v>194429</v>
      </c>
      <c r="R82" s="20" t="str">
        <f t="shared" si="5"/>
        <v>1431</v>
      </c>
      <c r="S82" s="20" t="str">
        <f t="shared" si="6"/>
        <v>1431</v>
      </c>
      <c r="T82" s="41">
        <f t="shared" si="7"/>
        <v>0</v>
      </c>
      <c r="V82" s="41"/>
    </row>
    <row r="83" spans="1:22" s="25" customFormat="1" ht="12.75" x14ac:dyDescent="0.2">
      <c r="A83" s="19" t="str">
        <f>Data!B78</f>
        <v>1476</v>
      </c>
      <c r="B83" s="20" t="str">
        <f>INDEX(Data[],MATCH($A83,Data[Dist],0),MATCH(B$6,Data[#Headers],0))</f>
        <v>Council Bluffs</v>
      </c>
      <c r="C83" s="21">
        <f>INDEX(Data[],MATCH($A83,Data[Dist],0),MATCH(C$6,Data[#Headers],0))</f>
        <v>7845292</v>
      </c>
      <c r="D83" s="21">
        <f>INDEX(Data[],MATCH($A83,Data[Dist],0),MATCH(D$6,Data[#Headers],0))</f>
        <v>7812883</v>
      </c>
      <c r="E83" s="21">
        <f>INDEX(Data[],MATCH($A83,Data[Dist],0),MATCH(E$6,Data[#Headers],0))</f>
        <v>7812883</v>
      </c>
      <c r="F83" s="21">
        <f>INDEX(Data[],MATCH($A83,Data[Dist],0),MATCH(F$6,Data[#Headers],0))</f>
        <v>7812884</v>
      </c>
      <c r="G83" s="21">
        <f>INDEX(Data[],MATCH($A83,Data[Dist],0),MATCH(G$6,Data[#Headers],0))</f>
        <v>39194051</v>
      </c>
      <c r="H83" s="21">
        <f>INDEX(Data[],MATCH($A83,Data[Dist],0),MATCH(H$6,Data[#Headers],0))-G83</f>
        <v>39064416</v>
      </c>
      <c r="I83" s="24"/>
      <c r="J83" s="21">
        <f>INDEX(Notes!$I$2:$N$11,MATCH(Notes!$B$2,Notes!$I$2:$I$11,0),4)*$C83</f>
        <v>31381168</v>
      </c>
      <c r="K83" s="21">
        <f>INDEX(Notes!$I$2:$N$11,MATCH(Notes!$B$2,Notes!$I$2:$I$11,0),5)*$D83</f>
        <v>7812883</v>
      </c>
      <c r="L83" s="21">
        <f>INDEX(Notes!$I$2:$N$11,MATCH(Notes!$B$2,Notes!$I$2:$I$11,0),6)*$E83</f>
        <v>0</v>
      </c>
      <c r="M83" s="21">
        <f>IF(Notes!$B$2="June",'Payment Total'!$F83,0)</f>
        <v>0</v>
      </c>
      <c r="N83" s="21">
        <f t="shared" si="4"/>
        <v>0</v>
      </c>
      <c r="P83" s="25" t="s">
        <v>906</v>
      </c>
      <c r="Q83" s="25">
        <v>7812883</v>
      </c>
      <c r="R83" s="20" t="str">
        <f t="shared" si="5"/>
        <v>1476</v>
      </c>
      <c r="S83" s="20" t="str">
        <f t="shared" si="6"/>
        <v>1476</v>
      </c>
      <c r="T83" s="41">
        <f t="shared" si="7"/>
        <v>0</v>
      </c>
      <c r="V83" s="41"/>
    </row>
    <row r="84" spans="1:22" s="25" customFormat="1" ht="12.75" x14ac:dyDescent="0.2">
      <c r="A84" s="19" t="str">
        <f>Data!B79</f>
        <v>1503</v>
      </c>
      <c r="B84" s="20" t="str">
        <f>INDEX(Data[],MATCH($A84,Data[Dist],0),MATCH(B$6,Data[#Headers],0))</f>
        <v>Creston</v>
      </c>
      <c r="C84" s="21">
        <f>INDEX(Data[],MATCH($A84,Data[Dist],0),MATCH(C$6,Data[#Headers],0))</f>
        <v>1065350</v>
      </c>
      <c r="D84" s="21">
        <f>INDEX(Data[],MATCH($A84,Data[Dist],0),MATCH(D$6,Data[#Headers],0))</f>
        <v>1060210</v>
      </c>
      <c r="E84" s="21">
        <f>INDEX(Data[],MATCH($A84,Data[Dist],0),MATCH(E$6,Data[#Headers],0))</f>
        <v>1060209</v>
      </c>
      <c r="F84" s="21">
        <f>INDEX(Data[],MATCH($A84,Data[Dist],0),MATCH(F$6,Data[#Headers],0))</f>
        <v>1060210</v>
      </c>
      <c r="G84" s="21">
        <f>INDEX(Data[],MATCH($A84,Data[Dist],0),MATCH(G$6,Data[#Headers],0))</f>
        <v>5321610</v>
      </c>
      <c r="H84" s="21">
        <f>INDEX(Data[],MATCH($A84,Data[Dist],0),MATCH(H$6,Data[#Headers],0))-G84</f>
        <v>5301047</v>
      </c>
      <c r="I84" s="24"/>
      <c r="J84" s="21">
        <f>INDEX(Notes!$I$2:$N$11,MATCH(Notes!$B$2,Notes!$I$2:$I$11,0),4)*$C84</f>
        <v>4261400</v>
      </c>
      <c r="K84" s="21">
        <f>INDEX(Notes!$I$2:$N$11,MATCH(Notes!$B$2,Notes!$I$2:$I$11,0),5)*$D84</f>
        <v>1060210</v>
      </c>
      <c r="L84" s="21">
        <f>INDEX(Notes!$I$2:$N$11,MATCH(Notes!$B$2,Notes!$I$2:$I$11,0),6)*$E84</f>
        <v>0</v>
      </c>
      <c r="M84" s="21">
        <f>IF(Notes!$B$2="June",'Payment Total'!$F84,0)</f>
        <v>0</v>
      </c>
      <c r="N84" s="21">
        <f t="shared" si="4"/>
        <v>0</v>
      </c>
      <c r="P84" s="25" t="s">
        <v>907</v>
      </c>
      <c r="Q84" s="25">
        <v>1060210</v>
      </c>
      <c r="R84" s="20" t="str">
        <f t="shared" si="5"/>
        <v>1503</v>
      </c>
      <c r="S84" s="20" t="str">
        <f t="shared" si="6"/>
        <v>1503</v>
      </c>
      <c r="T84" s="41">
        <f t="shared" si="7"/>
        <v>0</v>
      </c>
      <c r="V84" s="41"/>
    </row>
    <row r="85" spans="1:22" s="25" customFormat="1" ht="12.75" x14ac:dyDescent="0.2">
      <c r="A85" s="19" t="str">
        <f>Data!B80</f>
        <v>1576</v>
      </c>
      <c r="B85" s="20" t="str">
        <f>INDEX(Data[],MATCH($A85,Data[Dist],0),MATCH(B$6,Data[#Headers],0))</f>
        <v>Dallas Center-Grimes</v>
      </c>
      <c r="C85" s="21">
        <f>INDEX(Data[],MATCH($A85,Data[Dist],0),MATCH(C$6,Data[#Headers],0))</f>
        <v>2488876</v>
      </c>
      <c r="D85" s="21">
        <f>INDEX(Data[],MATCH($A85,Data[Dist],0),MATCH(D$6,Data[#Headers],0))</f>
        <v>2475730</v>
      </c>
      <c r="E85" s="21">
        <f>INDEX(Data[],MATCH($A85,Data[Dist],0),MATCH(E$6,Data[#Headers],0))</f>
        <v>2475730</v>
      </c>
      <c r="F85" s="21">
        <f>INDEX(Data[],MATCH($A85,Data[Dist],0),MATCH(F$6,Data[#Headers],0))</f>
        <v>2475730</v>
      </c>
      <c r="G85" s="21">
        <f>INDEX(Data[],MATCH($A85,Data[Dist],0),MATCH(G$6,Data[#Headers],0))</f>
        <v>12431234</v>
      </c>
      <c r="H85" s="21">
        <f>INDEX(Data[],MATCH($A85,Data[Dist],0),MATCH(H$6,Data[#Headers],0))-G85</f>
        <v>12378650</v>
      </c>
      <c r="I85" s="24"/>
      <c r="J85" s="21">
        <f>INDEX(Notes!$I$2:$N$11,MATCH(Notes!$B$2,Notes!$I$2:$I$11,0),4)*$C85</f>
        <v>9955504</v>
      </c>
      <c r="K85" s="21">
        <f>INDEX(Notes!$I$2:$N$11,MATCH(Notes!$B$2,Notes!$I$2:$I$11,0),5)*$D85</f>
        <v>2475730</v>
      </c>
      <c r="L85" s="21">
        <f>INDEX(Notes!$I$2:$N$11,MATCH(Notes!$B$2,Notes!$I$2:$I$11,0),6)*$E85</f>
        <v>0</v>
      </c>
      <c r="M85" s="21">
        <f>IF(Notes!$B$2="June",'Payment Total'!$F85,0)</f>
        <v>0</v>
      </c>
      <c r="N85" s="21">
        <f t="shared" si="4"/>
        <v>0</v>
      </c>
      <c r="P85" s="25" t="s">
        <v>908</v>
      </c>
      <c r="Q85" s="25">
        <v>2475730</v>
      </c>
      <c r="R85" s="20" t="str">
        <f t="shared" si="5"/>
        <v>1576</v>
      </c>
      <c r="S85" s="20" t="str">
        <f t="shared" si="6"/>
        <v>1576</v>
      </c>
      <c r="T85" s="41">
        <f t="shared" si="7"/>
        <v>0</v>
      </c>
      <c r="V85" s="41"/>
    </row>
    <row r="86" spans="1:22" s="25" customFormat="1" ht="12.75" x14ac:dyDescent="0.2">
      <c r="A86" s="19" t="str">
        <f>Data!B81</f>
        <v>1602</v>
      </c>
      <c r="B86" s="20" t="str">
        <f>INDEX(Data[],MATCH($A86,Data[Dist],0),MATCH(B$6,Data[#Headers],0))</f>
        <v>Danville</v>
      </c>
      <c r="C86" s="21">
        <f>INDEX(Data[],MATCH($A86,Data[Dist],0),MATCH(C$6,Data[#Headers],0))</f>
        <v>342691</v>
      </c>
      <c r="D86" s="21">
        <f>INDEX(Data[],MATCH($A86,Data[Dist],0),MATCH(D$6,Data[#Headers],0))</f>
        <v>341031</v>
      </c>
      <c r="E86" s="21">
        <f>INDEX(Data[],MATCH($A86,Data[Dist],0),MATCH(E$6,Data[#Headers],0))</f>
        <v>341030</v>
      </c>
      <c r="F86" s="21">
        <f>INDEX(Data[],MATCH($A86,Data[Dist],0),MATCH(F$6,Data[#Headers],0))</f>
        <v>341031</v>
      </c>
      <c r="G86" s="21">
        <f>INDEX(Data[],MATCH($A86,Data[Dist],0),MATCH(G$6,Data[#Headers],0))</f>
        <v>1711795</v>
      </c>
      <c r="H86" s="21">
        <f>INDEX(Data[],MATCH($A86,Data[Dist],0),MATCH(H$6,Data[#Headers],0))-G86</f>
        <v>1705152</v>
      </c>
      <c r="I86" s="24"/>
      <c r="J86" s="21">
        <f>INDEX(Notes!$I$2:$N$11,MATCH(Notes!$B$2,Notes!$I$2:$I$11,0),4)*$C86</f>
        <v>1370764</v>
      </c>
      <c r="K86" s="21">
        <f>INDEX(Notes!$I$2:$N$11,MATCH(Notes!$B$2,Notes!$I$2:$I$11,0),5)*$D86</f>
        <v>341031</v>
      </c>
      <c r="L86" s="21">
        <f>INDEX(Notes!$I$2:$N$11,MATCH(Notes!$B$2,Notes!$I$2:$I$11,0),6)*$E86</f>
        <v>0</v>
      </c>
      <c r="M86" s="21">
        <f>IF(Notes!$B$2="June",'Payment Total'!$F86,0)</f>
        <v>0</v>
      </c>
      <c r="N86" s="21">
        <f t="shared" si="4"/>
        <v>0</v>
      </c>
      <c r="P86" s="25" t="s">
        <v>909</v>
      </c>
      <c r="Q86" s="25">
        <v>341031</v>
      </c>
      <c r="R86" s="20" t="str">
        <f t="shared" si="5"/>
        <v>1602</v>
      </c>
      <c r="S86" s="20" t="str">
        <f t="shared" si="6"/>
        <v>1602</v>
      </c>
      <c r="T86" s="41">
        <f t="shared" si="7"/>
        <v>0</v>
      </c>
      <c r="V86" s="41"/>
    </row>
    <row r="87" spans="1:22" s="25" customFormat="1" ht="12.75" x14ac:dyDescent="0.2">
      <c r="A87" s="19" t="str">
        <f>Data!B82</f>
        <v>1611</v>
      </c>
      <c r="B87" s="20" t="str">
        <f>INDEX(Data[],MATCH($A87,Data[Dist],0),MATCH(B$6,Data[#Headers],0))</f>
        <v>Davenport</v>
      </c>
      <c r="C87" s="21">
        <f>INDEX(Data[],MATCH($A87,Data[Dist],0),MATCH(C$6,Data[#Headers],0))</f>
        <v>10987158</v>
      </c>
      <c r="D87" s="21">
        <f>INDEX(Data[],MATCH($A87,Data[Dist],0),MATCH(D$6,Data[#Headers],0))</f>
        <v>10935401</v>
      </c>
      <c r="E87" s="21">
        <f>INDEX(Data[],MATCH($A87,Data[Dist],0),MATCH(E$6,Data[#Headers],0))</f>
        <v>10935401</v>
      </c>
      <c r="F87" s="21">
        <f>INDEX(Data[],MATCH($A87,Data[Dist],0),MATCH(F$6,Data[#Headers],0))</f>
        <v>10935401</v>
      </c>
      <c r="G87" s="21">
        <f>INDEX(Data[],MATCH($A87,Data[Dist],0),MATCH(G$6,Data[#Headers],0))</f>
        <v>54884033</v>
      </c>
      <c r="H87" s="21">
        <f>INDEX(Data[],MATCH($A87,Data[Dist],0),MATCH(H$6,Data[#Headers],0))-G87</f>
        <v>54677005</v>
      </c>
      <c r="I87" s="24"/>
      <c r="J87" s="21">
        <f>INDEX(Notes!$I$2:$N$11,MATCH(Notes!$B$2,Notes!$I$2:$I$11,0),4)*$C87</f>
        <v>43948632</v>
      </c>
      <c r="K87" s="21">
        <f>INDEX(Notes!$I$2:$N$11,MATCH(Notes!$B$2,Notes!$I$2:$I$11,0),5)*$D87</f>
        <v>10935401</v>
      </c>
      <c r="L87" s="21">
        <f>INDEX(Notes!$I$2:$N$11,MATCH(Notes!$B$2,Notes!$I$2:$I$11,0),6)*$E87</f>
        <v>0</v>
      </c>
      <c r="M87" s="21">
        <f>IF(Notes!$B$2="June",'Payment Total'!$F87,0)</f>
        <v>0</v>
      </c>
      <c r="N87" s="21">
        <f t="shared" si="4"/>
        <v>0</v>
      </c>
      <c r="P87" s="25" t="s">
        <v>910</v>
      </c>
      <c r="Q87" s="25">
        <v>10935401</v>
      </c>
      <c r="R87" s="20" t="str">
        <f t="shared" si="5"/>
        <v>1611</v>
      </c>
      <c r="S87" s="20" t="str">
        <f t="shared" si="6"/>
        <v>1611</v>
      </c>
      <c r="T87" s="41">
        <f t="shared" si="7"/>
        <v>0</v>
      </c>
      <c r="V87" s="41"/>
    </row>
    <row r="88" spans="1:22" s="25" customFormat="1" ht="12.75" x14ac:dyDescent="0.2">
      <c r="A88" s="19" t="str">
        <f>Data!B83</f>
        <v>1619</v>
      </c>
      <c r="B88" s="20" t="str">
        <f>INDEX(Data[],MATCH($A88,Data[Dist],0),MATCH(B$6,Data[#Headers],0))</f>
        <v>Davis County</v>
      </c>
      <c r="C88" s="21">
        <f>INDEX(Data[],MATCH($A88,Data[Dist],0),MATCH(C$6,Data[#Headers],0))</f>
        <v>830716</v>
      </c>
      <c r="D88" s="21">
        <f>INDEX(Data[],MATCH($A88,Data[Dist],0),MATCH(D$6,Data[#Headers],0))</f>
        <v>826519</v>
      </c>
      <c r="E88" s="21">
        <f>INDEX(Data[],MATCH($A88,Data[Dist],0),MATCH(E$6,Data[#Headers],0))</f>
        <v>826519</v>
      </c>
      <c r="F88" s="21">
        <f>INDEX(Data[],MATCH($A88,Data[Dist],0),MATCH(F$6,Data[#Headers],0))</f>
        <v>826518</v>
      </c>
      <c r="G88" s="21">
        <f>INDEX(Data[],MATCH($A88,Data[Dist],0),MATCH(G$6,Data[#Headers],0))</f>
        <v>4149383</v>
      </c>
      <c r="H88" s="21">
        <f>INDEX(Data[],MATCH($A88,Data[Dist],0),MATCH(H$6,Data[#Headers],0))-G88</f>
        <v>4132594</v>
      </c>
      <c r="I88" s="24"/>
      <c r="J88" s="21">
        <f>INDEX(Notes!$I$2:$N$11,MATCH(Notes!$B$2,Notes!$I$2:$I$11,0),4)*$C88</f>
        <v>3322864</v>
      </c>
      <c r="K88" s="21">
        <f>INDEX(Notes!$I$2:$N$11,MATCH(Notes!$B$2,Notes!$I$2:$I$11,0),5)*$D88</f>
        <v>826519</v>
      </c>
      <c r="L88" s="21">
        <f>INDEX(Notes!$I$2:$N$11,MATCH(Notes!$B$2,Notes!$I$2:$I$11,0),6)*$E88</f>
        <v>0</v>
      </c>
      <c r="M88" s="21">
        <f>IF(Notes!$B$2="June",'Payment Total'!$F88,0)</f>
        <v>0</v>
      </c>
      <c r="N88" s="21">
        <f t="shared" si="4"/>
        <v>0</v>
      </c>
      <c r="P88" s="25" t="s">
        <v>911</v>
      </c>
      <c r="Q88" s="25">
        <v>826519</v>
      </c>
      <c r="R88" s="20" t="str">
        <f t="shared" si="5"/>
        <v>1619</v>
      </c>
      <c r="S88" s="20" t="str">
        <f t="shared" si="6"/>
        <v>1619</v>
      </c>
      <c r="T88" s="41">
        <f t="shared" si="7"/>
        <v>0</v>
      </c>
      <c r="V88" s="41"/>
    </row>
    <row r="89" spans="1:22" s="25" customFormat="1" ht="12.75" x14ac:dyDescent="0.2">
      <c r="A89" s="19" t="str">
        <f>Data!B84</f>
        <v>1638</v>
      </c>
      <c r="B89" s="20" t="str">
        <f>INDEX(Data[],MATCH($A89,Data[Dist],0),MATCH(B$6,Data[#Headers],0))</f>
        <v>Decorah</v>
      </c>
      <c r="C89" s="21">
        <f>INDEX(Data[],MATCH($A89,Data[Dist],0),MATCH(C$6,Data[#Headers],0))</f>
        <v>975113</v>
      </c>
      <c r="D89" s="21">
        <f>INDEX(Data[],MATCH($A89,Data[Dist],0),MATCH(D$6,Data[#Headers],0))</f>
        <v>969449</v>
      </c>
      <c r="E89" s="21">
        <f>INDEX(Data[],MATCH($A89,Data[Dist],0),MATCH(E$6,Data[#Headers],0))</f>
        <v>969449</v>
      </c>
      <c r="F89" s="21">
        <f>INDEX(Data[],MATCH($A89,Data[Dist],0),MATCH(F$6,Data[#Headers],0))</f>
        <v>969450</v>
      </c>
      <c r="G89" s="21">
        <f>INDEX(Data[],MATCH($A89,Data[Dist],0),MATCH(G$6,Data[#Headers],0))</f>
        <v>4869901</v>
      </c>
      <c r="H89" s="21">
        <f>INDEX(Data[],MATCH($A89,Data[Dist],0),MATCH(H$6,Data[#Headers],0))-G89</f>
        <v>4847246</v>
      </c>
      <c r="I89" s="24"/>
      <c r="J89" s="21">
        <f>INDEX(Notes!$I$2:$N$11,MATCH(Notes!$B$2,Notes!$I$2:$I$11,0),4)*$C89</f>
        <v>3900452</v>
      </c>
      <c r="K89" s="21">
        <f>INDEX(Notes!$I$2:$N$11,MATCH(Notes!$B$2,Notes!$I$2:$I$11,0),5)*$D89</f>
        <v>969449</v>
      </c>
      <c r="L89" s="21">
        <f>INDEX(Notes!$I$2:$N$11,MATCH(Notes!$B$2,Notes!$I$2:$I$11,0),6)*$E89</f>
        <v>0</v>
      </c>
      <c r="M89" s="21">
        <f>IF(Notes!$B$2="June",'Payment Total'!$F89,0)</f>
        <v>0</v>
      </c>
      <c r="N89" s="21">
        <f t="shared" si="4"/>
        <v>0</v>
      </c>
      <c r="P89" s="25" t="s">
        <v>912</v>
      </c>
      <c r="Q89" s="25">
        <v>969449</v>
      </c>
      <c r="R89" s="20" t="str">
        <f t="shared" si="5"/>
        <v>1638</v>
      </c>
      <c r="S89" s="20" t="str">
        <f t="shared" si="6"/>
        <v>1638</v>
      </c>
      <c r="T89" s="41">
        <f t="shared" si="7"/>
        <v>0</v>
      </c>
      <c r="V89" s="41"/>
    </row>
    <row r="90" spans="1:22" s="25" customFormat="1" ht="12.75" x14ac:dyDescent="0.2">
      <c r="A90" s="19" t="str">
        <f>Data!B85</f>
        <v>1675</v>
      </c>
      <c r="B90" s="20" t="str">
        <f>INDEX(Data[],MATCH($A90,Data[Dist],0),MATCH(B$6,Data[#Headers],0))</f>
        <v>Delwood</v>
      </c>
      <c r="C90" s="21">
        <f>INDEX(Data[],MATCH($A90,Data[Dist],0),MATCH(C$6,Data[#Headers],0))</f>
        <v>143495</v>
      </c>
      <c r="D90" s="21">
        <f>INDEX(Data[],MATCH($A90,Data[Dist],0),MATCH(D$6,Data[#Headers],0))</f>
        <v>142808</v>
      </c>
      <c r="E90" s="21">
        <f>INDEX(Data[],MATCH($A90,Data[Dist],0),MATCH(E$6,Data[#Headers],0))</f>
        <v>142809</v>
      </c>
      <c r="F90" s="21">
        <f>INDEX(Data[],MATCH($A90,Data[Dist],0),MATCH(F$6,Data[#Headers],0))</f>
        <v>142807</v>
      </c>
      <c r="G90" s="21">
        <f>INDEX(Data[],MATCH($A90,Data[Dist],0),MATCH(G$6,Data[#Headers],0))</f>
        <v>716788</v>
      </c>
      <c r="H90" s="21">
        <f>INDEX(Data[],MATCH($A90,Data[Dist],0),MATCH(H$6,Data[#Headers],0))-G90</f>
        <v>714042</v>
      </c>
      <c r="I90" s="24"/>
      <c r="J90" s="21">
        <f>INDEX(Notes!$I$2:$N$11,MATCH(Notes!$B$2,Notes!$I$2:$I$11,0),4)*$C90</f>
        <v>573980</v>
      </c>
      <c r="K90" s="21">
        <f>INDEX(Notes!$I$2:$N$11,MATCH(Notes!$B$2,Notes!$I$2:$I$11,0),5)*$D90</f>
        <v>142808</v>
      </c>
      <c r="L90" s="21">
        <f>INDEX(Notes!$I$2:$N$11,MATCH(Notes!$B$2,Notes!$I$2:$I$11,0),6)*$E90</f>
        <v>0</v>
      </c>
      <c r="M90" s="21">
        <f>IF(Notes!$B$2="June",'Payment Total'!$F90,0)</f>
        <v>0</v>
      </c>
      <c r="N90" s="21">
        <f t="shared" si="4"/>
        <v>0</v>
      </c>
      <c r="P90" s="25" t="s">
        <v>913</v>
      </c>
      <c r="Q90" s="25">
        <v>142808</v>
      </c>
      <c r="R90" s="20" t="str">
        <f t="shared" si="5"/>
        <v>1675</v>
      </c>
      <c r="S90" s="20" t="str">
        <f t="shared" si="6"/>
        <v>1675</v>
      </c>
      <c r="T90" s="41">
        <f t="shared" si="7"/>
        <v>0</v>
      </c>
      <c r="V90" s="41"/>
    </row>
    <row r="91" spans="1:22" s="25" customFormat="1" ht="12.75" x14ac:dyDescent="0.2">
      <c r="A91" s="19" t="str">
        <f>Data!B86</f>
        <v>1701</v>
      </c>
      <c r="B91" s="20" t="str">
        <f>INDEX(Data[],MATCH($A91,Data[Dist],0),MATCH(B$6,Data[#Headers],0))</f>
        <v>Denison</v>
      </c>
      <c r="C91" s="21">
        <f>INDEX(Data[],MATCH($A91,Data[Dist],0),MATCH(C$6,Data[#Headers],0))</f>
        <v>1738354</v>
      </c>
      <c r="D91" s="21">
        <f>INDEX(Data[],MATCH($A91,Data[Dist],0),MATCH(D$6,Data[#Headers],0))</f>
        <v>1731001</v>
      </c>
      <c r="E91" s="21">
        <f>INDEX(Data[],MATCH($A91,Data[Dist],0),MATCH(E$6,Data[#Headers],0))</f>
        <v>1731001</v>
      </c>
      <c r="F91" s="21">
        <f>INDEX(Data[],MATCH($A91,Data[Dist],0),MATCH(F$6,Data[#Headers],0))</f>
        <v>1731002</v>
      </c>
      <c r="G91" s="21">
        <f>INDEX(Data[],MATCH($A91,Data[Dist],0),MATCH(G$6,Data[#Headers],0))</f>
        <v>8684417</v>
      </c>
      <c r="H91" s="21">
        <f>INDEX(Data[],MATCH($A91,Data[Dist],0),MATCH(H$6,Data[#Headers],0))-G91</f>
        <v>8655006</v>
      </c>
      <c r="I91" s="24"/>
      <c r="J91" s="21">
        <f>INDEX(Notes!$I$2:$N$11,MATCH(Notes!$B$2,Notes!$I$2:$I$11,0),4)*$C91</f>
        <v>6953416</v>
      </c>
      <c r="K91" s="21">
        <f>INDEX(Notes!$I$2:$N$11,MATCH(Notes!$B$2,Notes!$I$2:$I$11,0),5)*$D91</f>
        <v>1731001</v>
      </c>
      <c r="L91" s="21">
        <f>INDEX(Notes!$I$2:$N$11,MATCH(Notes!$B$2,Notes!$I$2:$I$11,0),6)*$E91</f>
        <v>0</v>
      </c>
      <c r="M91" s="21">
        <f>IF(Notes!$B$2="June",'Payment Total'!$F91,0)</f>
        <v>0</v>
      </c>
      <c r="N91" s="21">
        <f t="shared" si="4"/>
        <v>0</v>
      </c>
      <c r="P91" s="25" t="s">
        <v>914</v>
      </c>
      <c r="Q91" s="25">
        <v>1731001</v>
      </c>
      <c r="R91" s="20" t="str">
        <f t="shared" si="5"/>
        <v>1701</v>
      </c>
      <c r="S91" s="20" t="str">
        <f t="shared" si="6"/>
        <v>1701</v>
      </c>
      <c r="T91" s="41">
        <f t="shared" si="7"/>
        <v>0</v>
      </c>
      <c r="V91" s="41"/>
    </row>
    <row r="92" spans="1:22" s="25" customFormat="1" ht="12.75" x14ac:dyDescent="0.2">
      <c r="A92" s="19" t="str">
        <f>Data!B87</f>
        <v>1719</v>
      </c>
      <c r="B92" s="20" t="str">
        <f>INDEX(Data[],MATCH($A92,Data[Dist],0),MATCH(B$6,Data[#Headers],0))</f>
        <v>Denver</v>
      </c>
      <c r="C92" s="21">
        <f>INDEX(Data[],MATCH($A92,Data[Dist],0),MATCH(C$6,Data[#Headers],0))</f>
        <v>690956</v>
      </c>
      <c r="D92" s="21">
        <f>INDEX(Data[],MATCH($A92,Data[Dist],0),MATCH(D$6,Data[#Headers],0))</f>
        <v>687711</v>
      </c>
      <c r="E92" s="21">
        <f>INDEX(Data[],MATCH($A92,Data[Dist],0),MATCH(E$6,Data[#Headers],0))</f>
        <v>687711</v>
      </c>
      <c r="F92" s="21">
        <f>INDEX(Data[],MATCH($A92,Data[Dist],0),MATCH(F$6,Data[#Headers],0))</f>
        <v>687709</v>
      </c>
      <c r="G92" s="21">
        <f>INDEX(Data[],MATCH($A92,Data[Dist],0),MATCH(G$6,Data[#Headers],0))</f>
        <v>3451535</v>
      </c>
      <c r="H92" s="21">
        <f>INDEX(Data[],MATCH($A92,Data[Dist],0),MATCH(H$6,Data[#Headers],0))-G92</f>
        <v>3438553</v>
      </c>
      <c r="I92" s="24"/>
      <c r="J92" s="21">
        <f>INDEX(Notes!$I$2:$N$11,MATCH(Notes!$B$2,Notes!$I$2:$I$11,0),4)*$C92</f>
        <v>2763824</v>
      </c>
      <c r="K92" s="21">
        <f>INDEX(Notes!$I$2:$N$11,MATCH(Notes!$B$2,Notes!$I$2:$I$11,0),5)*$D92</f>
        <v>687711</v>
      </c>
      <c r="L92" s="21">
        <f>INDEX(Notes!$I$2:$N$11,MATCH(Notes!$B$2,Notes!$I$2:$I$11,0),6)*$E92</f>
        <v>0</v>
      </c>
      <c r="M92" s="21">
        <f>IF(Notes!$B$2="June",'Payment Total'!$F92,0)</f>
        <v>0</v>
      </c>
      <c r="N92" s="21">
        <f t="shared" si="4"/>
        <v>0</v>
      </c>
      <c r="P92" s="25" t="s">
        <v>915</v>
      </c>
      <c r="Q92" s="25">
        <v>687711</v>
      </c>
      <c r="R92" s="20" t="str">
        <f t="shared" si="5"/>
        <v>1719</v>
      </c>
      <c r="S92" s="20" t="str">
        <f t="shared" si="6"/>
        <v>1719</v>
      </c>
      <c r="T92" s="41">
        <f t="shared" si="7"/>
        <v>0</v>
      </c>
      <c r="V92" s="41"/>
    </row>
    <row r="93" spans="1:22" s="25" customFormat="1" ht="12.75" x14ac:dyDescent="0.2">
      <c r="A93" s="19" t="str">
        <f>Data!B88</f>
        <v>1737</v>
      </c>
      <c r="B93" s="20" t="str">
        <f>INDEX(Data[],MATCH($A93,Data[Dist],0),MATCH(B$6,Data[#Headers],0))</f>
        <v>Des Moines</v>
      </c>
      <c r="C93" s="21">
        <f>INDEX(Data[],MATCH($A93,Data[Dist],0),MATCH(C$6,Data[#Headers],0))</f>
        <v>27328332</v>
      </c>
      <c r="D93" s="21">
        <f>INDEX(Data[],MATCH($A93,Data[Dist],0),MATCH(D$6,Data[#Headers],0))</f>
        <v>27212693</v>
      </c>
      <c r="E93" s="21">
        <f>INDEX(Data[],MATCH($A93,Data[Dist],0),MATCH(E$6,Data[#Headers],0))</f>
        <v>27212694</v>
      </c>
      <c r="F93" s="21">
        <f>INDEX(Data[],MATCH($A93,Data[Dist],0),MATCH(F$6,Data[#Headers],0))</f>
        <v>27212692</v>
      </c>
      <c r="G93" s="21">
        <f>INDEX(Data[],MATCH($A93,Data[Dist],0),MATCH(G$6,Data[#Headers],0))</f>
        <v>136526021</v>
      </c>
      <c r="H93" s="21">
        <f>INDEX(Data[],MATCH($A93,Data[Dist],0),MATCH(H$6,Data[#Headers],0))-G93</f>
        <v>136063467</v>
      </c>
      <c r="I93" s="24"/>
      <c r="J93" s="21">
        <f>INDEX(Notes!$I$2:$N$11,MATCH(Notes!$B$2,Notes!$I$2:$I$11,0),4)*$C93</f>
        <v>109313328</v>
      </c>
      <c r="K93" s="21">
        <f>INDEX(Notes!$I$2:$N$11,MATCH(Notes!$B$2,Notes!$I$2:$I$11,0),5)*$D93</f>
        <v>27212693</v>
      </c>
      <c r="L93" s="21">
        <f>INDEX(Notes!$I$2:$N$11,MATCH(Notes!$B$2,Notes!$I$2:$I$11,0),6)*$E93</f>
        <v>0</v>
      </c>
      <c r="M93" s="21">
        <f>IF(Notes!$B$2="June",'Payment Total'!$F93,0)</f>
        <v>0</v>
      </c>
      <c r="N93" s="21">
        <f t="shared" si="4"/>
        <v>0</v>
      </c>
      <c r="P93" s="25" t="s">
        <v>916</v>
      </c>
      <c r="Q93" s="25">
        <v>27212693</v>
      </c>
      <c r="R93" s="20" t="str">
        <f t="shared" si="5"/>
        <v>1737</v>
      </c>
      <c r="S93" s="20" t="str">
        <f t="shared" si="6"/>
        <v>1737</v>
      </c>
      <c r="T93" s="41">
        <f t="shared" si="7"/>
        <v>0</v>
      </c>
      <c r="V93" s="41"/>
    </row>
    <row r="94" spans="1:22" s="25" customFormat="1" ht="12.75" x14ac:dyDescent="0.2">
      <c r="A94" s="19" t="str">
        <f>Data!B89</f>
        <v>1782</v>
      </c>
      <c r="B94" s="20" t="str">
        <f>INDEX(Data[],MATCH($A94,Data[Dist],0),MATCH(B$6,Data[#Headers],0))</f>
        <v>Diagonal</v>
      </c>
      <c r="C94" s="21">
        <f>INDEX(Data[],MATCH($A94,Data[Dist],0),MATCH(C$6,Data[#Headers],0))</f>
        <v>86111</v>
      </c>
      <c r="D94" s="21">
        <f>INDEX(Data[],MATCH($A94,Data[Dist],0),MATCH(D$6,Data[#Headers],0))</f>
        <v>85784</v>
      </c>
      <c r="E94" s="21">
        <f>INDEX(Data[],MATCH($A94,Data[Dist],0),MATCH(E$6,Data[#Headers],0))</f>
        <v>85785</v>
      </c>
      <c r="F94" s="21">
        <f>INDEX(Data[],MATCH($A94,Data[Dist],0),MATCH(F$6,Data[#Headers],0))</f>
        <v>85783</v>
      </c>
      <c r="G94" s="21">
        <f>INDEX(Data[],MATCH($A94,Data[Dist],0),MATCH(G$6,Data[#Headers],0))</f>
        <v>430228</v>
      </c>
      <c r="H94" s="21">
        <f>INDEX(Data[],MATCH($A94,Data[Dist],0),MATCH(H$6,Data[#Headers],0))-G94</f>
        <v>428922</v>
      </c>
      <c r="I94" s="24"/>
      <c r="J94" s="21">
        <f>INDEX(Notes!$I$2:$N$11,MATCH(Notes!$B$2,Notes!$I$2:$I$11,0),4)*$C94</f>
        <v>344444</v>
      </c>
      <c r="K94" s="21">
        <f>INDEX(Notes!$I$2:$N$11,MATCH(Notes!$B$2,Notes!$I$2:$I$11,0),5)*$D94</f>
        <v>85784</v>
      </c>
      <c r="L94" s="21">
        <f>INDEX(Notes!$I$2:$N$11,MATCH(Notes!$B$2,Notes!$I$2:$I$11,0),6)*$E94</f>
        <v>0</v>
      </c>
      <c r="M94" s="21">
        <f>IF(Notes!$B$2="June",'Payment Total'!$F94,0)</f>
        <v>0</v>
      </c>
      <c r="N94" s="21">
        <f t="shared" si="4"/>
        <v>0</v>
      </c>
      <c r="P94" s="25" t="s">
        <v>917</v>
      </c>
      <c r="Q94" s="25">
        <v>85784</v>
      </c>
      <c r="R94" s="20" t="str">
        <f t="shared" si="5"/>
        <v>1782</v>
      </c>
      <c r="S94" s="20" t="str">
        <f t="shared" si="6"/>
        <v>1782</v>
      </c>
      <c r="T94" s="41">
        <f t="shared" si="7"/>
        <v>0</v>
      </c>
      <c r="V94" s="41"/>
    </row>
    <row r="95" spans="1:22" s="25" customFormat="1" ht="12.75" x14ac:dyDescent="0.2">
      <c r="A95" s="19" t="str">
        <f>Data!B90</f>
        <v>1791</v>
      </c>
      <c r="B95" s="20" t="str">
        <f>INDEX(Data[],MATCH($A95,Data[Dist],0),MATCH(B$6,Data[#Headers],0))</f>
        <v>Dike-New Hartford</v>
      </c>
      <c r="C95" s="21">
        <f>INDEX(Data[],MATCH($A95,Data[Dist],0),MATCH(C$6,Data[#Headers],0))</f>
        <v>675517</v>
      </c>
      <c r="D95" s="21">
        <f>INDEX(Data[],MATCH($A95,Data[Dist],0),MATCH(D$6,Data[#Headers],0))</f>
        <v>672241</v>
      </c>
      <c r="E95" s="21">
        <f>INDEX(Data[],MATCH($A95,Data[Dist],0),MATCH(E$6,Data[#Headers],0))</f>
        <v>672241</v>
      </c>
      <c r="F95" s="21">
        <f>INDEX(Data[],MATCH($A95,Data[Dist],0),MATCH(F$6,Data[#Headers],0))</f>
        <v>672241</v>
      </c>
      <c r="G95" s="21">
        <f>INDEX(Data[],MATCH($A95,Data[Dist],0),MATCH(G$6,Data[#Headers],0))</f>
        <v>3374309</v>
      </c>
      <c r="H95" s="21">
        <f>INDEX(Data[],MATCH($A95,Data[Dist],0),MATCH(H$6,Data[#Headers],0))-G95</f>
        <v>3361205</v>
      </c>
      <c r="I95" s="24"/>
      <c r="J95" s="21">
        <f>INDEX(Notes!$I$2:$N$11,MATCH(Notes!$B$2,Notes!$I$2:$I$11,0),4)*$C95</f>
        <v>2702068</v>
      </c>
      <c r="K95" s="21">
        <f>INDEX(Notes!$I$2:$N$11,MATCH(Notes!$B$2,Notes!$I$2:$I$11,0),5)*$D95</f>
        <v>672241</v>
      </c>
      <c r="L95" s="21">
        <f>INDEX(Notes!$I$2:$N$11,MATCH(Notes!$B$2,Notes!$I$2:$I$11,0),6)*$E95</f>
        <v>0</v>
      </c>
      <c r="M95" s="21">
        <f>IF(Notes!$B$2="June",'Payment Total'!$F95,0)</f>
        <v>0</v>
      </c>
      <c r="N95" s="21">
        <f t="shared" si="4"/>
        <v>0</v>
      </c>
      <c r="P95" s="25" t="s">
        <v>918</v>
      </c>
      <c r="Q95" s="25">
        <v>672241</v>
      </c>
      <c r="R95" s="20" t="str">
        <f t="shared" si="5"/>
        <v>1791</v>
      </c>
      <c r="S95" s="20" t="str">
        <f t="shared" si="6"/>
        <v>1791</v>
      </c>
      <c r="T95" s="41">
        <f t="shared" si="7"/>
        <v>0</v>
      </c>
      <c r="V95" s="41"/>
    </row>
    <row r="96" spans="1:22" s="25" customFormat="1" ht="12.75" x14ac:dyDescent="0.2">
      <c r="A96" s="19" t="str">
        <f>Data!B91</f>
        <v>1863</v>
      </c>
      <c r="B96" s="20" t="str">
        <f>INDEX(Data[],MATCH($A96,Data[Dist],0),MATCH(B$6,Data[#Headers],0))</f>
        <v>Dubuque</v>
      </c>
      <c r="C96" s="21">
        <f>INDEX(Data[],MATCH($A96,Data[Dist],0),MATCH(C$6,Data[#Headers],0))</f>
        <v>7935531</v>
      </c>
      <c r="D96" s="21">
        <f>INDEX(Data[],MATCH($A96,Data[Dist],0),MATCH(D$6,Data[#Headers],0))</f>
        <v>7898002</v>
      </c>
      <c r="E96" s="21">
        <f>INDEX(Data[],MATCH($A96,Data[Dist],0),MATCH(E$6,Data[#Headers],0))</f>
        <v>7898003</v>
      </c>
      <c r="F96" s="21">
        <f>INDEX(Data[],MATCH($A96,Data[Dist],0),MATCH(F$6,Data[#Headers],0))</f>
        <v>7898001</v>
      </c>
      <c r="G96" s="21">
        <f>INDEX(Data[],MATCH($A96,Data[Dist],0),MATCH(G$6,Data[#Headers],0))</f>
        <v>39640126</v>
      </c>
      <c r="H96" s="21">
        <f>INDEX(Data[],MATCH($A96,Data[Dist],0),MATCH(H$6,Data[#Headers],0))-G96</f>
        <v>39490012</v>
      </c>
      <c r="I96" s="24"/>
      <c r="J96" s="21">
        <f>INDEX(Notes!$I$2:$N$11,MATCH(Notes!$B$2,Notes!$I$2:$I$11,0),4)*$C96</f>
        <v>31742124</v>
      </c>
      <c r="K96" s="21">
        <f>INDEX(Notes!$I$2:$N$11,MATCH(Notes!$B$2,Notes!$I$2:$I$11,0),5)*$D96</f>
        <v>7898002</v>
      </c>
      <c r="L96" s="21">
        <f>INDEX(Notes!$I$2:$N$11,MATCH(Notes!$B$2,Notes!$I$2:$I$11,0),6)*$E96</f>
        <v>0</v>
      </c>
      <c r="M96" s="21">
        <f>IF(Notes!$B$2="June",'Payment Total'!$F96,0)</f>
        <v>0</v>
      </c>
      <c r="N96" s="21">
        <f t="shared" si="4"/>
        <v>0</v>
      </c>
      <c r="P96" s="25" t="s">
        <v>919</v>
      </c>
      <c r="Q96" s="25">
        <v>7898002</v>
      </c>
      <c r="R96" s="20" t="str">
        <f t="shared" si="5"/>
        <v>1863</v>
      </c>
      <c r="S96" s="20" t="str">
        <f t="shared" si="6"/>
        <v>1863</v>
      </c>
      <c r="T96" s="41">
        <f t="shared" si="7"/>
        <v>0</v>
      </c>
      <c r="V96" s="41"/>
    </row>
    <row r="97" spans="1:22" s="25" customFormat="1" ht="12.75" x14ac:dyDescent="0.2">
      <c r="A97" s="19" t="str">
        <f>Data!B92</f>
        <v>1908</v>
      </c>
      <c r="B97" s="20" t="str">
        <f>INDEX(Data[],MATCH($A97,Data[Dist],0),MATCH(B$6,Data[#Headers],0))</f>
        <v>Dunkerton</v>
      </c>
      <c r="C97" s="21">
        <f>INDEX(Data[],MATCH($A97,Data[Dist],0),MATCH(C$6,Data[#Headers],0))</f>
        <v>274312</v>
      </c>
      <c r="D97" s="21">
        <f>INDEX(Data[],MATCH($A97,Data[Dist],0),MATCH(D$6,Data[#Headers],0))</f>
        <v>272963</v>
      </c>
      <c r="E97" s="21">
        <f>INDEX(Data[],MATCH($A97,Data[Dist],0),MATCH(E$6,Data[#Headers],0))</f>
        <v>272964</v>
      </c>
      <c r="F97" s="21">
        <f>INDEX(Data[],MATCH($A97,Data[Dist],0),MATCH(F$6,Data[#Headers],0))</f>
        <v>272962</v>
      </c>
      <c r="G97" s="21">
        <f>INDEX(Data[],MATCH($A97,Data[Dist],0),MATCH(G$6,Data[#Headers],0))</f>
        <v>1370211</v>
      </c>
      <c r="H97" s="21">
        <f>INDEX(Data[],MATCH($A97,Data[Dist],0),MATCH(H$6,Data[#Headers],0))-G97</f>
        <v>1364817</v>
      </c>
      <c r="I97" s="24"/>
      <c r="J97" s="21">
        <f>INDEX(Notes!$I$2:$N$11,MATCH(Notes!$B$2,Notes!$I$2:$I$11,0),4)*$C97</f>
        <v>1097248</v>
      </c>
      <c r="K97" s="21">
        <f>INDEX(Notes!$I$2:$N$11,MATCH(Notes!$B$2,Notes!$I$2:$I$11,0),5)*$D97</f>
        <v>272963</v>
      </c>
      <c r="L97" s="21">
        <f>INDEX(Notes!$I$2:$N$11,MATCH(Notes!$B$2,Notes!$I$2:$I$11,0),6)*$E97</f>
        <v>0</v>
      </c>
      <c r="M97" s="21">
        <f>IF(Notes!$B$2="June",'Payment Total'!$F97,0)</f>
        <v>0</v>
      </c>
      <c r="N97" s="21">
        <f t="shared" si="4"/>
        <v>0</v>
      </c>
      <c r="P97" s="25" t="s">
        <v>920</v>
      </c>
      <c r="Q97" s="25">
        <v>272963</v>
      </c>
      <c r="R97" s="20" t="str">
        <f t="shared" si="5"/>
        <v>1908</v>
      </c>
      <c r="S97" s="20" t="str">
        <f t="shared" si="6"/>
        <v>1908</v>
      </c>
      <c r="T97" s="41">
        <f t="shared" si="7"/>
        <v>0</v>
      </c>
      <c r="V97" s="41"/>
    </row>
    <row r="98" spans="1:22" s="25" customFormat="1" ht="12.75" x14ac:dyDescent="0.2">
      <c r="A98" s="19" t="str">
        <f>Data!B93</f>
        <v>1917</v>
      </c>
      <c r="B98" s="20" t="str">
        <f>INDEX(Data[],MATCH($A98,Data[Dist],0),MATCH(B$6,Data[#Headers],0))</f>
        <v>Boyer Valley</v>
      </c>
      <c r="C98" s="21">
        <f>INDEX(Data[],MATCH($A98,Data[Dist],0),MATCH(C$6,Data[#Headers],0))</f>
        <v>229254</v>
      </c>
      <c r="D98" s="21">
        <f>INDEX(Data[],MATCH($A98,Data[Dist],0),MATCH(D$6,Data[#Headers],0))</f>
        <v>227807</v>
      </c>
      <c r="E98" s="21">
        <f>INDEX(Data[],MATCH($A98,Data[Dist],0),MATCH(E$6,Data[#Headers],0))</f>
        <v>227806</v>
      </c>
      <c r="F98" s="21">
        <f>INDEX(Data[],MATCH($A98,Data[Dist],0),MATCH(F$6,Data[#Headers],0))</f>
        <v>227807</v>
      </c>
      <c r="G98" s="21">
        <f>INDEX(Data[],MATCH($A98,Data[Dist],0),MATCH(G$6,Data[#Headers],0))</f>
        <v>1144823</v>
      </c>
      <c r="H98" s="21">
        <f>INDEX(Data[],MATCH($A98,Data[Dist],0),MATCH(H$6,Data[#Headers],0))-G98</f>
        <v>1139032</v>
      </c>
      <c r="I98" s="24"/>
      <c r="J98" s="21">
        <f>INDEX(Notes!$I$2:$N$11,MATCH(Notes!$B$2,Notes!$I$2:$I$11,0),4)*$C98</f>
        <v>917016</v>
      </c>
      <c r="K98" s="21">
        <f>INDEX(Notes!$I$2:$N$11,MATCH(Notes!$B$2,Notes!$I$2:$I$11,0),5)*$D98</f>
        <v>227807</v>
      </c>
      <c r="L98" s="21">
        <f>INDEX(Notes!$I$2:$N$11,MATCH(Notes!$B$2,Notes!$I$2:$I$11,0),6)*$E98</f>
        <v>0</v>
      </c>
      <c r="M98" s="21">
        <f>IF(Notes!$B$2="June",'Payment Total'!$F98,0)</f>
        <v>0</v>
      </c>
      <c r="N98" s="21">
        <f t="shared" si="4"/>
        <v>0</v>
      </c>
      <c r="P98" s="25" t="s">
        <v>921</v>
      </c>
      <c r="Q98" s="25">
        <v>227807</v>
      </c>
      <c r="R98" s="20" t="str">
        <f t="shared" si="5"/>
        <v>1917</v>
      </c>
      <c r="S98" s="20" t="str">
        <f t="shared" si="6"/>
        <v>1917</v>
      </c>
      <c r="T98" s="41">
        <f t="shared" si="7"/>
        <v>0</v>
      </c>
      <c r="V98" s="41"/>
    </row>
    <row r="99" spans="1:22" s="25" customFormat="1" ht="12.75" x14ac:dyDescent="0.2">
      <c r="A99" s="19" t="str">
        <f>Data!B94</f>
        <v>1926</v>
      </c>
      <c r="B99" s="20" t="str">
        <f>INDEX(Data[],MATCH($A99,Data[Dist],0),MATCH(B$6,Data[#Headers],0))</f>
        <v>Durant</v>
      </c>
      <c r="C99" s="21">
        <f>INDEX(Data[],MATCH($A99,Data[Dist],0),MATCH(C$6,Data[#Headers],0))</f>
        <v>329898</v>
      </c>
      <c r="D99" s="21">
        <f>INDEX(Data[],MATCH($A99,Data[Dist],0),MATCH(D$6,Data[#Headers],0))</f>
        <v>328058</v>
      </c>
      <c r="E99" s="21">
        <f>INDEX(Data[],MATCH($A99,Data[Dist],0),MATCH(E$6,Data[#Headers],0))</f>
        <v>328058</v>
      </c>
      <c r="F99" s="21">
        <f>INDEX(Data[],MATCH($A99,Data[Dist],0),MATCH(F$6,Data[#Headers],0))</f>
        <v>328058</v>
      </c>
      <c r="G99" s="21">
        <f>INDEX(Data[],MATCH($A99,Data[Dist],0),MATCH(G$6,Data[#Headers],0))</f>
        <v>1647650</v>
      </c>
      <c r="H99" s="21">
        <f>INDEX(Data[],MATCH($A99,Data[Dist],0),MATCH(H$6,Data[#Headers],0))-G99</f>
        <v>1640290</v>
      </c>
      <c r="I99" s="24"/>
      <c r="J99" s="21">
        <f>INDEX(Notes!$I$2:$N$11,MATCH(Notes!$B$2,Notes!$I$2:$I$11,0),4)*$C99</f>
        <v>1319592</v>
      </c>
      <c r="K99" s="21">
        <f>INDEX(Notes!$I$2:$N$11,MATCH(Notes!$B$2,Notes!$I$2:$I$11,0),5)*$D99</f>
        <v>328058</v>
      </c>
      <c r="L99" s="21">
        <f>INDEX(Notes!$I$2:$N$11,MATCH(Notes!$B$2,Notes!$I$2:$I$11,0),6)*$E99</f>
        <v>0</v>
      </c>
      <c r="M99" s="21">
        <f>IF(Notes!$B$2="June",'Payment Total'!$F99,0)</f>
        <v>0</v>
      </c>
      <c r="N99" s="21">
        <f t="shared" si="4"/>
        <v>0</v>
      </c>
      <c r="P99" s="25" t="s">
        <v>922</v>
      </c>
      <c r="Q99" s="25">
        <v>328058</v>
      </c>
      <c r="R99" s="20" t="str">
        <f t="shared" si="5"/>
        <v>1926</v>
      </c>
      <c r="S99" s="20" t="str">
        <f t="shared" si="6"/>
        <v>1926</v>
      </c>
      <c r="T99" s="41">
        <f t="shared" si="7"/>
        <v>0</v>
      </c>
      <c r="V99" s="41"/>
    </row>
    <row r="100" spans="1:22" s="25" customFormat="1" ht="12.75" x14ac:dyDescent="0.2">
      <c r="A100" s="19" t="str">
        <f>Data!B95</f>
        <v>1935</v>
      </c>
      <c r="B100" s="20" t="str">
        <f>INDEX(Data[],MATCH($A100,Data[Dist],0),MATCH(B$6,Data[#Headers],0))</f>
        <v>Union</v>
      </c>
      <c r="C100" s="21">
        <f>INDEX(Data[],MATCH($A100,Data[Dist],0),MATCH(C$6,Data[#Headers],0))</f>
        <v>671663</v>
      </c>
      <c r="D100" s="21">
        <f>INDEX(Data[],MATCH($A100,Data[Dist],0),MATCH(D$6,Data[#Headers],0))</f>
        <v>668116</v>
      </c>
      <c r="E100" s="21">
        <f>INDEX(Data[],MATCH($A100,Data[Dist],0),MATCH(E$6,Data[#Headers],0))</f>
        <v>668115</v>
      </c>
      <c r="F100" s="21">
        <f>INDEX(Data[],MATCH($A100,Data[Dist],0),MATCH(F$6,Data[#Headers],0))</f>
        <v>668116</v>
      </c>
      <c r="G100" s="21">
        <f>INDEX(Data[],MATCH($A100,Data[Dist],0),MATCH(G$6,Data[#Headers],0))</f>
        <v>3354768</v>
      </c>
      <c r="H100" s="21">
        <f>INDEX(Data[],MATCH($A100,Data[Dist],0),MATCH(H$6,Data[#Headers],0))-G100</f>
        <v>3340577</v>
      </c>
      <c r="I100" s="24"/>
      <c r="J100" s="21">
        <f>INDEX(Notes!$I$2:$N$11,MATCH(Notes!$B$2,Notes!$I$2:$I$11,0),4)*$C100</f>
        <v>2686652</v>
      </c>
      <c r="K100" s="21">
        <f>INDEX(Notes!$I$2:$N$11,MATCH(Notes!$B$2,Notes!$I$2:$I$11,0),5)*$D100</f>
        <v>668116</v>
      </c>
      <c r="L100" s="21">
        <f>INDEX(Notes!$I$2:$N$11,MATCH(Notes!$B$2,Notes!$I$2:$I$11,0),6)*$E100</f>
        <v>0</v>
      </c>
      <c r="M100" s="21">
        <f>IF(Notes!$B$2="June",'Payment Total'!$F100,0)</f>
        <v>0</v>
      </c>
      <c r="N100" s="21">
        <f t="shared" si="4"/>
        <v>0</v>
      </c>
      <c r="P100" s="25" t="s">
        <v>923</v>
      </c>
      <c r="Q100" s="25">
        <v>668116</v>
      </c>
      <c r="R100" s="20" t="str">
        <f t="shared" si="5"/>
        <v>6536</v>
      </c>
      <c r="S100" s="20" t="str">
        <f t="shared" si="6"/>
        <v>1935</v>
      </c>
      <c r="T100" s="41">
        <f t="shared" si="7"/>
        <v>0</v>
      </c>
      <c r="V100" s="41"/>
    </row>
    <row r="101" spans="1:22" s="25" customFormat="1" ht="12.75" x14ac:dyDescent="0.2">
      <c r="A101" s="19" t="str">
        <f>Data!B96</f>
        <v>1944</v>
      </c>
      <c r="B101" s="20" t="str">
        <f>INDEX(Data[],MATCH($A101,Data[Dist],0),MATCH(B$6,Data[#Headers],0))</f>
        <v>Eagle Grove</v>
      </c>
      <c r="C101" s="21">
        <f>INDEX(Data[],MATCH($A101,Data[Dist],0),MATCH(C$6,Data[#Headers],0))</f>
        <v>801796</v>
      </c>
      <c r="D101" s="21">
        <f>INDEX(Data[],MATCH($A101,Data[Dist],0),MATCH(D$6,Data[#Headers],0))</f>
        <v>798118</v>
      </c>
      <c r="E101" s="21">
        <f>INDEX(Data[],MATCH($A101,Data[Dist],0),MATCH(E$6,Data[#Headers],0))</f>
        <v>798118</v>
      </c>
      <c r="F101" s="21">
        <f>INDEX(Data[],MATCH($A101,Data[Dist],0),MATCH(F$6,Data[#Headers],0))</f>
        <v>798118</v>
      </c>
      <c r="G101" s="21">
        <f>INDEX(Data[],MATCH($A101,Data[Dist],0),MATCH(G$6,Data[#Headers],0))</f>
        <v>4005302</v>
      </c>
      <c r="H101" s="21">
        <f>INDEX(Data[],MATCH($A101,Data[Dist],0),MATCH(H$6,Data[#Headers],0))-G101</f>
        <v>3990590</v>
      </c>
      <c r="I101" s="24"/>
      <c r="J101" s="21">
        <f>INDEX(Notes!$I$2:$N$11,MATCH(Notes!$B$2,Notes!$I$2:$I$11,0),4)*$C101</f>
        <v>3207184</v>
      </c>
      <c r="K101" s="21">
        <f>INDEX(Notes!$I$2:$N$11,MATCH(Notes!$B$2,Notes!$I$2:$I$11,0),5)*$D101</f>
        <v>798118</v>
      </c>
      <c r="L101" s="21">
        <f>INDEX(Notes!$I$2:$N$11,MATCH(Notes!$B$2,Notes!$I$2:$I$11,0),6)*$E101</f>
        <v>0</v>
      </c>
      <c r="M101" s="21">
        <f>IF(Notes!$B$2="June",'Payment Total'!$F101,0)</f>
        <v>0</v>
      </c>
      <c r="N101" s="21">
        <f t="shared" si="4"/>
        <v>0</v>
      </c>
      <c r="P101" s="25" t="s">
        <v>924</v>
      </c>
      <c r="Q101" s="25">
        <v>798118</v>
      </c>
      <c r="R101" s="20" t="str">
        <f t="shared" si="5"/>
        <v>1944</v>
      </c>
      <c r="S101" s="20" t="str">
        <f t="shared" si="6"/>
        <v>1944</v>
      </c>
      <c r="T101" s="41">
        <f t="shared" si="7"/>
        <v>0</v>
      </c>
      <c r="V101" s="41"/>
    </row>
    <row r="102" spans="1:22" s="25" customFormat="1" ht="12.75" x14ac:dyDescent="0.2">
      <c r="A102" s="19" t="str">
        <f>Data!B97</f>
        <v>1953</v>
      </c>
      <c r="B102" s="20" t="str">
        <f>INDEX(Data[],MATCH($A102,Data[Dist],0),MATCH(B$6,Data[#Headers],0))</f>
        <v>Earlham</v>
      </c>
      <c r="C102" s="21">
        <f>INDEX(Data[],MATCH($A102,Data[Dist],0),MATCH(C$6,Data[#Headers],0))</f>
        <v>442771</v>
      </c>
      <c r="D102" s="21">
        <f>INDEX(Data[],MATCH($A102,Data[Dist],0),MATCH(D$6,Data[#Headers],0))</f>
        <v>440607</v>
      </c>
      <c r="E102" s="21">
        <f>INDEX(Data[],MATCH($A102,Data[Dist],0),MATCH(E$6,Data[#Headers],0))</f>
        <v>440607</v>
      </c>
      <c r="F102" s="21">
        <f>INDEX(Data[],MATCH($A102,Data[Dist],0),MATCH(F$6,Data[#Headers],0))</f>
        <v>440606</v>
      </c>
      <c r="G102" s="21">
        <f>INDEX(Data[],MATCH($A102,Data[Dist],0),MATCH(G$6,Data[#Headers],0))</f>
        <v>2211691</v>
      </c>
      <c r="H102" s="21">
        <f>INDEX(Data[],MATCH($A102,Data[Dist],0),MATCH(H$6,Data[#Headers],0))-G102</f>
        <v>2203034</v>
      </c>
      <c r="I102" s="24"/>
      <c r="J102" s="21">
        <f>INDEX(Notes!$I$2:$N$11,MATCH(Notes!$B$2,Notes!$I$2:$I$11,0),4)*$C102</f>
        <v>1771084</v>
      </c>
      <c r="K102" s="21">
        <f>INDEX(Notes!$I$2:$N$11,MATCH(Notes!$B$2,Notes!$I$2:$I$11,0),5)*$D102</f>
        <v>440607</v>
      </c>
      <c r="L102" s="21">
        <f>INDEX(Notes!$I$2:$N$11,MATCH(Notes!$B$2,Notes!$I$2:$I$11,0),6)*$E102</f>
        <v>0</v>
      </c>
      <c r="M102" s="21">
        <f>IF(Notes!$B$2="June",'Payment Total'!$F102,0)</f>
        <v>0</v>
      </c>
      <c r="N102" s="21">
        <f t="shared" si="4"/>
        <v>0</v>
      </c>
      <c r="P102" s="25" t="s">
        <v>925</v>
      </c>
      <c r="Q102" s="25">
        <v>440607</v>
      </c>
      <c r="R102" s="20" t="str">
        <f t="shared" si="5"/>
        <v>1953</v>
      </c>
      <c r="S102" s="20" t="str">
        <f t="shared" si="6"/>
        <v>1953</v>
      </c>
      <c r="T102" s="41">
        <f t="shared" si="7"/>
        <v>0</v>
      </c>
      <c r="V102" s="41"/>
    </row>
    <row r="103" spans="1:22" s="25" customFormat="1" ht="12.75" x14ac:dyDescent="0.2">
      <c r="A103" s="19" t="str">
        <f>Data!B98</f>
        <v>1963</v>
      </c>
      <c r="B103" s="20" t="str">
        <f>INDEX(Data[],MATCH($A103,Data[Dist],0),MATCH(B$6,Data[#Headers],0))</f>
        <v>East Buchanan</v>
      </c>
      <c r="C103" s="21">
        <f>INDEX(Data[],MATCH($A103,Data[Dist],0),MATCH(C$6,Data[#Headers],0))</f>
        <v>407563</v>
      </c>
      <c r="D103" s="21">
        <f>INDEX(Data[],MATCH($A103,Data[Dist],0),MATCH(D$6,Data[#Headers],0))</f>
        <v>405556</v>
      </c>
      <c r="E103" s="21">
        <f>INDEX(Data[],MATCH($A103,Data[Dist],0),MATCH(E$6,Data[#Headers],0))</f>
        <v>405556</v>
      </c>
      <c r="F103" s="21">
        <f>INDEX(Data[],MATCH($A103,Data[Dist],0),MATCH(F$6,Data[#Headers],0))</f>
        <v>405554</v>
      </c>
      <c r="G103" s="21">
        <f>INDEX(Data[],MATCH($A103,Data[Dist],0),MATCH(G$6,Data[#Headers],0))</f>
        <v>2035808</v>
      </c>
      <c r="H103" s="21">
        <f>INDEX(Data[],MATCH($A103,Data[Dist],0),MATCH(H$6,Data[#Headers],0))-G103</f>
        <v>2027778</v>
      </c>
      <c r="I103" s="24"/>
      <c r="J103" s="21">
        <f>INDEX(Notes!$I$2:$N$11,MATCH(Notes!$B$2,Notes!$I$2:$I$11,0),4)*$C103</f>
        <v>1630252</v>
      </c>
      <c r="K103" s="21">
        <f>INDEX(Notes!$I$2:$N$11,MATCH(Notes!$B$2,Notes!$I$2:$I$11,0),5)*$D103</f>
        <v>405556</v>
      </c>
      <c r="L103" s="21">
        <f>INDEX(Notes!$I$2:$N$11,MATCH(Notes!$B$2,Notes!$I$2:$I$11,0),6)*$E103</f>
        <v>0</v>
      </c>
      <c r="M103" s="21">
        <f>IF(Notes!$B$2="June",'Payment Total'!$F103,0)</f>
        <v>0</v>
      </c>
      <c r="N103" s="21">
        <f t="shared" si="4"/>
        <v>0</v>
      </c>
      <c r="P103" s="25" t="s">
        <v>926</v>
      </c>
      <c r="Q103" s="25">
        <v>405556</v>
      </c>
      <c r="R103" s="20" t="str">
        <f t="shared" si="5"/>
        <v>1963</v>
      </c>
      <c r="S103" s="20" t="str">
        <f t="shared" si="6"/>
        <v>1963</v>
      </c>
      <c r="T103" s="41">
        <f t="shared" si="7"/>
        <v>0</v>
      </c>
      <c r="V103" s="41"/>
    </row>
    <row r="104" spans="1:22" s="25" customFormat="1" ht="12.75" x14ac:dyDescent="0.2">
      <c r="A104" s="19" t="str">
        <f>Data!B99</f>
        <v>1965</v>
      </c>
      <c r="B104" s="20" t="str">
        <f>INDEX(Data[],MATCH($A104,Data[Dist],0),MATCH(B$6,Data[#Headers],0))</f>
        <v>Easton Valley</v>
      </c>
      <c r="C104" s="21">
        <f>INDEX(Data[],MATCH($A104,Data[Dist],0),MATCH(C$6,Data[#Headers],0))</f>
        <v>422733</v>
      </c>
      <c r="D104" s="21">
        <f>INDEX(Data[],MATCH($A104,Data[Dist],0),MATCH(D$6,Data[#Headers],0))</f>
        <v>420651</v>
      </c>
      <c r="E104" s="21">
        <f>INDEX(Data[],MATCH($A104,Data[Dist],0),MATCH(E$6,Data[#Headers],0))</f>
        <v>420652</v>
      </c>
      <c r="F104" s="21">
        <f>INDEX(Data[],MATCH($A104,Data[Dist],0),MATCH(F$6,Data[#Headers],0))</f>
        <v>420650</v>
      </c>
      <c r="G104" s="21">
        <f>INDEX(Data[],MATCH($A104,Data[Dist],0),MATCH(G$6,Data[#Headers],0))</f>
        <v>2111583</v>
      </c>
      <c r="H104" s="21">
        <f>INDEX(Data[],MATCH($A104,Data[Dist],0),MATCH(H$6,Data[#Headers],0))-G104</f>
        <v>2103257</v>
      </c>
      <c r="I104" s="24"/>
      <c r="J104" s="21">
        <f>INDEX(Notes!$I$2:$N$11,MATCH(Notes!$B$2,Notes!$I$2:$I$11,0),4)*$C104</f>
        <v>1690932</v>
      </c>
      <c r="K104" s="21">
        <f>INDEX(Notes!$I$2:$N$11,MATCH(Notes!$B$2,Notes!$I$2:$I$11,0),5)*$D104</f>
        <v>420651</v>
      </c>
      <c r="L104" s="21">
        <f>INDEX(Notes!$I$2:$N$11,MATCH(Notes!$B$2,Notes!$I$2:$I$11,0),6)*$E104</f>
        <v>0</v>
      </c>
      <c r="M104" s="21">
        <f>IF(Notes!$B$2="June",'Payment Total'!$F104,0)</f>
        <v>0</v>
      </c>
      <c r="N104" s="21">
        <f t="shared" si="4"/>
        <v>0</v>
      </c>
      <c r="P104" s="25" t="s">
        <v>927</v>
      </c>
      <c r="Q104" s="25">
        <v>420651</v>
      </c>
      <c r="R104" s="20" t="str">
        <f t="shared" si="5"/>
        <v>1965</v>
      </c>
      <c r="S104" s="20" t="str">
        <f t="shared" si="6"/>
        <v>1965</v>
      </c>
      <c r="T104" s="41">
        <f t="shared" si="7"/>
        <v>0</v>
      </c>
      <c r="V104" s="41"/>
    </row>
    <row r="105" spans="1:22" s="25" customFormat="1" ht="12.75" x14ac:dyDescent="0.2">
      <c r="A105" s="19" t="str">
        <f>Data!B100</f>
        <v>1970</v>
      </c>
      <c r="B105" s="20" t="str">
        <f>INDEX(Data[],MATCH($A105,Data[Dist],0),MATCH(B$6,Data[#Headers],0))</f>
        <v>East Union</v>
      </c>
      <c r="C105" s="21">
        <f>INDEX(Data[],MATCH($A105,Data[Dist],0),MATCH(C$6,Data[#Headers],0))</f>
        <v>351934</v>
      </c>
      <c r="D105" s="21">
        <f>INDEX(Data[],MATCH($A105,Data[Dist],0),MATCH(D$6,Data[#Headers],0))</f>
        <v>350299</v>
      </c>
      <c r="E105" s="21">
        <f>INDEX(Data[],MATCH($A105,Data[Dist],0),MATCH(E$6,Data[#Headers],0))</f>
        <v>350299</v>
      </c>
      <c r="F105" s="21">
        <f>INDEX(Data[],MATCH($A105,Data[Dist],0),MATCH(F$6,Data[#Headers],0))</f>
        <v>350300</v>
      </c>
      <c r="G105" s="21">
        <f>INDEX(Data[],MATCH($A105,Data[Dist],0),MATCH(G$6,Data[#Headers],0))</f>
        <v>1758035</v>
      </c>
      <c r="H105" s="21">
        <f>INDEX(Data[],MATCH($A105,Data[Dist],0),MATCH(H$6,Data[#Headers],0))-G105</f>
        <v>1751496</v>
      </c>
      <c r="I105" s="24"/>
      <c r="J105" s="21">
        <f>INDEX(Notes!$I$2:$N$11,MATCH(Notes!$B$2,Notes!$I$2:$I$11,0),4)*$C105</f>
        <v>1407736</v>
      </c>
      <c r="K105" s="21">
        <f>INDEX(Notes!$I$2:$N$11,MATCH(Notes!$B$2,Notes!$I$2:$I$11,0),5)*$D105</f>
        <v>350299</v>
      </c>
      <c r="L105" s="21">
        <f>INDEX(Notes!$I$2:$N$11,MATCH(Notes!$B$2,Notes!$I$2:$I$11,0),6)*$E105</f>
        <v>0</v>
      </c>
      <c r="M105" s="21">
        <f>IF(Notes!$B$2="June",'Payment Total'!$F105,0)</f>
        <v>0</v>
      </c>
      <c r="N105" s="21">
        <f t="shared" si="4"/>
        <v>0</v>
      </c>
      <c r="P105" s="25" t="s">
        <v>928</v>
      </c>
      <c r="Q105" s="25">
        <v>350299</v>
      </c>
      <c r="R105" s="20" t="str">
        <f t="shared" si="5"/>
        <v>1970</v>
      </c>
      <c r="S105" s="20" t="str">
        <f t="shared" si="6"/>
        <v>1970</v>
      </c>
      <c r="T105" s="41">
        <f t="shared" si="7"/>
        <v>0</v>
      </c>
      <c r="V105" s="41"/>
    </row>
    <row r="106" spans="1:22" s="25" customFormat="1" ht="12.75" x14ac:dyDescent="0.2">
      <c r="A106" s="19" t="str">
        <f>Data!B101</f>
        <v>1972</v>
      </c>
      <c r="B106" s="20" t="str">
        <f>INDEX(Data[],MATCH($A106,Data[Dist],0),MATCH(B$6,Data[#Headers],0))</f>
        <v>Eastern Allamakee</v>
      </c>
      <c r="C106" s="21">
        <f>INDEX(Data[],MATCH($A106,Data[Dist],0),MATCH(C$6,Data[#Headers],0))</f>
        <v>187138</v>
      </c>
      <c r="D106" s="21">
        <f>INDEX(Data[],MATCH($A106,Data[Dist],0),MATCH(D$6,Data[#Headers],0))</f>
        <v>186007</v>
      </c>
      <c r="E106" s="21">
        <f>INDEX(Data[],MATCH($A106,Data[Dist],0),MATCH(E$6,Data[#Headers],0))</f>
        <v>186006</v>
      </c>
      <c r="F106" s="21">
        <f>INDEX(Data[],MATCH($A106,Data[Dist],0),MATCH(F$6,Data[#Headers],0))</f>
        <v>186007</v>
      </c>
      <c r="G106" s="21">
        <f>INDEX(Data[],MATCH($A106,Data[Dist],0),MATCH(G$6,Data[#Headers],0))</f>
        <v>934559</v>
      </c>
      <c r="H106" s="21">
        <f>INDEX(Data[],MATCH($A106,Data[Dist],0),MATCH(H$6,Data[#Headers],0))-G106</f>
        <v>930032</v>
      </c>
      <c r="I106" s="24"/>
      <c r="J106" s="21">
        <f>INDEX(Notes!$I$2:$N$11,MATCH(Notes!$B$2,Notes!$I$2:$I$11,0),4)*$C106</f>
        <v>748552</v>
      </c>
      <c r="K106" s="21">
        <f>INDEX(Notes!$I$2:$N$11,MATCH(Notes!$B$2,Notes!$I$2:$I$11,0),5)*$D106</f>
        <v>186007</v>
      </c>
      <c r="L106" s="21">
        <f>INDEX(Notes!$I$2:$N$11,MATCH(Notes!$B$2,Notes!$I$2:$I$11,0),6)*$E106</f>
        <v>0</v>
      </c>
      <c r="M106" s="21">
        <f>IF(Notes!$B$2="June",'Payment Total'!$F106,0)</f>
        <v>0</v>
      </c>
      <c r="N106" s="21">
        <f t="shared" si="4"/>
        <v>0</v>
      </c>
      <c r="P106" s="25" t="s">
        <v>929</v>
      </c>
      <c r="Q106" s="25">
        <v>186007</v>
      </c>
      <c r="R106" s="20" t="str">
        <f t="shared" si="5"/>
        <v>1972</v>
      </c>
      <c r="S106" s="20" t="str">
        <f t="shared" si="6"/>
        <v>1972</v>
      </c>
      <c r="T106" s="41">
        <f t="shared" si="7"/>
        <v>0</v>
      </c>
      <c r="V106" s="41"/>
    </row>
    <row r="107" spans="1:22" s="25" customFormat="1" ht="12.75" x14ac:dyDescent="0.2">
      <c r="A107" s="19" t="str">
        <f>Data!B102</f>
        <v>1975</v>
      </c>
      <c r="B107" s="20" t="str">
        <f>INDEX(Data[],MATCH($A107,Data[Dist],0),MATCH(B$6,Data[#Headers],0))</f>
        <v>River Valley</v>
      </c>
      <c r="C107" s="21">
        <f>INDEX(Data[],MATCH($A107,Data[Dist],0),MATCH(C$6,Data[#Headers],0))</f>
        <v>249898</v>
      </c>
      <c r="D107" s="21">
        <f>INDEX(Data[],MATCH($A107,Data[Dist],0),MATCH(D$6,Data[#Headers],0))</f>
        <v>248504</v>
      </c>
      <c r="E107" s="21">
        <f>INDEX(Data[],MATCH($A107,Data[Dist],0),MATCH(E$6,Data[#Headers],0))</f>
        <v>248505</v>
      </c>
      <c r="F107" s="21">
        <f>INDEX(Data[],MATCH($A107,Data[Dist],0),MATCH(F$6,Data[#Headers],0))</f>
        <v>248503</v>
      </c>
      <c r="G107" s="21">
        <f>INDEX(Data[],MATCH($A107,Data[Dist],0),MATCH(G$6,Data[#Headers],0))</f>
        <v>1248096</v>
      </c>
      <c r="H107" s="21">
        <f>INDEX(Data[],MATCH($A107,Data[Dist],0),MATCH(H$6,Data[#Headers],0))-G107</f>
        <v>1242522</v>
      </c>
      <c r="I107" s="24"/>
      <c r="J107" s="21">
        <f>INDEX(Notes!$I$2:$N$11,MATCH(Notes!$B$2,Notes!$I$2:$I$11,0),4)*$C107</f>
        <v>999592</v>
      </c>
      <c r="K107" s="21">
        <f>INDEX(Notes!$I$2:$N$11,MATCH(Notes!$B$2,Notes!$I$2:$I$11,0),5)*$D107</f>
        <v>248504</v>
      </c>
      <c r="L107" s="21">
        <f>INDEX(Notes!$I$2:$N$11,MATCH(Notes!$B$2,Notes!$I$2:$I$11,0),6)*$E107</f>
        <v>0</v>
      </c>
      <c r="M107" s="21">
        <f>IF(Notes!$B$2="June",'Payment Total'!$F107,0)</f>
        <v>0</v>
      </c>
      <c r="N107" s="21">
        <f t="shared" si="4"/>
        <v>0</v>
      </c>
      <c r="P107" s="25" t="s">
        <v>930</v>
      </c>
      <c r="Q107" s="25">
        <v>248504</v>
      </c>
      <c r="R107" s="20" t="str">
        <f t="shared" si="5"/>
        <v>1975</v>
      </c>
      <c r="S107" s="20" t="str">
        <f t="shared" si="6"/>
        <v>1975</v>
      </c>
      <c r="T107" s="41">
        <f t="shared" si="7"/>
        <v>0</v>
      </c>
      <c r="V107" s="41"/>
    </row>
    <row r="108" spans="1:22" s="25" customFormat="1" ht="12.75" x14ac:dyDescent="0.2">
      <c r="A108" s="19" t="str">
        <f>Data!B103</f>
        <v>1989</v>
      </c>
      <c r="B108" s="20" t="str">
        <f>INDEX(Data[],MATCH($A108,Data[Dist],0),MATCH(B$6,Data[#Headers],0))</f>
        <v>Edgewood-Colesburg</v>
      </c>
      <c r="C108" s="21">
        <f>INDEX(Data[],MATCH($A108,Data[Dist],0),MATCH(C$6,Data[#Headers],0))</f>
        <v>291949</v>
      </c>
      <c r="D108" s="21">
        <f>INDEX(Data[],MATCH($A108,Data[Dist],0),MATCH(D$6,Data[#Headers],0))</f>
        <v>290477</v>
      </c>
      <c r="E108" s="21">
        <f>INDEX(Data[],MATCH($A108,Data[Dist],0),MATCH(E$6,Data[#Headers],0))</f>
        <v>290477</v>
      </c>
      <c r="F108" s="21">
        <f>INDEX(Data[],MATCH($A108,Data[Dist],0),MATCH(F$6,Data[#Headers],0))</f>
        <v>290475</v>
      </c>
      <c r="G108" s="21">
        <f>INDEX(Data[],MATCH($A108,Data[Dist],0),MATCH(G$6,Data[#Headers],0))</f>
        <v>1458273</v>
      </c>
      <c r="H108" s="21">
        <f>INDEX(Data[],MATCH($A108,Data[Dist],0),MATCH(H$6,Data[#Headers],0))-G108</f>
        <v>1452383</v>
      </c>
      <c r="I108" s="24"/>
      <c r="J108" s="21">
        <f>INDEX(Notes!$I$2:$N$11,MATCH(Notes!$B$2,Notes!$I$2:$I$11,0),4)*$C108</f>
        <v>1167796</v>
      </c>
      <c r="K108" s="21">
        <f>INDEX(Notes!$I$2:$N$11,MATCH(Notes!$B$2,Notes!$I$2:$I$11,0),5)*$D108</f>
        <v>290477</v>
      </c>
      <c r="L108" s="21">
        <f>INDEX(Notes!$I$2:$N$11,MATCH(Notes!$B$2,Notes!$I$2:$I$11,0),6)*$E108</f>
        <v>0</v>
      </c>
      <c r="M108" s="21">
        <f>IF(Notes!$B$2="June",'Payment Total'!$F108,0)</f>
        <v>0</v>
      </c>
      <c r="N108" s="21">
        <f t="shared" si="4"/>
        <v>0</v>
      </c>
      <c r="P108" s="25" t="s">
        <v>931</v>
      </c>
      <c r="Q108" s="25">
        <v>290477</v>
      </c>
      <c r="R108" s="20" t="str">
        <f t="shared" si="5"/>
        <v>1989</v>
      </c>
      <c r="S108" s="20" t="str">
        <f t="shared" si="6"/>
        <v>1989</v>
      </c>
      <c r="T108" s="41">
        <f t="shared" si="7"/>
        <v>0</v>
      </c>
      <c r="V108" s="41"/>
    </row>
    <row r="109" spans="1:22" s="25" customFormat="1" ht="12.75" x14ac:dyDescent="0.2">
      <c r="A109" s="19" t="str">
        <f>Data!B104</f>
        <v>2007</v>
      </c>
      <c r="B109" s="20" t="str">
        <f>INDEX(Data[],MATCH($A109,Data[Dist],0),MATCH(B$6,Data[#Headers],0))</f>
        <v>Eldora-New Providence</v>
      </c>
      <c r="C109" s="21">
        <f>INDEX(Data[],MATCH($A109,Data[Dist],0),MATCH(C$6,Data[#Headers],0))</f>
        <v>426246</v>
      </c>
      <c r="D109" s="21">
        <f>INDEX(Data[],MATCH($A109,Data[Dist],0),MATCH(D$6,Data[#Headers],0))</f>
        <v>424216</v>
      </c>
      <c r="E109" s="21">
        <f>INDEX(Data[],MATCH($A109,Data[Dist],0),MATCH(E$6,Data[#Headers],0))</f>
        <v>424216</v>
      </c>
      <c r="F109" s="21">
        <f>INDEX(Data[],MATCH($A109,Data[Dist],0),MATCH(F$6,Data[#Headers],0))</f>
        <v>424215</v>
      </c>
      <c r="G109" s="21">
        <f>INDEX(Data[],MATCH($A109,Data[Dist],0),MATCH(G$6,Data[#Headers],0))</f>
        <v>2129200</v>
      </c>
      <c r="H109" s="21">
        <f>INDEX(Data[],MATCH($A109,Data[Dist],0),MATCH(H$6,Data[#Headers],0))-G109</f>
        <v>2121079</v>
      </c>
      <c r="I109" s="24"/>
      <c r="J109" s="21">
        <f>INDEX(Notes!$I$2:$N$11,MATCH(Notes!$B$2,Notes!$I$2:$I$11,0),4)*$C109</f>
        <v>1704984</v>
      </c>
      <c r="K109" s="21">
        <f>INDEX(Notes!$I$2:$N$11,MATCH(Notes!$B$2,Notes!$I$2:$I$11,0),5)*$D109</f>
        <v>424216</v>
      </c>
      <c r="L109" s="21">
        <f>INDEX(Notes!$I$2:$N$11,MATCH(Notes!$B$2,Notes!$I$2:$I$11,0),6)*$E109</f>
        <v>0</v>
      </c>
      <c r="M109" s="21">
        <f>IF(Notes!$B$2="June",'Payment Total'!$F109,0)</f>
        <v>0</v>
      </c>
      <c r="N109" s="21">
        <f t="shared" si="4"/>
        <v>0</v>
      </c>
      <c r="P109" s="25" t="s">
        <v>932</v>
      </c>
      <c r="Q109" s="25">
        <v>424216</v>
      </c>
      <c r="R109" s="20" t="str">
        <f t="shared" si="5"/>
        <v>2007</v>
      </c>
      <c r="S109" s="20" t="str">
        <f t="shared" si="6"/>
        <v>2007</v>
      </c>
      <c r="T109" s="41">
        <f t="shared" si="7"/>
        <v>0</v>
      </c>
      <c r="V109" s="41"/>
    </row>
    <row r="110" spans="1:22" s="25" customFormat="1" ht="12.75" x14ac:dyDescent="0.2">
      <c r="A110" s="19" t="str">
        <f>Data!B105</f>
        <v>2088</v>
      </c>
      <c r="B110" s="20" t="str">
        <f>INDEX(Data[],MATCH($A110,Data[Dist],0),MATCH(B$6,Data[#Headers],0))</f>
        <v>Emmetsburg</v>
      </c>
      <c r="C110" s="21">
        <f>INDEX(Data[],MATCH($A110,Data[Dist],0),MATCH(C$6,Data[#Headers],0))</f>
        <v>407395</v>
      </c>
      <c r="D110" s="21">
        <f>INDEX(Data[],MATCH($A110,Data[Dist],0),MATCH(D$6,Data[#Headers],0))</f>
        <v>404983</v>
      </c>
      <c r="E110" s="21">
        <f>INDEX(Data[],MATCH($A110,Data[Dist],0),MATCH(E$6,Data[#Headers],0))</f>
        <v>404983</v>
      </c>
      <c r="F110" s="21">
        <f>INDEX(Data[],MATCH($A110,Data[Dist],0),MATCH(F$6,Data[#Headers],0))</f>
        <v>404982</v>
      </c>
      <c r="G110" s="21">
        <f>INDEX(Data[],MATCH($A110,Data[Dist],0),MATCH(G$6,Data[#Headers],0))</f>
        <v>2034563</v>
      </c>
      <c r="H110" s="21">
        <f>INDEX(Data[],MATCH($A110,Data[Dist],0),MATCH(H$6,Data[#Headers],0))-G110</f>
        <v>2024914</v>
      </c>
      <c r="I110" s="24"/>
      <c r="J110" s="21">
        <f>INDEX(Notes!$I$2:$N$11,MATCH(Notes!$B$2,Notes!$I$2:$I$11,0),4)*$C110</f>
        <v>1629580</v>
      </c>
      <c r="K110" s="21">
        <f>INDEX(Notes!$I$2:$N$11,MATCH(Notes!$B$2,Notes!$I$2:$I$11,0),5)*$D110</f>
        <v>404983</v>
      </c>
      <c r="L110" s="21">
        <f>INDEX(Notes!$I$2:$N$11,MATCH(Notes!$B$2,Notes!$I$2:$I$11,0),6)*$E110</f>
        <v>0</v>
      </c>
      <c r="M110" s="21">
        <f>IF(Notes!$B$2="June",'Payment Total'!$F110,0)</f>
        <v>0</v>
      </c>
      <c r="N110" s="21">
        <f t="shared" si="4"/>
        <v>0</v>
      </c>
      <c r="P110" s="25" t="s">
        <v>933</v>
      </c>
      <c r="Q110" s="25">
        <v>404983</v>
      </c>
      <c r="R110" s="20" t="str">
        <f t="shared" si="5"/>
        <v>2088</v>
      </c>
      <c r="S110" s="20" t="str">
        <f t="shared" si="6"/>
        <v>2088</v>
      </c>
      <c r="T110" s="41">
        <f t="shared" si="7"/>
        <v>0</v>
      </c>
      <c r="V110" s="41"/>
    </row>
    <row r="111" spans="1:22" s="25" customFormat="1" ht="12.75" x14ac:dyDescent="0.2">
      <c r="A111" s="19" t="str">
        <f>Data!B106</f>
        <v>2097</v>
      </c>
      <c r="B111" s="20" t="str">
        <f>INDEX(Data[],MATCH($A111,Data[Dist],0),MATCH(B$6,Data[#Headers],0))</f>
        <v>English Valleys</v>
      </c>
      <c r="C111" s="21">
        <f>INDEX(Data[],MATCH($A111,Data[Dist],0),MATCH(C$6,Data[#Headers],0))</f>
        <v>313856</v>
      </c>
      <c r="D111" s="21">
        <f>INDEX(Data[],MATCH($A111,Data[Dist],0),MATCH(D$6,Data[#Headers],0))</f>
        <v>312168</v>
      </c>
      <c r="E111" s="21">
        <f>INDEX(Data[],MATCH($A111,Data[Dist],0),MATCH(E$6,Data[#Headers],0))</f>
        <v>312168</v>
      </c>
      <c r="F111" s="21">
        <f>INDEX(Data[],MATCH($A111,Data[Dist],0),MATCH(F$6,Data[#Headers],0))</f>
        <v>312169</v>
      </c>
      <c r="G111" s="21">
        <f>INDEX(Data[],MATCH($A111,Data[Dist],0),MATCH(G$6,Data[#Headers],0))</f>
        <v>1567592</v>
      </c>
      <c r="H111" s="21">
        <f>INDEX(Data[],MATCH($A111,Data[Dist],0),MATCH(H$6,Data[#Headers],0))-G111</f>
        <v>1560841</v>
      </c>
      <c r="I111" s="24"/>
      <c r="J111" s="21">
        <f>INDEX(Notes!$I$2:$N$11,MATCH(Notes!$B$2,Notes!$I$2:$I$11,0),4)*$C111</f>
        <v>1255424</v>
      </c>
      <c r="K111" s="21">
        <f>INDEX(Notes!$I$2:$N$11,MATCH(Notes!$B$2,Notes!$I$2:$I$11,0),5)*$D111</f>
        <v>312168</v>
      </c>
      <c r="L111" s="21">
        <f>INDEX(Notes!$I$2:$N$11,MATCH(Notes!$B$2,Notes!$I$2:$I$11,0),6)*$E111</f>
        <v>0</v>
      </c>
      <c r="M111" s="21">
        <f>IF(Notes!$B$2="June",'Payment Total'!$F111,0)</f>
        <v>0</v>
      </c>
      <c r="N111" s="21">
        <f t="shared" si="4"/>
        <v>0</v>
      </c>
      <c r="P111" s="25" t="s">
        <v>934</v>
      </c>
      <c r="Q111" s="25">
        <v>312168</v>
      </c>
      <c r="R111" s="20" t="str">
        <f t="shared" si="5"/>
        <v>2097</v>
      </c>
      <c r="S111" s="20" t="str">
        <f t="shared" si="6"/>
        <v>2097</v>
      </c>
      <c r="T111" s="41">
        <f t="shared" si="7"/>
        <v>0</v>
      </c>
      <c r="V111" s="41"/>
    </row>
    <row r="112" spans="1:22" s="25" customFormat="1" ht="12.75" x14ac:dyDescent="0.2">
      <c r="A112" s="19" t="str">
        <f>Data!B107</f>
        <v>2113</v>
      </c>
      <c r="B112" s="20" t="str">
        <f>INDEX(Data[],MATCH($A112,Data[Dist],0),MATCH(B$6,Data[#Headers],0))</f>
        <v>Essex</v>
      </c>
      <c r="C112" s="21">
        <f>INDEX(Data[],MATCH($A112,Data[Dist],0),MATCH(C$6,Data[#Headers],0))</f>
        <v>136459</v>
      </c>
      <c r="D112" s="21">
        <f>INDEX(Data[],MATCH($A112,Data[Dist],0),MATCH(D$6,Data[#Headers],0))</f>
        <v>135798</v>
      </c>
      <c r="E112" s="21">
        <f>INDEX(Data[],MATCH($A112,Data[Dist],0),MATCH(E$6,Data[#Headers],0))</f>
        <v>135798</v>
      </c>
      <c r="F112" s="21">
        <f>INDEX(Data[],MATCH($A112,Data[Dist],0),MATCH(F$6,Data[#Headers],0))</f>
        <v>135796</v>
      </c>
      <c r="G112" s="21">
        <f>INDEX(Data[],MATCH($A112,Data[Dist],0),MATCH(G$6,Data[#Headers],0))</f>
        <v>681634</v>
      </c>
      <c r="H112" s="21">
        <f>INDEX(Data[],MATCH($A112,Data[Dist],0),MATCH(H$6,Data[#Headers],0))-G112</f>
        <v>678988</v>
      </c>
      <c r="I112" s="24"/>
      <c r="J112" s="21">
        <f>INDEX(Notes!$I$2:$N$11,MATCH(Notes!$B$2,Notes!$I$2:$I$11,0),4)*$C112</f>
        <v>545836</v>
      </c>
      <c r="K112" s="21">
        <f>INDEX(Notes!$I$2:$N$11,MATCH(Notes!$B$2,Notes!$I$2:$I$11,0),5)*$D112</f>
        <v>135798</v>
      </c>
      <c r="L112" s="21">
        <f>INDEX(Notes!$I$2:$N$11,MATCH(Notes!$B$2,Notes!$I$2:$I$11,0),6)*$E112</f>
        <v>0</v>
      </c>
      <c r="M112" s="21">
        <f>IF(Notes!$B$2="June",'Payment Total'!$F112,0)</f>
        <v>0</v>
      </c>
      <c r="N112" s="21">
        <f t="shared" si="4"/>
        <v>0</v>
      </c>
      <c r="P112" s="25" t="s">
        <v>935</v>
      </c>
      <c r="Q112" s="25">
        <v>135798</v>
      </c>
      <c r="R112" s="20" t="str">
        <f t="shared" si="5"/>
        <v>2113</v>
      </c>
      <c r="S112" s="20" t="str">
        <f t="shared" si="6"/>
        <v>2113</v>
      </c>
      <c r="T112" s="41">
        <f t="shared" si="7"/>
        <v>0</v>
      </c>
      <c r="V112" s="41"/>
    </row>
    <row r="113" spans="1:22" s="25" customFormat="1" ht="12.75" x14ac:dyDescent="0.2">
      <c r="A113" s="19" t="str">
        <f>Data!B108</f>
        <v>2124</v>
      </c>
      <c r="B113" s="20" t="str">
        <f>INDEX(Data[],MATCH($A113,Data[Dist],0),MATCH(B$6,Data[#Headers],0))</f>
        <v>Estherville-Lincoln Central</v>
      </c>
      <c r="C113" s="21">
        <f>INDEX(Data[],MATCH($A113,Data[Dist],0),MATCH(C$6,Data[#Headers],0))</f>
        <v>925817</v>
      </c>
      <c r="D113" s="21">
        <f>INDEX(Data[],MATCH($A113,Data[Dist],0),MATCH(D$6,Data[#Headers],0))</f>
        <v>921432</v>
      </c>
      <c r="E113" s="21">
        <f>INDEX(Data[],MATCH($A113,Data[Dist],0),MATCH(E$6,Data[#Headers],0))</f>
        <v>921431</v>
      </c>
      <c r="F113" s="21">
        <f>INDEX(Data[],MATCH($A113,Data[Dist],0),MATCH(F$6,Data[#Headers],0))</f>
        <v>921432</v>
      </c>
      <c r="G113" s="21">
        <f>INDEX(Data[],MATCH($A113,Data[Dist],0),MATCH(G$6,Data[#Headers],0))</f>
        <v>4624700</v>
      </c>
      <c r="H113" s="21">
        <f>INDEX(Data[],MATCH($A113,Data[Dist],0),MATCH(H$6,Data[#Headers],0))-G113</f>
        <v>4607157</v>
      </c>
      <c r="I113" s="24"/>
      <c r="J113" s="21">
        <f>INDEX(Notes!$I$2:$N$11,MATCH(Notes!$B$2,Notes!$I$2:$I$11,0),4)*$C113</f>
        <v>3703268</v>
      </c>
      <c r="K113" s="21">
        <f>INDEX(Notes!$I$2:$N$11,MATCH(Notes!$B$2,Notes!$I$2:$I$11,0),5)*$D113</f>
        <v>921432</v>
      </c>
      <c r="L113" s="21">
        <f>INDEX(Notes!$I$2:$N$11,MATCH(Notes!$B$2,Notes!$I$2:$I$11,0),6)*$E113</f>
        <v>0</v>
      </c>
      <c r="M113" s="21">
        <f>IF(Notes!$B$2="June",'Payment Total'!$F113,0)</f>
        <v>0</v>
      </c>
      <c r="N113" s="21">
        <f t="shared" si="4"/>
        <v>0</v>
      </c>
      <c r="P113" s="25" t="s">
        <v>936</v>
      </c>
      <c r="Q113" s="25">
        <v>921432</v>
      </c>
      <c r="R113" s="20" t="str">
        <f t="shared" si="5"/>
        <v>2124</v>
      </c>
      <c r="S113" s="20" t="str">
        <f t="shared" si="6"/>
        <v>2124</v>
      </c>
      <c r="T113" s="41">
        <f t="shared" si="7"/>
        <v>0</v>
      </c>
      <c r="V113" s="41"/>
    </row>
    <row r="114" spans="1:22" s="25" customFormat="1" ht="12.75" x14ac:dyDescent="0.2">
      <c r="A114" s="19" t="str">
        <f>Data!B109</f>
        <v>2151</v>
      </c>
      <c r="B114" s="20" t="str">
        <f>INDEX(Data[],MATCH($A114,Data[Dist],0),MATCH(B$6,Data[#Headers],0))</f>
        <v>Exira-Elk Horn-Kimballton</v>
      </c>
      <c r="C114" s="21">
        <f>INDEX(Data[],MATCH($A114,Data[Dist],0),MATCH(C$6,Data[#Headers],0))</f>
        <v>280001</v>
      </c>
      <c r="D114" s="21">
        <f>INDEX(Data[],MATCH($A114,Data[Dist],0),MATCH(D$6,Data[#Headers],0))</f>
        <v>278436</v>
      </c>
      <c r="E114" s="21">
        <f>INDEX(Data[],MATCH($A114,Data[Dist],0),MATCH(E$6,Data[#Headers],0))</f>
        <v>278436</v>
      </c>
      <c r="F114" s="21">
        <f>INDEX(Data[],MATCH($A114,Data[Dist],0),MATCH(F$6,Data[#Headers],0))</f>
        <v>278434</v>
      </c>
      <c r="G114" s="21">
        <f>INDEX(Data[],MATCH($A114,Data[Dist],0),MATCH(G$6,Data[#Headers],0))</f>
        <v>1398440</v>
      </c>
      <c r="H114" s="21">
        <f>INDEX(Data[],MATCH($A114,Data[Dist],0),MATCH(H$6,Data[#Headers],0))-G114</f>
        <v>1392178</v>
      </c>
      <c r="I114" s="24"/>
      <c r="J114" s="21">
        <f>INDEX(Notes!$I$2:$N$11,MATCH(Notes!$B$2,Notes!$I$2:$I$11,0),4)*$C114</f>
        <v>1120004</v>
      </c>
      <c r="K114" s="21">
        <f>INDEX(Notes!$I$2:$N$11,MATCH(Notes!$B$2,Notes!$I$2:$I$11,0),5)*$D114</f>
        <v>278436</v>
      </c>
      <c r="L114" s="21">
        <f>INDEX(Notes!$I$2:$N$11,MATCH(Notes!$B$2,Notes!$I$2:$I$11,0),6)*$E114</f>
        <v>0</v>
      </c>
      <c r="M114" s="21">
        <f>IF(Notes!$B$2="June",'Payment Total'!$F114,0)</f>
        <v>0</v>
      </c>
      <c r="N114" s="21">
        <f t="shared" si="4"/>
        <v>0</v>
      </c>
      <c r="P114" s="25" t="s">
        <v>937</v>
      </c>
      <c r="Q114" s="25">
        <v>278436</v>
      </c>
      <c r="R114" s="20" t="str">
        <f t="shared" si="5"/>
        <v>2151</v>
      </c>
      <c r="S114" s="20" t="str">
        <f t="shared" si="6"/>
        <v>2151</v>
      </c>
      <c r="T114" s="41">
        <f t="shared" si="7"/>
        <v>0</v>
      </c>
      <c r="V114" s="41"/>
    </row>
    <row r="115" spans="1:22" s="25" customFormat="1" ht="12.75" x14ac:dyDescent="0.2">
      <c r="A115" s="19" t="str">
        <f>Data!B110</f>
        <v>2169</v>
      </c>
      <c r="B115" s="20" t="str">
        <f>INDEX(Data[],MATCH($A115,Data[Dist],0),MATCH(B$6,Data[#Headers],0))</f>
        <v>Fairfield</v>
      </c>
      <c r="C115" s="21">
        <f>INDEX(Data[],MATCH($A115,Data[Dist],0),MATCH(C$6,Data[#Headers],0))</f>
        <v>1017708</v>
      </c>
      <c r="D115" s="21">
        <f>INDEX(Data[],MATCH($A115,Data[Dist],0),MATCH(D$6,Data[#Headers],0))</f>
        <v>1011980</v>
      </c>
      <c r="E115" s="21">
        <f>INDEX(Data[],MATCH($A115,Data[Dist],0),MATCH(E$6,Data[#Headers],0))</f>
        <v>1011980</v>
      </c>
      <c r="F115" s="21">
        <f>INDEX(Data[],MATCH($A115,Data[Dist],0),MATCH(F$6,Data[#Headers],0))</f>
        <v>1011981</v>
      </c>
      <c r="G115" s="21">
        <f>INDEX(Data[],MATCH($A115,Data[Dist],0),MATCH(G$6,Data[#Headers],0))</f>
        <v>5082812</v>
      </c>
      <c r="H115" s="21">
        <f>INDEX(Data[],MATCH($A115,Data[Dist],0),MATCH(H$6,Data[#Headers],0))-G115</f>
        <v>5059901</v>
      </c>
      <c r="I115" s="24"/>
      <c r="J115" s="21">
        <f>INDEX(Notes!$I$2:$N$11,MATCH(Notes!$B$2,Notes!$I$2:$I$11,0),4)*$C115</f>
        <v>4070832</v>
      </c>
      <c r="K115" s="21">
        <f>INDEX(Notes!$I$2:$N$11,MATCH(Notes!$B$2,Notes!$I$2:$I$11,0),5)*$D115</f>
        <v>1011980</v>
      </c>
      <c r="L115" s="21">
        <f>INDEX(Notes!$I$2:$N$11,MATCH(Notes!$B$2,Notes!$I$2:$I$11,0),6)*$E115</f>
        <v>0</v>
      </c>
      <c r="M115" s="21">
        <f>IF(Notes!$B$2="June",'Payment Total'!$F115,0)</f>
        <v>0</v>
      </c>
      <c r="N115" s="21">
        <f t="shared" si="4"/>
        <v>0</v>
      </c>
      <c r="P115" s="25" t="s">
        <v>938</v>
      </c>
      <c r="Q115" s="25">
        <v>1011980</v>
      </c>
      <c r="R115" s="20" t="str">
        <f t="shared" si="5"/>
        <v>2169</v>
      </c>
      <c r="S115" s="20" t="str">
        <f t="shared" si="6"/>
        <v>2169</v>
      </c>
      <c r="T115" s="41">
        <f t="shared" si="7"/>
        <v>0</v>
      </c>
      <c r="V115" s="41"/>
    </row>
    <row r="116" spans="1:22" s="25" customFormat="1" ht="12.75" x14ac:dyDescent="0.2">
      <c r="A116" s="19" t="str">
        <f>Data!B111</f>
        <v>2295</v>
      </c>
      <c r="B116" s="20" t="str">
        <f>INDEX(Data[],MATCH($A116,Data[Dist],0),MATCH(B$6,Data[#Headers],0))</f>
        <v>Forest City</v>
      </c>
      <c r="C116" s="21">
        <f>INDEX(Data[],MATCH($A116,Data[Dist],0),MATCH(C$6,Data[#Headers],0))</f>
        <v>784318</v>
      </c>
      <c r="D116" s="21">
        <f>INDEX(Data[],MATCH($A116,Data[Dist],0),MATCH(D$6,Data[#Headers],0))</f>
        <v>780354</v>
      </c>
      <c r="E116" s="21">
        <f>INDEX(Data[],MATCH($A116,Data[Dist],0),MATCH(E$6,Data[#Headers],0))</f>
        <v>780354</v>
      </c>
      <c r="F116" s="21">
        <f>INDEX(Data[],MATCH($A116,Data[Dist],0),MATCH(F$6,Data[#Headers],0))</f>
        <v>780355</v>
      </c>
      <c r="G116" s="21">
        <f>INDEX(Data[],MATCH($A116,Data[Dist],0),MATCH(G$6,Data[#Headers],0))</f>
        <v>3917626</v>
      </c>
      <c r="H116" s="21">
        <f>INDEX(Data[],MATCH($A116,Data[Dist],0),MATCH(H$6,Data[#Headers],0))-G116</f>
        <v>3901771</v>
      </c>
      <c r="I116" s="24"/>
      <c r="J116" s="21">
        <f>INDEX(Notes!$I$2:$N$11,MATCH(Notes!$B$2,Notes!$I$2:$I$11,0),4)*$C116</f>
        <v>3137272</v>
      </c>
      <c r="K116" s="21">
        <f>INDEX(Notes!$I$2:$N$11,MATCH(Notes!$B$2,Notes!$I$2:$I$11,0),5)*$D116</f>
        <v>780354</v>
      </c>
      <c r="L116" s="21">
        <f>INDEX(Notes!$I$2:$N$11,MATCH(Notes!$B$2,Notes!$I$2:$I$11,0),6)*$E116</f>
        <v>0</v>
      </c>
      <c r="M116" s="21">
        <f>IF(Notes!$B$2="June",'Payment Total'!$F116,0)</f>
        <v>0</v>
      </c>
      <c r="N116" s="21">
        <f t="shared" si="4"/>
        <v>0</v>
      </c>
      <c r="P116" s="25" t="s">
        <v>939</v>
      </c>
      <c r="Q116" s="25">
        <v>780354</v>
      </c>
      <c r="R116" s="20" t="str">
        <f t="shared" si="5"/>
        <v>2295</v>
      </c>
      <c r="S116" s="20" t="str">
        <f t="shared" si="6"/>
        <v>2295</v>
      </c>
      <c r="T116" s="41">
        <f t="shared" si="7"/>
        <v>0</v>
      </c>
      <c r="V116" s="41"/>
    </row>
    <row r="117" spans="1:22" s="25" customFormat="1" ht="12.75" x14ac:dyDescent="0.2">
      <c r="A117" s="19" t="str">
        <f>Data!B112</f>
        <v>2313</v>
      </c>
      <c r="B117" s="20" t="str">
        <f>INDEX(Data[],MATCH($A117,Data[Dist],0),MATCH(B$6,Data[#Headers],0))</f>
        <v>Fort Dodge</v>
      </c>
      <c r="C117" s="21">
        <f>INDEX(Data[],MATCH($A117,Data[Dist],0),MATCH(C$6,Data[#Headers],0))</f>
        <v>2939860</v>
      </c>
      <c r="D117" s="21">
        <f>INDEX(Data[],MATCH($A117,Data[Dist],0),MATCH(D$6,Data[#Headers],0))</f>
        <v>2926638</v>
      </c>
      <c r="E117" s="21">
        <f>INDEX(Data[],MATCH($A117,Data[Dist],0),MATCH(E$6,Data[#Headers],0))</f>
        <v>2926638</v>
      </c>
      <c r="F117" s="21">
        <f>INDEX(Data[],MATCH($A117,Data[Dist],0),MATCH(F$6,Data[#Headers],0))</f>
        <v>2926636</v>
      </c>
      <c r="G117" s="21">
        <f>INDEX(Data[],MATCH($A117,Data[Dist],0),MATCH(G$6,Data[#Headers],0))</f>
        <v>14686078</v>
      </c>
      <c r="H117" s="21">
        <f>INDEX(Data[],MATCH($A117,Data[Dist],0),MATCH(H$6,Data[#Headers],0))-G117</f>
        <v>14633188</v>
      </c>
      <c r="I117" s="24"/>
      <c r="J117" s="21">
        <f>INDEX(Notes!$I$2:$N$11,MATCH(Notes!$B$2,Notes!$I$2:$I$11,0),4)*$C117</f>
        <v>11759440</v>
      </c>
      <c r="K117" s="21">
        <f>INDEX(Notes!$I$2:$N$11,MATCH(Notes!$B$2,Notes!$I$2:$I$11,0),5)*$D117</f>
        <v>2926638</v>
      </c>
      <c r="L117" s="21">
        <f>INDEX(Notes!$I$2:$N$11,MATCH(Notes!$B$2,Notes!$I$2:$I$11,0),6)*$E117</f>
        <v>0</v>
      </c>
      <c r="M117" s="21">
        <f>IF(Notes!$B$2="June",'Payment Total'!$F117,0)</f>
        <v>0</v>
      </c>
      <c r="N117" s="21">
        <f t="shared" si="4"/>
        <v>0</v>
      </c>
      <c r="P117" s="25" t="s">
        <v>940</v>
      </c>
      <c r="Q117" s="25">
        <v>2926638</v>
      </c>
      <c r="R117" s="20" t="str">
        <f t="shared" si="5"/>
        <v>2313</v>
      </c>
      <c r="S117" s="20" t="str">
        <f t="shared" si="6"/>
        <v>2313</v>
      </c>
      <c r="T117" s="41">
        <f t="shared" si="7"/>
        <v>0</v>
      </c>
      <c r="V117" s="41"/>
    </row>
    <row r="118" spans="1:22" s="25" customFormat="1" ht="12.75" x14ac:dyDescent="0.2">
      <c r="A118" s="19" t="str">
        <f>Data!B113</f>
        <v>2322</v>
      </c>
      <c r="B118" s="20" t="str">
        <f>INDEX(Data[],MATCH($A118,Data[Dist],0),MATCH(B$6,Data[#Headers],0))</f>
        <v>Fort Madison</v>
      </c>
      <c r="C118" s="21">
        <f>INDEX(Data[],MATCH($A118,Data[Dist],0),MATCH(C$6,Data[#Headers],0))</f>
        <v>1571970</v>
      </c>
      <c r="D118" s="21">
        <f>INDEX(Data[],MATCH($A118,Data[Dist],0),MATCH(D$6,Data[#Headers],0))</f>
        <v>1564218</v>
      </c>
      <c r="E118" s="21">
        <f>INDEX(Data[],MATCH($A118,Data[Dist],0),MATCH(E$6,Data[#Headers],0))</f>
        <v>1564219</v>
      </c>
      <c r="F118" s="21">
        <f>INDEX(Data[],MATCH($A118,Data[Dist],0),MATCH(F$6,Data[#Headers],0))</f>
        <v>1564217</v>
      </c>
      <c r="G118" s="21">
        <f>INDEX(Data[],MATCH($A118,Data[Dist],0),MATCH(G$6,Data[#Headers],0))</f>
        <v>7852098</v>
      </c>
      <c r="H118" s="21">
        <f>INDEX(Data[],MATCH($A118,Data[Dist],0),MATCH(H$6,Data[#Headers],0))-G118</f>
        <v>7821092</v>
      </c>
      <c r="I118" s="24"/>
      <c r="J118" s="21">
        <f>INDEX(Notes!$I$2:$N$11,MATCH(Notes!$B$2,Notes!$I$2:$I$11,0),4)*$C118</f>
        <v>6287880</v>
      </c>
      <c r="K118" s="21">
        <f>INDEX(Notes!$I$2:$N$11,MATCH(Notes!$B$2,Notes!$I$2:$I$11,0),5)*$D118</f>
        <v>1564218</v>
      </c>
      <c r="L118" s="21">
        <f>INDEX(Notes!$I$2:$N$11,MATCH(Notes!$B$2,Notes!$I$2:$I$11,0),6)*$E118</f>
        <v>0</v>
      </c>
      <c r="M118" s="21">
        <f>IF(Notes!$B$2="June",'Payment Total'!$F118,0)</f>
        <v>0</v>
      </c>
      <c r="N118" s="21">
        <f t="shared" si="4"/>
        <v>0</v>
      </c>
      <c r="P118" s="25" t="s">
        <v>941</v>
      </c>
      <c r="Q118" s="25">
        <v>1564218</v>
      </c>
      <c r="R118" s="20" t="str">
        <f t="shared" si="5"/>
        <v>2322</v>
      </c>
      <c r="S118" s="20" t="str">
        <f t="shared" si="6"/>
        <v>2322</v>
      </c>
      <c r="T118" s="41">
        <f t="shared" si="7"/>
        <v>0</v>
      </c>
      <c r="V118" s="41"/>
    </row>
    <row r="119" spans="1:22" s="25" customFormat="1" ht="12.75" x14ac:dyDescent="0.2">
      <c r="A119" s="19" t="str">
        <f>Data!B114</f>
        <v>2369</v>
      </c>
      <c r="B119" s="20" t="str">
        <f>INDEX(Data[],MATCH($A119,Data[Dist],0),MATCH(B$6,Data[#Headers],0))</f>
        <v>Fremont-Mills</v>
      </c>
      <c r="C119" s="21">
        <f>INDEX(Data[],MATCH($A119,Data[Dist],0),MATCH(C$6,Data[#Headers],0))</f>
        <v>331882</v>
      </c>
      <c r="D119" s="21">
        <f>INDEX(Data[],MATCH($A119,Data[Dist],0),MATCH(D$6,Data[#Headers],0))</f>
        <v>330211</v>
      </c>
      <c r="E119" s="21">
        <f>INDEX(Data[],MATCH($A119,Data[Dist],0),MATCH(E$6,Data[#Headers],0))</f>
        <v>330211</v>
      </c>
      <c r="F119" s="21">
        <f>INDEX(Data[],MATCH($A119,Data[Dist],0),MATCH(F$6,Data[#Headers],0))</f>
        <v>330212</v>
      </c>
      <c r="G119" s="21">
        <f>INDEX(Data[],MATCH($A119,Data[Dist],0),MATCH(G$6,Data[#Headers],0))</f>
        <v>1657739</v>
      </c>
      <c r="H119" s="21">
        <f>INDEX(Data[],MATCH($A119,Data[Dist],0),MATCH(H$6,Data[#Headers],0))-G119</f>
        <v>1651056</v>
      </c>
      <c r="I119" s="24"/>
      <c r="J119" s="21">
        <f>INDEX(Notes!$I$2:$N$11,MATCH(Notes!$B$2,Notes!$I$2:$I$11,0),4)*$C119</f>
        <v>1327528</v>
      </c>
      <c r="K119" s="21">
        <f>INDEX(Notes!$I$2:$N$11,MATCH(Notes!$B$2,Notes!$I$2:$I$11,0),5)*$D119</f>
        <v>330211</v>
      </c>
      <c r="L119" s="21">
        <f>INDEX(Notes!$I$2:$N$11,MATCH(Notes!$B$2,Notes!$I$2:$I$11,0),6)*$E119</f>
        <v>0</v>
      </c>
      <c r="M119" s="21">
        <f>IF(Notes!$B$2="June",'Payment Total'!$F119,0)</f>
        <v>0</v>
      </c>
      <c r="N119" s="21">
        <f t="shared" si="4"/>
        <v>0</v>
      </c>
      <c r="P119" s="25" t="s">
        <v>942</v>
      </c>
      <c r="Q119" s="25">
        <v>330211</v>
      </c>
      <c r="R119" s="20" t="str">
        <f t="shared" si="5"/>
        <v>2369</v>
      </c>
      <c r="S119" s="20" t="str">
        <f t="shared" si="6"/>
        <v>2369</v>
      </c>
      <c r="T119" s="41">
        <f t="shared" si="7"/>
        <v>0</v>
      </c>
      <c r="V119" s="41"/>
    </row>
    <row r="120" spans="1:22" s="25" customFormat="1" ht="12.75" x14ac:dyDescent="0.2">
      <c r="A120" s="19" t="str">
        <f>Data!B115</f>
        <v>2376</v>
      </c>
      <c r="B120" s="20" t="str">
        <f>INDEX(Data[],MATCH($A120,Data[Dist],0),MATCH(B$6,Data[#Headers],0))</f>
        <v>Galva-Holstein</v>
      </c>
      <c r="C120" s="21">
        <f>INDEX(Data[],MATCH($A120,Data[Dist],0),MATCH(C$6,Data[#Headers],0))</f>
        <v>287746</v>
      </c>
      <c r="D120" s="21">
        <f>INDEX(Data[],MATCH($A120,Data[Dist],0),MATCH(D$6,Data[#Headers],0))</f>
        <v>286027</v>
      </c>
      <c r="E120" s="21">
        <f>INDEX(Data[],MATCH($A120,Data[Dist],0),MATCH(E$6,Data[#Headers],0))</f>
        <v>286027</v>
      </c>
      <c r="F120" s="21">
        <f>INDEX(Data[],MATCH($A120,Data[Dist],0),MATCH(F$6,Data[#Headers],0))</f>
        <v>286026</v>
      </c>
      <c r="G120" s="21">
        <f>INDEX(Data[],MATCH($A120,Data[Dist],0),MATCH(G$6,Data[#Headers],0))</f>
        <v>1437011</v>
      </c>
      <c r="H120" s="21">
        <f>INDEX(Data[],MATCH($A120,Data[Dist],0),MATCH(H$6,Data[#Headers],0))-G120</f>
        <v>1430134</v>
      </c>
      <c r="I120" s="24"/>
      <c r="J120" s="21">
        <f>INDEX(Notes!$I$2:$N$11,MATCH(Notes!$B$2,Notes!$I$2:$I$11,0),4)*$C120</f>
        <v>1150984</v>
      </c>
      <c r="K120" s="21">
        <f>INDEX(Notes!$I$2:$N$11,MATCH(Notes!$B$2,Notes!$I$2:$I$11,0),5)*$D120</f>
        <v>286027</v>
      </c>
      <c r="L120" s="21">
        <f>INDEX(Notes!$I$2:$N$11,MATCH(Notes!$B$2,Notes!$I$2:$I$11,0),6)*$E120</f>
        <v>0</v>
      </c>
      <c r="M120" s="21">
        <f>IF(Notes!$B$2="June",'Payment Total'!$F120,0)</f>
        <v>0</v>
      </c>
      <c r="N120" s="21">
        <f t="shared" si="4"/>
        <v>0</v>
      </c>
      <c r="P120" s="25" t="s">
        <v>943</v>
      </c>
      <c r="Q120" s="25">
        <v>286027</v>
      </c>
      <c r="R120" s="20" t="str">
        <f t="shared" si="5"/>
        <v>2376</v>
      </c>
      <c r="S120" s="20" t="str">
        <f t="shared" si="6"/>
        <v>2376</v>
      </c>
      <c r="T120" s="41">
        <f t="shared" si="7"/>
        <v>0</v>
      </c>
      <c r="V120" s="41"/>
    </row>
    <row r="121" spans="1:22" s="25" customFormat="1" ht="12.75" x14ac:dyDescent="0.2">
      <c r="A121" s="19" t="str">
        <f>Data!B116</f>
        <v>2403</v>
      </c>
      <c r="B121" s="20" t="str">
        <f>INDEX(Data[],MATCH($A121,Data[Dist],0),MATCH(B$6,Data[#Headers],0))</f>
        <v>Garner-Hayfield-Ventura</v>
      </c>
      <c r="C121" s="21">
        <f>INDEX(Data[],MATCH($A121,Data[Dist],0),MATCH(C$6,Data[#Headers],0))</f>
        <v>455778</v>
      </c>
      <c r="D121" s="21">
        <f>INDEX(Data[],MATCH($A121,Data[Dist],0),MATCH(D$6,Data[#Headers],0))</f>
        <v>452605</v>
      </c>
      <c r="E121" s="21">
        <f>INDEX(Data[],MATCH($A121,Data[Dist],0),MATCH(E$6,Data[#Headers],0))</f>
        <v>452605</v>
      </c>
      <c r="F121" s="21">
        <f>INDEX(Data[],MATCH($A121,Data[Dist],0),MATCH(F$6,Data[#Headers],0))</f>
        <v>452603</v>
      </c>
      <c r="G121" s="21">
        <f>INDEX(Data[],MATCH($A121,Data[Dist],0),MATCH(G$6,Data[#Headers],0))</f>
        <v>2275717</v>
      </c>
      <c r="H121" s="21">
        <f>INDEX(Data[],MATCH($A121,Data[Dist],0),MATCH(H$6,Data[#Headers],0))-G121</f>
        <v>2263023</v>
      </c>
      <c r="I121" s="24"/>
      <c r="J121" s="21">
        <f>INDEX(Notes!$I$2:$N$11,MATCH(Notes!$B$2,Notes!$I$2:$I$11,0),4)*$C121</f>
        <v>1823112</v>
      </c>
      <c r="K121" s="21">
        <f>INDEX(Notes!$I$2:$N$11,MATCH(Notes!$B$2,Notes!$I$2:$I$11,0),5)*$D121</f>
        <v>452605</v>
      </c>
      <c r="L121" s="21">
        <f>INDEX(Notes!$I$2:$N$11,MATCH(Notes!$B$2,Notes!$I$2:$I$11,0),6)*$E121</f>
        <v>0</v>
      </c>
      <c r="M121" s="21">
        <f>IF(Notes!$B$2="June",'Payment Total'!$F121,0)</f>
        <v>0</v>
      </c>
      <c r="N121" s="21">
        <f t="shared" si="4"/>
        <v>0</v>
      </c>
      <c r="P121" s="25" t="s">
        <v>944</v>
      </c>
      <c r="Q121" s="25">
        <v>452605</v>
      </c>
      <c r="R121" s="20" t="str">
        <f t="shared" si="5"/>
        <v>2403</v>
      </c>
      <c r="S121" s="20" t="str">
        <f t="shared" si="6"/>
        <v>2403</v>
      </c>
      <c r="T121" s="41">
        <f t="shared" si="7"/>
        <v>0</v>
      </c>
      <c r="V121" s="41"/>
    </row>
    <row r="122" spans="1:22" s="25" customFormat="1" ht="12.75" x14ac:dyDescent="0.2">
      <c r="A122" s="19" t="str">
        <f>Data!B117</f>
        <v>2457</v>
      </c>
      <c r="B122" s="20" t="str">
        <f>INDEX(Data[],MATCH($A122,Data[Dist],0),MATCH(B$6,Data[#Headers],0))</f>
        <v>George-Little Rock</v>
      </c>
      <c r="C122" s="21">
        <f>INDEX(Data[],MATCH($A122,Data[Dist],0),MATCH(C$6,Data[#Headers],0))</f>
        <v>294910</v>
      </c>
      <c r="D122" s="21">
        <f>INDEX(Data[],MATCH($A122,Data[Dist],0),MATCH(D$6,Data[#Headers],0))</f>
        <v>293206</v>
      </c>
      <c r="E122" s="21">
        <f>INDEX(Data[],MATCH($A122,Data[Dist],0),MATCH(E$6,Data[#Headers],0))</f>
        <v>293206</v>
      </c>
      <c r="F122" s="21">
        <f>INDEX(Data[],MATCH($A122,Data[Dist],0),MATCH(F$6,Data[#Headers],0))</f>
        <v>293205</v>
      </c>
      <c r="G122" s="21">
        <f>INDEX(Data[],MATCH($A122,Data[Dist],0),MATCH(G$6,Data[#Headers],0))</f>
        <v>1472846</v>
      </c>
      <c r="H122" s="21">
        <f>INDEX(Data[],MATCH($A122,Data[Dist],0),MATCH(H$6,Data[#Headers],0))-G122</f>
        <v>1466029</v>
      </c>
      <c r="I122" s="24"/>
      <c r="J122" s="21">
        <f>INDEX(Notes!$I$2:$N$11,MATCH(Notes!$B$2,Notes!$I$2:$I$11,0),4)*$C122</f>
        <v>1179640</v>
      </c>
      <c r="K122" s="21">
        <f>INDEX(Notes!$I$2:$N$11,MATCH(Notes!$B$2,Notes!$I$2:$I$11,0),5)*$D122</f>
        <v>293206</v>
      </c>
      <c r="L122" s="21">
        <f>INDEX(Notes!$I$2:$N$11,MATCH(Notes!$B$2,Notes!$I$2:$I$11,0),6)*$E122</f>
        <v>0</v>
      </c>
      <c r="M122" s="21">
        <f>IF(Notes!$B$2="June",'Payment Total'!$F122,0)</f>
        <v>0</v>
      </c>
      <c r="N122" s="21">
        <f t="shared" si="4"/>
        <v>0</v>
      </c>
      <c r="P122" s="25" t="s">
        <v>945</v>
      </c>
      <c r="Q122" s="25">
        <v>293206</v>
      </c>
      <c r="R122" s="20" t="str">
        <f t="shared" si="5"/>
        <v>2457</v>
      </c>
      <c r="S122" s="20" t="str">
        <f t="shared" si="6"/>
        <v>2457</v>
      </c>
      <c r="T122" s="41">
        <f t="shared" si="7"/>
        <v>0</v>
      </c>
      <c r="V122" s="41"/>
    </row>
    <row r="123" spans="1:22" s="25" customFormat="1" ht="12.75" x14ac:dyDescent="0.2">
      <c r="A123" s="19" t="str">
        <f>Data!B118</f>
        <v>2466</v>
      </c>
      <c r="B123" s="20" t="str">
        <f>INDEX(Data[],MATCH($A123,Data[Dist],0),MATCH(B$6,Data[#Headers],0))</f>
        <v>Gilbert</v>
      </c>
      <c r="C123" s="21">
        <f>INDEX(Data[],MATCH($A123,Data[Dist],0),MATCH(C$6,Data[#Headers],0))</f>
        <v>1055309</v>
      </c>
      <c r="D123" s="21">
        <f>INDEX(Data[],MATCH($A123,Data[Dist],0),MATCH(D$6,Data[#Headers],0))</f>
        <v>1049273</v>
      </c>
      <c r="E123" s="21">
        <f>INDEX(Data[],MATCH($A123,Data[Dist],0),MATCH(E$6,Data[#Headers],0))</f>
        <v>1049273</v>
      </c>
      <c r="F123" s="21">
        <f>INDEX(Data[],MATCH($A123,Data[Dist],0),MATCH(F$6,Data[#Headers],0))</f>
        <v>1049274</v>
      </c>
      <c r="G123" s="21">
        <f>INDEX(Data[],MATCH($A123,Data[Dist],0),MATCH(G$6,Data[#Headers],0))</f>
        <v>5270509</v>
      </c>
      <c r="H123" s="21">
        <f>INDEX(Data[],MATCH($A123,Data[Dist],0),MATCH(H$6,Data[#Headers],0))-G123</f>
        <v>5246366</v>
      </c>
      <c r="I123" s="24"/>
      <c r="J123" s="21">
        <f>INDEX(Notes!$I$2:$N$11,MATCH(Notes!$B$2,Notes!$I$2:$I$11,0),4)*$C123</f>
        <v>4221236</v>
      </c>
      <c r="K123" s="21">
        <f>INDEX(Notes!$I$2:$N$11,MATCH(Notes!$B$2,Notes!$I$2:$I$11,0),5)*$D123</f>
        <v>1049273</v>
      </c>
      <c r="L123" s="21">
        <f>INDEX(Notes!$I$2:$N$11,MATCH(Notes!$B$2,Notes!$I$2:$I$11,0),6)*$E123</f>
        <v>0</v>
      </c>
      <c r="M123" s="21">
        <f>IF(Notes!$B$2="June",'Payment Total'!$F123,0)</f>
        <v>0</v>
      </c>
      <c r="N123" s="21">
        <f t="shared" si="4"/>
        <v>0</v>
      </c>
      <c r="P123" s="25" t="s">
        <v>946</v>
      </c>
      <c r="Q123" s="25">
        <v>1049273</v>
      </c>
      <c r="R123" s="20" t="str">
        <f t="shared" si="5"/>
        <v>2466</v>
      </c>
      <c r="S123" s="20" t="str">
        <f t="shared" si="6"/>
        <v>2466</v>
      </c>
      <c r="T123" s="41">
        <f t="shared" si="7"/>
        <v>0</v>
      </c>
      <c r="V123" s="41"/>
    </row>
    <row r="124" spans="1:22" s="25" customFormat="1" ht="12.75" x14ac:dyDescent="0.2">
      <c r="A124" s="19" t="str">
        <f>Data!B119</f>
        <v>2493</v>
      </c>
      <c r="B124" s="20" t="str">
        <f>INDEX(Data[],MATCH($A124,Data[Dist],0),MATCH(B$6,Data[#Headers],0))</f>
        <v>Gilmore City-Bradgate</v>
      </c>
      <c r="C124" s="21">
        <f>INDEX(Data[],MATCH($A124,Data[Dist],0),MATCH(C$6,Data[#Headers],0))</f>
        <v>111637</v>
      </c>
      <c r="D124" s="21">
        <f>INDEX(Data[],MATCH($A124,Data[Dist],0),MATCH(D$6,Data[#Headers],0))</f>
        <v>111038</v>
      </c>
      <c r="E124" s="21">
        <f>INDEX(Data[],MATCH($A124,Data[Dist],0),MATCH(E$6,Data[#Headers],0))</f>
        <v>111039</v>
      </c>
      <c r="F124" s="21">
        <f>INDEX(Data[],MATCH($A124,Data[Dist],0),MATCH(F$6,Data[#Headers],0))</f>
        <v>111037</v>
      </c>
      <c r="G124" s="21">
        <f>INDEX(Data[],MATCH($A124,Data[Dist],0),MATCH(G$6,Data[#Headers],0))</f>
        <v>557586</v>
      </c>
      <c r="H124" s="21">
        <f>INDEX(Data[],MATCH($A124,Data[Dist],0),MATCH(H$6,Data[#Headers],0))-G124</f>
        <v>555192</v>
      </c>
      <c r="I124" s="24"/>
      <c r="J124" s="21">
        <f>INDEX(Notes!$I$2:$N$11,MATCH(Notes!$B$2,Notes!$I$2:$I$11,0),4)*$C124</f>
        <v>446548</v>
      </c>
      <c r="K124" s="21">
        <f>INDEX(Notes!$I$2:$N$11,MATCH(Notes!$B$2,Notes!$I$2:$I$11,0),5)*$D124</f>
        <v>111038</v>
      </c>
      <c r="L124" s="21">
        <f>INDEX(Notes!$I$2:$N$11,MATCH(Notes!$B$2,Notes!$I$2:$I$11,0),6)*$E124</f>
        <v>0</v>
      </c>
      <c r="M124" s="21">
        <f>IF(Notes!$B$2="June",'Payment Total'!$F124,0)</f>
        <v>0</v>
      </c>
      <c r="N124" s="21">
        <f t="shared" si="4"/>
        <v>0</v>
      </c>
      <c r="P124" s="25" t="s">
        <v>947</v>
      </c>
      <c r="Q124" s="25">
        <v>111038</v>
      </c>
      <c r="R124" s="20" t="str">
        <f t="shared" si="5"/>
        <v>2493</v>
      </c>
      <c r="S124" s="20" t="str">
        <f t="shared" si="6"/>
        <v>2493</v>
      </c>
      <c r="T124" s="41">
        <f t="shared" si="7"/>
        <v>0</v>
      </c>
      <c r="V124" s="41"/>
    </row>
    <row r="125" spans="1:22" s="25" customFormat="1" ht="12.75" x14ac:dyDescent="0.2">
      <c r="A125" s="19" t="str">
        <f>Data!B120</f>
        <v>2502</v>
      </c>
      <c r="B125" s="20" t="str">
        <f>INDEX(Data[],MATCH($A125,Data[Dist],0),MATCH(B$6,Data[#Headers],0))</f>
        <v>Gladbrook-Reinbeck</v>
      </c>
      <c r="C125" s="21">
        <f>INDEX(Data[],MATCH($A125,Data[Dist],0),MATCH(C$6,Data[#Headers],0))</f>
        <v>423514</v>
      </c>
      <c r="D125" s="21">
        <f>INDEX(Data[],MATCH($A125,Data[Dist],0),MATCH(D$6,Data[#Headers],0))</f>
        <v>421208</v>
      </c>
      <c r="E125" s="21">
        <f>INDEX(Data[],MATCH($A125,Data[Dist],0),MATCH(E$6,Data[#Headers],0))</f>
        <v>421208</v>
      </c>
      <c r="F125" s="21">
        <f>INDEX(Data[],MATCH($A125,Data[Dist],0),MATCH(F$6,Data[#Headers],0))</f>
        <v>421207</v>
      </c>
      <c r="G125" s="21">
        <f>INDEX(Data[],MATCH($A125,Data[Dist],0),MATCH(G$6,Data[#Headers],0))</f>
        <v>2115264</v>
      </c>
      <c r="H125" s="21">
        <f>INDEX(Data[],MATCH($A125,Data[Dist],0),MATCH(H$6,Data[#Headers],0))-G125</f>
        <v>2106039</v>
      </c>
      <c r="I125" s="24"/>
      <c r="J125" s="21">
        <f>INDEX(Notes!$I$2:$N$11,MATCH(Notes!$B$2,Notes!$I$2:$I$11,0),4)*$C125</f>
        <v>1694056</v>
      </c>
      <c r="K125" s="21">
        <f>INDEX(Notes!$I$2:$N$11,MATCH(Notes!$B$2,Notes!$I$2:$I$11,0),5)*$D125</f>
        <v>421208</v>
      </c>
      <c r="L125" s="21">
        <f>INDEX(Notes!$I$2:$N$11,MATCH(Notes!$B$2,Notes!$I$2:$I$11,0),6)*$E125</f>
        <v>0</v>
      </c>
      <c r="M125" s="21">
        <f>IF(Notes!$B$2="June",'Payment Total'!$F125,0)</f>
        <v>0</v>
      </c>
      <c r="N125" s="21">
        <f t="shared" si="4"/>
        <v>0</v>
      </c>
      <c r="P125" s="25" t="s">
        <v>948</v>
      </c>
      <c r="Q125" s="25">
        <v>421208</v>
      </c>
      <c r="R125" s="20" t="str">
        <f t="shared" si="5"/>
        <v>2502</v>
      </c>
      <c r="S125" s="20" t="str">
        <f t="shared" si="6"/>
        <v>2502</v>
      </c>
      <c r="T125" s="41">
        <f t="shared" si="7"/>
        <v>0</v>
      </c>
      <c r="V125" s="41"/>
    </row>
    <row r="126" spans="1:22" s="25" customFormat="1" ht="12.75" x14ac:dyDescent="0.2">
      <c r="A126" s="19" t="str">
        <f>Data!B121</f>
        <v>2511</v>
      </c>
      <c r="B126" s="20" t="str">
        <f>INDEX(Data[],MATCH($A126,Data[Dist],0),MATCH(B$6,Data[#Headers],0))</f>
        <v>Glenwood</v>
      </c>
      <c r="C126" s="21">
        <f>INDEX(Data[],MATCH($A126,Data[Dist],0),MATCH(C$6,Data[#Headers],0))</f>
        <v>1365232</v>
      </c>
      <c r="D126" s="21">
        <f>INDEX(Data[],MATCH($A126,Data[Dist],0),MATCH(D$6,Data[#Headers],0))</f>
        <v>1357992</v>
      </c>
      <c r="E126" s="21">
        <f>INDEX(Data[],MATCH($A126,Data[Dist],0),MATCH(E$6,Data[#Headers],0))</f>
        <v>1357992</v>
      </c>
      <c r="F126" s="21">
        <f>INDEX(Data[],MATCH($A126,Data[Dist],0),MATCH(F$6,Data[#Headers],0))</f>
        <v>1357993</v>
      </c>
      <c r="G126" s="21">
        <f>INDEX(Data[],MATCH($A126,Data[Dist],0),MATCH(G$6,Data[#Headers],0))</f>
        <v>6818920</v>
      </c>
      <c r="H126" s="21">
        <f>INDEX(Data[],MATCH($A126,Data[Dist],0),MATCH(H$6,Data[#Headers],0))-G126</f>
        <v>6789961</v>
      </c>
      <c r="I126" s="24"/>
      <c r="J126" s="21">
        <f>INDEX(Notes!$I$2:$N$11,MATCH(Notes!$B$2,Notes!$I$2:$I$11,0),4)*$C126</f>
        <v>5460928</v>
      </c>
      <c r="K126" s="21">
        <f>INDEX(Notes!$I$2:$N$11,MATCH(Notes!$B$2,Notes!$I$2:$I$11,0),5)*$D126</f>
        <v>1357992</v>
      </c>
      <c r="L126" s="21">
        <f>INDEX(Notes!$I$2:$N$11,MATCH(Notes!$B$2,Notes!$I$2:$I$11,0),6)*$E126</f>
        <v>0</v>
      </c>
      <c r="M126" s="21">
        <f>IF(Notes!$B$2="June",'Payment Total'!$F126,0)</f>
        <v>0</v>
      </c>
      <c r="N126" s="21">
        <f t="shared" si="4"/>
        <v>0</v>
      </c>
      <c r="P126" s="25" t="s">
        <v>949</v>
      </c>
      <c r="Q126" s="25">
        <v>1357992</v>
      </c>
      <c r="R126" s="20" t="str">
        <f t="shared" si="5"/>
        <v>2511</v>
      </c>
      <c r="S126" s="20" t="str">
        <f t="shared" si="6"/>
        <v>2511</v>
      </c>
      <c r="T126" s="41">
        <f t="shared" si="7"/>
        <v>0</v>
      </c>
      <c r="V126" s="41"/>
    </row>
    <row r="127" spans="1:22" s="25" customFormat="1" ht="12.75" x14ac:dyDescent="0.2">
      <c r="A127" s="19" t="str">
        <f>Data!B122</f>
        <v>2520</v>
      </c>
      <c r="B127" s="20" t="str">
        <f>INDEX(Data[],MATCH($A127,Data[Dist],0),MATCH(B$6,Data[#Headers],0))</f>
        <v>Glidden-Ralston</v>
      </c>
      <c r="C127" s="21">
        <f>INDEX(Data[],MATCH($A127,Data[Dist],0),MATCH(C$6,Data[#Headers],0))</f>
        <v>214206</v>
      </c>
      <c r="D127" s="21">
        <f>INDEX(Data[],MATCH($A127,Data[Dist],0),MATCH(D$6,Data[#Headers],0))</f>
        <v>213053</v>
      </c>
      <c r="E127" s="21">
        <f>INDEX(Data[],MATCH($A127,Data[Dist],0),MATCH(E$6,Data[#Headers],0))</f>
        <v>213053</v>
      </c>
      <c r="F127" s="21">
        <f>INDEX(Data[],MATCH($A127,Data[Dist],0),MATCH(F$6,Data[#Headers],0))</f>
        <v>213051</v>
      </c>
      <c r="G127" s="21">
        <f>INDEX(Data[],MATCH($A127,Data[Dist],0),MATCH(G$6,Data[#Headers],0))</f>
        <v>1069877</v>
      </c>
      <c r="H127" s="21">
        <f>INDEX(Data[],MATCH($A127,Data[Dist],0),MATCH(H$6,Data[#Headers],0))-G127</f>
        <v>1065263</v>
      </c>
      <c r="I127" s="24"/>
      <c r="J127" s="21">
        <f>INDEX(Notes!$I$2:$N$11,MATCH(Notes!$B$2,Notes!$I$2:$I$11,0),4)*$C127</f>
        <v>856824</v>
      </c>
      <c r="K127" s="21">
        <f>INDEX(Notes!$I$2:$N$11,MATCH(Notes!$B$2,Notes!$I$2:$I$11,0),5)*$D127</f>
        <v>213053</v>
      </c>
      <c r="L127" s="21">
        <f>INDEX(Notes!$I$2:$N$11,MATCH(Notes!$B$2,Notes!$I$2:$I$11,0),6)*$E127</f>
        <v>0</v>
      </c>
      <c r="M127" s="21">
        <f>IF(Notes!$B$2="June",'Payment Total'!$F127,0)</f>
        <v>0</v>
      </c>
      <c r="N127" s="21">
        <f t="shared" si="4"/>
        <v>0</v>
      </c>
      <c r="P127" s="25" t="s">
        <v>950</v>
      </c>
      <c r="Q127" s="25">
        <v>213053</v>
      </c>
      <c r="R127" s="20" t="str">
        <f t="shared" si="5"/>
        <v>2520</v>
      </c>
      <c r="S127" s="20" t="str">
        <f t="shared" si="6"/>
        <v>2520</v>
      </c>
      <c r="T127" s="41">
        <f t="shared" si="7"/>
        <v>0</v>
      </c>
      <c r="V127" s="41"/>
    </row>
    <row r="128" spans="1:22" s="25" customFormat="1" ht="12.75" x14ac:dyDescent="0.2">
      <c r="A128" s="19" t="str">
        <f>Data!B123</f>
        <v>2556</v>
      </c>
      <c r="B128" s="20" t="str">
        <f>INDEX(Data[],MATCH($A128,Data[Dist],0),MATCH(B$6,Data[#Headers],0))</f>
        <v>Graettinger-Terril</v>
      </c>
      <c r="C128" s="21">
        <f>INDEX(Data[],MATCH($A128,Data[Dist],0),MATCH(C$6,Data[#Headers],0))</f>
        <v>209492</v>
      </c>
      <c r="D128" s="21">
        <f>INDEX(Data[],MATCH($A128,Data[Dist],0),MATCH(D$6,Data[#Headers],0))</f>
        <v>208081</v>
      </c>
      <c r="E128" s="21">
        <f>INDEX(Data[],MATCH($A128,Data[Dist],0),MATCH(E$6,Data[#Headers],0))</f>
        <v>208081</v>
      </c>
      <c r="F128" s="21">
        <f>INDEX(Data[],MATCH($A128,Data[Dist],0),MATCH(F$6,Data[#Headers],0))</f>
        <v>208081</v>
      </c>
      <c r="G128" s="21">
        <f>INDEX(Data[],MATCH($A128,Data[Dist],0),MATCH(G$6,Data[#Headers],0))</f>
        <v>1046049</v>
      </c>
      <c r="H128" s="21">
        <f>INDEX(Data[],MATCH($A128,Data[Dist],0),MATCH(H$6,Data[#Headers],0))-G128</f>
        <v>1040405</v>
      </c>
      <c r="I128" s="24"/>
      <c r="J128" s="21">
        <f>INDEX(Notes!$I$2:$N$11,MATCH(Notes!$B$2,Notes!$I$2:$I$11,0),4)*$C128</f>
        <v>837968</v>
      </c>
      <c r="K128" s="21">
        <f>INDEX(Notes!$I$2:$N$11,MATCH(Notes!$B$2,Notes!$I$2:$I$11,0),5)*$D128</f>
        <v>208081</v>
      </c>
      <c r="L128" s="21">
        <f>INDEX(Notes!$I$2:$N$11,MATCH(Notes!$B$2,Notes!$I$2:$I$11,0),6)*$E128</f>
        <v>0</v>
      </c>
      <c r="M128" s="21">
        <f>IF(Notes!$B$2="June",'Payment Total'!$F128,0)</f>
        <v>0</v>
      </c>
      <c r="N128" s="21">
        <f t="shared" si="4"/>
        <v>0</v>
      </c>
      <c r="P128" s="25" t="s">
        <v>951</v>
      </c>
      <c r="Q128" s="25">
        <v>208081</v>
      </c>
      <c r="R128" s="20" t="str">
        <f t="shared" si="5"/>
        <v>2556</v>
      </c>
      <c r="S128" s="20" t="str">
        <f t="shared" si="6"/>
        <v>2556</v>
      </c>
      <c r="T128" s="41">
        <f t="shared" si="7"/>
        <v>0</v>
      </c>
      <c r="V128" s="41"/>
    </row>
    <row r="129" spans="1:22" s="25" customFormat="1" ht="12.75" x14ac:dyDescent="0.2">
      <c r="A129" s="19" t="str">
        <f>Data!B124</f>
        <v>2673</v>
      </c>
      <c r="B129" s="20" t="str">
        <f>INDEX(Data[],MATCH($A129,Data[Dist],0),MATCH(B$6,Data[#Headers],0))</f>
        <v>Nodaway Valley</v>
      </c>
      <c r="C129" s="21">
        <f>INDEX(Data[],MATCH($A129,Data[Dist],0),MATCH(C$6,Data[#Headers],0))</f>
        <v>505253</v>
      </c>
      <c r="D129" s="21">
        <f>INDEX(Data[],MATCH($A129,Data[Dist],0),MATCH(D$6,Data[#Headers],0))</f>
        <v>502760</v>
      </c>
      <c r="E129" s="21">
        <f>INDEX(Data[],MATCH($A129,Data[Dist],0),MATCH(E$6,Data[#Headers],0))</f>
        <v>502760</v>
      </c>
      <c r="F129" s="21">
        <f>INDEX(Data[],MATCH($A129,Data[Dist],0),MATCH(F$6,Data[#Headers],0))</f>
        <v>502758</v>
      </c>
      <c r="G129" s="21">
        <f>INDEX(Data[],MATCH($A129,Data[Dist],0),MATCH(G$6,Data[#Headers],0))</f>
        <v>2523772</v>
      </c>
      <c r="H129" s="21">
        <f>INDEX(Data[],MATCH($A129,Data[Dist],0),MATCH(H$6,Data[#Headers],0))-G129</f>
        <v>2513798</v>
      </c>
      <c r="I129" s="24"/>
      <c r="J129" s="21">
        <f>INDEX(Notes!$I$2:$N$11,MATCH(Notes!$B$2,Notes!$I$2:$I$11,0),4)*$C129</f>
        <v>2021012</v>
      </c>
      <c r="K129" s="21">
        <f>INDEX(Notes!$I$2:$N$11,MATCH(Notes!$B$2,Notes!$I$2:$I$11,0),5)*$D129</f>
        <v>502760</v>
      </c>
      <c r="L129" s="21">
        <f>INDEX(Notes!$I$2:$N$11,MATCH(Notes!$B$2,Notes!$I$2:$I$11,0),6)*$E129</f>
        <v>0</v>
      </c>
      <c r="M129" s="21">
        <f>IF(Notes!$B$2="June",'Payment Total'!$F129,0)</f>
        <v>0</v>
      </c>
      <c r="N129" s="21">
        <f t="shared" si="4"/>
        <v>0</v>
      </c>
      <c r="P129" s="25" t="s">
        <v>952</v>
      </c>
      <c r="Q129" s="25">
        <v>502760</v>
      </c>
      <c r="R129" s="20" t="str">
        <f t="shared" si="5"/>
        <v>2673</v>
      </c>
      <c r="S129" s="20" t="str">
        <f t="shared" si="6"/>
        <v>2673</v>
      </c>
      <c r="T129" s="41">
        <f t="shared" si="7"/>
        <v>0</v>
      </c>
      <c r="V129" s="41"/>
    </row>
    <row r="130" spans="1:22" s="25" customFormat="1" ht="12.75" x14ac:dyDescent="0.2">
      <c r="A130" s="19" t="str">
        <f>Data!B125</f>
        <v>2682</v>
      </c>
      <c r="B130" s="20" t="str">
        <f>INDEX(Data[],MATCH($A130,Data[Dist],0),MATCH(B$6,Data[#Headers],0))</f>
        <v>GMG</v>
      </c>
      <c r="C130" s="21">
        <f>INDEX(Data[],MATCH($A130,Data[Dist],0),MATCH(C$6,Data[#Headers],0))</f>
        <v>173675</v>
      </c>
      <c r="D130" s="21">
        <f>INDEX(Data[],MATCH($A130,Data[Dist],0),MATCH(D$6,Data[#Headers],0))</f>
        <v>172751</v>
      </c>
      <c r="E130" s="21">
        <f>INDEX(Data[],MATCH($A130,Data[Dist],0),MATCH(E$6,Data[#Headers],0))</f>
        <v>172751</v>
      </c>
      <c r="F130" s="21">
        <f>INDEX(Data[],MATCH($A130,Data[Dist],0),MATCH(F$6,Data[#Headers],0))</f>
        <v>172750</v>
      </c>
      <c r="G130" s="21">
        <f>INDEX(Data[],MATCH($A130,Data[Dist],0),MATCH(G$6,Data[#Headers],0))</f>
        <v>867451</v>
      </c>
      <c r="H130" s="21">
        <f>INDEX(Data[],MATCH($A130,Data[Dist],0),MATCH(H$6,Data[#Headers],0))-G130</f>
        <v>863754</v>
      </c>
      <c r="I130" s="24"/>
      <c r="J130" s="21">
        <f>INDEX(Notes!$I$2:$N$11,MATCH(Notes!$B$2,Notes!$I$2:$I$11,0),4)*$C130</f>
        <v>694700</v>
      </c>
      <c r="K130" s="21">
        <f>INDEX(Notes!$I$2:$N$11,MATCH(Notes!$B$2,Notes!$I$2:$I$11,0),5)*$D130</f>
        <v>172751</v>
      </c>
      <c r="L130" s="21">
        <f>INDEX(Notes!$I$2:$N$11,MATCH(Notes!$B$2,Notes!$I$2:$I$11,0),6)*$E130</f>
        <v>0</v>
      </c>
      <c r="M130" s="21">
        <f>IF(Notes!$B$2="June",'Payment Total'!$F130,0)</f>
        <v>0</v>
      </c>
      <c r="N130" s="21">
        <f t="shared" si="4"/>
        <v>0</v>
      </c>
      <c r="P130" s="25" t="s">
        <v>953</v>
      </c>
      <c r="Q130" s="25">
        <v>172751</v>
      </c>
      <c r="R130" s="20" t="str">
        <f t="shared" si="5"/>
        <v>2682</v>
      </c>
      <c r="S130" s="20" t="str">
        <f t="shared" si="6"/>
        <v>2682</v>
      </c>
      <c r="T130" s="41">
        <f t="shared" si="7"/>
        <v>0</v>
      </c>
      <c r="V130" s="41"/>
    </row>
    <row r="131" spans="1:22" s="25" customFormat="1" ht="12.75" x14ac:dyDescent="0.2">
      <c r="A131" s="19" t="str">
        <f>Data!B126</f>
        <v>2709</v>
      </c>
      <c r="B131" s="20" t="str">
        <f>INDEX(Data[],MATCH($A131,Data[Dist],0),MATCH(B$6,Data[#Headers],0))</f>
        <v>Grinnell-Newburg</v>
      </c>
      <c r="C131" s="21">
        <f>INDEX(Data[],MATCH($A131,Data[Dist],0),MATCH(C$6,Data[#Headers],0))</f>
        <v>1119230</v>
      </c>
      <c r="D131" s="21">
        <f>INDEX(Data[],MATCH($A131,Data[Dist],0),MATCH(D$6,Data[#Headers],0))</f>
        <v>1113617</v>
      </c>
      <c r="E131" s="21">
        <f>INDEX(Data[],MATCH($A131,Data[Dist],0),MATCH(E$6,Data[#Headers],0))</f>
        <v>1113616</v>
      </c>
      <c r="F131" s="21">
        <f>INDEX(Data[],MATCH($A131,Data[Dist],0),MATCH(F$6,Data[#Headers],0))</f>
        <v>1113617</v>
      </c>
      <c r="G131" s="21">
        <f>INDEX(Data[],MATCH($A131,Data[Dist],0),MATCH(G$6,Data[#Headers],0))</f>
        <v>5590537</v>
      </c>
      <c r="H131" s="21">
        <f>INDEX(Data[],MATCH($A131,Data[Dist],0),MATCH(H$6,Data[#Headers],0))-G131</f>
        <v>5568082</v>
      </c>
      <c r="I131" s="24"/>
      <c r="J131" s="21">
        <f>INDEX(Notes!$I$2:$N$11,MATCH(Notes!$B$2,Notes!$I$2:$I$11,0),4)*$C131</f>
        <v>4476920</v>
      </c>
      <c r="K131" s="21">
        <f>INDEX(Notes!$I$2:$N$11,MATCH(Notes!$B$2,Notes!$I$2:$I$11,0),5)*$D131</f>
        <v>1113617</v>
      </c>
      <c r="L131" s="21">
        <f>INDEX(Notes!$I$2:$N$11,MATCH(Notes!$B$2,Notes!$I$2:$I$11,0),6)*$E131</f>
        <v>0</v>
      </c>
      <c r="M131" s="21">
        <f>IF(Notes!$B$2="June",'Payment Total'!$F131,0)</f>
        <v>0</v>
      </c>
      <c r="N131" s="21">
        <f t="shared" si="4"/>
        <v>0</v>
      </c>
      <c r="P131" s="25" t="s">
        <v>954</v>
      </c>
      <c r="Q131" s="25">
        <v>1113617</v>
      </c>
      <c r="R131" s="20" t="str">
        <f t="shared" si="5"/>
        <v>2709</v>
      </c>
      <c r="S131" s="20" t="str">
        <f t="shared" si="6"/>
        <v>2709</v>
      </c>
      <c r="T131" s="41">
        <f t="shared" si="7"/>
        <v>0</v>
      </c>
      <c r="V131" s="41"/>
    </row>
    <row r="132" spans="1:22" s="25" customFormat="1" ht="12.75" x14ac:dyDescent="0.2">
      <c r="A132" s="19" t="str">
        <f>Data!B127</f>
        <v>2718</v>
      </c>
      <c r="B132" s="20" t="str">
        <f>INDEX(Data[],MATCH($A132,Data[Dist],0),MATCH(B$6,Data[#Headers],0))</f>
        <v>Griswold</v>
      </c>
      <c r="C132" s="21">
        <f>INDEX(Data[],MATCH($A132,Data[Dist],0),MATCH(C$6,Data[#Headers],0))</f>
        <v>318009</v>
      </c>
      <c r="D132" s="21">
        <f>INDEX(Data[],MATCH($A132,Data[Dist],0),MATCH(D$6,Data[#Headers],0))</f>
        <v>316282</v>
      </c>
      <c r="E132" s="21">
        <f>INDEX(Data[],MATCH($A132,Data[Dist],0),MATCH(E$6,Data[#Headers],0))</f>
        <v>316283</v>
      </c>
      <c r="F132" s="21">
        <f>INDEX(Data[],MATCH($A132,Data[Dist],0),MATCH(F$6,Data[#Headers],0))</f>
        <v>316281</v>
      </c>
      <c r="G132" s="21">
        <f>INDEX(Data[],MATCH($A132,Data[Dist],0),MATCH(G$6,Data[#Headers],0))</f>
        <v>1588318</v>
      </c>
      <c r="H132" s="21">
        <f>INDEX(Data[],MATCH($A132,Data[Dist],0),MATCH(H$6,Data[#Headers],0))-G132</f>
        <v>1581412</v>
      </c>
      <c r="I132" s="24"/>
      <c r="J132" s="21">
        <f>INDEX(Notes!$I$2:$N$11,MATCH(Notes!$B$2,Notes!$I$2:$I$11,0),4)*$C132</f>
        <v>1272036</v>
      </c>
      <c r="K132" s="21">
        <f>INDEX(Notes!$I$2:$N$11,MATCH(Notes!$B$2,Notes!$I$2:$I$11,0),5)*$D132</f>
        <v>316282</v>
      </c>
      <c r="L132" s="21">
        <f>INDEX(Notes!$I$2:$N$11,MATCH(Notes!$B$2,Notes!$I$2:$I$11,0),6)*$E132</f>
        <v>0</v>
      </c>
      <c r="M132" s="21">
        <f>IF(Notes!$B$2="June",'Payment Total'!$F132,0)</f>
        <v>0</v>
      </c>
      <c r="N132" s="21">
        <f t="shared" si="4"/>
        <v>0</v>
      </c>
      <c r="P132" s="25" t="s">
        <v>955</v>
      </c>
      <c r="Q132" s="25">
        <v>316282</v>
      </c>
      <c r="R132" s="20" t="str">
        <f t="shared" si="5"/>
        <v>2718</v>
      </c>
      <c r="S132" s="20" t="str">
        <f t="shared" si="6"/>
        <v>2718</v>
      </c>
      <c r="T132" s="41">
        <f t="shared" si="7"/>
        <v>0</v>
      </c>
      <c r="V132" s="41"/>
    </row>
    <row r="133" spans="1:22" s="25" customFormat="1" ht="12.75" x14ac:dyDescent="0.2">
      <c r="A133" s="19" t="str">
        <f>Data!B128</f>
        <v>2727</v>
      </c>
      <c r="B133" s="20" t="str">
        <f>INDEX(Data[],MATCH($A133,Data[Dist],0),MATCH(B$6,Data[#Headers],0))</f>
        <v>Grundy Center</v>
      </c>
      <c r="C133" s="21">
        <f>INDEX(Data[],MATCH($A133,Data[Dist],0),MATCH(C$6,Data[#Headers],0))</f>
        <v>508295</v>
      </c>
      <c r="D133" s="21">
        <f>INDEX(Data[],MATCH($A133,Data[Dist],0),MATCH(D$6,Data[#Headers],0))</f>
        <v>505779</v>
      </c>
      <c r="E133" s="21">
        <f>INDEX(Data[],MATCH($A133,Data[Dist],0),MATCH(E$6,Data[#Headers],0))</f>
        <v>505779</v>
      </c>
      <c r="F133" s="21">
        <f>INDEX(Data[],MATCH($A133,Data[Dist],0),MATCH(F$6,Data[#Headers],0))</f>
        <v>505780</v>
      </c>
      <c r="G133" s="21">
        <f>INDEX(Data[],MATCH($A133,Data[Dist],0),MATCH(G$6,Data[#Headers],0))</f>
        <v>2538959</v>
      </c>
      <c r="H133" s="21">
        <f>INDEX(Data[],MATCH($A133,Data[Dist],0),MATCH(H$6,Data[#Headers],0))-G133</f>
        <v>2528896</v>
      </c>
      <c r="I133" s="24"/>
      <c r="J133" s="21">
        <f>INDEX(Notes!$I$2:$N$11,MATCH(Notes!$B$2,Notes!$I$2:$I$11,0),4)*$C133</f>
        <v>2033180</v>
      </c>
      <c r="K133" s="21">
        <f>INDEX(Notes!$I$2:$N$11,MATCH(Notes!$B$2,Notes!$I$2:$I$11,0),5)*$D133</f>
        <v>505779</v>
      </c>
      <c r="L133" s="21">
        <f>INDEX(Notes!$I$2:$N$11,MATCH(Notes!$B$2,Notes!$I$2:$I$11,0),6)*$E133</f>
        <v>0</v>
      </c>
      <c r="M133" s="21">
        <f>IF(Notes!$B$2="June",'Payment Total'!$F133,0)</f>
        <v>0</v>
      </c>
      <c r="N133" s="21">
        <f t="shared" si="4"/>
        <v>0</v>
      </c>
      <c r="P133" s="25" t="s">
        <v>956</v>
      </c>
      <c r="Q133" s="25">
        <v>505779</v>
      </c>
      <c r="R133" s="20" t="str">
        <f t="shared" si="5"/>
        <v>2727</v>
      </c>
      <c r="S133" s="20" t="str">
        <f t="shared" si="6"/>
        <v>2727</v>
      </c>
      <c r="T133" s="41">
        <f t="shared" si="7"/>
        <v>0</v>
      </c>
      <c r="V133" s="41"/>
    </row>
    <row r="134" spans="1:22" s="25" customFormat="1" ht="12.75" x14ac:dyDescent="0.2">
      <c r="A134" s="19" t="str">
        <f>Data!B129</f>
        <v>2754</v>
      </c>
      <c r="B134" s="20" t="str">
        <f>INDEX(Data[],MATCH($A134,Data[Dist],0),MATCH(B$6,Data[#Headers],0))</f>
        <v>Guthrie Center</v>
      </c>
      <c r="C134" s="21">
        <f>INDEX(Data[],MATCH($A134,Data[Dist],0),MATCH(C$6,Data[#Headers],0))</f>
        <v>287256</v>
      </c>
      <c r="D134" s="21">
        <f>INDEX(Data[],MATCH($A134,Data[Dist],0),MATCH(D$6,Data[#Headers],0))</f>
        <v>285771</v>
      </c>
      <c r="E134" s="21">
        <f>INDEX(Data[],MATCH($A134,Data[Dist],0),MATCH(E$6,Data[#Headers],0))</f>
        <v>285772</v>
      </c>
      <c r="F134" s="21">
        <f>INDEX(Data[],MATCH($A134,Data[Dist],0),MATCH(F$6,Data[#Headers],0))</f>
        <v>285770</v>
      </c>
      <c r="G134" s="21">
        <f>INDEX(Data[],MATCH($A134,Data[Dist],0),MATCH(G$6,Data[#Headers],0))</f>
        <v>1434795</v>
      </c>
      <c r="H134" s="21">
        <f>INDEX(Data[],MATCH($A134,Data[Dist],0),MATCH(H$6,Data[#Headers],0))-G134</f>
        <v>1428857</v>
      </c>
      <c r="I134" s="24"/>
      <c r="J134" s="21">
        <f>INDEX(Notes!$I$2:$N$11,MATCH(Notes!$B$2,Notes!$I$2:$I$11,0),4)*$C134</f>
        <v>1149024</v>
      </c>
      <c r="K134" s="21">
        <f>INDEX(Notes!$I$2:$N$11,MATCH(Notes!$B$2,Notes!$I$2:$I$11,0),5)*$D134</f>
        <v>285771</v>
      </c>
      <c r="L134" s="21">
        <f>INDEX(Notes!$I$2:$N$11,MATCH(Notes!$B$2,Notes!$I$2:$I$11,0),6)*$E134</f>
        <v>0</v>
      </c>
      <c r="M134" s="21">
        <f>IF(Notes!$B$2="June",'Payment Total'!$F134,0)</f>
        <v>0</v>
      </c>
      <c r="N134" s="21">
        <f t="shared" si="4"/>
        <v>0</v>
      </c>
      <c r="P134" s="25" t="s">
        <v>957</v>
      </c>
      <c r="Q134" s="25">
        <v>285771</v>
      </c>
      <c r="R134" s="20" t="str">
        <f t="shared" si="5"/>
        <v>2754</v>
      </c>
      <c r="S134" s="20" t="str">
        <f t="shared" si="6"/>
        <v>2754</v>
      </c>
      <c r="T134" s="41">
        <f t="shared" si="7"/>
        <v>0</v>
      </c>
      <c r="V134" s="41"/>
    </row>
    <row r="135" spans="1:22" s="25" customFormat="1" ht="12.75" x14ac:dyDescent="0.2">
      <c r="A135" s="19" t="str">
        <f>Data!B130</f>
        <v>2763</v>
      </c>
      <c r="B135" s="20" t="str">
        <f>INDEX(Data[],MATCH($A135,Data[Dist],0),MATCH(B$6,Data[#Headers],0))</f>
        <v>Clayton Ridge</v>
      </c>
      <c r="C135" s="21">
        <f>INDEX(Data[],MATCH($A135,Data[Dist],0),MATCH(C$6,Data[#Headers],0))</f>
        <v>398445</v>
      </c>
      <c r="D135" s="21">
        <f>INDEX(Data[],MATCH($A135,Data[Dist],0),MATCH(D$6,Data[#Headers],0))</f>
        <v>396087</v>
      </c>
      <c r="E135" s="21">
        <f>INDEX(Data[],MATCH($A135,Data[Dist],0),MATCH(E$6,Data[#Headers],0))</f>
        <v>396086</v>
      </c>
      <c r="F135" s="21">
        <f>INDEX(Data[],MATCH($A135,Data[Dist],0),MATCH(F$6,Data[#Headers],0))</f>
        <v>396087</v>
      </c>
      <c r="G135" s="21">
        <f>INDEX(Data[],MATCH($A135,Data[Dist],0),MATCH(G$6,Data[#Headers],0))</f>
        <v>1989867</v>
      </c>
      <c r="H135" s="21">
        <f>INDEX(Data[],MATCH($A135,Data[Dist],0),MATCH(H$6,Data[#Headers],0))-G135</f>
        <v>1980432</v>
      </c>
      <c r="I135" s="24"/>
      <c r="J135" s="21">
        <f>INDEX(Notes!$I$2:$N$11,MATCH(Notes!$B$2,Notes!$I$2:$I$11,0),4)*$C135</f>
        <v>1593780</v>
      </c>
      <c r="K135" s="21">
        <f>INDEX(Notes!$I$2:$N$11,MATCH(Notes!$B$2,Notes!$I$2:$I$11,0),5)*$D135</f>
        <v>396087</v>
      </c>
      <c r="L135" s="21">
        <f>INDEX(Notes!$I$2:$N$11,MATCH(Notes!$B$2,Notes!$I$2:$I$11,0),6)*$E135</f>
        <v>0</v>
      </c>
      <c r="M135" s="21">
        <f>IF(Notes!$B$2="June",'Payment Total'!$F135,0)</f>
        <v>0</v>
      </c>
      <c r="N135" s="21">
        <f t="shared" si="4"/>
        <v>0</v>
      </c>
      <c r="P135" s="25" t="s">
        <v>958</v>
      </c>
      <c r="Q135" s="25">
        <v>396087</v>
      </c>
      <c r="R135" s="20" t="str">
        <f t="shared" si="5"/>
        <v>2763</v>
      </c>
      <c r="S135" s="20" t="str">
        <f t="shared" si="6"/>
        <v>2763</v>
      </c>
      <c r="T135" s="41">
        <f t="shared" si="7"/>
        <v>0</v>
      </c>
      <c r="V135" s="41"/>
    </row>
    <row r="136" spans="1:22" s="25" customFormat="1" ht="12.75" x14ac:dyDescent="0.2">
      <c r="A136" s="19" t="str">
        <f>Data!B131</f>
        <v>2766</v>
      </c>
      <c r="B136" s="20" t="str">
        <f>INDEX(Data[],MATCH($A136,Data[Dist],0),MATCH(B$6,Data[#Headers],0))</f>
        <v>HLV</v>
      </c>
      <c r="C136" s="21">
        <f>INDEX(Data[],MATCH($A136,Data[Dist],0),MATCH(C$6,Data[#Headers],0))</f>
        <v>222198</v>
      </c>
      <c r="D136" s="21">
        <f>INDEX(Data[],MATCH($A136,Data[Dist],0),MATCH(D$6,Data[#Headers],0))</f>
        <v>221013</v>
      </c>
      <c r="E136" s="21">
        <f>INDEX(Data[],MATCH($A136,Data[Dist],0),MATCH(E$6,Data[#Headers],0))</f>
        <v>221013</v>
      </c>
      <c r="F136" s="21">
        <f>INDEX(Data[],MATCH($A136,Data[Dist],0),MATCH(F$6,Data[#Headers],0))</f>
        <v>221012</v>
      </c>
      <c r="G136" s="21">
        <f>INDEX(Data[],MATCH($A136,Data[Dist],0),MATCH(G$6,Data[#Headers],0))</f>
        <v>1109805</v>
      </c>
      <c r="H136" s="21">
        <f>INDEX(Data[],MATCH($A136,Data[Dist],0),MATCH(H$6,Data[#Headers],0))-G136</f>
        <v>1105064</v>
      </c>
      <c r="I136" s="24"/>
      <c r="J136" s="21">
        <f>INDEX(Notes!$I$2:$N$11,MATCH(Notes!$B$2,Notes!$I$2:$I$11,0),4)*$C136</f>
        <v>888792</v>
      </c>
      <c r="K136" s="21">
        <f>INDEX(Notes!$I$2:$N$11,MATCH(Notes!$B$2,Notes!$I$2:$I$11,0),5)*$D136</f>
        <v>221013</v>
      </c>
      <c r="L136" s="21">
        <f>INDEX(Notes!$I$2:$N$11,MATCH(Notes!$B$2,Notes!$I$2:$I$11,0),6)*$E136</f>
        <v>0</v>
      </c>
      <c r="M136" s="21">
        <f>IF(Notes!$B$2="June",'Payment Total'!$F136,0)</f>
        <v>0</v>
      </c>
      <c r="N136" s="21">
        <f t="shared" ref="N136:N199" si="8">SUM(J136:M136)-G136</f>
        <v>0</v>
      </c>
      <c r="P136" s="25" t="s">
        <v>959</v>
      </c>
      <c r="Q136" s="25">
        <v>221013</v>
      </c>
      <c r="R136" s="20" t="str">
        <f t="shared" ref="R136:R199" si="9">TEXT(P136/10000,"0000")</f>
        <v>2766</v>
      </c>
      <c r="S136" s="20" t="str">
        <f t="shared" ref="S136:S199" si="10">IF(R136="1968","3582",IF(R136="5160","5319",IF(R136="5510","4824",IF(R136="6536","1935",IF(R136="6035","6048",IF(R136="5325","5323",IF(R136="6099","5157",R136)))))))</f>
        <v>2766</v>
      </c>
      <c r="T136" s="41">
        <f t="shared" ref="T136:T199" si="11">INDEX($A$7:$H$331,MATCH($S136,$A$7:$A$331,0),4)-Q136</f>
        <v>0</v>
      </c>
      <c r="V136" s="41"/>
    </row>
    <row r="137" spans="1:22" s="25" customFormat="1" ht="12.75" x14ac:dyDescent="0.2">
      <c r="A137" s="19" t="str">
        <f>Data!B132</f>
        <v>2772</v>
      </c>
      <c r="B137" s="20" t="str">
        <f>INDEX(Data[],MATCH($A137,Data[Dist],0),MATCH(B$6,Data[#Headers],0))</f>
        <v>Hamburg</v>
      </c>
      <c r="C137" s="21">
        <f>INDEX(Data[],MATCH($A137,Data[Dist],0),MATCH(C$6,Data[#Headers],0))</f>
        <v>108519</v>
      </c>
      <c r="D137" s="21">
        <f>INDEX(Data[],MATCH($A137,Data[Dist],0),MATCH(D$6,Data[#Headers],0))</f>
        <v>107739</v>
      </c>
      <c r="E137" s="21">
        <f>INDEX(Data[],MATCH($A137,Data[Dist],0),MATCH(E$6,Data[#Headers],0))</f>
        <v>107739</v>
      </c>
      <c r="F137" s="21">
        <f>INDEX(Data[],MATCH($A137,Data[Dist],0),MATCH(F$6,Data[#Headers],0))</f>
        <v>107738</v>
      </c>
      <c r="G137" s="21">
        <f>INDEX(Data[],MATCH($A137,Data[Dist],0),MATCH(G$6,Data[#Headers],0))</f>
        <v>541815</v>
      </c>
      <c r="H137" s="21">
        <f>INDEX(Data[],MATCH($A137,Data[Dist],0),MATCH(H$6,Data[#Headers],0))-G137</f>
        <v>538694</v>
      </c>
      <c r="I137" s="24"/>
      <c r="J137" s="21">
        <f>INDEX(Notes!$I$2:$N$11,MATCH(Notes!$B$2,Notes!$I$2:$I$11,0),4)*$C137</f>
        <v>434076</v>
      </c>
      <c r="K137" s="21">
        <f>INDEX(Notes!$I$2:$N$11,MATCH(Notes!$B$2,Notes!$I$2:$I$11,0),5)*$D137</f>
        <v>107739</v>
      </c>
      <c r="L137" s="21">
        <f>INDEX(Notes!$I$2:$N$11,MATCH(Notes!$B$2,Notes!$I$2:$I$11,0),6)*$E137</f>
        <v>0</v>
      </c>
      <c r="M137" s="21">
        <f>IF(Notes!$B$2="June",'Payment Total'!$F137,0)</f>
        <v>0</v>
      </c>
      <c r="N137" s="21">
        <f t="shared" si="8"/>
        <v>0</v>
      </c>
      <c r="P137" s="25" t="s">
        <v>960</v>
      </c>
      <c r="Q137" s="25">
        <v>107739</v>
      </c>
      <c r="R137" s="20" t="str">
        <f t="shared" si="9"/>
        <v>2772</v>
      </c>
      <c r="S137" s="20" t="str">
        <f t="shared" si="10"/>
        <v>2772</v>
      </c>
      <c r="T137" s="41">
        <f t="shared" si="11"/>
        <v>0</v>
      </c>
      <c r="V137" s="41"/>
    </row>
    <row r="138" spans="1:22" s="25" customFormat="1" ht="12.75" x14ac:dyDescent="0.2">
      <c r="A138" s="19" t="str">
        <f>Data!B133</f>
        <v>2781</v>
      </c>
      <c r="B138" s="20" t="str">
        <f>INDEX(Data[],MATCH($A138,Data[Dist],0),MATCH(B$6,Data[#Headers],0))</f>
        <v>Hampton-Dumont</v>
      </c>
      <c r="C138" s="21">
        <f>INDEX(Data[],MATCH($A138,Data[Dist],0),MATCH(C$6,Data[#Headers],0))</f>
        <v>830345</v>
      </c>
      <c r="D138" s="21">
        <f>INDEX(Data[],MATCH($A138,Data[Dist],0),MATCH(D$6,Data[#Headers],0))</f>
        <v>826248</v>
      </c>
      <c r="E138" s="21">
        <f>INDEX(Data[],MATCH($A138,Data[Dist],0),MATCH(E$6,Data[#Headers],0))</f>
        <v>826249</v>
      </c>
      <c r="F138" s="21">
        <f>INDEX(Data[],MATCH($A138,Data[Dist],0),MATCH(F$6,Data[#Headers],0))</f>
        <v>826247</v>
      </c>
      <c r="G138" s="21">
        <f>INDEX(Data[],MATCH($A138,Data[Dist],0),MATCH(G$6,Data[#Headers],0))</f>
        <v>4147628</v>
      </c>
      <c r="H138" s="21">
        <f>INDEX(Data[],MATCH($A138,Data[Dist],0),MATCH(H$6,Data[#Headers],0))-G138</f>
        <v>4131242</v>
      </c>
      <c r="I138" s="24"/>
      <c r="J138" s="21">
        <f>INDEX(Notes!$I$2:$N$11,MATCH(Notes!$B$2,Notes!$I$2:$I$11,0),4)*$C138</f>
        <v>3321380</v>
      </c>
      <c r="K138" s="21">
        <f>INDEX(Notes!$I$2:$N$11,MATCH(Notes!$B$2,Notes!$I$2:$I$11,0),5)*$D138</f>
        <v>826248</v>
      </c>
      <c r="L138" s="21">
        <f>INDEX(Notes!$I$2:$N$11,MATCH(Notes!$B$2,Notes!$I$2:$I$11,0),6)*$E138</f>
        <v>0</v>
      </c>
      <c r="M138" s="21">
        <f>IF(Notes!$B$2="June",'Payment Total'!$F138,0)</f>
        <v>0</v>
      </c>
      <c r="N138" s="21">
        <f t="shared" si="8"/>
        <v>0</v>
      </c>
      <c r="P138" s="25" t="s">
        <v>961</v>
      </c>
      <c r="Q138" s="25">
        <v>826248</v>
      </c>
      <c r="R138" s="20" t="str">
        <f t="shared" si="9"/>
        <v>2781</v>
      </c>
      <c r="S138" s="20" t="str">
        <f t="shared" si="10"/>
        <v>2781</v>
      </c>
      <c r="T138" s="41">
        <f t="shared" si="11"/>
        <v>0</v>
      </c>
      <c r="V138" s="41"/>
    </row>
    <row r="139" spans="1:22" s="25" customFormat="1" ht="12.75" x14ac:dyDescent="0.2">
      <c r="A139" s="19" t="str">
        <f>Data!B134</f>
        <v>2826</v>
      </c>
      <c r="B139" s="20" t="str">
        <f>INDEX(Data[],MATCH($A139,Data[Dist],0),MATCH(B$6,Data[#Headers],0))</f>
        <v>Harlan</v>
      </c>
      <c r="C139" s="21">
        <f>INDEX(Data[],MATCH($A139,Data[Dist],0),MATCH(C$6,Data[#Headers],0))</f>
        <v>973932</v>
      </c>
      <c r="D139" s="21">
        <f>INDEX(Data[],MATCH($A139,Data[Dist],0),MATCH(D$6,Data[#Headers],0))</f>
        <v>968810</v>
      </c>
      <c r="E139" s="21">
        <f>INDEX(Data[],MATCH($A139,Data[Dist],0),MATCH(E$6,Data[#Headers],0))</f>
        <v>968810</v>
      </c>
      <c r="F139" s="21">
        <f>INDEX(Data[],MATCH($A139,Data[Dist],0),MATCH(F$6,Data[#Headers],0))</f>
        <v>968809</v>
      </c>
      <c r="G139" s="21">
        <f>INDEX(Data[],MATCH($A139,Data[Dist],0),MATCH(G$6,Data[#Headers],0))</f>
        <v>4864538</v>
      </c>
      <c r="H139" s="21">
        <f>INDEX(Data[],MATCH($A139,Data[Dist],0),MATCH(H$6,Data[#Headers],0))-G139</f>
        <v>4844049</v>
      </c>
      <c r="I139" s="24"/>
      <c r="J139" s="21">
        <f>INDEX(Notes!$I$2:$N$11,MATCH(Notes!$B$2,Notes!$I$2:$I$11,0),4)*$C139</f>
        <v>3895728</v>
      </c>
      <c r="K139" s="21">
        <f>INDEX(Notes!$I$2:$N$11,MATCH(Notes!$B$2,Notes!$I$2:$I$11,0),5)*$D139</f>
        <v>968810</v>
      </c>
      <c r="L139" s="21">
        <f>INDEX(Notes!$I$2:$N$11,MATCH(Notes!$B$2,Notes!$I$2:$I$11,0),6)*$E139</f>
        <v>0</v>
      </c>
      <c r="M139" s="21">
        <f>IF(Notes!$B$2="June",'Payment Total'!$F139,0)</f>
        <v>0</v>
      </c>
      <c r="N139" s="21">
        <f t="shared" si="8"/>
        <v>0</v>
      </c>
      <c r="P139" s="25" t="s">
        <v>962</v>
      </c>
      <c r="Q139" s="25">
        <v>968810</v>
      </c>
      <c r="R139" s="20" t="str">
        <f t="shared" si="9"/>
        <v>2826</v>
      </c>
      <c r="S139" s="20" t="str">
        <f t="shared" si="10"/>
        <v>2826</v>
      </c>
      <c r="T139" s="41">
        <f t="shared" si="11"/>
        <v>0</v>
      </c>
      <c r="V139" s="41"/>
    </row>
    <row r="140" spans="1:22" s="25" customFormat="1" ht="12.75" x14ac:dyDescent="0.2">
      <c r="A140" s="19" t="str">
        <f>Data!B135</f>
        <v>2846</v>
      </c>
      <c r="B140" s="20" t="str">
        <f>INDEX(Data[],MATCH($A140,Data[Dist],0),MATCH(B$6,Data[#Headers],0))</f>
        <v>Harris-Lake Park</v>
      </c>
      <c r="C140" s="21">
        <f>INDEX(Data[],MATCH($A140,Data[Dist],0),MATCH(C$6,Data[#Headers],0))</f>
        <v>138375</v>
      </c>
      <c r="D140" s="21">
        <f>INDEX(Data[],MATCH($A140,Data[Dist],0),MATCH(D$6,Data[#Headers],0))</f>
        <v>137257</v>
      </c>
      <c r="E140" s="21">
        <f>INDEX(Data[],MATCH($A140,Data[Dist],0),MATCH(E$6,Data[#Headers],0))</f>
        <v>137256</v>
      </c>
      <c r="F140" s="21">
        <f>INDEX(Data[],MATCH($A140,Data[Dist],0),MATCH(F$6,Data[#Headers],0))</f>
        <v>137257</v>
      </c>
      <c r="G140" s="21">
        <f>INDEX(Data[],MATCH($A140,Data[Dist],0),MATCH(G$6,Data[#Headers],0))</f>
        <v>690757</v>
      </c>
      <c r="H140" s="21">
        <f>INDEX(Data[],MATCH($A140,Data[Dist],0),MATCH(H$6,Data[#Headers],0))-G140</f>
        <v>686282</v>
      </c>
      <c r="I140" s="24"/>
      <c r="J140" s="21">
        <f>INDEX(Notes!$I$2:$N$11,MATCH(Notes!$B$2,Notes!$I$2:$I$11,0),4)*$C140</f>
        <v>553500</v>
      </c>
      <c r="K140" s="21">
        <f>INDEX(Notes!$I$2:$N$11,MATCH(Notes!$B$2,Notes!$I$2:$I$11,0),5)*$D140</f>
        <v>137257</v>
      </c>
      <c r="L140" s="21">
        <f>INDEX(Notes!$I$2:$N$11,MATCH(Notes!$B$2,Notes!$I$2:$I$11,0),6)*$E140</f>
        <v>0</v>
      </c>
      <c r="M140" s="21">
        <f>IF(Notes!$B$2="June",'Payment Total'!$F140,0)</f>
        <v>0</v>
      </c>
      <c r="N140" s="21">
        <f t="shared" si="8"/>
        <v>0</v>
      </c>
      <c r="P140" s="25" t="s">
        <v>963</v>
      </c>
      <c r="Q140" s="25">
        <v>137257</v>
      </c>
      <c r="R140" s="20" t="str">
        <f t="shared" si="9"/>
        <v>2846</v>
      </c>
      <c r="S140" s="20" t="str">
        <f t="shared" si="10"/>
        <v>2846</v>
      </c>
      <c r="T140" s="41">
        <f t="shared" si="11"/>
        <v>0</v>
      </c>
      <c r="V140" s="41"/>
    </row>
    <row r="141" spans="1:22" s="25" customFormat="1" ht="12.75" x14ac:dyDescent="0.2">
      <c r="A141" s="19" t="str">
        <f>Data!B136</f>
        <v>2862</v>
      </c>
      <c r="B141" s="20" t="str">
        <f>INDEX(Data[],MATCH($A141,Data[Dist],0),MATCH(B$6,Data[#Headers],0))</f>
        <v>Hartley-Melvin-Sanborn</v>
      </c>
      <c r="C141" s="21">
        <f>INDEX(Data[],MATCH($A141,Data[Dist],0),MATCH(C$6,Data[#Headers],0))</f>
        <v>358486</v>
      </c>
      <c r="D141" s="21">
        <f>INDEX(Data[],MATCH($A141,Data[Dist],0),MATCH(D$6,Data[#Headers],0))</f>
        <v>356096</v>
      </c>
      <c r="E141" s="21">
        <f>INDEX(Data[],MATCH($A141,Data[Dist],0),MATCH(E$6,Data[#Headers],0))</f>
        <v>356096</v>
      </c>
      <c r="F141" s="21">
        <f>INDEX(Data[],MATCH($A141,Data[Dist],0),MATCH(F$6,Data[#Headers],0))</f>
        <v>356095</v>
      </c>
      <c r="G141" s="21">
        <f>INDEX(Data[],MATCH($A141,Data[Dist],0),MATCH(G$6,Data[#Headers],0))</f>
        <v>1790040</v>
      </c>
      <c r="H141" s="21">
        <f>INDEX(Data[],MATCH($A141,Data[Dist],0),MATCH(H$6,Data[#Headers],0))-G141</f>
        <v>1780479</v>
      </c>
      <c r="I141" s="24"/>
      <c r="J141" s="21">
        <f>INDEX(Notes!$I$2:$N$11,MATCH(Notes!$B$2,Notes!$I$2:$I$11,0),4)*$C141</f>
        <v>1433944</v>
      </c>
      <c r="K141" s="21">
        <f>INDEX(Notes!$I$2:$N$11,MATCH(Notes!$B$2,Notes!$I$2:$I$11,0),5)*$D141</f>
        <v>356096</v>
      </c>
      <c r="L141" s="21">
        <f>INDEX(Notes!$I$2:$N$11,MATCH(Notes!$B$2,Notes!$I$2:$I$11,0),6)*$E141</f>
        <v>0</v>
      </c>
      <c r="M141" s="21">
        <f>IF(Notes!$B$2="June",'Payment Total'!$F141,0)</f>
        <v>0</v>
      </c>
      <c r="N141" s="21">
        <f t="shared" si="8"/>
        <v>0</v>
      </c>
      <c r="P141" s="25" t="s">
        <v>964</v>
      </c>
      <c r="Q141" s="25">
        <v>356096</v>
      </c>
      <c r="R141" s="20" t="str">
        <f t="shared" si="9"/>
        <v>2862</v>
      </c>
      <c r="S141" s="20" t="str">
        <f t="shared" si="10"/>
        <v>2862</v>
      </c>
      <c r="T141" s="41">
        <f t="shared" si="11"/>
        <v>0</v>
      </c>
      <c r="V141" s="41"/>
    </row>
    <row r="142" spans="1:22" s="25" customFormat="1" ht="12.75" x14ac:dyDescent="0.2">
      <c r="A142" s="19" t="str">
        <f>Data!B137</f>
        <v>2977</v>
      </c>
      <c r="B142" s="20" t="str">
        <f>INDEX(Data[],MATCH($A142,Data[Dist],0),MATCH(B$6,Data[#Headers],0))</f>
        <v>Highland</v>
      </c>
      <c r="C142" s="21">
        <f>INDEX(Data[],MATCH($A142,Data[Dist],0),MATCH(C$6,Data[#Headers],0))</f>
        <v>382952</v>
      </c>
      <c r="D142" s="21">
        <f>INDEX(Data[],MATCH($A142,Data[Dist],0),MATCH(D$6,Data[#Headers],0))</f>
        <v>380739</v>
      </c>
      <c r="E142" s="21">
        <f>INDEX(Data[],MATCH($A142,Data[Dist],0),MATCH(E$6,Data[#Headers],0))</f>
        <v>380739</v>
      </c>
      <c r="F142" s="21">
        <f>INDEX(Data[],MATCH($A142,Data[Dist],0),MATCH(F$6,Data[#Headers],0))</f>
        <v>380740</v>
      </c>
      <c r="G142" s="21">
        <f>INDEX(Data[],MATCH($A142,Data[Dist],0),MATCH(G$6,Data[#Headers],0))</f>
        <v>1912547</v>
      </c>
      <c r="H142" s="21">
        <f>INDEX(Data[],MATCH($A142,Data[Dist],0),MATCH(H$6,Data[#Headers],0))-G142</f>
        <v>1903696</v>
      </c>
      <c r="I142" s="24"/>
      <c r="J142" s="21">
        <f>INDEX(Notes!$I$2:$N$11,MATCH(Notes!$B$2,Notes!$I$2:$I$11,0),4)*$C142</f>
        <v>1531808</v>
      </c>
      <c r="K142" s="21">
        <f>INDEX(Notes!$I$2:$N$11,MATCH(Notes!$B$2,Notes!$I$2:$I$11,0),5)*$D142</f>
        <v>380739</v>
      </c>
      <c r="L142" s="21">
        <f>INDEX(Notes!$I$2:$N$11,MATCH(Notes!$B$2,Notes!$I$2:$I$11,0),6)*$E142</f>
        <v>0</v>
      </c>
      <c r="M142" s="21">
        <f>IF(Notes!$B$2="June",'Payment Total'!$F142,0)</f>
        <v>0</v>
      </c>
      <c r="N142" s="21">
        <f t="shared" si="8"/>
        <v>0</v>
      </c>
      <c r="P142" s="25" t="s">
        <v>965</v>
      </c>
      <c r="Q142" s="25">
        <v>380739</v>
      </c>
      <c r="R142" s="20" t="str">
        <f t="shared" si="9"/>
        <v>2977</v>
      </c>
      <c r="S142" s="20" t="str">
        <f t="shared" si="10"/>
        <v>2977</v>
      </c>
      <c r="T142" s="41">
        <f t="shared" si="11"/>
        <v>0</v>
      </c>
      <c r="V142" s="41"/>
    </row>
    <row r="143" spans="1:22" s="25" customFormat="1" ht="12.75" x14ac:dyDescent="0.2">
      <c r="A143" s="19" t="str">
        <f>Data!B138</f>
        <v>2988</v>
      </c>
      <c r="B143" s="20" t="str">
        <f>INDEX(Data[],MATCH($A143,Data[Dist],0),MATCH(B$6,Data[#Headers],0))</f>
        <v>Hinton</v>
      </c>
      <c r="C143" s="21">
        <f>INDEX(Data[],MATCH($A143,Data[Dist],0),MATCH(C$6,Data[#Headers],0))</f>
        <v>396649</v>
      </c>
      <c r="D143" s="21">
        <f>INDEX(Data[],MATCH($A143,Data[Dist],0),MATCH(D$6,Data[#Headers],0))</f>
        <v>394538</v>
      </c>
      <c r="E143" s="21">
        <f>INDEX(Data[],MATCH($A143,Data[Dist],0),MATCH(E$6,Data[#Headers],0))</f>
        <v>394538</v>
      </c>
      <c r="F143" s="21">
        <f>INDEX(Data[],MATCH($A143,Data[Dist],0),MATCH(F$6,Data[#Headers],0))</f>
        <v>394538</v>
      </c>
      <c r="G143" s="21">
        <f>INDEX(Data[],MATCH($A143,Data[Dist],0),MATCH(G$6,Data[#Headers],0))</f>
        <v>1981134</v>
      </c>
      <c r="H143" s="21">
        <f>INDEX(Data[],MATCH($A143,Data[Dist],0),MATCH(H$6,Data[#Headers],0))-G143</f>
        <v>1972690</v>
      </c>
      <c r="I143" s="24"/>
      <c r="J143" s="21">
        <f>INDEX(Notes!$I$2:$N$11,MATCH(Notes!$B$2,Notes!$I$2:$I$11,0),4)*$C143</f>
        <v>1586596</v>
      </c>
      <c r="K143" s="21">
        <f>INDEX(Notes!$I$2:$N$11,MATCH(Notes!$B$2,Notes!$I$2:$I$11,0),5)*$D143</f>
        <v>394538</v>
      </c>
      <c r="L143" s="21">
        <f>INDEX(Notes!$I$2:$N$11,MATCH(Notes!$B$2,Notes!$I$2:$I$11,0),6)*$E143</f>
        <v>0</v>
      </c>
      <c r="M143" s="21">
        <f>IF(Notes!$B$2="June",'Payment Total'!$F143,0)</f>
        <v>0</v>
      </c>
      <c r="N143" s="21">
        <f t="shared" si="8"/>
        <v>0</v>
      </c>
      <c r="P143" s="25" t="s">
        <v>966</v>
      </c>
      <c r="Q143" s="25">
        <v>394538</v>
      </c>
      <c r="R143" s="20" t="str">
        <f t="shared" si="9"/>
        <v>2988</v>
      </c>
      <c r="S143" s="20" t="str">
        <f t="shared" si="10"/>
        <v>2988</v>
      </c>
      <c r="T143" s="41">
        <f t="shared" si="11"/>
        <v>0</v>
      </c>
      <c r="V143" s="41"/>
    </row>
    <row r="144" spans="1:22" s="25" customFormat="1" ht="12.75" x14ac:dyDescent="0.2">
      <c r="A144" s="19" t="str">
        <f>Data!B139</f>
        <v>3029</v>
      </c>
      <c r="B144" s="20" t="str">
        <f>INDEX(Data[],MATCH($A144,Data[Dist],0),MATCH(B$6,Data[#Headers],0))</f>
        <v>Howard-Winneshiek</v>
      </c>
      <c r="C144" s="21">
        <f>INDEX(Data[],MATCH($A144,Data[Dist],0),MATCH(C$6,Data[#Headers],0))</f>
        <v>789977</v>
      </c>
      <c r="D144" s="21">
        <f>INDEX(Data[],MATCH($A144,Data[Dist],0),MATCH(D$6,Data[#Headers],0))</f>
        <v>785716</v>
      </c>
      <c r="E144" s="21">
        <f>INDEX(Data[],MATCH($A144,Data[Dist],0),MATCH(E$6,Data[#Headers],0))</f>
        <v>785716</v>
      </c>
      <c r="F144" s="21">
        <f>INDEX(Data[],MATCH($A144,Data[Dist],0),MATCH(F$6,Data[#Headers],0))</f>
        <v>785714</v>
      </c>
      <c r="G144" s="21">
        <f>INDEX(Data[],MATCH($A144,Data[Dist],0),MATCH(G$6,Data[#Headers],0))</f>
        <v>3945624</v>
      </c>
      <c r="H144" s="21">
        <f>INDEX(Data[],MATCH($A144,Data[Dist],0),MATCH(H$6,Data[#Headers],0))-G144</f>
        <v>3928578</v>
      </c>
      <c r="I144" s="24"/>
      <c r="J144" s="21">
        <f>INDEX(Notes!$I$2:$N$11,MATCH(Notes!$B$2,Notes!$I$2:$I$11,0),4)*$C144</f>
        <v>3159908</v>
      </c>
      <c r="K144" s="21">
        <f>INDEX(Notes!$I$2:$N$11,MATCH(Notes!$B$2,Notes!$I$2:$I$11,0),5)*$D144</f>
        <v>785716</v>
      </c>
      <c r="L144" s="21">
        <f>INDEX(Notes!$I$2:$N$11,MATCH(Notes!$B$2,Notes!$I$2:$I$11,0),6)*$E144</f>
        <v>0</v>
      </c>
      <c r="M144" s="21">
        <f>IF(Notes!$B$2="June",'Payment Total'!$F144,0)</f>
        <v>0</v>
      </c>
      <c r="N144" s="21">
        <f t="shared" si="8"/>
        <v>0</v>
      </c>
      <c r="P144" s="25" t="s">
        <v>967</v>
      </c>
      <c r="Q144" s="25">
        <v>785716</v>
      </c>
      <c r="R144" s="20" t="str">
        <f t="shared" si="9"/>
        <v>3029</v>
      </c>
      <c r="S144" s="20" t="str">
        <f t="shared" si="10"/>
        <v>3029</v>
      </c>
      <c r="T144" s="41">
        <f t="shared" si="11"/>
        <v>0</v>
      </c>
      <c r="V144" s="41"/>
    </row>
    <row r="145" spans="1:22" s="25" customFormat="1" ht="12.75" x14ac:dyDescent="0.2">
      <c r="A145" s="19" t="str">
        <f>Data!B140</f>
        <v>3033</v>
      </c>
      <c r="B145" s="20" t="str">
        <f>INDEX(Data[],MATCH($A145,Data[Dist],0),MATCH(B$6,Data[#Headers],0))</f>
        <v>Hubbard-Radcliffe</v>
      </c>
      <c r="C145" s="21">
        <f>INDEX(Data[],MATCH($A145,Data[Dist],0),MATCH(C$6,Data[#Headers],0))</f>
        <v>225206</v>
      </c>
      <c r="D145" s="21">
        <f>INDEX(Data[],MATCH($A145,Data[Dist],0),MATCH(D$6,Data[#Headers],0))</f>
        <v>223661</v>
      </c>
      <c r="E145" s="21">
        <f>INDEX(Data[],MATCH($A145,Data[Dist],0),MATCH(E$6,Data[#Headers],0))</f>
        <v>223662</v>
      </c>
      <c r="F145" s="21">
        <f>INDEX(Data[],MATCH($A145,Data[Dist],0),MATCH(F$6,Data[#Headers],0))</f>
        <v>223660</v>
      </c>
      <c r="G145" s="21">
        <f>INDEX(Data[],MATCH($A145,Data[Dist],0),MATCH(G$6,Data[#Headers],0))</f>
        <v>1124485</v>
      </c>
      <c r="H145" s="21">
        <f>INDEX(Data[],MATCH($A145,Data[Dist],0),MATCH(H$6,Data[#Headers],0))-G145</f>
        <v>1118307</v>
      </c>
      <c r="I145" s="24"/>
      <c r="J145" s="21">
        <f>INDEX(Notes!$I$2:$N$11,MATCH(Notes!$B$2,Notes!$I$2:$I$11,0),4)*$C145</f>
        <v>900824</v>
      </c>
      <c r="K145" s="21">
        <f>INDEX(Notes!$I$2:$N$11,MATCH(Notes!$B$2,Notes!$I$2:$I$11,0),5)*$D145</f>
        <v>223661</v>
      </c>
      <c r="L145" s="21">
        <f>INDEX(Notes!$I$2:$N$11,MATCH(Notes!$B$2,Notes!$I$2:$I$11,0),6)*$E145</f>
        <v>0</v>
      </c>
      <c r="M145" s="21">
        <f>IF(Notes!$B$2="June",'Payment Total'!$F145,0)</f>
        <v>0</v>
      </c>
      <c r="N145" s="21">
        <f t="shared" si="8"/>
        <v>0</v>
      </c>
      <c r="P145" s="25" t="s">
        <v>968</v>
      </c>
      <c r="Q145" s="25">
        <v>223661</v>
      </c>
      <c r="R145" s="20" t="str">
        <f t="shared" si="9"/>
        <v>3033</v>
      </c>
      <c r="S145" s="20" t="str">
        <f t="shared" si="10"/>
        <v>3033</v>
      </c>
      <c r="T145" s="41">
        <f t="shared" si="11"/>
        <v>0</v>
      </c>
      <c r="V145" s="41"/>
    </row>
    <row r="146" spans="1:22" s="25" customFormat="1" ht="12.75" x14ac:dyDescent="0.2">
      <c r="A146" s="19" t="str">
        <f>Data!B141</f>
        <v>3042</v>
      </c>
      <c r="B146" s="20" t="str">
        <f>INDEX(Data[],MATCH($A146,Data[Dist],0),MATCH(B$6,Data[#Headers],0))</f>
        <v>Hudson</v>
      </c>
      <c r="C146" s="21">
        <f>INDEX(Data[],MATCH($A146,Data[Dist],0),MATCH(C$6,Data[#Headers],0))</f>
        <v>600069</v>
      </c>
      <c r="D146" s="21">
        <f>INDEX(Data[],MATCH($A146,Data[Dist],0),MATCH(D$6,Data[#Headers],0))</f>
        <v>597344</v>
      </c>
      <c r="E146" s="21">
        <f>INDEX(Data[],MATCH($A146,Data[Dist],0),MATCH(E$6,Data[#Headers],0))</f>
        <v>597344</v>
      </c>
      <c r="F146" s="21">
        <f>INDEX(Data[],MATCH($A146,Data[Dist],0),MATCH(F$6,Data[#Headers],0))</f>
        <v>597345</v>
      </c>
      <c r="G146" s="21">
        <f>INDEX(Data[],MATCH($A146,Data[Dist],0),MATCH(G$6,Data[#Headers],0))</f>
        <v>2997620</v>
      </c>
      <c r="H146" s="21">
        <f>INDEX(Data[],MATCH($A146,Data[Dist],0),MATCH(H$6,Data[#Headers],0))-G146</f>
        <v>2986721</v>
      </c>
      <c r="I146" s="24"/>
      <c r="J146" s="21">
        <f>INDEX(Notes!$I$2:$N$11,MATCH(Notes!$B$2,Notes!$I$2:$I$11,0),4)*$C146</f>
        <v>2400276</v>
      </c>
      <c r="K146" s="21">
        <f>INDEX(Notes!$I$2:$N$11,MATCH(Notes!$B$2,Notes!$I$2:$I$11,0),5)*$D146</f>
        <v>597344</v>
      </c>
      <c r="L146" s="21">
        <f>INDEX(Notes!$I$2:$N$11,MATCH(Notes!$B$2,Notes!$I$2:$I$11,0),6)*$E146</f>
        <v>0</v>
      </c>
      <c r="M146" s="21">
        <f>IF(Notes!$B$2="June",'Payment Total'!$F146,0)</f>
        <v>0</v>
      </c>
      <c r="N146" s="21">
        <f t="shared" si="8"/>
        <v>0</v>
      </c>
      <c r="P146" s="25" t="s">
        <v>969</v>
      </c>
      <c r="Q146" s="25">
        <v>597344</v>
      </c>
      <c r="R146" s="20" t="str">
        <f t="shared" si="9"/>
        <v>3042</v>
      </c>
      <c r="S146" s="20" t="str">
        <f t="shared" si="10"/>
        <v>3042</v>
      </c>
      <c r="T146" s="41">
        <f t="shared" si="11"/>
        <v>0</v>
      </c>
      <c r="V146" s="41"/>
    </row>
    <row r="147" spans="1:22" s="25" customFormat="1" ht="12.75" x14ac:dyDescent="0.2">
      <c r="A147" s="19" t="str">
        <f>Data!B142</f>
        <v>3060</v>
      </c>
      <c r="B147" s="20" t="str">
        <f>INDEX(Data[],MATCH($A147,Data[Dist],0),MATCH(B$6,Data[#Headers],0))</f>
        <v>Humboldt</v>
      </c>
      <c r="C147" s="21">
        <f>INDEX(Data[],MATCH($A147,Data[Dist],0),MATCH(C$6,Data[#Headers],0))</f>
        <v>854133</v>
      </c>
      <c r="D147" s="21">
        <f>INDEX(Data[],MATCH($A147,Data[Dist],0),MATCH(D$6,Data[#Headers],0))</f>
        <v>849573</v>
      </c>
      <c r="E147" s="21">
        <f>INDEX(Data[],MATCH($A147,Data[Dist],0),MATCH(E$6,Data[#Headers],0))</f>
        <v>849573</v>
      </c>
      <c r="F147" s="21">
        <f>INDEX(Data[],MATCH($A147,Data[Dist],0),MATCH(F$6,Data[#Headers],0))</f>
        <v>849572</v>
      </c>
      <c r="G147" s="21">
        <f>INDEX(Data[],MATCH($A147,Data[Dist],0),MATCH(G$6,Data[#Headers],0))</f>
        <v>4266105</v>
      </c>
      <c r="H147" s="21">
        <f>INDEX(Data[],MATCH($A147,Data[Dist],0),MATCH(H$6,Data[#Headers],0))-G147</f>
        <v>4247864</v>
      </c>
      <c r="I147" s="24"/>
      <c r="J147" s="21">
        <f>INDEX(Notes!$I$2:$N$11,MATCH(Notes!$B$2,Notes!$I$2:$I$11,0),4)*$C147</f>
        <v>3416532</v>
      </c>
      <c r="K147" s="21">
        <f>INDEX(Notes!$I$2:$N$11,MATCH(Notes!$B$2,Notes!$I$2:$I$11,0),5)*$D147</f>
        <v>849573</v>
      </c>
      <c r="L147" s="21">
        <f>INDEX(Notes!$I$2:$N$11,MATCH(Notes!$B$2,Notes!$I$2:$I$11,0),6)*$E147</f>
        <v>0</v>
      </c>
      <c r="M147" s="21">
        <f>IF(Notes!$B$2="June",'Payment Total'!$F147,0)</f>
        <v>0</v>
      </c>
      <c r="N147" s="21">
        <f t="shared" si="8"/>
        <v>0</v>
      </c>
      <c r="P147" s="25" t="s">
        <v>970</v>
      </c>
      <c r="Q147" s="25">
        <v>849573</v>
      </c>
      <c r="R147" s="20" t="str">
        <f t="shared" si="9"/>
        <v>3060</v>
      </c>
      <c r="S147" s="20" t="str">
        <f t="shared" si="10"/>
        <v>3060</v>
      </c>
      <c r="T147" s="41">
        <f t="shared" si="11"/>
        <v>0</v>
      </c>
      <c r="V147" s="41"/>
    </row>
    <row r="148" spans="1:22" s="25" customFormat="1" ht="12.75" x14ac:dyDescent="0.2">
      <c r="A148" s="19" t="str">
        <f>Data!B143</f>
        <v>3105</v>
      </c>
      <c r="B148" s="20" t="str">
        <f>INDEX(Data[],MATCH($A148,Data[Dist],0),MATCH(B$6,Data[#Headers],0))</f>
        <v>Independence</v>
      </c>
      <c r="C148" s="21">
        <f>INDEX(Data[],MATCH($A148,Data[Dist],0),MATCH(C$6,Data[#Headers],0))</f>
        <v>1065586</v>
      </c>
      <c r="D148" s="21">
        <f>INDEX(Data[],MATCH($A148,Data[Dist],0),MATCH(D$6,Data[#Headers],0))</f>
        <v>1060414</v>
      </c>
      <c r="E148" s="21">
        <f>INDEX(Data[],MATCH($A148,Data[Dist],0),MATCH(E$6,Data[#Headers],0))</f>
        <v>1060415</v>
      </c>
      <c r="F148" s="21">
        <f>INDEX(Data[],MATCH($A148,Data[Dist],0),MATCH(F$6,Data[#Headers],0))</f>
        <v>1060413</v>
      </c>
      <c r="G148" s="21">
        <f>INDEX(Data[],MATCH($A148,Data[Dist],0),MATCH(G$6,Data[#Headers],0))</f>
        <v>5322758</v>
      </c>
      <c r="H148" s="21">
        <f>INDEX(Data[],MATCH($A148,Data[Dist],0),MATCH(H$6,Data[#Headers],0))-G148</f>
        <v>5302072</v>
      </c>
      <c r="I148" s="24"/>
      <c r="J148" s="21">
        <f>INDEX(Notes!$I$2:$N$11,MATCH(Notes!$B$2,Notes!$I$2:$I$11,0),4)*$C148</f>
        <v>4262344</v>
      </c>
      <c r="K148" s="21">
        <f>INDEX(Notes!$I$2:$N$11,MATCH(Notes!$B$2,Notes!$I$2:$I$11,0),5)*$D148</f>
        <v>1060414</v>
      </c>
      <c r="L148" s="21">
        <f>INDEX(Notes!$I$2:$N$11,MATCH(Notes!$B$2,Notes!$I$2:$I$11,0),6)*$E148</f>
        <v>0</v>
      </c>
      <c r="M148" s="21">
        <f>IF(Notes!$B$2="June",'Payment Total'!$F148,0)</f>
        <v>0</v>
      </c>
      <c r="N148" s="21">
        <f t="shared" si="8"/>
        <v>0</v>
      </c>
      <c r="P148" s="25" t="s">
        <v>971</v>
      </c>
      <c r="Q148" s="25">
        <v>1060414</v>
      </c>
      <c r="R148" s="20" t="str">
        <f t="shared" si="9"/>
        <v>3105</v>
      </c>
      <c r="S148" s="20" t="str">
        <f t="shared" si="10"/>
        <v>3105</v>
      </c>
      <c r="T148" s="41">
        <f t="shared" si="11"/>
        <v>0</v>
      </c>
      <c r="V148" s="41"/>
    </row>
    <row r="149" spans="1:22" s="25" customFormat="1" ht="12.75" x14ac:dyDescent="0.2">
      <c r="A149" s="19" t="str">
        <f>Data!B144</f>
        <v>3114</v>
      </c>
      <c r="B149" s="20" t="str">
        <f>INDEX(Data[],MATCH($A149,Data[Dist],0),MATCH(B$6,Data[#Headers],0))</f>
        <v>Indianola</v>
      </c>
      <c r="C149" s="21">
        <f>INDEX(Data[],MATCH($A149,Data[Dist],0),MATCH(C$6,Data[#Headers],0))</f>
        <v>2726296</v>
      </c>
      <c r="D149" s="21">
        <f>INDEX(Data[],MATCH($A149,Data[Dist],0),MATCH(D$6,Data[#Headers],0))</f>
        <v>2713447</v>
      </c>
      <c r="E149" s="21">
        <f>INDEX(Data[],MATCH($A149,Data[Dist],0),MATCH(E$6,Data[#Headers],0))</f>
        <v>2713446</v>
      </c>
      <c r="F149" s="21">
        <f>INDEX(Data[],MATCH($A149,Data[Dist],0),MATCH(F$6,Data[#Headers],0))</f>
        <v>2713447</v>
      </c>
      <c r="G149" s="21">
        <f>INDEX(Data[],MATCH($A149,Data[Dist],0),MATCH(G$6,Data[#Headers],0))</f>
        <v>13618631</v>
      </c>
      <c r="H149" s="21">
        <f>INDEX(Data[],MATCH($A149,Data[Dist],0),MATCH(H$6,Data[#Headers],0))-G149</f>
        <v>13567232</v>
      </c>
      <c r="I149" s="24"/>
      <c r="J149" s="21">
        <f>INDEX(Notes!$I$2:$N$11,MATCH(Notes!$B$2,Notes!$I$2:$I$11,0),4)*$C149</f>
        <v>10905184</v>
      </c>
      <c r="K149" s="21">
        <f>INDEX(Notes!$I$2:$N$11,MATCH(Notes!$B$2,Notes!$I$2:$I$11,0),5)*$D149</f>
        <v>2713447</v>
      </c>
      <c r="L149" s="21">
        <f>INDEX(Notes!$I$2:$N$11,MATCH(Notes!$B$2,Notes!$I$2:$I$11,0),6)*$E149</f>
        <v>0</v>
      </c>
      <c r="M149" s="21">
        <f>IF(Notes!$B$2="June",'Payment Total'!$F149,0)</f>
        <v>0</v>
      </c>
      <c r="N149" s="21">
        <f t="shared" si="8"/>
        <v>0</v>
      </c>
      <c r="P149" s="25" t="s">
        <v>972</v>
      </c>
      <c r="Q149" s="25">
        <v>2713447</v>
      </c>
      <c r="R149" s="20" t="str">
        <f t="shared" si="9"/>
        <v>3114</v>
      </c>
      <c r="S149" s="20" t="str">
        <f t="shared" si="10"/>
        <v>3114</v>
      </c>
      <c r="T149" s="41">
        <f t="shared" si="11"/>
        <v>0</v>
      </c>
      <c r="V149" s="41"/>
    </row>
    <row r="150" spans="1:22" s="25" customFormat="1" ht="12.75" x14ac:dyDescent="0.2">
      <c r="A150" s="19" t="str">
        <f>Data!B145</f>
        <v>3119</v>
      </c>
      <c r="B150" s="20" t="str">
        <f>INDEX(Data[],MATCH($A150,Data[Dist],0),MATCH(B$6,Data[#Headers],0))</f>
        <v>Interstate 35</v>
      </c>
      <c r="C150" s="21">
        <f>INDEX(Data[],MATCH($A150,Data[Dist],0),MATCH(C$6,Data[#Headers],0))</f>
        <v>631207</v>
      </c>
      <c r="D150" s="21">
        <f>INDEX(Data[],MATCH($A150,Data[Dist],0),MATCH(D$6,Data[#Headers],0))</f>
        <v>628109</v>
      </c>
      <c r="E150" s="21">
        <f>INDEX(Data[],MATCH($A150,Data[Dist],0),MATCH(E$6,Data[#Headers],0))</f>
        <v>628109</v>
      </c>
      <c r="F150" s="21">
        <f>INDEX(Data[],MATCH($A150,Data[Dist],0),MATCH(F$6,Data[#Headers],0))</f>
        <v>628108</v>
      </c>
      <c r="G150" s="21">
        <f>INDEX(Data[],MATCH($A150,Data[Dist],0),MATCH(G$6,Data[#Headers],0))</f>
        <v>3152937</v>
      </c>
      <c r="H150" s="21">
        <f>INDEX(Data[],MATCH($A150,Data[Dist],0),MATCH(H$6,Data[#Headers],0))-G150</f>
        <v>3140544</v>
      </c>
      <c r="I150" s="24"/>
      <c r="J150" s="21">
        <f>INDEX(Notes!$I$2:$N$11,MATCH(Notes!$B$2,Notes!$I$2:$I$11,0),4)*$C150</f>
        <v>2524828</v>
      </c>
      <c r="K150" s="21">
        <f>INDEX(Notes!$I$2:$N$11,MATCH(Notes!$B$2,Notes!$I$2:$I$11,0),5)*$D150</f>
        <v>628109</v>
      </c>
      <c r="L150" s="21">
        <f>INDEX(Notes!$I$2:$N$11,MATCH(Notes!$B$2,Notes!$I$2:$I$11,0),6)*$E150</f>
        <v>0</v>
      </c>
      <c r="M150" s="21">
        <f>IF(Notes!$B$2="June",'Payment Total'!$F150,0)</f>
        <v>0</v>
      </c>
      <c r="N150" s="21">
        <f t="shared" si="8"/>
        <v>0</v>
      </c>
      <c r="P150" s="25" t="s">
        <v>973</v>
      </c>
      <c r="Q150" s="25">
        <v>628109</v>
      </c>
      <c r="R150" s="20" t="str">
        <f t="shared" si="9"/>
        <v>3119</v>
      </c>
      <c r="S150" s="20" t="str">
        <f t="shared" si="10"/>
        <v>3119</v>
      </c>
      <c r="T150" s="41">
        <f t="shared" si="11"/>
        <v>0</v>
      </c>
      <c r="V150" s="41"/>
    </row>
    <row r="151" spans="1:22" s="25" customFormat="1" ht="12.75" x14ac:dyDescent="0.2">
      <c r="A151" s="19" t="str">
        <f>Data!B146</f>
        <v>3141</v>
      </c>
      <c r="B151" s="20" t="str">
        <f>INDEX(Data[],MATCH($A151,Data[Dist],0),MATCH(B$6,Data[#Headers],0))</f>
        <v>Iowa City</v>
      </c>
      <c r="C151" s="21">
        <f>INDEX(Data[],MATCH($A151,Data[Dist],0),MATCH(C$6,Data[#Headers],0))</f>
        <v>9599202</v>
      </c>
      <c r="D151" s="21">
        <f>INDEX(Data[],MATCH($A151,Data[Dist],0),MATCH(D$6,Data[#Headers],0))</f>
        <v>9545219</v>
      </c>
      <c r="E151" s="21">
        <f>INDEX(Data[],MATCH($A151,Data[Dist],0),MATCH(E$6,Data[#Headers],0))</f>
        <v>9545219</v>
      </c>
      <c r="F151" s="21">
        <f>INDEX(Data[],MATCH($A151,Data[Dist],0),MATCH(F$6,Data[#Headers],0))</f>
        <v>9545219</v>
      </c>
      <c r="G151" s="21">
        <f>INDEX(Data[],MATCH($A151,Data[Dist],0),MATCH(G$6,Data[#Headers],0))</f>
        <v>47942027</v>
      </c>
      <c r="H151" s="21">
        <f>INDEX(Data[],MATCH($A151,Data[Dist],0),MATCH(H$6,Data[#Headers],0))-G151</f>
        <v>47726095</v>
      </c>
      <c r="I151" s="24"/>
      <c r="J151" s="21">
        <f>INDEX(Notes!$I$2:$N$11,MATCH(Notes!$B$2,Notes!$I$2:$I$11,0),4)*$C151</f>
        <v>38396808</v>
      </c>
      <c r="K151" s="21">
        <f>INDEX(Notes!$I$2:$N$11,MATCH(Notes!$B$2,Notes!$I$2:$I$11,0),5)*$D151</f>
        <v>9545219</v>
      </c>
      <c r="L151" s="21">
        <f>INDEX(Notes!$I$2:$N$11,MATCH(Notes!$B$2,Notes!$I$2:$I$11,0),6)*$E151</f>
        <v>0</v>
      </c>
      <c r="M151" s="21">
        <f>IF(Notes!$B$2="June",'Payment Total'!$F151,0)</f>
        <v>0</v>
      </c>
      <c r="N151" s="21">
        <f t="shared" si="8"/>
        <v>0</v>
      </c>
      <c r="P151" s="25" t="s">
        <v>974</v>
      </c>
      <c r="Q151" s="25">
        <v>9545219</v>
      </c>
      <c r="R151" s="20" t="str">
        <f t="shared" si="9"/>
        <v>3141</v>
      </c>
      <c r="S151" s="20" t="str">
        <f t="shared" si="10"/>
        <v>3141</v>
      </c>
      <c r="T151" s="41">
        <f t="shared" si="11"/>
        <v>0</v>
      </c>
      <c r="V151" s="41"/>
    </row>
    <row r="152" spans="1:22" s="25" customFormat="1" ht="12.75" x14ac:dyDescent="0.2">
      <c r="A152" s="19" t="str">
        <f>Data!B147</f>
        <v>3150</v>
      </c>
      <c r="B152" s="20" t="str">
        <f>INDEX(Data[],MATCH($A152,Data[Dist],0),MATCH(B$6,Data[#Headers],0))</f>
        <v>Iowa Falls</v>
      </c>
      <c r="C152" s="21">
        <f>INDEX(Data[],MATCH($A152,Data[Dist],0),MATCH(C$6,Data[#Headers],0))</f>
        <v>736434</v>
      </c>
      <c r="D152" s="21">
        <f>INDEX(Data[],MATCH($A152,Data[Dist],0),MATCH(D$6,Data[#Headers],0))</f>
        <v>732666</v>
      </c>
      <c r="E152" s="21">
        <f>INDEX(Data[],MATCH($A152,Data[Dist],0),MATCH(E$6,Data[#Headers],0))</f>
        <v>732667</v>
      </c>
      <c r="F152" s="21">
        <f>INDEX(Data[],MATCH($A152,Data[Dist],0),MATCH(F$6,Data[#Headers],0))</f>
        <v>732665</v>
      </c>
      <c r="G152" s="21">
        <f>INDEX(Data[],MATCH($A152,Data[Dist],0),MATCH(G$6,Data[#Headers],0))</f>
        <v>3678402</v>
      </c>
      <c r="H152" s="21">
        <f>INDEX(Data[],MATCH($A152,Data[Dist],0),MATCH(H$6,Data[#Headers],0))-G152</f>
        <v>3663332</v>
      </c>
      <c r="I152" s="24"/>
      <c r="J152" s="21">
        <f>INDEX(Notes!$I$2:$N$11,MATCH(Notes!$B$2,Notes!$I$2:$I$11,0),4)*$C152</f>
        <v>2945736</v>
      </c>
      <c r="K152" s="21">
        <f>INDEX(Notes!$I$2:$N$11,MATCH(Notes!$B$2,Notes!$I$2:$I$11,0),5)*$D152</f>
        <v>732666</v>
      </c>
      <c r="L152" s="21">
        <f>INDEX(Notes!$I$2:$N$11,MATCH(Notes!$B$2,Notes!$I$2:$I$11,0),6)*$E152</f>
        <v>0</v>
      </c>
      <c r="M152" s="21">
        <f>IF(Notes!$B$2="June",'Payment Total'!$F152,0)</f>
        <v>0</v>
      </c>
      <c r="N152" s="21">
        <f>SUM(J152:M152)-G152</f>
        <v>0</v>
      </c>
      <c r="P152" s="25" t="s">
        <v>975</v>
      </c>
      <c r="Q152" s="25">
        <v>732666</v>
      </c>
      <c r="R152" s="20" t="str">
        <f t="shared" si="9"/>
        <v>3150</v>
      </c>
      <c r="S152" s="20" t="str">
        <f t="shared" si="10"/>
        <v>3150</v>
      </c>
      <c r="T152" s="41">
        <f t="shared" si="11"/>
        <v>0</v>
      </c>
      <c r="V152" s="41"/>
    </row>
    <row r="153" spans="1:22" s="25" customFormat="1" ht="12.75" x14ac:dyDescent="0.2">
      <c r="A153" s="19" t="str">
        <f>Data!B148</f>
        <v>3154</v>
      </c>
      <c r="B153" s="20" t="str">
        <f>INDEX(Data[],MATCH($A153,Data[Dist],0),MATCH(B$6,Data[#Headers],0))</f>
        <v>Iowa Valley</v>
      </c>
      <c r="C153" s="21">
        <f>INDEX(Data[],MATCH($A153,Data[Dist],0),MATCH(C$6,Data[#Headers],0))</f>
        <v>403489</v>
      </c>
      <c r="D153" s="21">
        <f>INDEX(Data[],MATCH($A153,Data[Dist],0),MATCH(D$6,Data[#Headers],0))</f>
        <v>401595</v>
      </c>
      <c r="E153" s="21">
        <f>INDEX(Data[],MATCH($A153,Data[Dist],0),MATCH(E$6,Data[#Headers],0))</f>
        <v>401594</v>
      </c>
      <c r="F153" s="21">
        <f>INDEX(Data[],MATCH($A153,Data[Dist],0),MATCH(F$6,Data[#Headers],0))</f>
        <v>401595</v>
      </c>
      <c r="G153" s="21">
        <f>INDEX(Data[],MATCH($A153,Data[Dist],0),MATCH(G$6,Data[#Headers],0))</f>
        <v>2015551</v>
      </c>
      <c r="H153" s="21">
        <f>INDEX(Data[],MATCH($A153,Data[Dist],0),MATCH(H$6,Data[#Headers],0))-G153</f>
        <v>2007972</v>
      </c>
      <c r="I153" s="24"/>
      <c r="J153" s="21">
        <f>INDEX(Notes!$I$2:$N$11,MATCH(Notes!$B$2,Notes!$I$2:$I$11,0),4)*$C153</f>
        <v>1613956</v>
      </c>
      <c r="K153" s="21">
        <f>INDEX(Notes!$I$2:$N$11,MATCH(Notes!$B$2,Notes!$I$2:$I$11,0),5)*$D153</f>
        <v>401595</v>
      </c>
      <c r="L153" s="21">
        <f>INDEX(Notes!$I$2:$N$11,MATCH(Notes!$B$2,Notes!$I$2:$I$11,0),6)*$E153</f>
        <v>0</v>
      </c>
      <c r="M153" s="21">
        <f>IF(Notes!$B$2="June",'Payment Total'!$F153,0)</f>
        <v>0</v>
      </c>
      <c r="N153" s="21">
        <f t="shared" si="8"/>
        <v>0</v>
      </c>
      <c r="P153" s="25" t="s">
        <v>976</v>
      </c>
      <c r="Q153" s="25">
        <v>401595</v>
      </c>
      <c r="R153" s="20" t="str">
        <f t="shared" si="9"/>
        <v>3154</v>
      </c>
      <c r="S153" s="20" t="str">
        <f t="shared" si="10"/>
        <v>3154</v>
      </c>
      <c r="T153" s="41">
        <f t="shared" si="11"/>
        <v>0</v>
      </c>
      <c r="V153" s="41"/>
    </row>
    <row r="154" spans="1:22" s="25" customFormat="1" ht="12.75" x14ac:dyDescent="0.2">
      <c r="A154" s="19" t="str">
        <f>Data!B149</f>
        <v>3168</v>
      </c>
      <c r="B154" s="20" t="str">
        <f>INDEX(Data[],MATCH($A154,Data[Dist],0),MATCH(B$6,Data[#Headers],0))</f>
        <v>IKM-Manning</v>
      </c>
      <c r="C154" s="21">
        <f>INDEX(Data[],MATCH($A154,Data[Dist],0),MATCH(C$6,Data[#Headers],0))</f>
        <v>410463</v>
      </c>
      <c r="D154" s="21">
        <f>INDEX(Data[],MATCH($A154,Data[Dist],0),MATCH(D$6,Data[#Headers],0))</f>
        <v>407939</v>
      </c>
      <c r="E154" s="21">
        <f>INDEX(Data[],MATCH($A154,Data[Dist],0),MATCH(E$6,Data[#Headers],0))</f>
        <v>407939</v>
      </c>
      <c r="F154" s="21">
        <f>INDEX(Data[],MATCH($A154,Data[Dist],0),MATCH(F$6,Data[#Headers],0))</f>
        <v>407940</v>
      </c>
      <c r="G154" s="21">
        <f>INDEX(Data[],MATCH($A154,Data[Dist],0),MATCH(G$6,Data[#Headers],0))</f>
        <v>2049791</v>
      </c>
      <c r="H154" s="21">
        <f>INDEX(Data[],MATCH($A154,Data[Dist],0),MATCH(H$6,Data[#Headers],0))-G154</f>
        <v>2039696</v>
      </c>
      <c r="I154" s="24"/>
      <c r="J154" s="21">
        <f>INDEX(Notes!$I$2:$N$11,MATCH(Notes!$B$2,Notes!$I$2:$I$11,0),4)*$C154</f>
        <v>1641852</v>
      </c>
      <c r="K154" s="21">
        <f>INDEX(Notes!$I$2:$N$11,MATCH(Notes!$B$2,Notes!$I$2:$I$11,0),5)*$D154</f>
        <v>407939</v>
      </c>
      <c r="L154" s="21">
        <f>INDEX(Notes!$I$2:$N$11,MATCH(Notes!$B$2,Notes!$I$2:$I$11,0),6)*$E154</f>
        <v>0</v>
      </c>
      <c r="M154" s="21">
        <f>IF(Notes!$B$2="June",'Payment Total'!$F154,0)</f>
        <v>0</v>
      </c>
      <c r="N154" s="21">
        <f t="shared" si="8"/>
        <v>0</v>
      </c>
      <c r="P154" s="25" t="s">
        <v>977</v>
      </c>
      <c r="Q154" s="25">
        <v>407939</v>
      </c>
      <c r="R154" s="20" t="str">
        <f t="shared" si="9"/>
        <v>3168</v>
      </c>
      <c r="S154" s="20" t="str">
        <f t="shared" si="10"/>
        <v>3168</v>
      </c>
      <c r="T154" s="41">
        <f t="shared" si="11"/>
        <v>0</v>
      </c>
      <c r="V154" s="41"/>
    </row>
    <row r="155" spans="1:22" s="25" customFormat="1" ht="12.75" x14ac:dyDescent="0.2">
      <c r="A155" s="19" t="str">
        <f>Data!B150</f>
        <v>3186</v>
      </c>
      <c r="B155" s="20" t="str">
        <f>INDEX(Data[],MATCH($A155,Data[Dist],0),MATCH(B$6,Data[#Headers],0))</f>
        <v>Janesville</v>
      </c>
      <c r="C155" s="21">
        <f>INDEX(Data[],MATCH($A155,Data[Dist],0),MATCH(C$6,Data[#Headers],0))</f>
        <v>345059</v>
      </c>
      <c r="D155" s="21">
        <f>INDEX(Data[],MATCH($A155,Data[Dist],0),MATCH(D$6,Data[#Headers],0))</f>
        <v>343450</v>
      </c>
      <c r="E155" s="21">
        <f>INDEX(Data[],MATCH($A155,Data[Dist],0),MATCH(E$6,Data[#Headers],0))</f>
        <v>343450</v>
      </c>
      <c r="F155" s="21">
        <f>INDEX(Data[],MATCH($A155,Data[Dist],0),MATCH(F$6,Data[#Headers],0))</f>
        <v>343450</v>
      </c>
      <c r="G155" s="21">
        <f>INDEX(Data[],MATCH($A155,Data[Dist],0),MATCH(G$6,Data[#Headers],0))</f>
        <v>1723686</v>
      </c>
      <c r="H155" s="21">
        <f>INDEX(Data[],MATCH($A155,Data[Dist],0),MATCH(H$6,Data[#Headers],0))-G155</f>
        <v>1717250</v>
      </c>
      <c r="I155" s="24"/>
      <c r="J155" s="21">
        <f>INDEX(Notes!$I$2:$N$11,MATCH(Notes!$B$2,Notes!$I$2:$I$11,0),4)*$C155</f>
        <v>1380236</v>
      </c>
      <c r="K155" s="21">
        <f>INDEX(Notes!$I$2:$N$11,MATCH(Notes!$B$2,Notes!$I$2:$I$11,0),5)*$D155</f>
        <v>343450</v>
      </c>
      <c r="L155" s="21">
        <f>INDEX(Notes!$I$2:$N$11,MATCH(Notes!$B$2,Notes!$I$2:$I$11,0),6)*$E155</f>
        <v>0</v>
      </c>
      <c r="M155" s="21">
        <f>IF(Notes!$B$2="June",'Payment Total'!$F155,0)</f>
        <v>0</v>
      </c>
      <c r="N155" s="21">
        <f t="shared" si="8"/>
        <v>0</v>
      </c>
      <c r="P155" s="25" t="s">
        <v>978</v>
      </c>
      <c r="Q155" s="25">
        <v>343450</v>
      </c>
      <c r="R155" s="20" t="str">
        <f t="shared" si="9"/>
        <v>3186</v>
      </c>
      <c r="S155" s="20" t="str">
        <f t="shared" si="10"/>
        <v>3186</v>
      </c>
      <c r="T155" s="41">
        <f t="shared" si="11"/>
        <v>0</v>
      </c>
      <c r="V155" s="41"/>
    </row>
    <row r="156" spans="1:22" s="25" customFormat="1" ht="12.75" x14ac:dyDescent="0.2">
      <c r="A156" s="19" t="str">
        <f>Data!B151</f>
        <v>3195</v>
      </c>
      <c r="B156" s="20" t="str">
        <f>INDEX(Data[],MATCH($A156,Data[Dist],0),MATCH(B$6,Data[#Headers],0))</f>
        <v>Greene County</v>
      </c>
      <c r="C156" s="21">
        <f>INDEX(Data[],MATCH($A156,Data[Dist],0),MATCH(C$6,Data[#Headers],0))</f>
        <v>773027</v>
      </c>
      <c r="D156" s="21">
        <f>INDEX(Data[],MATCH($A156,Data[Dist],0),MATCH(D$6,Data[#Headers],0))</f>
        <v>768589</v>
      </c>
      <c r="E156" s="21">
        <f>INDEX(Data[],MATCH($A156,Data[Dist],0),MATCH(E$6,Data[#Headers],0))</f>
        <v>768588</v>
      </c>
      <c r="F156" s="21">
        <f>INDEX(Data[],MATCH($A156,Data[Dist],0),MATCH(F$6,Data[#Headers],0))</f>
        <v>768589</v>
      </c>
      <c r="G156" s="21">
        <f>INDEX(Data[],MATCH($A156,Data[Dist],0),MATCH(G$6,Data[#Headers],0))</f>
        <v>3860697</v>
      </c>
      <c r="H156" s="21">
        <f>INDEX(Data[],MATCH($A156,Data[Dist],0),MATCH(H$6,Data[#Headers],0))-G156</f>
        <v>3842942</v>
      </c>
      <c r="I156" s="24"/>
      <c r="J156" s="21">
        <f>INDEX(Notes!$I$2:$N$11,MATCH(Notes!$B$2,Notes!$I$2:$I$11,0),4)*$C156</f>
        <v>3092108</v>
      </c>
      <c r="K156" s="21">
        <f>INDEX(Notes!$I$2:$N$11,MATCH(Notes!$B$2,Notes!$I$2:$I$11,0),5)*$D156</f>
        <v>768589</v>
      </c>
      <c r="L156" s="21">
        <f>INDEX(Notes!$I$2:$N$11,MATCH(Notes!$B$2,Notes!$I$2:$I$11,0),6)*$E156</f>
        <v>0</v>
      </c>
      <c r="M156" s="21">
        <f>IF(Notes!$B$2="June",'Payment Total'!$F156,0)</f>
        <v>0</v>
      </c>
      <c r="N156" s="21">
        <f t="shared" si="8"/>
        <v>0</v>
      </c>
      <c r="P156" s="25" t="s">
        <v>979</v>
      </c>
      <c r="Q156" s="25">
        <v>768589</v>
      </c>
      <c r="R156" s="20" t="str">
        <f t="shared" si="9"/>
        <v>3195</v>
      </c>
      <c r="S156" s="20" t="str">
        <f t="shared" si="10"/>
        <v>3195</v>
      </c>
      <c r="T156" s="41">
        <f t="shared" si="11"/>
        <v>0</v>
      </c>
      <c r="V156" s="41"/>
    </row>
    <row r="157" spans="1:22" s="25" customFormat="1" ht="12.75" x14ac:dyDescent="0.2">
      <c r="A157" s="19" t="str">
        <f>Data!B152</f>
        <v>3204</v>
      </c>
      <c r="B157" s="20" t="str">
        <f>INDEX(Data[],MATCH($A157,Data[Dist],0),MATCH(B$6,Data[#Headers],0))</f>
        <v>Jesup</v>
      </c>
      <c r="C157" s="21">
        <f>INDEX(Data[],MATCH($A157,Data[Dist],0),MATCH(C$6,Data[#Headers],0))</f>
        <v>683110</v>
      </c>
      <c r="D157" s="21">
        <f>INDEX(Data[],MATCH($A157,Data[Dist],0),MATCH(D$6,Data[#Headers],0))</f>
        <v>679830</v>
      </c>
      <c r="E157" s="21">
        <f>INDEX(Data[],MATCH($A157,Data[Dist],0),MATCH(E$6,Data[#Headers],0))</f>
        <v>679830</v>
      </c>
      <c r="F157" s="21">
        <f>INDEX(Data[],MATCH($A157,Data[Dist],0),MATCH(F$6,Data[#Headers],0))</f>
        <v>679829</v>
      </c>
      <c r="G157" s="21">
        <f>INDEX(Data[],MATCH($A157,Data[Dist],0),MATCH(G$6,Data[#Headers],0))</f>
        <v>3412270</v>
      </c>
      <c r="H157" s="21">
        <f>INDEX(Data[],MATCH($A157,Data[Dist],0),MATCH(H$6,Data[#Headers],0))-G157</f>
        <v>3399149</v>
      </c>
      <c r="I157" s="24"/>
      <c r="J157" s="21">
        <f>INDEX(Notes!$I$2:$N$11,MATCH(Notes!$B$2,Notes!$I$2:$I$11,0),4)*$C157</f>
        <v>2732440</v>
      </c>
      <c r="K157" s="21">
        <f>INDEX(Notes!$I$2:$N$11,MATCH(Notes!$B$2,Notes!$I$2:$I$11,0),5)*$D157</f>
        <v>679830</v>
      </c>
      <c r="L157" s="21">
        <f>INDEX(Notes!$I$2:$N$11,MATCH(Notes!$B$2,Notes!$I$2:$I$11,0),6)*$E157</f>
        <v>0</v>
      </c>
      <c r="M157" s="21">
        <f>IF(Notes!$B$2="June",'Payment Total'!$F157,0)</f>
        <v>0</v>
      </c>
      <c r="N157" s="21">
        <f t="shared" si="8"/>
        <v>0</v>
      </c>
      <c r="P157" s="25" t="s">
        <v>980</v>
      </c>
      <c r="Q157" s="25">
        <v>679830</v>
      </c>
      <c r="R157" s="20" t="str">
        <f t="shared" si="9"/>
        <v>3204</v>
      </c>
      <c r="S157" s="20" t="str">
        <f t="shared" si="10"/>
        <v>3204</v>
      </c>
      <c r="T157" s="41">
        <f t="shared" si="11"/>
        <v>0</v>
      </c>
      <c r="V157" s="41"/>
    </row>
    <row r="158" spans="1:22" s="25" customFormat="1" ht="12.75" x14ac:dyDescent="0.2">
      <c r="A158" s="19" t="str">
        <f>Data!B153</f>
        <v>3231</v>
      </c>
      <c r="B158" s="20" t="str">
        <f>INDEX(Data[],MATCH($A158,Data[Dist],0),MATCH(B$6,Data[#Headers],0))</f>
        <v>Johnston</v>
      </c>
      <c r="C158" s="21">
        <f>INDEX(Data[],MATCH($A158,Data[Dist],0),MATCH(C$6,Data[#Headers],0))</f>
        <v>4922201</v>
      </c>
      <c r="D158" s="21">
        <f>INDEX(Data[],MATCH($A158,Data[Dist],0),MATCH(D$6,Data[#Headers],0))</f>
        <v>4896527</v>
      </c>
      <c r="E158" s="21">
        <f>INDEX(Data[],MATCH($A158,Data[Dist],0),MATCH(E$6,Data[#Headers],0))</f>
        <v>4896527</v>
      </c>
      <c r="F158" s="21">
        <f>INDEX(Data[],MATCH($A158,Data[Dist],0),MATCH(F$6,Data[#Headers],0))</f>
        <v>4896525</v>
      </c>
      <c r="G158" s="21">
        <f>INDEX(Data[],MATCH($A158,Data[Dist],0),MATCH(G$6,Data[#Headers],0))</f>
        <v>24585331</v>
      </c>
      <c r="H158" s="21">
        <f>INDEX(Data[],MATCH($A158,Data[Dist],0),MATCH(H$6,Data[#Headers],0))-G158</f>
        <v>24482633</v>
      </c>
      <c r="I158" s="24"/>
      <c r="J158" s="21">
        <f>INDEX(Notes!$I$2:$N$11,MATCH(Notes!$B$2,Notes!$I$2:$I$11,0),4)*$C158</f>
        <v>19688804</v>
      </c>
      <c r="K158" s="21">
        <f>INDEX(Notes!$I$2:$N$11,MATCH(Notes!$B$2,Notes!$I$2:$I$11,0),5)*$D158</f>
        <v>4896527</v>
      </c>
      <c r="L158" s="21">
        <f>INDEX(Notes!$I$2:$N$11,MATCH(Notes!$B$2,Notes!$I$2:$I$11,0),6)*$E158</f>
        <v>0</v>
      </c>
      <c r="M158" s="21">
        <f>IF(Notes!$B$2="June",'Payment Total'!$F158,0)</f>
        <v>0</v>
      </c>
      <c r="N158" s="21">
        <f t="shared" si="8"/>
        <v>0</v>
      </c>
      <c r="P158" s="25" t="s">
        <v>981</v>
      </c>
      <c r="Q158" s="25">
        <v>4896527</v>
      </c>
      <c r="R158" s="20" t="str">
        <f t="shared" si="9"/>
        <v>3231</v>
      </c>
      <c r="S158" s="20" t="str">
        <f t="shared" si="10"/>
        <v>3231</v>
      </c>
      <c r="T158" s="41">
        <f t="shared" si="11"/>
        <v>0</v>
      </c>
      <c r="V158" s="41"/>
    </row>
    <row r="159" spans="1:22" s="25" customFormat="1" ht="12.75" x14ac:dyDescent="0.2">
      <c r="A159" s="19" t="str">
        <f>Data!B154</f>
        <v>3312</v>
      </c>
      <c r="B159" s="20" t="str">
        <f>INDEX(Data[],MATCH($A159,Data[Dist],0),MATCH(B$6,Data[#Headers],0))</f>
        <v>Keokuk</v>
      </c>
      <c r="C159" s="21">
        <f>INDEX(Data[],MATCH($A159,Data[Dist],0),MATCH(C$6,Data[#Headers],0))</f>
        <v>1683685</v>
      </c>
      <c r="D159" s="21">
        <f>INDEX(Data[],MATCH($A159,Data[Dist],0),MATCH(D$6,Data[#Headers],0))</f>
        <v>1676836</v>
      </c>
      <c r="E159" s="21">
        <f>INDEX(Data[],MATCH($A159,Data[Dist],0),MATCH(E$6,Data[#Headers],0))</f>
        <v>1676836</v>
      </c>
      <c r="F159" s="21">
        <f>INDEX(Data[],MATCH($A159,Data[Dist],0),MATCH(F$6,Data[#Headers],0))</f>
        <v>1676835</v>
      </c>
      <c r="G159" s="21">
        <f>INDEX(Data[],MATCH($A159,Data[Dist],0),MATCH(G$6,Data[#Headers],0))</f>
        <v>8411576</v>
      </c>
      <c r="H159" s="21">
        <f>INDEX(Data[],MATCH($A159,Data[Dist],0),MATCH(H$6,Data[#Headers],0))-G159</f>
        <v>8384179</v>
      </c>
      <c r="I159" s="24"/>
      <c r="J159" s="21">
        <f>INDEX(Notes!$I$2:$N$11,MATCH(Notes!$B$2,Notes!$I$2:$I$11,0),4)*$C159</f>
        <v>6734740</v>
      </c>
      <c r="K159" s="21">
        <f>INDEX(Notes!$I$2:$N$11,MATCH(Notes!$B$2,Notes!$I$2:$I$11,0),5)*$D159</f>
        <v>1676836</v>
      </c>
      <c r="L159" s="21">
        <f>INDEX(Notes!$I$2:$N$11,MATCH(Notes!$B$2,Notes!$I$2:$I$11,0),6)*$E159</f>
        <v>0</v>
      </c>
      <c r="M159" s="21">
        <f>IF(Notes!$B$2="June",'Payment Total'!$F159,0)</f>
        <v>0</v>
      </c>
      <c r="N159" s="21">
        <f t="shared" si="8"/>
        <v>0</v>
      </c>
      <c r="P159" s="25" t="s">
        <v>982</v>
      </c>
      <c r="Q159" s="25">
        <v>1676836</v>
      </c>
      <c r="R159" s="20" t="str">
        <f t="shared" si="9"/>
        <v>3312</v>
      </c>
      <c r="S159" s="20" t="str">
        <f t="shared" si="10"/>
        <v>3312</v>
      </c>
      <c r="T159" s="41">
        <f t="shared" si="11"/>
        <v>0</v>
      </c>
      <c r="V159" s="41"/>
    </row>
    <row r="160" spans="1:22" s="25" customFormat="1" ht="12.75" x14ac:dyDescent="0.2">
      <c r="A160" s="19" t="str">
        <f>Data!B155</f>
        <v>3330</v>
      </c>
      <c r="B160" s="20" t="str">
        <f>INDEX(Data[],MATCH($A160,Data[Dist],0),MATCH(B$6,Data[#Headers],0))</f>
        <v>Keota</v>
      </c>
      <c r="C160" s="21">
        <f>INDEX(Data[],MATCH($A160,Data[Dist],0),MATCH(C$6,Data[#Headers],0))</f>
        <v>250740</v>
      </c>
      <c r="D160" s="21">
        <f>INDEX(Data[],MATCH($A160,Data[Dist],0),MATCH(D$6,Data[#Headers],0))</f>
        <v>249439</v>
      </c>
      <c r="E160" s="21">
        <f>INDEX(Data[],MATCH($A160,Data[Dist],0),MATCH(E$6,Data[#Headers],0))</f>
        <v>249440</v>
      </c>
      <c r="F160" s="21">
        <f>INDEX(Data[],MATCH($A160,Data[Dist],0),MATCH(F$6,Data[#Headers],0))</f>
        <v>249438</v>
      </c>
      <c r="G160" s="21">
        <f>INDEX(Data[],MATCH($A160,Data[Dist],0),MATCH(G$6,Data[#Headers],0))</f>
        <v>1252399</v>
      </c>
      <c r="H160" s="21">
        <f>INDEX(Data[],MATCH($A160,Data[Dist],0),MATCH(H$6,Data[#Headers],0))-G160</f>
        <v>1247197</v>
      </c>
      <c r="I160" s="24"/>
      <c r="J160" s="21">
        <f>INDEX(Notes!$I$2:$N$11,MATCH(Notes!$B$2,Notes!$I$2:$I$11,0),4)*$C160</f>
        <v>1002960</v>
      </c>
      <c r="K160" s="21">
        <f>INDEX(Notes!$I$2:$N$11,MATCH(Notes!$B$2,Notes!$I$2:$I$11,0),5)*$D160</f>
        <v>249439</v>
      </c>
      <c r="L160" s="21">
        <f>INDEX(Notes!$I$2:$N$11,MATCH(Notes!$B$2,Notes!$I$2:$I$11,0),6)*$E160</f>
        <v>0</v>
      </c>
      <c r="M160" s="21">
        <f>IF(Notes!$B$2="June",'Payment Total'!$F160,0)</f>
        <v>0</v>
      </c>
      <c r="N160" s="21">
        <f t="shared" si="8"/>
        <v>0</v>
      </c>
      <c r="P160" s="25" t="s">
        <v>983</v>
      </c>
      <c r="Q160" s="25">
        <v>249439</v>
      </c>
      <c r="R160" s="20" t="str">
        <f t="shared" si="9"/>
        <v>3330</v>
      </c>
      <c r="S160" s="20" t="str">
        <f t="shared" si="10"/>
        <v>3330</v>
      </c>
      <c r="T160" s="41">
        <f t="shared" si="11"/>
        <v>0</v>
      </c>
      <c r="V160" s="41"/>
    </row>
    <row r="161" spans="1:22" s="25" customFormat="1" ht="12.75" x14ac:dyDescent="0.2">
      <c r="A161" s="19" t="str">
        <f>Data!B156</f>
        <v>3348</v>
      </c>
      <c r="B161" s="20" t="str">
        <f>INDEX(Data[],MATCH($A161,Data[Dist],0),MATCH(B$6,Data[#Headers],0))</f>
        <v>Kingsley-Pierson</v>
      </c>
      <c r="C161" s="21">
        <f>INDEX(Data[],MATCH($A161,Data[Dist],0),MATCH(C$6,Data[#Headers],0))</f>
        <v>336162</v>
      </c>
      <c r="D161" s="21">
        <f>INDEX(Data[],MATCH($A161,Data[Dist],0),MATCH(D$6,Data[#Headers],0))</f>
        <v>334416</v>
      </c>
      <c r="E161" s="21">
        <f>INDEX(Data[],MATCH($A161,Data[Dist],0),MATCH(E$6,Data[#Headers],0))</f>
        <v>334416</v>
      </c>
      <c r="F161" s="21">
        <f>INDEX(Data[],MATCH($A161,Data[Dist],0),MATCH(F$6,Data[#Headers],0))</f>
        <v>334414</v>
      </c>
      <c r="G161" s="21">
        <f>INDEX(Data[],MATCH($A161,Data[Dist],0),MATCH(G$6,Data[#Headers],0))</f>
        <v>1679064</v>
      </c>
      <c r="H161" s="21">
        <f>INDEX(Data[],MATCH($A161,Data[Dist],0),MATCH(H$6,Data[#Headers],0))-G161</f>
        <v>1672078</v>
      </c>
      <c r="I161" s="24"/>
      <c r="J161" s="21">
        <f>INDEX(Notes!$I$2:$N$11,MATCH(Notes!$B$2,Notes!$I$2:$I$11,0),4)*$C161</f>
        <v>1344648</v>
      </c>
      <c r="K161" s="21">
        <f>INDEX(Notes!$I$2:$N$11,MATCH(Notes!$B$2,Notes!$I$2:$I$11,0),5)*$D161</f>
        <v>334416</v>
      </c>
      <c r="L161" s="21">
        <f>INDEX(Notes!$I$2:$N$11,MATCH(Notes!$B$2,Notes!$I$2:$I$11,0),6)*$E161</f>
        <v>0</v>
      </c>
      <c r="M161" s="21">
        <f>IF(Notes!$B$2="June",'Payment Total'!$F161,0)</f>
        <v>0</v>
      </c>
      <c r="N161" s="21">
        <f t="shared" si="8"/>
        <v>0</v>
      </c>
      <c r="P161" s="25" t="s">
        <v>984</v>
      </c>
      <c r="Q161" s="25">
        <v>334416</v>
      </c>
      <c r="R161" s="20" t="str">
        <f t="shared" si="9"/>
        <v>3348</v>
      </c>
      <c r="S161" s="20" t="str">
        <f t="shared" si="10"/>
        <v>3348</v>
      </c>
      <c r="T161" s="41">
        <f t="shared" si="11"/>
        <v>0</v>
      </c>
      <c r="V161" s="41"/>
    </row>
    <row r="162" spans="1:22" s="25" customFormat="1" ht="12.75" x14ac:dyDescent="0.2">
      <c r="A162" s="19" t="str">
        <f>Data!B157</f>
        <v>3375</v>
      </c>
      <c r="B162" s="20" t="str">
        <f>INDEX(Data[],MATCH($A162,Data[Dist],0),MATCH(B$6,Data[#Headers],0))</f>
        <v>Knoxville</v>
      </c>
      <c r="C162" s="21">
        <f>INDEX(Data[],MATCH($A162,Data[Dist],0),MATCH(C$6,Data[#Headers],0))</f>
        <v>1397424</v>
      </c>
      <c r="D162" s="21">
        <f>INDEX(Data[],MATCH($A162,Data[Dist],0),MATCH(D$6,Data[#Headers],0))</f>
        <v>1390977</v>
      </c>
      <c r="E162" s="21">
        <f>INDEX(Data[],MATCH($A162,Data[Dist],0),MATCH(E$6,Data[#Headers],0))</f>
        <v>1390977</v>
      </c>
      <c r="F162" s="21">
        <f>INDEX(Data[],MATCH($A162,Data[Dist],0),MATCH(F$6,Data[#Headers],0))</f>
        <v>1390975</v>
      </c>
      <c r="G162" s="21">
        <f>INDEX(Data[],MATCH($A162,Data[Dist],0),MATCH(G$6,Data[#Headers],0))</f>
        <v>6980673</v>
      </c>
      <c r="H162" s="21">
        <f>INDEX(Data[],MATCH($A162,Data[Dist],0),MATCH(H$6,Data[#Headers],0))-G162</f>
        <v>6954883</v>
      </c>
      <c r="I162" s="24"/>
      <c r="J162" s="21">
        <f>INDEX(Notes!$I$2:$N$11,MATCH(Notes!$B$2,Notes!$I$2:$I$11,0),4)*$C162</f>
        <v>5589696</v>
      </c>
      <c r="K162" s="21">
        <f>INDEX(Notes!$I$2:$N$11,MATCH(Notes!$B$2,Notes!$I$2:$I$11,0),5)*$D162</f>
        <v>1390977</v>
      </c>
      <c r="L162" s="21">
        <f>INDEX(Notes!$I$2:$N$11,MATCH(Notes!$B$2,Notes!$I$2:$I$11,0),6)*$E162</f>
        <v>0</v>
      </c>
      <c r="M162" s="21">
        <f>IF(Notes!$B$2="June",'Payment Total'!$F162,0)</f>
        <v>0</v>
      </c>
      <c r="N162" s="21">
        <f t="shared" si="8"/>
        <v>0</v>
      </c>
      <c r="P162" s="25" t="s">
        <v>985</v>
      </c>
      <c r="Q162" s="25">
        <v>1390977</v>
      </c>
      <c r="R162" s="20" t="str">
        <f t="shared" si="9"/>
        <v>3375</v>
      </c>
      <c r="S162" s="20" t="str">
        <f t="shared" si="10"/>
        <v>3375</v>
      </c>
      <c r="T162" s="41">
        <f t="shared" si="11"/>
        <v>0</v>
      </c>
      <c r="V162" s="41"/>
    </row>
    <row r="163" spans="1:22" s="25" customFormat="1" ht="12.75" x14ac:dyDescent="0.2">
      <c r="A163" s="19" t="str">
        <f>Data!B158</f>
        <v>3420</v>
      </c>
      <c r="B163" s="20" t="str">
        <f>INDEX(Data[],MATCH($A163,Data[Dist],0),MATCH(B$6,Data[#Headers],0))</f>
        <v>Lake Mills</v>
      </c>
      <c r="C163" s="21">
        <f>INDEX(Data[],MATCH($A163,Data[Dist],0),MATCH(C$6,Data[#Headers],0))</f>
        <v>371632</v>
      </c>
      <c r="D163" s="21">
        <f>INDEX(Data[],MATCH($A163,Data[Dist],0),MATCH(D$6,Data[#Headers],0))</f>
        <v>369527</v>
      </c>
      <c r="E163" s="21">
        <f>INDEX(Data[],MATCH($A163,Data[Dist],0),MATCH(E$6,Data[#Headers],0))</f>
        <v>369527</v>
      </c>
      <c r="F163" s="21">
        <f>INDEX(Data[],MATCH($A163,Data[Dist],0),MATCH(F$6,Data[#Headers],0))</f>
        <v>369528</v>
      </c>
      <c r="G163" s="21">
        <f>INDEX(Data[],MATCH($A163,Data[Dist],0),MATCH(G$6,Data[#Headers],0))</f>
        <v>1856055</v>
      </c>
      <c r="H163" s="21">
        <f>INDEX(Data[],MATCH($A163,Data[Dist],0),MATCH(H$6,Data[#Headers],0))-G163</f>
        <v>1847636</v>
      </c>
      <c r="I163" s="24"/>
      <c r="J163" s="21">
        <f>INDEX(Notes!$I$2:$N$11,MATCH(Notes!$B$2,Notes!$I$2:$I$11,0),4)*$C163</f>
        <v>1486528</v>
      </c>
      <c r="K163" s="21">
        <f>INDEX(Notes!$I$2:$N$11,MATCH(Notes!$B$2,Notes!$I$2:$I$11,0),5)*$D163</f>
        <v>369527</v>
      </c>
      <c r="L163" s="21">
        <f>INDEX(Notes!$I$2:$N$11,MATCH(Notes!$B$2,Notes!$I$2:$I$11,0),6)*$E163</f>
        <v>0</v>
      </c>
      <c r="M163" s="21">
        <f>IF(Notes!$B$2="June",'Payment Total'!$F163,0)</f>
        <v>0</v>
      </c>
      <c r="N163" s="21">
        <f t="shared" si="8"/>
        <v>0</v>
      </c>
      <c r="P163" s="25" t="s">
        <v>986</v>
      </c>
      <c r="Q163" s="25">
        <v>369527</v>
      </c>
      <c r="R163" s="20" t="str">
        <f t="shared" si="9"/>
        <v>3420</v>
      </c>
      <c r="S163" s="20" t="str">
        <f t="shared" si="10"/>
        <v>3420</v>
      </c>
      <c r="T163" s="41">
        <f t="shared" si="11"/>
        <v>0</v>
      </c>
      <c r="V163" s="41"/>
    </row>
    <row r="164" spans="1:22" s="25" customFormat="1" ht="12.75" x14ac:dyDescent="0.2">
      <c r="A164" s="19" t="str">
        <f>Data!B159</f>
        <v>3465</v>
      </c>
      <c r="B164" s="20" t="str">
        <f>INDEX(Data[],MATCH($A164,Data[Dist],0),MATCH(B$6,Data[#Headers],0))</f>
        <v>Lamoni</v>
      </c>
      <c r="C164" s="21">
        <f>INDEX(Data[],MATCH($A164,Data[Dist],0),MATCH(C$6,Data[#Headers],0))</f>
        <v>272865</v>
      </c>
      <c r="D164" s="21">
        <f>INDEX(Data[],MATCH($A164,Data[Dist],0),MATCH(D$6,Data[#Headers],0))</f>
        <v>271718</v>
      </c>
      <c r="E164" s="21">
        <f>INDEX(Data[],MATCH($A164,Data[Dist],0),MATCH(E$6,Data[#Headers],0))</f>
        <v>271719</v>
      </c>
      <c r="F164" s="21">
        <f>INDEX(Data[],MATCH($A164,Data[Dist],0),MATCH(F$6,Data[#Headers],0))</f>
        <v>271717</v>
      </c>
      <c r="G164" s="21">
        <f>INDEX(Data[],MATCH($A164,Data[Dist],0),MATCH(G$6,Data[#Headers],0))</f>
        <v>1363178</v>
      </c>
      <c r="H164" s="21">
        <f>INDEX(Data[],MATCH($A164,Data[Dist],0),MATCH(H$6,Data[#Headers],0))-G164</f>
        <v>1358592</v>
      </c>
      <c r="I164" s="24"/>
      <c r="J164" s="21">
        <f>INDEX(Notes!$I$2:$N$11,MATCH(Notes!$B$2,Notes!$I$2:$I$11,0),4)*$C164</f>
        <v>1091460</v>
      </c>
      <c r="K164" s="21">
        <f>INDEX(Notes!$I$2:$N$11,MATCH(Notes!$B$2,Notes!$I$2:$I$11,0),5)*$D164</f>
        <v>271718</v>
      </c>
      <c r="L164" s="21">
        <f>INDEX(Notes!$I$2:$N$11,MATCH(Notes!$B$2,Notes!$I$2:$I$11,0),6)*$E164</f>
        <v>0</v>
      </c>
      <c r="M164" s="21">
        <f>IF(Notes!$B$2="June",'Payment Total'!$F164,0)</f>
        <v>0</v>
      </c>
      <c r="N164" s="21">
        <f t="shared" si="8"/>
        <v>0</v>
      </c>
      <c r="P164" s="25" t="s">
        <v>987</v>
      </c>
      <c r="Q164" s="25">
        <v>271718</v>
      </c>
      <c r="R164" s="20" t="str">
        <f t="shared" si="9"/>
        <v>3465</v>
      </c>
      <c r="S164" s="20" t="str">
        <f t="shared" si="10"/>
        <v>3465</v>
      </c>
      <c r="T164" s="41">
        <f t="shared" si="11"/>
        <v>0</v>
      </c>
      <c r="V164" s="41"/>
    </row>
    <row r="165" spans="1:22" s="25" customFormat="1" ht="12.75" x14ac:dyDescent="0.2">
      <c r="A165" s="19" t="str">
        <f>Data!B160</f>
        <v>3537</v>
      </c>
      <c r="B165" s="20" t="str">
        <f>INDEX(Data[],MATCH($A165,Data[Dist],0),MATCH(B$6,Data[#Headers],0))</f>
        <v>Laurens-Marathon</v>
      </c>
      <c r="C165" s="21">
        <f>INDEX(Data[],MATCH($A165,Data[Dist],0),MATCH(C$6,Data[#Headers],0))</f>
        <v>235843</v>
      </c>
      <c r="D165" s="21">
        <f>INDEX(Data[],MATCH($A165,Data[Dist],0),MATCH(D$6,Data[#Headers],0))</f>
        <v>234656</v>
      </c>
      <c r="E165" s="21">
        <f>INDEX(Data[],MATCH($A165,Data[Dist],0),MATCH(E$6,Data[#Headers],0))</f>
        <v>234656</v>
      </c>
      <c r="F165" s="21">
        <f>INDEX(Data[],MATCH($A165,Data[Dist],0),MATCH(F$6,Data[#Headers],0))</f>
        <v>234657</v>
      </c>
      <c r="G165" s="21">
        <f>INDEX(Data[],MATCH($A165,Data[Dist],0),MATCH(G$6,Data[#Headers],0))</f>
        <v>1178028</v>
      </c>
      <c r="H165" s="21">
        <f>INDEX(Data[],MATCH($A165,Data[Dist],0),MATCH(H$6,Data[#Headers],0))-G165</f>
        <v>1173281</v>
      </c>
      <c r="I165" s="24"/>
      <c r="J165" s="21">
        <f>INDEX(Notes!$I$2:$N$11,MATCH(Notes!$B$2,Notes!$I$2:$I$11,0),4)*$C165</f>
        <v>943372</v>
      </c>
      <c r="K165" s="21">
        <f>INDEX(Notes!$I$2:$N$11,MATCH(Notes!$B$2,Notes!$I$2:$I$11,0),5)*$D165</f>
        <v>234656</v>
      </c>
      <c r="L165" s="21">
        <f>INDEX(Notes!$I$2:$N$11,MATCH(Notes!$B$2,Notes!$I$2:$I$11,0),6)*$E165</f>
        <v>0</v>
      </c>
      <c r="M165" s="21">
        <f>IF(Notes!$B$2="June",'Payment Total'!$F165,0)</f>
        <v>0</v>
      </c>
      <c r="N165" s="21">
        <f t="shared" si="8"/>
        <v>0</v>
      </c>
      <c r="P165" s="25" t="s">
        <v>988</v>
      </c>
      <c r="Q165" s="25">
        <v>234656</v>
      </c>
      <c r="R165" s="20" t="str">
        <f t="shared" si="9"/>
        <v>3537</v>
      </c>
      <c r="S165" s="20" t="str">
        <f t="shared" si="10"/>
        <v>3537</v>
      </c>
      <c r="T165" s="41">
        <f t="shared" si="11"/>
        <v>0</v>
      </c>
      <c r="V165" s="41"/>
    </row>
    <row r="166" spans="1:22" s="25" customFormat="1" ht="12.75" x14ac:dyDescent="0.2">
      <c r="A166" s="19" t="str">
        <f>Data!B161</f>
        <v>3555</v>
      </c>
      <c r="B166" s="20" t="str">
        <f>INDEX(Data[],MATCH($A166,Data[Dist],0),MATCH(B$6,Data[#Headers],0))</f>
        <v>Lawton-Bronson</v>
      </c>
      <c r="C166" s="21">
        <f>INDEX(Data[],MATCH($A166,Data[Dist],0),MATCH(C$6,Data[#Headers],0))</f>
        <v>440669</v>
      </c>
      <c r="D166" s="21">
        <f>INDEX(Data[],MATCH($A166,Data[Dist],0),MATCH(D$6,Data[#Headers],0))</f>
        <v>438369</v>
      </c>
      <c r="E166" s="21">
        <f>INDEX(Data[],MATCH($A166,Data[Dist],0),MATCH(E$6,Data[#Headers],0))</f>
        <v>438369</v>
      </c>
      <c r="F166" s="21">
        <f>INDEX(Data[],MATCH($A166,Data[Dist],0),MATCH(F$6,Data[#Headers],0))</f>
        <v>438370</v>
      </c>
      <c r="G166" s="21">
        <f>INDEX(Data[],MATCH($A166,Data[Dist],0),MATCH(G$6,Data[#Headers],0))</f>
        <v>2201045</v>
      </c>
      <c r="H166" s="21">
        <f>INDEX(Data[],MATCH($A166,Data[Dist],0),MATCH(H$6,Data[#Headers],0))-G166</f>
        <v>2191846</v>
      </c>
      <c r="I166" s="24"/>
      <c r="J166" s="21">
        <f>INDEX(Notes!$I$2:$N$11,MATCH(Notes!$B$2,Notes!$I$2:$I$11,0),4)*$C166</f>
        <v>1762676</v>
      </c>
      <c r="K166" s="21">
        <f>INDEX(Notes!$I$2:$N$11,MATCH(Notes!$B$2,Notes!$I$2:$I$11,0),5)*$D166</f>
        <v>438369</v>
      </c>
      <c r="L166" s="21">
        <f>INDEX(Notes!$I$2:$N$11,MATCH(Notes!$B$2,Notes!$I$2:$I$11,0),6)*$E166</f>
        <v>0</v>
      </c>
      <c r="M166" s="21">
        <f>IF(Notes!$B$2="June",'Payment Total'!$F166,0)</f>
        <v>0</v>
      </c>
      <c r="N166" s="21">
        <f t="shared" si="8"/>
        <v>0</v>
      </c>
      <c r="P166" s="25" t="s">
        <v>989</v>
      </c>
      <c r="Q166" s="25">
        <v>438369</v>
      </c>
      <c r="R166" s="20" t="str">
        <f t="shared" si="9"/>
        <v>3555</v>
      </c>
      <c r="S166" s="20" t="str">
        <f t="shared" si="10"/>
        <v>3555</v>
      </c>
      <c r="T166" s="41">
        <f t="shared" si="11"/>
        <v>0</v>
      </c>
      <c r="V166" s="41"/>
    </row>
    <row r="167" spans="1:22" s="25" customFormat="1" ht="12.75" x14ac:dyDescent="0.2">
      <c r="A167" s="19" t="str">
        <f>Data!B162</f>
        <v>3582</v>
      </c>
      <c r="B167" s="20" t="str">
        <f>INDEX(Data[],MATCH($A167,Data[Dist],0),MATCH(B$6,Data[#Headers],0))</f>
        <v>East Marshall</v>
      </c>
      <c r="C167" s="21">
        <f>INDEX(Data[],MATCH($A167,Data[Dist],0),MATCH(C$6,Data[#Headers],0))</f>
        <v>352940</v>
      </c>
      <c r="D167" s="21">
        <f>INDEX(Data[],MATCH($A167,Data[Dist],0),MATCH(D$6,Data[#Headers],0))</f>
        <v>351019</v>
      </c>
      <c r="E167" s="21">
        <f>INDEX(Data[],MATCH($A167,Data[Dist],0),MATCH(E$6,Data[#Headers],0))</f>
        <v>351019</v>
      </c>
      <c r="F167" s="21">
        <f>INDEX(Data[],MATCH($A167,Data[Dist],0),MATCH(F$6,Data[#Headers],0))</f>
        <v>351018</v>
      </c>
      <c r="G167" s="21">
        <f>INDEX(Data[],MATCH($A167,Data[Dist],0),MATCH(G$6,Data[#Headers],0))</f>
        <v>1762779</v>
      </c>
      <c r="H167" s="21">
        <f>INDEX(Data[],MATCH($A167,Data[Dist],0),MATCH(H$6,Data[#Headers],0))-G167</f>
        <v>1755094</v>
      </c>
      <c r="I167" s="24"/>
      <c r="J167" s="21">
        <f>INDEX(Notes!$I$2:$N$11,MATCH(Notes!$B$2,Notes!$I$2:$I$11,0),4)*$C167</f>
        <v>1411760</v>
      </c>
      <c r="K167" s="21">
        <f>INDEX(Notes!$I$2:$N$11,MATCH(Notes!$B$2,Notes!$I$2:$I$11,0),5)*$D167</f>
        <v>351019</v>
      </c>
      <c r="L167" s="21">
        <f>INDEX(Notes!$I$2:$N$11,MATCH(Notes!$B$2,Notes!$I$2:$I$11,0),6)*$E167</f>
        <v>0</v>
      </c>
      <c r="M167" s="21">
        <f>IF(Notes!$B$2="June",'Payment Total'!$F167,0)</f>
        <v>0</v>
      </c>
      <c r="N167" s="21">
        <f t="shared" si="8"/>
        <v>0</v>
      </c>
      <c r="P167" s="25" t="s">
        <v>990</v>
      </c>
      <c r="Q167" s="25">
        <v>351019</v>
      </c>
      <c r="R167" s="20" t="str">
        <f t="shared" si="9"/>
        <v>1968</v>
      </c>
      <c r="S167" s="20" t="str">
        <f t="shared" si="10"/>
        <v>3582</v>
      </c>
      <c r="T167" s="41">
        <f t="shared" si="11"/>
        <v>0</v>
      </c>
      <c r="V167" s="41"/>
    </row>
    <row r="168" spans="1:22" s="25" customFormat="1" ht="12.75" x14ac:dyDescent="0.2">
      <c r="A168" s="19" t="str">
        <f>Data!B163</f>
        <v>3600</v>
      </c>
      <c r="B168" s="20" t="str">
        <f>INDEX(Data[],MATCH($A168,Data[Dist],0),MATCH(B$6,Data[#Headers],0))</f>
        <v>Le Mars</v>
      </c>
      <c r="C168" s="21">
        <f>INDEX(Data[],MATCH($A168,Data[Dist],0),MATCH(C$6,Data[#Headers],0))</f>
        <v>1620494</v>
      </c>
      <c r="D168" s="21">
        <f>INDEX(Data[],MATCH($A168,Data[Dist],0),MATCH(D$6,Data[#Headers],0))</f>
        <v>1612239</v>
      </c>
      <c r="E168" s="21">
        <f>INDEX(Data[],MATCH($A168,Data[Dist],0),MATCH(E$6,Data[#Headers],0))</f>
        <v>1612239</v>
      </c>
      <c r="F168" s="21">
        <f>INDEX(Data[],MATCH($A168,Data[Dist],0),MATCH(F$6,Data[#Headers],0))</f>
        <v>1612238</v>
      </c>
      <c r="G168" s="21">
        <f>INDEX(Data[],MATCH($A168,Data[Dist],0),MATCH(G$6,Data[#Headers],0))</f>
        <v>8094215</v>
      </c>
      <c r="H168" s="21">
        <f>INDEX(Data[],MATCH($A168,Data[Dist],0),MATCH(H$6,Data[#Headers],0))-G168</f>
        <v>8061194</v>
      </c>
      <c r="I168" s="24"/>
      <c r="J168" s="21">
        <f>INDEX(Notes!$I$2:$N$11,MATCH(Notes!$B$2,Notes!$I$2:$I$11,0),4)*$C168</f>
        <v>6481976</v>
      </c>
      <c r="K168" s="21">
        <f>INDEX(Notes!$I$2:$N$11,MATCH(Notes!$B$2,Notes!$I$2:$I$11,0),5)*$D168</f>
        <v>1612239</v>
      </c>
      <c r="L168" s="21">
        <f>INDEX(Notes!$I$2:$N$11,MATCH(Notes!$B$2,Notes!$I$2:$I$11,0),6)*$E168</f>
        <v>0</v>
      </c>
      <c r="M168" s="21">
        <f>IF(Notes!$B$2="June",'Payment Total'!$F168,0)</f>
        <v>0</v>
      </c>
      <c r="N168" s="21">
        <f t="shared" si="8"/>
        <v>0</v>
      </c>
      <c r="P168" s="25" t="s">
        <v>991</v>
      </c>
      <c r="Q168" s="25">
        <v>1612239</v>
      </c>
      <c r="R168" s="20" t="str">
        <f t="shared" si="9"/>
        <v>3600</v>
      </c>
      <c r="S168" s="20" t="str">
        <f t="shared" si="10"/>
        <v>3600</v>
      </c>
      <c r="T168" s="41">
        <f t="shared" si="11"/>
        <v>0</v>
      </c>
      <c r="V168" s="41"/>
    </row>
    <row r="169" spans="1:22" s="25" customFormat="1" ht="12.75" x14ac:dyDescent="0.2">
      <c r="A169" s="19" t="str">
        <f>Data!B164</f>
        <v>3609</v>
      </c>
      <c r="B169" s="20" t="str">
        <f>INDEX(Data[],MATCH($A169,Data[Dist],0),MATCH(B$6,Data[#Headers],0))</f>
        <v>Lenox</v>
      </c>
      <c r="C169" s="21">
        <f>INDEX(Data[],MATCH($A169,Data[Dist],0),MATCH(C$6,Data[#Headers],0))</f>
        <v>363444</v>
      </c>
      <c r="D169" s="21">
        <f>INDEX(Data[],MATCH($A169,Data[Dist],0),MATCH(D$6,Data[#Headers],0))</f>
        <v>361712</v>
      </c>
      <c r="E169" s="21">
        <f>INDEX(Data[],MATCH($A169,Data[Dist],0),MATCH(E$6,Data[#Headers],0))</f>
        <v>361711</v>
      </c>
      <c r="F169" s="21">
        <f>INDEX(Data[],MATCH($A169,Data[Dist],0),MATCH(F$6,Data[#Headers],0))</f>
        <v>361712</v>
      </c>
      <c r="G169" s="21">
        <f>INDEX(Data[],MATCH($A169,Data[Dist],0),MATCH(G$6,Data[#Headers],0))</f>
        <v>1815488</v>
      </c>
      <c r="H169" s="21">
        <f>INDEX(Data[],MATCH($A169,Data[Dist],0),MATCH(H$6,Data[#Headers],0))-G169</f>
        <v>1808557</v>
      </c>
      <c r="I169" s="24"/>
      <c r="J169" s="21">
        <f>INDEX(Notes!$I$2:$N$11,MATCH(Notes!$B$2,Notes!$I$2:$I$11,0),4)*$C169</f>
        <v>1453776</v>
      </c>
      <c r="K169" s="21">
        <f>INDEX(Notes!$I$2:$N$11,MATCH(Notes!$B$2,Notes!$I$2:$I$11,0),5)*$D169</f>
        <v>361712</v>
      </c>
      <c r="L169" s="21">
        <f>INDEX(Notes!$I$2:$N$11,MATCH(Notes!$B$2,Notes!$I$2:$I$11,0),6)*$E169</f>
        <v>0</v>
      </c>
      <c r="M169" s="21">
        <f>IF(Notes!$B$2="June",'Payment Total'!$F169,0)</f>
        <v>0</v>
      </c>
      <c r="N169" s="21">
        <f t="shared" si="8"/>
        <v>0</v>
      </c>
      <c r="P169" s="25" t="s">
        <v>992</v>
      </c>
      <c r="Q169" s="25">
        <v>361712</v>
      </c>
      <c r="R169" s="20" t="str">
        <f t="shared" si="9"/>
        <v>3609</v>
      </c>
      <c r="S169" s="20" t="str">
        <f t="shared" si="10"/>
        <v>3609</v>
      </c>
      <c r="T169" s="41">
        <f t="shared" si="11"/>
        <v>0</v>
      </c>
      <c r="V169" s="41"/>
    </row>
    <row r="170" spans="1:22" s="25" customFormat="1" ht="12.75" x14ac:dyDescent="0.2">
      <c r="A170" s="19" t="str">
        <f>Data!B165</f>
        <v>3645</v>
      </c>
      <c r="B170" s="20" t="str">
        <f>INDEX(Data[],MATCH($A170,Data[Dist],0),MATCH(B$6,Data[#Headers],0))</f>
        <v>Lewis Central</v>
      </c>
      <c r="C170" s="21">
        <f>INDEX(Data[],MATCH($A170,Data[Dist],0),MATCH(C$6,Data[#Headers],0))</f>
        <v>1597936</v>
      </c>
      <c r="D170" s="21">
        <f>INDEX(Data[],MATCH($A170,Data[Dist],0),MATCH(D$6,Data[#Headers],0))</f>
        <v>1587903</v>
      </c>
      <c r="E170" s="21">
        <f>INDEX(Data[],MATCH($A170,Data[Dist],0),MATCH(E$6,Data[#Headers],0))</f>
        <v>1587903</v>
      </c>
      <c r="F170" s="21">
        <f>INDEX(Data[],MATCH($A170,Data[Dist],0),MATCH(F$6,Data[#Headers],0))</f>
        <v>1587901</v>
      </c>
      <c r="G170" s="21">
        <f>INDEX(Data[],MATCH($A170,Data[Dist],0),MATCH(G$6,Data[#Headers],0))</f>
        <v>7979647</v>
      </c>
      <c r="H170" s="21">
        <f>INDEX(Data[],MATCH($A170,Data[Dist],0),MATCH(H$6,Data[#Headers],0))-G170</f>
        <v>7939513</v>
      </c>
      <c r="I170" s="24"/>
      <c r="J170" s="21">
        <f>INDEX(Notes!$I$2:$N$11,MATCH(Notes!$B$2,Notes!$I$2:$I$11,0),4)*$C170</f>
        <v>6391744</v>
      </c>
      <c r="K170" s="21">
        <f>INDEX(Notes!$I$2:$N$11,MATCH(Notes!$B$2,Notes!$I$2:$I$11,0),5)*$D170</f>
        <v>1587903</v>
      </c>
      <c r="L170" s="21">
        <f>INDEX(Notes!$I$2:$N$11,MATCH(Notes!$B$2,Notes!$I$2:$I$11,0),6)*$E170</f>
        <v>0</v>
      </c>
      <c r="M170" s="21">
        <f>IF(Notes!$B$2="June",'Payment Total'!$F170,0)</f>
        <v>0</v>
      </c>
      <c r="N170" s="21">
        <f t="shared" si="8"/>
        <v>0</v>
      </c>
      <c r="P170" s="25" t="s">
        <v>993</v>
      </c>
      <c r="Q170" s="25">
        <v>1587903</v>
      </c>
      <c r="R170" s="20" t="str">
        <f t="shared" si="9"/>
        <v>3645</v>
      </c>
      <c r="S170" s="20" t="str">
        <f t="shared" si="10"/>
        <v>3645</v>
      </c>
      <c r="T170" s="41">
        <f t="shared" si="11"/>
        <v>0</v>
      </c>
      <c r="V170" s="41"/>
    </row>
    <row r="171" spans="1:22" s="25" customFormat="1" ht="12.75" x14ac:dyDescent="0.2">
      <c r="A171" s="19" t="str">
        <f>Data!B166</f>
        <v>3691</v>
      </c>
      <c r="B171" s="20" t="str">
        <f>INDEX(Data[],MATCH($A171,Data[Dist],0),MATCH(B$6,Data[#Headers],0))</f>
        <v>North Cedar</v>
      </c>
      <c r="C171" s="21">
        <f>INDEX(Data[],MATCH($A171,Data[Dist],0),MATCH(C$6,Data[#Headers],0))</f>
        <v>517978</v>
      </c>
      <c r="D171" s="21">
        <f>INDEX(Data[],MATCH($A171,Data[Dist],0),MATCH(D$6,Data[#Headers],0))</f>
        <v>515343</v>
      </c>
      <c r="E171" s="21">
        <f>INDEX(Data[],MATCH($A171,Data[Dist],0),MATCH(E$6,Data[#Headers],0))</f>
        <v>515343</v>
      </c>
      <c r="F171" s="21">
        <f>INDEX(Data[],MATCH($A171,Data[Dist],0),MATCH(F$6,Data[#Headers],0))</f>
        <v>515342</v>
      </c>
      <c r="G171" s="21">
        <f>INDEX(Data[],MATCH($A171,Data[Dist],0),MATCH(G$6,Data[#Headers],0))</f>
        <v>2587255</v>
      </c>
      <c r="H171" s="21">
        <f>INDEX(Data[],MATCH($A171,Data[Dist],0),MATCH(H$6,Data[#Headers],0))-G171</f>
        <v>2576714</v>
      </c>
      <c r="I171" s="24"/>
      <c r="J171" s="21">
        <f>INDEX(Notes!$I$2:$N$11,MATCH(Notes!$B$2,Notes!$I$2:$I$11,0),4)*$C171</f>
        <v>2071912</v>
      </c>
      <c r="K171" s="21">
        <f>INDEX(Notes!$I$2:$N$11,MATCH(Notes!$B$2,Notes!$I$2:$I$11,0),5)*$D171</f>
        <v>515343</v>
      </c>
      <c r="L171" s="21">
        <f>INDEX(Notes!$I$2:$N$11,MATCH(Notes!$B$2,Notes!$I$2:$I$11,0),6)*$E171</f>
        <v>0</v>
      </c>
      <c r="M171" s="21">
        <f>IF(Notes!$B$2="June",'Payment Total'!$F171,0)</f>
        <v>0</v>
      </c>
      <c r="N171" s="21">
        <f t="shared" si="8"/>
        <v>0</v>
      </c>
      <c r="P171" s="25" t="s">
        <v>994</v>
      </c>
      <c r="Q171" s="25">
        <v>515343</v>
      </c>
      <c r="R171" s="20" t="str">
        <f t="shared" si="9"/>
        <v>3691</v>
      </c>
      <c r="S171" s="20" t="str">
        <f t="shared" si="10"/>
        <v>3691</v>
      </c>
      <c r="T171" s="41">
        <f t="shared" si="11"/>
        <v>0</v>
      </c>
      <c r="V171" s="41"/>
    </row>
    <row r="172" spans="1:22" s="25" customFormat="1" ht="12.75" x14ac:dyDescent="0.2">
      <c r="A172" s="19" t="str">
        <f>Data!B167</f>
        <v>3715</v>
      </c>
      <c r="B172" s="20" t="str">
        <f>INDEX(Data[],MATCH($A172,Data[Dist],0),MATCH(B$6,Data[#Headers],0))</f>
        <v>Linn-Mar</v>
      </c>
      <c r="C172" s="21">
        <f>INDEX(Data[],MATCH($A172,Data[Dist],0),MATCH(C$6,Data[#Headers],0))</f>
        <v>5662670</v>
      </c>
      <c r="D172" s="21">
        <f>INDEX(Data[],MATCH($A172,Data[Dist],0),MATCH(D$6,Data[#Headers],0))</f>
        <v>5634262</v>
      </c>
      <c r="E172" s="21">
        <f>INDEX(Data[],MATCH($A172,Data[Dist],0),MATCH(E$6,Data[#Headers],0))</f>
        <v>5634262</v>
      </c>
      <c r="F172" s="21">
        <f>INDEX(Data[],MATCH($A172,Data[Dist],0),MATCH(F$6,Data[#Headers],0))</f>
        <v>5634263</v>
      </c>
      <c r="G172" s="21">
        <f>INDEX(Data[],MATCH($A172,Data[Dist],0),MATCH(G$6,Data[#Headers],0))</f>
        <v>28284942</v>
      </c>
      <c r="H172" s="21">
        <f>INDEX(Data[],MATCH($A172,Data[Dist],0),MATCH(H$6,Data[#Headers],0))-G172</f>
        <v>28171311</v>
      </c>
      <c r="I172" s="24"/>
      <c r="J172" s="21">
        <f>INDEX(Notes!$I$2:$N$11,MATCH(Notes!$B$2,Notes!$I$2:$I$11,0),4)*$C172</f>
        <v>22650680</v>
      </c>
      <c r="K172" s="21">
        <f>INDEX(Notes!$I$2:$N$11,MATCH(Notes!$B$2,Notes!$I$2:$I$11,0),5)*$D172</f>
        <v>5634262</v>
      </c>
      <c r="L172" s="21">
        <f>INDEX(Notes!$I$2:$N$11,MATCH(Notes!$B$2,Notes!$I$2:$I$11,0),6)*$E172</f>
        <v>0</v>
      </c>
      <c r="M172" s="21">
        <f>IF(Notes!$B$2="June",'Payment Total'!$F172,0)</f>
        <v>0</v>
      </c>
      <c r="N172" s="21">
        <f t="shared" si="8"/>
        <v>0</v>
      </c>
      <c r="P172" s="25" t="s">
        <v>995</v>
      </c>
      <c r="Q172" s="25">
        <v>5634262</v>
      </c>
      <c r="R172" s="20" t="str">
        <f t="shared" si="9"/>
        <v>3715</v>
      </c>
      <c r="S172" s="20" t="str">
        <f t="shared" si="10"/>
        <v>3715</v>
      </c>
      <c r="T172" s="41">
        <f t="shared" si="11"/>
        <v>0</v>
      </c>
      <c r="V172" s="41"/>
    </row>
    <row r="173" spans="1:22" s="25" customFormat="1" ht="12.75" x14ac:dyDescent="0.2">
      <c r="A173" s="19" t="str">
        <f>Data!B168</f>
        <v>3744</v>
      </c>
      <c r="B173" s="20" t="str">
        <f>INDEX(Data[],MATCH($A173,Data[Dist],0),MATCH(B$6,Data[#Headers],0))</f>
        <v>Lisbon</v>
      </c>
      <c r="C173" s="21">
        <f>INDEX(Data[],MATCH($A173,Data[Dist],0),MATCH(C$6,Data[#Headers],0))</f>
        <v>566894</v>
      </c>
      <c r="D173" s="21">
        <f>INDEX(Data[],MATCH($A173,Data[Dist],0),MATCH(D$6,Data[#Headers],0))</f>
        <v>564335</v>
      </c>
      <c r="E173" s="21">
        <f>INDEX(Data[],MATCH($A173,Data[Dist],0),MATCH(E$6,Data[#Headers],0))</f>
        <v>564335</v>
      </c>
      <c r="F173" s="21">
        <f>INDEX(Data[],MATCH($A173,Data[Dist],0),MATCH(F$6,Data[#Headers],0))</f>
        <v>564336</v>
      </c>
      <c r="G173" s="21">
        <f>INDEX(Data[],MATCH($A173,Data[Dist],0),MATCH(G$6,Data[#Headers],0))</f>
        <v>2831911</v>
      </c>
      <c r="H173" s="21">
        <f>INDEX(Data[],MATCH($A173,Data[Dist],0),MATCH(H$6,Data[#Headers],0))-G173</f>
        <v>2821676</v>
      </c>
      <c r="I173" s="24"/>
      <c r="J173" s="21">
        <f>INDEX(Notes!$I$2:$N$11,MATCH(Notes!$B$2,Notes!$I$2:$I$11,0),4)*$C173</f>
        <v>2267576</v>
      </c>
      <c r="K173" s="21">
        <f>INDEX(Notes!$I$2:$N$11,MATCH(Notes!$B$2,Notes!$I$2:$I$11,0),5)*$D173</f>
        <v>564335</v>
      </c>
      <c r="L173" s="21">
        <f>INDEX(Notes!$I$2:$N$11,MATCH(Notes!$B$2,Notes!$I$2:$I$11,0),6)*$E173</f>
        <v>0</v>
      </c>
      <c r="M173" s="21">
        <f>IF(Notes!$B$2="June",'Payment Total'!$F173,0)</f>
        <v>0</v>
      </c>
      <c r="N173" s="21">
        <f t="shared" si="8"/>
        <v>0</v>
      </c>
      <c r="P173" s="25" t="s">
        <v>996</v>
      </c>
      <c r="Q173" s="25">
        <v>564335</v>
      </c>
      <c r="R173" s="20" t="str">
        <f t="shared" si="9"/>
        <v>3744</v>
      </c>
      <c r="S173" s="20" t="str">
        <f t="shared" si="10"/>
        <v>3744</v>
      </c>
      <c r="T173" s="41">
        <f t="shared" si="11"/>
        <v>0</v>
      </c>
      <c r="V173" s="41"/>
    </row>
    <row r="174" spans="1:22" s="25" customFormat="1" ht="12.75" x14ac:dyDescent="0.2">
      <c r="A174" s="19" t="str">
        <f>Data!B169</f>
        <v>3798</v>
      </c>
      <c r="B174" s="20" t="str">
        <f>INDEX(Data[],MATCH($A174,Data[Dist],0),MATCH(B$6,Data[#Headers],0))</f>
        <v>Logan-Magnolia</v>
      </c>
      <c r="C174" s="21">
        <f>INDEX(Data[],MATCH($A174,Data[Dist],0),MATCH(C$6,Data[#Headers],0))</f>
        <v>444440</v>
      </c>
      <c r="D174" s="21">
        <f>INDEX(Data[],MATCH($A174,Data[Dist],0),MATCH(D$6,Data[#Headers],0))</f>
        <v>442231</v>
      </c>
      <c r="E174" s="21">
        <f>INDEX(Data[],MATCH($A174,Data[Dist],0),MATCH(E$6,Data[#Headers],0))</f>
        <v>442231</v>
      </c>
      <c r="F174" s="21">
        <f>INDEX(Data[],MATCH($A174,Data[Dist],0),MATCH(F$6,Data[#Headers],0))</f>
        <v>442230</v>
      </c>
      <c r="G174" s="21">
        <f>INDEX(Data[],MATCH($A174,Data[Dist],0),MATCH(G$6,Data[#Headers],0))</f>
        <v>2219991</v>
      </c>
      <c r="H174" s="21">
        <f>INDEX(Data[],MATCH($A174,Data[Dist],0),MATCH(H$6,Data[#Headers],0))-G174</f>
        <v>2211154</v>
      </c>
      <c r="I174" s="24"/>
      <c r="J174" s="21">
        <f>INDEX(Notes!$I$2:$N$11,MATCH(Notes!$B$2,Notes!$I$2:$I$11,0),4)*$C174</f>
        <v>1777760</v>
      </c>
      <c r="K174" s="21">
        <f>INDEX(Notes!$I$2:$N$11,MATCH(Notes!$B$2,Notes!$I$2:$I$11,0),5)*$D174</f>
        <v>442231</v>
      </c>
      <c r="L174" s="21">
        <f>INDEX(Notes!$I$2:$N$11,MATCH(Notes!$B$2,Notes!$I$2:$I$11,0),6)*$E174</f>
        <v>0</v>
      </c>
      <c r="M174" s="21">
        <f>IF(Notes!$B$2="June",'Payment Total'!$F174,0)</f>
        <v>0</v>
      </c>
      <c r="N174" s="21">
        <f t="shared" si="8"/>
        <v>0</v>
      </c>
      <c r="P174" s="25" t="s">
        <v>997</v>
      </c>
      <c r="Q174" s="25">
        <v>442231</v>
      </c>
      <c r="R174" s="20" t="str">
        <f t="shared" si="9"/>
        <v>3798</v>
      </c>
      <c r="S174" s="20" t="str">
        <f t="shared" si="10"/>
        <v>3798</v>
      </c>
      <c r="T174" s="41">
        <f t="shared" si="11"/>
        <v>0</v>
      </c>
      <c r="V174" s="41"/>
    </row>
    <row r="175" spans="1:22" s="25" customFormat="1" ht="12.75" x14ac:dyDescent="0.2">
      <c r="A175" s="19" t="str">
        <f>Data!B170</f>
        <v>3816</v>
      </c>
      <c r="B175" s="20" t="str">
        <f>INDEX(Data[],MATCH($A175,Data[Dist],0),MATCH(B$6,Data[#Headers],0))</f>
        <v>Lone Tree</v>
      </c>
      <c r="C175" s="21">
        <f>INDEX(Data[],MATCH($A175,Data[Dist],0),MATCH(C$6,Data[#Headers],0))</f>
        <v>210926</v>
      </c>
      <c r="D175" s="21">
        <f>INDEX(Data[],MATCH($A175,Data[Dist],0),MATCH(D$6,Data[#Headers],0))</f>
        <v>209770</v>
      </c>
      <c r="E175" s="21">
        <f>INDEX(Data[],MATCH($A175,Data[Dist],0),MATCH(E$6,Data[#Headers],0))</f>
        <v>209770</v>
      </c>
      <c r="F175" s="21">
        <f>INDEX(Data[],MATCH($A175,Data[Dist],0),MATCH(F$6,Data[#Headers],0))</f>
        <v>209771</v>
      </c>
      <c r="G175" s="21">
        <f>INDEX(Data[],MATCH($A175,Data[Dist],0),MATCH(G$6,Data[#Headers],0))</f>
        <v>1053474</v>
      </c>
      <c r="H175" s="21">
        <f>INDEX(Data[],MATCH($A175,Data[Dist],0),MATCH(H$6,Data[#Headers],0))-G175</f>
        <v>1048851</v>
      </c>
      <c r="I175" s="24"/>
      <c r="J175" s="21">
        <f>INDEX(Notes!$I$2:$N$11,MATCH(Notes!$B$2,Notes!$I$2:$I$11,0),4)*$C175</f>
        <v>843704</v>
      </c>
      <c r="K175" s="21">
        <f>INDEX(Notes!$I$2:$N$11,MATCH(Notes!$B$2,Notes!$I$2:$I$11,0),5)*$D175</f>
        <v>209770</v>
      </c>
      <c r="L175" s="21">
        <f>INDEX(Notes!$I$2:$N$11,MATCH(Notes!$B$2,Notes!$I$2:$I$11,0),6)*$E175</f>
        <v>0</v>
      </c>
      <c r="M175" s="21">
        <f>IF(Notes!$B$2="June",'Payment Total'!$F175,0)</f>
        <v>0</v>
      </c>
      <c r="N175" s="21">
        <f t="shared" si="8"/>
        <v>0</v>
      </c>
      <c r="P175" s="25" t="s">
        <v>998</v>
      </c>
      <c r="Q175" s="25">
        <v>209770</v>
      </c>
      <c r="R175" s="20" t="str">
        <f t="shared" si="9"/>
        <v>3816</v>
      </c>
      <c r="S175" s="20" t="str">
        <f t="shared" si="10"/>
        <v>3816</v>
      </c>
      <c r="T175" s="41">
        <f t="shared" si="11"/>
        <v>0</v>
      </c>
      <c r="V175" s="41"/>
    </row>
    <row r="176" spans="1:22" s="25" customFormat="1" ht="12.75" x14ac:dyDescent="0.2">
      <c r="A176" s="19" t="str">
        <f>Data!B171</f>
        <v>3841</v>
      </c>
      <c r="B176" s="20" t="str">
        <f>INDEX(Data[],MATCH($A176,Data[Dist],0),MATCH(B$6,Data[#Headers],0))</f>
        <v>Louisa-Muscatine</v>
      </c>
      <c r="C176" s="21">
        <f>INDEX(Data[],MATCH($A176,Data[Dist],0),MATCH(C$6,Data[#Headers],0))</f>
        <v>495867</v>
      </c>
      <c r="D176" s="21">
        <f>INDEX(Data[],MATCH($A176,Data[Dist],0),MATCH(D$6,Data[#Headers],0))</f>
        <v>493331</v>
      </c>
      <c r="E176" s="21">
        <f>INDEX(Data[],MATCH($A176,Data[Dist],0),MATCH(E$6,Data[#Headers],0))</f>
        <v>493332</v>
      </c>
      <c r="F176" s="21">
        <f>INDEX(Data[],MATCH($A176,Data[Dist],0),MATCH(F$6,Data[#Headers],0))</f>
        <v>493330</v>
      </c>
      <c r="G176" s="21">
        <f>INDEX(Data[],MATCH($A176,Data[Dist],0),MATCH(G$6,Data[#Headers],0))</f>
        <v>2476799</v>
      </c>
      <c r="H176" s="21">
        <f>INDEX(Data[],MATCH($A176,Data[Dist],0),MATCH(H$6,Data[#Headers],0))-G176</f>
        <v>2466657</v>
      </c>
      <c r="I176" s="24"/>
      <c r="J176" s="21">
        <f>INDEX(Notes!$I$2:$N$11,MATCH(Notes!$B$2,Notes!$I$2:$I$11,0),4)*$C176</f>
        <v>1983468</v>
      </c>
      <c r="K176" s="21">
        <f>INDEX(Notes!$I$2:$N$11,MATCH(Notes!$B$2,Notes!$I$2:$I$11,0),5)*$D176</f>
        <v>493331</v>
      </c>
      <c r="L176" s="21">
        <f>INDEX(Notes!$I$2:$N$11,MATCH(Notes!$B$2,Notes!$I$2:$I$11,0),6)*$E176</f>
        <v>0</v>
      </c>
      <c r="M176" s="21">
        <f>IF(Notes!$B$2="June",'Payment Total'!$F176,0)</f>
        <v>0</v>
      </c>
      <c r="N176" s="21">
        <f t="shared" si="8"/>
        <v>0</v>
      </c>
      <c r="P176" s="25" t="s">
        <v>999</v>
      </c>
      <c r="Q176" s="25">
        <v>493331</v>
      </c>
      <c r="R176" s="20" t="str">
        <f t="shared" si="9"/>
        <v>3841</v>
      </c>
      <c r="S176" s="20" t="str">
        <f t="shared" si="10"/>
        <v>3841</v>
      </c>
      <c r="T176" s="41">
        <f t="shared" si="11"/>
        <v>0</v>
      </c>
      <c r="V176" s="41"/>
    </row>
    <row r="177" spans="1:22" s="25" customFormat="1" ht="12.75" x14ac:dyDescent="0.2">
      <c r="A177" s="19" t="str">
        <f>Data!B172</f>
        <v>3906</v>
      </c>
      <c r="B177" s="20" t="str">
        <f>INDEX(Data[],MATCH($A177,Data[Dist],0),MATCH(B$6,Data[#Headers],0))</f>
        <v>Lynnville-Sully</v>
      </c>
      <c r="C177" s="21">
        <f>INDEX(Data[],MATCH($A177,Data[Dist],0),MATCH(C$6,Data[#Headers],0))</f>
        <v>301669</v>
      </c>
      <c r="D177" s="21">
        <f>INDEX(Data[],MATCH($A177,Data[Dist],0),MATCH(D$6,Data[#Headers],0))</f>
        <v>300027</v>
      </c>
      <c r="E177" s="21">
        <f>INDEX(Data[],MATCH($A177,Data[Dist],0),MATCH(E$6,Data[#Headers],0))</f>
        <v>300027</v>
      </c>
      <c r="F177" s="21">
        <f>INDEX(Data[],MATCH($A177,Data[Dist],0),MATCH(F$6,Data[#Headers],0))</f>
        <v>300026</v>
      </c>
      <c r="G177" s="21">
        <f>INDEX(Data[],MATCH($A177,Data[Dist],0),MATCH(G$6,Data[#Headers],0))</f>
        <v>1506703</v>
      </c>
      <c r="H177" s="21">
        <f>INDEX(Data[],MATCH($A177,Data[Dist],0),MATCH(H$6,Data[#Headers],0))-G177</f>
        <v>1500134</v>
      </c>
      <c r="I177" s="24"/>
      <c r="J177" s="21">
        <f>INDEX(Notes!$I$2:$N$11,MATCH(Notes!$B$2,Notes!$I$2:$I$11,0),4)*$C177</f>
        <v>1206676</v>
      </c>
      <c r="K177" s="21">
        <f>INDEX(Notes!$I$2:$N$11,MATCH(Notes!$B$2,Notes!$I$2:$I$11,0),5)*$D177</f>
        <v>300027</v>
      </c>
      <c r="L177" s="21">
        <f>INDEX(Notes!$I$2:$N$11,MATCH(Notes!$B$2,Notes!$I$2:$I$11,0),6)*$E177</f>
        <v>0</v>
      </c>
      <c r="M177" s="21">
        <f>IF(Notes!$B$2="June",'Payment Total'!$F177,0)</f>
        <v>0</v>
      </c>
      <c r="N177" s="21">
        <f t="shared" si="8"/>
        <v>0</v>
      </c>
      <c r="P177" s="25" t="s">
        <v>1000</v>
      </c>
      <c r="Q177" s="25">
        <v>300027</v>
      </c>
      <c r="R177" s="20" t="str">
        <f t="shared" si="9"/>
        <v>3906</v>
      </c>
      <c r="S177" s="20" t="str">
        <f t="shared" si="10"/>
        <v>3906</v>
      </c>
      <c r="T177" s="41">
        <f t="shared" si="11"/>
        <v>0</v>
      </c>
      <c r="V177" s="41"/>
    </row>
    <row r="178" spans="1:22" s="25" customFormat="1" ht="12.75" x14ac:dyDescent="0.2">
      <c r="A178" s="19" t="str">
        <f>Data!B173</f>
        <v>3942</v>
      </c>
      <c r="B178" s="20" t="str">
        <f>INDEX(Data[],MATCH($A178,Data[Dist],0),MATCH(B$6,Data[#Headers],0))</f>
        <v>Madrid</v>
      </c>
      <c r="C178" s="21">
        <f>INDEX(Data[],MATCH($A178,Data[Dist],0),MATCH(C$6,Data[#Headers],0))</f>
        <v>527899</v>
      </c>
      <c r="D178" s="21">
        <f>INDEX(Data[],MATCH($A178,Data[Dist],0),MATCH(D$6,Data[#Headers],0))</f>
        <v>525482</v>
      </c>
      <c r="E178" s="21">
        <f>INDEX(Data[],MATCH($A178,Data[Dist],0),MATCH(E$6,Data[#Headers],0))</f>
        <v>525482</v>
      </c>
      <c r="F178" s="21">
        <f>INDEX(Data[],MATCH($A178,Data[Dist],0),MATCH(F$6,Data[#Headers],0))</f>
        <v>525480</v>
      </c>
      <c r="G178" s="21">
        <f>INDEX(Data[],MATCH($A178,Data[Dist],0),MATCH(G$6,Data[#Headers],0))</f>
        <v>2637078</v>
      </c>
      <c r="H178" s="21">
        <f>INDEX(Data[],MATCH($A178,Data[Dist],0),MATCH(H$6,Data[#Headers],0))-G178</f>
        <v>2627408</v>
      </c>
      <c r="I178" s="24"/>
      <c r="J178" s="21">
        <f>INDEX(Notes!$I$2:$N$11,MATCH(Notes!$B$2,Notes!$I$2:$I$11,0),4)*$C178</f>
        <v>2111596</v>
      </c>
      <c r="K178" s="21">
        <f>INDEX(Notes!$I$2:$N$11,MATCH(Notes!$B$2,Notes!$I$2:$I$11,0),5)*$D178</f>
        <v>525482</v>
      </c>
      <c r="L178" s="21">
        <f>INDEX(Notes!$I$2:$N$11,MATCH(Notes!$B$2,Notes!$I$2:$I$11,0),6)*$E178</f>
        <v>0</v>
      </c>
      <c r="M178" s="21">
        <f>IF(Notes!$B$2="June",'Payment Total'!$F178,0)</f>
        <v>0</v>
      </c>
      <c r="N178" s="21">
        <f t="shared" si="8"/>
        <v>0</v>
      </c>
      <c r="P178" s="25" t="s">
        <v>1001</v>
      </c>
      <c r="Q178" s="25">
        <v>525482</v>
      </c>
      <c r="R178" s="20" t="str">
        <f t="shared" si="9"/>
        <v>3942</v>
      </c>
      <c r="S178" s="20" t="str">
        <f t="shared" si="10"/>
        <v>3942</v>
      </c>
      <c r="T178" s="41">
        <f t="shared" si="11"/>
        <v>0</v>
      </c>
      <c r="V178" s="41"/>
    </row>
    <row r="179" spans="1:22" s="25" customFormat="1" ht="12.75" x14ac:dyDescent="0.2">
      <c r="A179" s="19" t="str">
        <f>Data!B174</f>
        <v>3978</v>
      </c>
      <c r="B179" s="20" t="str">
        <f>INDEX(Data[],MATCH($A179,Data[Dist],0),MATCH(B$6,Data[#Headers],0))</f>
        <v>East Mills</v>
      </c>
      <c r="C179" s="21">
        <f>INDEX(Data[],MATCH($A179,Data[Dist],0),MATCH(C$6,Data[#Headers],0))</f>
        <v>356940</v>
      </c>
      <c r="D179" s="21">
        <f>INDEX(Data[],MATCH($A179,Data[Dist],0),MATCH(D$6,Data[#Headers],0))</f>
        <v>354905</v>
      </c>
      <c r="E179" s="21">
        <f>INDEX(Data[],MATCH($A179,Data[Dist],0),MATCH(E$6,Data[#Headers],0))</f>
        <v>354905</v>
      </c>
      <c r="F179" s="21">
        <f>INDEX(Data[],MATCH($A179,Data[Dist],0),MATCH(F$6,Data[#Headers],0))</f>
        <v>354904</v>
      </c>
      <c r="G179" s="21">
        <f>INDEX(Data[],MATCH($A179,Data[Dist],0),MATCH(G$6,Data[#Headers],0))</f>
        <v>1782665</v>
      </c>
      <c r="H179" s="21">
        <f>INDEX(Data[],MATCH($A179,Data[Dist],0),MATCH(H$6,Data[#Headers],0))-G179</f>
        <v>1774524</v>
      </c>
      <c r="I179" s="24"/>
      <c r="J179" s="21">
        <f>INDEX(Notes!$I$2:$N$11,MATCH(Notes!$B$2,Notes!$I$2:$I$11,0),4)*$C179</f>
        <v>1427760</v>
      </c>
      <c r="K179" s="21">
        <f>INDEX(Notes!$I$2:$N$11,MATCH(Notes!$B$2,Notes!$I$2:$I$11,0),5)*$D179</f>
        <v>354905</v>
      </c>
      <c r="L179" s="21">
        <f>INDEX(Notes!$I$2:$N$11,MATCH(Notes!$B$2,Notes!$I$2:$I$11,0),6)*$E179</f>
        <v>0</v>
      </c>
      <c r="M179" s="21">
        <f>IF(Notes!$B$2="June",'Payment Total'!$F179,0)</f>
        <v>0</v>
      </c>
      <c r="N179" s="21">
        <f t="shared" si="8"/>
        <v>0</v>
      </c>
      <c r="P179" s="25" t="s">
        <v>1002</v>
      </c>
      <c r="Q179" s="25">
        <v>354905</v>
      </c>
      <c r="R179" s="20" t="str">
        <f t="shared" si="9"/>
        <v>3978</v>
      </c>
      <c r="S179" s="20" t="str">
        <f t="shared" si="10"/>
        <v>3978</v>
      </c>
      <c r="T179" s="41">
        <f t="shared" si="11"/>
        <v>0</v>
      </c>
      <c r="V179" s="41"/>
    </row>
    <row r="180" spans="1:22" s="25" customFormat="1" ht="12.75" x14ac:dyDescent="0.2">
      <c r="A180" s="19" t="str">
        <f>Data!B175</f>
        <v>4023</v>
      </c>
      <c r="B180" s="20" t="str">
        <f>INDEX(Data[],MATCH($A180,Data[Dist],0),MATCH(B$6,Data[#Headers],0))</f>
        <v>Manson-Northwest Webster</v>
      </c>
      <c r="C180" s="21">
        <f>INDEX(Data[],MATCH($A180,Data[Dist],0),MATCH(C$6,Data[#Headers],0))</f>
        <v>390362</v>
      </c>
      <c r="D180" s="21">
        <f>INDEX(Data[],MATCH($A180,Data[Dist],0),MATCH(D$6,Data[#Headers],0))</f>
        <v>387878</v>
      </c>
      <c r="E180" s="21">
        <f>INDEX(Data[],MATCH($A180,Data[Dist],0),MATCH(E$6,Data[#Headers],0))</f>
        <v>387878</v>
      </c>
      <c r="F180" s="21">
        <f>INDEX(Data[],MATCH($A180,Data[Dist],0),MATCH(F$6,Data[#Headers],0))</f>
        <v>387876</v>
      </c>
      <c r="G180" s="21">
        <f>INDEX(Data[],MATCH($A180,Data[Dist],0),MATCH(G$6,Data[#Headers],0))</f>
        <v>1949326</v>
      </c>
      <c r="H180" s="21">
        <f>INDEX(Data[],MATCH($A180,Data[Dist],0),MATCH(H$6,Data[#Headers],0))-G180</f>
        <v>1939388</v>
      </c>
      <c r="I180" s="24"/>
      <c r="J180" s="21">
        <f>INDEX(Notes!$I$2:$N$11,MATCH(Notes!$B$2,Notes!$I$2:$I$11,0),4)*$C180</f>
        <v>1561448</v>
      </c>
      <c r="K180" s="21">
        <f>INDEX(Notes!$I$2:$N$11,MATCH(Notes!$B$2,Notes!$I$2:$I$11,0),5)*$D180</f>
        <v>387878</v>
      </c>
      <c r="L180" s="21">
        <f>INDEX(Notes!$I$2:$N$11,MATCH(Notes!$B$2,Notes!$I$2:$I$11,0),6)*$E180</f>
        <v>0</v>
      </c>
      <c r="M180" s="21">
        <f>IF(Notes!$B$2="June",'Payment Total'!$F180,0)</f>
        <v>0</v>
      </c>
      <c r="N180" s="21">
        <f t="shared" si="8"/>
        <v>0</v>
      </c>
      <c r="P180" s="25" t="s">
        <v>1003</v>
      </c>
      <c r="Q180" s="25">
        <v>387878</v>
      </c>
      <c r="R180" s="20" t="str">
        <f t="shared" si="9"/>
        <v>4023</v>
      </c>
      <c r="S180" s="20" t="str">
        <f t="shared" si="10"/>
        <v>4023</v>
      </c>
      <c r="T180" s="41">
        <f t="shared" si="11"/>
        <v>0</v>
      </c>
      <c r="V180" s="41"/>
    </row>
    <row r="181" spans="1:22" s="25" customFormat="1" ht="12.75" x14ac:dyDescent="0.2">
      <c r="A181" s="19" t="str">
        <f>Data!B176</f>
        <v>4033</v>
      </c>
      <c r="B181" s="20" t="str">
        <f>INDEX(Data[],MATCH($A181,Data[Dist],0),MATCH(B$6,Data[#Headers],0))</f>
        <v>Maple Valley-Anthon Oto</v>
      </c>
      <c r="C181" s="21">
        <f>INDEX(Data[],MATCH($A181,Data[Dist],0),MATCH(C$6,Data[#Headers],0))</f>
        <v>318870</v>
      </c>
      <c r="D181" s="21">
        <f>INDEX(Data[],MATCH($A181,Data[Dist],0),MATCH(D$6,Data[#Headers],0))</f>
        <v>316712</v>
      </c>
      <c r="E181" s="21">
        <f>INDEX(Data[],MATCH($A181,Data[Dist],0),MATCH(E$6,Data[#Headers],0))</f>
        <v>316713</v>
      </c>
      <c r="F181" s="21">
        <f>INDEX(Data[],MATCH($A181,Data[Dist],0),MATCH(F$6,Data[#Headers],0))</f>
        <v>316711</v>
      </c>
      <c r="G181" s="21">
        <f>INDEX(Data[],MATCH($A181,Data[Dist],0),MATCH(G$6,Data[#Headers],0))</f>
        <v>1592192</v>
      </c>
      <c r="H181" s="21">
        <f>INDEX(Data[],MATCH($A181,Data[Dist],0),MATCH(H$6,Data[#Headers],0))-G181</f>
        <v>1583562</v>
      </c>
      <c r="I181" s="24"/>
      <c r="J181" s="21">
        <f>INDEX(Notes!$I$2:$N$11,MATCH(Notes!$B$2,Notes!$I$2:$I$11,0),4)*$C181</f>
        <v>1275480</v>
      </c>
      <c r="K181" s="21">
        <f>INDEX(Notes!$I$2:$N$11,MATCH(Notes!$B$2,Notes!$I$2:$I$11,0),5)*$D181</f>
        <v>316712</v>
      </c>
      <c r="L181" s="21">
        <f>INDEX(Notes!$I$2:$N$11,MATCH(Notes!$B$2,Notes!$I$2:$I$11,0),6)*$E181</f>
        <v>0</v>
      </c>
      <c r="M181" s="21">
        <f>IF(Notes!$B$2="June",'Payment Total'!$F181,0)</f>
        <v>0</v>
      </c>
      <c r="N181" s="21">
        <f t="shared" si="8"/>
        <v>0</v>
      </c>
      <c r="P181" s="25" t="s">
        <v>1004</v>
      </c>
      <c r="Q181" s="25">
        <v>316712</v>
      </c>
      <c r="R181" s="20" t="str">
        <f t="shared" si="9"/>
        <v>4033</v>
      </c>
      <c r="S181" s="20" t="str">
        <f t="shared" si="10"/>
        <v>4033</v>
      </c>
      <c r="T181" s="41">
        <f t="shared" si="11"/>
        <v>0</v>
      </c>
      <c r="V181" s="41"/>
    </row>
    <row r="182" spans="1:22" s="25" customFormat="1" ht="12.75" x14ac:dyDescent="0.2">
      <c r="A182" s="19" t="str">
        <f>Data!B177</f>
        <v>4041</v>
      </c>
      <c r="B182" s="20" t="str">
        <f>INDEX(Data[],MATCH($A182,Data[Dist],0),MATCH(B$6,Data[#Headers],0))</f>
        <v>Maquoketa</v>
      </c>
      <c r="C182" s="21">
        <f>INDEX(Data[],MATCH($A182,Data[Dist],0),MATCH(C$6,Data[#Headers],0))</f>
        <v>1057495</v>
      </c>
      <c r="D182" s="21">
        <f>INDEX(Data[],MATCH($A182,Data[Dist],0),MATCH(D$6,Data[#Headers],0))</f>
        <v>1052858</v>
      </c>
      <c r="E182" s="21">
        <f>INDEX(Data[],MATCH($A182,Data[Dist],0),MATCH(E$6,Data[#Headers],0))</f>
        <v>1052858</v>
      </c>
      <c r="F182" s="21">
        <f>INDEX(Data[],MATCH($A182,Data[Dist],0),MATCH(F$6,Data[#Headers],0))</f>
        <v>1052859</v>
      </c>
      <c r="G182" s="21">
        <f>INDEX(Data[],MATCH($A182,Data[Dist],0),MATCH(G$6,Data[#Headers],0))</f>
        <v>5282838</v>
      </c>
      <c r="H182" s="21">
        <f>INDEX(Data[],MATCH($A182,Data[Dist],0),MATCH(H$6,Data[#Headers],0))-G182</f>
        <v>5264291</v>
      </c>
      <c r="I182" s="24"/>
      <c r="J182" s="21">
        <f>INDEX(Notes!$I$2:$N$11,MATCH(Notes!$B$2,Notes!$I$2:$I$11,0),4)*$C182</f>
        <v>4229980</v>
      </c>
      <c r="K182" s="21">
        <f>INDEX(Notes!$I$2:$N$11,MATCH(Notes!$B$2,Notes!$I$2:$I$11,0),5)*$D182</f>
        <v>1052858</v>
      </c>
      <c r="L182" s="21">
        <f>INDEX(Notes!$I$2:$N$11,MATCH(Notes!$B$2,Notes!$I$2:$I$11,0),6)*$E182</f>
        <v>0</v>
      </c>
      <c r="M182" s="21">
        <f>IF(Notes!$B$2="June",'Payment Total'!$F182,0)</f>
        <v>0</v>
      </c>
      <c r="N182" s="21">
        <f t="shared" si="8"/>
        <v>0</v>
      </c>
      <c r="P182" s="25" t="s">
        <v>1005</v>
      </c>
      <c r="Q182" s="25">
        <v>1052858</v>
      </c>
      <c r="R182" s="20" t="str">
        <f t="shared" si="9"/>
        <v>4041</v>
      </c>
      <c r="S182" s="20" t="str">
        <f t="shared" si="10"/>
        <v>4041</v>
      </c>
      <c r="T182" s="41">
        <f t="shared" si="11"/>
        <v>0</v>
      </c>
      <c r="V182" s="41"/>
    </row>
    <row r="183" spans="1:22" s="25" customFormat="1" ht="12.75" x14ac:dyDescent="0.2">
      <c r="A183" s="19" t="str">
        <f>Data!B178</f>
        <v>4043</v>
      </c>
      <c r="B183" s="20" t="str">
        <f>INDEX(Data[],MATCH($A183,Data[Dist],0),MATCH(B$6,Data[#Headers],0))</f>
        <v>Maquoketa Valley</v>
      </c>
      <c r="C183" s="21">
        <f>INDEX(Data[],MATCH($A183,Data[Dist],0),MATCH(C$6,Data[#Headers],0))</f>
        <v>408397</v>
      </c>
      <c r="D183" s="21">
        <f>INDEX(Data[],MATCH($A183,Data[Dist],0),MATCH(D$6,Data[#Headers],0))</f>
        <v>405866</v>
      </c>
      <c r="E183" s="21">
        <f>INDEX(Data[],MATCH($A183,Data[Dist],0),MATCH(E$6,Data[#Headers],0))</f>
        <v>405866</v>
      </c>
      <c r="F183" s="21">
        <f>INDEX(Data[],MATCH($A183,Data[Dist],0),MATCH(F$6,Data[#Headers],0))</f>
        <v>405866</v>
      </c>
      <c r="G183" s="21">
        <f>INDEX(Data[],MATCH($A183,Data[Dist],0),MATCH(G$6,Data[#Headers],0))</f>
        <v>2039454</v>
      </c>
      <c r="H183" s="21">
        <f>INDEX(Data[],MATCH($A183,Data[Dist],0),MATCH(H$6,Data[#Headers],0))-G183</f>
        <v>2029330</v>
      </c>
      <c r="I183" s="24"/>
      <c r="J183" s="21">
        <f>INDEX(Notes!$I$2:$N$11,MATCH(Notes!$B$2,Notes!$I$2:$I$11,0),4)*$C183</f>
        <v>1633588</v>
      </c>
      <c r="K183" s="21">
        <f>INDEX(Notes!$I$2:$N$11,MATCH(Notes!$B$2,Notes!$I$2:$I$11,0),5)*$D183</f>
        <v>405866</v>
      </c>
      <c r="L183" s="21">
        <f>INDEX(Notes!$I$2:$N$11,MATCH(Notes!$B$2,Notes!$I$2:$I$11,0),6)*$E183</f>
        <v>0</v>
      </c>
      <c r="M183" s="21">
        <f>IF(Notes!$B$2="June",'Payment Total'!$F183,0)</f>
        <v>0</v>
      </c>
      <c r="N183" s="21">
        <f t="shared" si="8"/>
        <v>0</v>
      </c>
      <c r="P183" s="25" t="s">
        <v>1006</v>
      </c>
      <c r="Q183" s="25">
        <v>405866</v>
      </c>
      <c r="R183" s="20" t="str">
        <f t="shared" si="9"/>
        <v>4043</v>
      </c>
      <c r="S183" s="20" t="str">
        <f t="shared" si="10"/>
        <v>4043</v>
      </c>
      <c r="T183" s="41">
        <f t="shared" si="11"/>
        <v>0</v>
      </c>
      <c r="V183" s="41"/>
    </row>
    <row r="184" spans="1:22" s="25" customFormat="1" ht="12.75" x14ac:dyDescent="0.2">
      <c r="A184" s="19" t="str">
        <f>Data!B179</f>
        <v>4068</v>
      </c>
      <c r="B184" s="20" t="str">
        <f>INDEX(Data[],MATCH($A184,Data[Dist],0),MATCH(B$6,Data[#Headers],0))</f>
        <v>Marcus-Meriden Cleghorn</v>
      </c>
      <c r="C184" s="21">
        <f>INDEX(Data[],MATCH($A184,Data[Dist],0),MATCH(C$6,Data[#Headers],0))</f>
        <v>238066</v>
      </c>
      <c r="D184" s="21">
        <f>INDEX(Data[],MATCH($A184,Data[Dist],0),MATCH(D$6,Data[#Headers],0))</f>
        <v>236319</v>
      </c>
      <c r="E184" s="21">
        <f>INDEX(Data[],MATCH($A184,Data[Dist],0),MATCH(E$6,Data[#Headers],0))</f>
        <v>236319</v>
      </c>
      <c r="F184" s="21">
        <f>INDEX(Data[],MATCH($A184,Data[Dist],0),MATCH(F$6,Data[#Headers],0))</f>
        <v>236320</v>
      </c>
      <c r="G184" s="21">
        <f>INDEX(Data[],MATCH($A184,Data[Dist],0),MATCH(G$6,Data[#Headers],0))</f>
        <v>1188583</v>
      </c>
      <c r="H184" s="21">
        <f>INDEX(Data[],MATCH($A184,Data[Dist],0),MATCH(H$6,Data[#Headers],0))-G184</f>
        <v>1181596</v>
      </c>
      <c r="I184" s="24"/>
      <c r="J184" s="21">
        <f>INDEX(Notes!$I$2:$N$11,MATCH(Notes!$B$2,Notes!$I$2:$I$11,0),4)*$C184</f>
        <v>952264</v>
      </c>
      <c r="K184" s="21">
        <f>INDEX(Notes!$I$2:$N$11,MATCH(Notes!$B$2,Notes!$I$2:$I$11,0),5)*$D184</f>
        <v>236319</v>
      </c>
      <c r="L184" s="21">
        <f>INDEX(Notes!$I$2:$N$11,MATCH(Notes!$B$2,Notes!$I$2:$I$11,0),6)*$E184</f>
        <v>0</v>
      </c>
      <c r="M184" s="21">
        <f>IF(Notes!$B$2="June",'Payment Total'!$F184,0)</f>
        <v>0</v>
      </c>
      <c r="N184" s="21">
        <f t="shared" si="8"/>
        <v>0</v>
      </c>
      <c r="P184" s="25" t="s">
        <v>1007</v>
      </c>
      <c r="Q184" s="25">
        <v>236319</v>
      </c>
      <c r="R184" s="20" t="str">
        <f t="shared" si="9"/>
        <v>4068</v>
      </c>
      <c r="S184" s="20" t="str">
        <f t="shared" si="10"/>
        <v>4068</v>
      </c>
      <c r="T184" s="41">
        <f t="shared" si="11"/>
        <v>0</v>
      </c>
      <c r="V184" s="41"/>
    </row>
    <row r="185" spans="1:22" s="25" customFormat="1" ht="12.75" x14ac:dyDescent="0.2">
      <c r="A185" s="19" t="str">
        <f>Data!B180</f>
        <v>4086</v>
      </c>
      <c r="B185" s="20" t="str">
        <f>INDEX(Data[],MATCH($A185,Data[Dist],0),MATCH(B$6,Data[#Headers],0))</f>
        <v>Marion</v>
      </c>
      <c r="C185" s="21">
        <f>INDEX(Data[],MATCH($A185,Data[Dist],0),MATCH(C$6,Data[#Headers],0))</f>
        <v>1494322</v>
      </c>
      <c r="D185" s="21">
        <f>INDEX(Data[],MATCH($A185,Data[Dist],0),MATCH(D$6,Data[#Headers],0))</f>
        <v>1487750</v>
      </c>
      <c r="E185" s="21">
        <f>INDEX(Data[],MATCH($A185,Data[Dist],0),MATCH(E$6,Data[#Headers],0))</f>
        <v>1487750</v>
      </c>
      <c r="F185" s="21">
        <f>INDEX(Data[],MATCH($A185,Data[Dist],0),MATCH(F$6,Data[#Headers],0))</f>
        <v>1487748</v>
      </c>
      <c r="G185" s="21">
        <f>INDEX(Data[],MATCH($A185,Data[Dist],0),MATCH(G$6,Data[#Headers],0))</f>
        <v>7465038</v>
      </c>
      <c r="H185" s="21">
        <f>INDEX(Data[],MATCH($A185,Data[Dist],0),MATCH(H$6,Data[#Headers],0))-G185</f>
        <v>7438748</v>
      </c>
      <c r="I185" s="24"/>
      <c r="J185" s="21">
        <f>INDEX(Notes!$I$2:$N$11,MATCH(Notes!$B$2,Notes!$I$2:$I$11,0),4)*$C185</f>
        <v>5977288</v>
      </c>
      <c r="K185" s="21">
        <f>INDEX(Notes!$I$2:$N$11,MATCH(Notes!$B$2,Notes!$I$2:$I$11,0),5)*$D185</f>
        <v>1487750</v>
      </c>
      <c r="L185" s="21">
        <f>INDEX(Notes!$I$2:$N$11,MATCH(Notes!$B$2,Notes!$I$2:$I$11,0),6)*$E185</f>
        <v>0</v>
      </c>
      <c r="M185" s="21">
        <f>IF(Notes!$B$2="June",'Payment Total'!$F185,0)</f>
        <v>0</v>
      </c>
      <c r="N185" s="21">
        <f t="shared" si="8"/>
        <v>0</v>
      </c>
      <c r="P185" s="25" t="s">
        <v>1008</v>
      </c>
      <c r="Q185" s="25">
        <v>1487750</v>
      </c>
      <c r="R185" s="20" t="str">
        <f t="shared" si="9"/>
        <v>4086</v>
      </c>
      <c r="S185" s="20" t="str">
        <f t="shared" si="10"/>
        <v>4086</v>
      </c>
      <c r="T185" s="41">
        <f t="shared" si="11"/>
        <v>0</v>
      </c>
      <c r="V185" s="41"/>
    </row>
    <row r="186" spans="1:22" s="25" customFormat="1" ht="12.75" x14ac:dyDescent="0.2">
      <c r="A186" s="19" t="str">
        <f>Data!B181</f>
        <v>4104</v>
      </c>
      <c r="B186" s="20" t="str">
        <f>INDEX(Data[],MATCH($A186,Data[Dist],0),MATCH(B$6,Data[#Headers],0))</f>
        <v>Marshalltown</v>
      </c>
      <c r="C186" s="21">
        <f>INDEX(Data[],MATCH($A186,Data[Dist],0),MATCH(C$6,Data[#Headers],0))</f>
        <v>4809425</v>
      </c>
      <c r="D186" s="21">
        <f>INDEX(Data[],MATCH($A186,Data[Dist],0),MATCH(D$6,Data[#Headers],0))</f>
        <v>4789331</v>
      </c>
      <c r="E186" s="21">
        <f>INDEX(Data[],MATCH($A186,Data[Dist],0),MATCH(E$6,Data[#Headers],0))</f>
        <v>4789331</v>
      </c>
      <c r="F186" s="21">
        <f>INDEX(Data[],MATCH($A186,Data[Dist],0),MATCH(F$6,Data[#Headers],0))</f>
        <v>4789332</v>
      </c>
      <c r="G186" s="21">
        <f>INDEX(Data[],MATCH($A186,Data[Dist],0),MATCH(G$6,Data[#Headers],0))</f>
        <v>24027031</v>
      </c>
      <c r="H186" s="21">
        <f>INDEX(Data[],MATCH($A186,Data[Dist],0),MATCH(H$6,Data[#Headers],0))-G186</f>
        <v>23946656</v>
      </c>
      <c r="I186" s="24"/>
      <c r="J186" s="21">
        <f>INDEX(Notes!$I$2:$N$11,MATCH(Notes!$B$2,Notes!$I$2:$I$11,0),4)*$C186</f>
        <v>19237700</v>
      </c>
      <c r="K186" s="21">
        <f>INDEX(Notes!$I$2:$N$11,MATCH(Notes!$B$2,Notes!$I$2:$I$11,0),5)*$D186</f>
        <v>4789331</v>
      </c>
      <c r="L186" s="21">
        <f>INDEX(Notes!$I$2:$N$11,MATCH(Notes!$B$2,Notes!$I$2:$I$11,0),6)*$E186</f>
        <v>0</v>
      </c>
      <c r="M186" s="21">
        <f>IF(Notes!$B$2="June",'Payment Total'!$F186,0)</f>
        <v>0</v>
      </c>
      <c r="N186" s="21">
        <f t="shared" si="8"/>
        <v>0</v>
      </c>
      <c r="P186" s="25" t="s">
        <v>1009</v>
      </c>
      <c r="Q186" s="25">
        <v>4789331</v>
      </c>
      <c r="R186" s="20" t="str">
        <f t="shared" si="9"/>
        <v>4104</v>
      </c>
      <c r="S186" s="20" t="str">
        <f t="shared" si="10"/>
        <v>4104</v>
      </c>
      <c r="T186" s="41">
        <f t="shared" si="11"/>
        <v>0</v>
      </c>
      <c r="V186" s="41"/>
    </row>
    <row r="187" spans="1:22" s="25" customFormat="1" ht="12.75" x14ac:dyDescent="0.2">
      <c r="A187" s="19" t="str">
        <f>Data!B182</f>
        <v>4122</v>
      </c>
      <c r="B187" s="20" t="str">
        <f>INDEX(Data[],MATCH($A187,Data[Dist],0),MATCH(B$6,Data[#Headers],0))</f>
        <v>Martensdale-St Marys</v>
      </c>
      <c r="C187" s="21">
        <f>INDEX(Data[],MATCH($A187,Data[Dist],0),MATCH(C$6,Data[#Headers],0))</f>
        <v>357731</v>
      </c>
      <c r="D187" s="21">
        <f>INDEX(Data[],MATCH($A187,Data[Dist],0),MATCH(D$6,Data[#Headers],0))</f>
        <v>355900</v>
      </c>
      <c r="E187" s="21">
        <f>INDEX(Data[],MATCH($A187,Data[Dist],0),MATCH(E$6,Data[#Headers],0))</f>
        <v>355901</v>
      </c>
      <c r="F187" s="21">
        <f>INDEX(Data[],MATCH($A187,Data[Dist],0),MATCH(F$6,Data[#Headers],0))</f>
        <v>355899</v>
      </c>
      <c r="G187" s="21">
        <f>INDEX(Data[],MATCH($A187,Data[Dist],0),MATCH(G$6,Data[#Headers],0))</f>
        <v>1786824</v>
      </c>
      <c r="H187" s="21">
        <f>INDEX(Data[],MATCH($A187,Data[Dist],0),MATCH(H$6,Data[#Headers],0))-G187</f>
        <v>1779502</v>
      </c>
      <c r="I187" s="24"/>
      <c r="J187" s="21">
        <f>INDEX(Notes!$I$2:$N$11,MATCH(Notes!$B$2,Notes!$I$2:$I$11,0),4)*$C187</f>
        <v>1430924</v>
      </c>
      <c r="K187" s="21">
        <f>INDEX(Notes!$I$2:$N$11,MATCH(Notes!$B$2,Notes!$I$2:$I$11,0),5)*$D187</f>
        <v>355900</v>
      </c>
      <c r="L187" s="21">
        <f>INDEX(Notes!$I$2:$N$11,MATCH(Notes!$B$2,Notes!$I$2:$I$11,0),6)*$E187</f>
        <v>0</v>
      </c>
      <c r="M187" s="21">
        <f>IF(Notes!$B$2="June",'Payment Total'!$F187,0)</f>
        <v>0</v>
      </c>
      <c r="N187" s="21">
        <f t="shared" si="8"/>
        <v>0</v>
      </c>
      <c r="P187" s="25" t="s">
        <v>1010</v>
      </c>
      <c r="Q187" s="25">
        <v>355900</v>
      </c>
      <c r="R187" s="20" t="str">
        <f t="shared" si="9"/>
        <v>4122</v>
      </c>
      <c r="S187" s="20" t="str">
        <f t="shared" si="10"/>
        <v>4122</v>
      </c>
      <c r="T187" s="41">
        <f t="shared" si="11"/>
        <v>0</v>
      </c>
      <c r="V187" s="41"/>
    </row>
    <row r="188" spans="1:22" s="25" customFormat="1" ht="12.75" x14ac:dyDescent="0.2">
      <c r="A188" s="19" t="str">
        <f>Data!B183</f>
        <v>4131</v>
      </c>
      <c r="B188" s="20" t="str">
        <f>INDEX(Data[],MATCH($A188,Data[Dist],0),MATCH(B$6,Data[#Headers],0))</f>
        <v>Mason City</v>
      </c>
      <c r="C188" s="21">
        <f>INDEX(Data[],MATCH($A188,Data[Dist],0),MATCH(C$6,Data[#Headers],0))</f>
        <v>2570936</v>
      </c>
      <c r="D188" s="21">
        <f>INDEX(Data[],MATCH($A188,Data[Dist],0),MATCH(D$6,Data[#Headers],0))</f>
        <v>2558355</v>
      </c>
      <c r="E188" s="21">
        <f>INDEX(Data[],MATCH($A188,Data[Dist],0),MATCH(E$6,Data[#Headers],0))</f>
        <v>2558354</v>
      </c>
      <c r="F188" s="21">
        <f>INDEX(Data[],MATCH($A188,Data[Dist],0),MATCH(F$6,Data[#Headers],0))</f>
        <v>2558355</v>
      </c>
      <c r="G188" s="21">
        <f>INDEX(Data[],MATCH($A188,Data[Dist],0),MATCH(G$6,Data[#Headers],0))</f>
        <v>12842099</v>
      </c>
      <c r="H188" s="21">
        <f>INDEX(Data[],MATCH($A188,Data[Dist],0),MATCH(H$6,Data[#Headers],0))-G188</f>
        <v>12791772</v>
      </c>
      <c r="I188" s="24"/>
      <c r="J188" s="21">
        <f>INDEX(Notes!$I$2:$N$11,MATCH(Notes!$B$2,Notes!$I$2:$I$11,0),4)*$C188</f>
        <v>10283744</v>
      </c>
      <c r="K188" s="21">
        <f>INDEX(Notes!$I$2:$N$11,MATCH(Notes!$B$2,Notes!$I$2:$I$11,0),5)*$D188</f>
        <v>2558355</v>
      </c>
      <c r="L188" s="21">
        <f>INDEX(Notes!$I$2:$N$11,MATCH(Notes!$B$2,Notes!$I$2:$I$11,0),6)*$E188</f>
        <v>0</v>
      </c>
      <c r="M188" s="21">
        <f>IF(Notes!$B$2="June",'Payment Total'!$F188,0)</f>
        <v>0</v>
      </c>
      <c r="N188" s="21">
        <f t="shared" si="8"/>
        <v>0</v>
      </c>
      <c r="P188" s="25" t="s">
        <v>1011</v>
      </c>
      <c r="Q188" s="25">
        <v>2558355</v>
      </c>
      <c r="R188" s="20" t="str">
        <f t="shared" si="9"/>
        <v>4131</v>
      </c>
      <c r="S188" s="20" t="str">
        <f t="shared" si="10"/>
        <v>4131</v>
      </c>
      <c r="T188" s="41">
        <f t="shared" si="11"/>
        <v>0</v>
      </c>
      <c r="V188" s="41"/>
    </row>
    <row r="189" spans="1:22" s="25" customFormat="1" ht="12.75" x14ac:dyDescent="0.2">
      <c r="A189" s="19" t="str">
        <f>Data!B184</f>
        <v>4149</v>
      </c>
      <c r="B189" s="20" t="str">
        <f>INDEX(Data[],MATCH($A189,Data[Dist],0),MATCH(B$6,Data[#Headers],0))</f>
        <v>Moc-Floyd Valley</v>
      </c>
      <c r="C189" s="21">
        <f>INDEX(Data[],MATCH($A189,Data[Dist],0),MATCH(C$6,Data[#Headers],0))</f>
        <v>1021703</v>
      </c>
      <c r="D189" s="21">
        <f>INDEX(Data[],MATCH($A189,Data[Dist],0),MATCH(D$6,Data[#Headers],0))</f>
        <v>1016048</v>
      </c>
      <c r="E189" s="21">
        <f>INDEX(Data[],MATCH($A189,Data[Dist],0),MATCH(E$6,Data[#Headers],0))</f>
        <v>1016048</v>
      </c>
      <c r="F189" s="21">
        <f>INDEX(Data[],MATCH($A189,Data[Dist],0),MATCH(F$6,Data[#Headers],0))</f>
        <v>1016048</v>
      </c>
      <c r="G189" s="21">
        <f>INDEX(Data[],MATCH($A189,Data[Dist],0),MATCH(G$6,Data[#Headers],0))</f>
        <v>5102860</v>
      </c>
      <c r="H189" s="21">
        <f>INDEX(Data[],MATCH($A189,Data[Dist],0),MATCH(H$6,Data[#Headers],0))-G189</f>
        <v>5080240</v>
      </c>
      <c r="I189" s="24"/>
      <c r="J189" s="21">
        <f>INDEX(Notes!$I$2:$N$11,MATCH(Notes!$B$2,Notes!$I$2:$I$11,0),4)*$C189</f>
        <v>4086812</v>
      </c>
      <c r="K189" s="21">
        <f>INDEX(Notes!$I$2:$N$11,MATCH(Notes!$B$2,Notes!$I$2:$I$11,0),5)*$D189</f>
        <v>1016048</v>
      </c>
      <c r="L189" s="21">
        <f>INDEX(Notes!$I$2:$N$11,MATCH(Notes!$B$2,Notes!$I$2:$I$11,0),6)*$E189</f>
        <v>0</v>
      </c>
      <c r="M189" s="21">
        <f>IF(Notes!$B$2="June",'Payment Total'!$F189,0)</f>
        <v>0</v>
      </c>
      <c r="N189" s="21">
        <f t="shared" si="8"/>
        <v>0</v>
      </c>
      <c r="P189" s="25" t="s">
        <v>1012</v>
      </c>
      <c r="Q189" s="25">
        <v>1016048</v>
      </c>
      <c r="R189" s="20" t="str">
        <f t="shared" si="9"/>
        <v>4149</v>
      </c>
      <c r="S189" s="20" t="str">
        <f t="shared" si="10"/>
        <v>4149</v>
      </c>
      <c r="T189" s="41">
        <f t="shared" si="11"/>
        <v>0</v>
      </c>
      <c r="V189" s="41"/>
    </row>
    <row r="190" spans="1:22" s="25" customFormat="1" ht="12.75" x14ac:dyDescent="0.2">
      <c r="A190" s="19" t="str">
        <f>Data!B185</f>
        <v>4203</v>
      </c>
      <c r="B190" s="20" t="str">
        <f>INDEX(Data[],MATCH($A190,Data[Dist],0),MATCH(B$6,Data[#Headers],0))</f>
        <v>Mediapolis</v>
      </c>
      <c r="C190" s="21">
        <f>INDEX(Data[],MATCH($A190,Data[Dist],0),MATCH(C$6,Data[#Headers],0))</f>
        <v>614211</v>
      </c>
      <c r="D190" s="21">
        <f>INDEX(Data[],MATCH($A190,Data[Dist],0),MATCH(D$6,Data[#Headers],0))</f>
        <v>610885</v>
      </c>
      <c r="E190" s="21">
        <f>INDEX(Data[],MATCH($A190,Data[Dist],0),MATCH(E$6,Data[#Headers],0))</f>
        <v>610886</v>
      </c>
      <c r="F190" s="21">
        <f>INDEX(Data[],MATCH($A190,Data[Dist],0),MATCH(F$6,Data[#Headers],0))</f>
        <v>610884</v>
      </c>
      <c r="G190" s="21">
        <f>INDEX(Data[],MATCH($A190,Data[Dist],0),MATCH(G$6,Data[#Headers],0))</f>
        <v>3067729</v>
      </c>
      <c r="H190" s="21">
        <f>INDEX(Data[],MATCH($A190,Data[Dist],0),MATCH(H$6,Data[#Headers],0))-G190</f>
        <v>3054427</v>
      </c>
      <c r="I190" s="24"/>
      <c r="J190" s="21">
        <f>INDEX(Notes!$I$2:$N$11,MATCH(Notes!$B$2,Notes!$I$2:$I$11,0),4)*$C190</f>
        <v>2456844</v>
      </c>
      <c r="K190" s="21">
        <f>INDEX(Notes!$I$2:$N$11,MATCH(Notes!$B$2,Notes!$I$2:$I$11,0),5)*$D190</f>
        <v>610885</v>
      </c>
      <c r="L190" s="21">
        <f>INDEX(Notes!$I$2:$N$11,MATCH(Notes!$B$2,Notes!$I$2:$I$11,0),6)*$E190</f>
        <v>0</v>
      </c>
      <c r="M190" s="21">
        <f>IF(Notes!$B$2="June",'Payment Total'!$F190,0)</f>
        <v>0</v>
      </c>
      <c r="N190" s="21">
        <f t="shared" si="8"/>
        <v>0</v>
      </c>
      <c r="P190" s="25" t="s">
        <v>1013</v>
      </c>
      <c r="Q190" s="25">
        <v>610885</v>
      </c>
      <c r="R190" s="20" t="str">
        <f t="shared" si="9"/>
        <v>4203</v>
      </c>
      <c r="S190" s="20" t="str">
        <f t="shared" si="10"/>
        <v>4203</v>
      </c>
      <c r="T190" s="41">
        <f t="shared" si="11"/>
        <v>0</v>
      </c>
      <c r="V190" s="41"/>
    </row>
    <row r="191" spans="1:22" s="25" customFormat="1" ht="12.75" x14ac:dyDescent="0.2">
      <c r="A191" s="19" t="str">
        <f>Data!B186</f>
        <v>4212</v>
      </c>
      <c r="B191" s="20" t="str">
        <f>INDEX(Data[],MATCH($A191,Data[Dist],0),MATCH(B$6,Data[#Headers],0))</f>
        <v>Melcher-Dallas</v>
      </c>
      <c r="C191" s="21">
        <f>INDEX(Data[],MATCH($A191,Data[Dist],0),MATCH(C$6,Data[#Headers],0))</f>
        <v>253027</v>
      </c>
      <c r="D191" s="21">
        <f>INDEX(Data[],MATCH($A191,Data[Dist],0),MATCH(D$6,Data[#Headers],0))</f>
        <v>251963</v>
      </c>
      <c r="E191" s="21">
        <f>INDEX(Data[],MATCH($A191,Data[Dist],0),MATCH(E$6,Data[#Headers],0))</f>
        <v>251963</v>
      </c>
      <c r="F191" s="21">
        <f>INDEX(Data[],MATCH($A191,Data[Dist],0),MATCH(F$6,Data[#Headers],0))</f>
        <v>251962</v>
      </c>
      <c r="G191" s="21">
        <f>INDEX(Data[],MATCH($A191,Data[Dist],0),MATCH(G$6,Data[#Headers],0))</f>
        <v>1264071</v>
      </c>
      <c r="H191" s="21">
        <f>INDEX(Data[],MATCH($A191,Data[Dist],0),MATCH(H$6,Data[#Headers],0))-G191</f>
        <v>1259814</v>
      </c>
      <c r="I191" s="24"/>
      <c r="J191" s="21">
        <f>INDEX(Notes!$I$2:$N$11,MATCH(Notes!$B$2,Notes!$I$2:$I$11,0),4)*$C191</f>
        <v>1012108</v>
      </c>
      <c r="K191" s="21">
        <f>INDEX(Notes!$I$2:$N$11,MATCH(Notes!$B$2,Notes!$I$2:$I$11,0),5)*$D191</f>
        <v>251963</v>
      </c>
      <c r="L191" s="21">
        <f>INDEX(Notes!$I$2:$N$11,MATCH(Notes!$B$2,Notes!$I$2:$I$11,0),6)*$E191</f>
        <v>0</v>
      </c>
      <c r="M191" s="21">
        <f>IF(Notes!$B$2="June",'Payment Total'!$F191,0)</f>
        <v>0</v>
      </c>
      <c r="N191" s="21">
        <f t="shared" si="8"/>
        <v>0</v>
      </c>
      <c r="P191" s="25" t="s">
        <v>1014</v>
      </c>
      <c r="Q191" s="25">
        <v>251963</v>
      </c>
      <c r="R191" s="20" t="str">
        <f t="shared" si="9"/>
        <v>4212</v>
      </c>
      <c r="S191" s="20" t="str">
        <f t="shared" si="10"/>
        <v>4212</v>
      </c>
      <c r="T191" s="41">
        <f t="shared" si="11"/>
        <v>0</v>
      </c>
      <c r="V191" s="41"/>
    </row>
    <row r="192" spans="1:22" s="25" customFormat="1" ht="12.75" x14ac:dyDescent="0.2">
      <c r="A192" s="19" t="str">
        <f>Data!B187</f>
        <v>4269</v>
      </c>
      <c r="B192" s="20" t="str">
        <f>INDEX(Data[],MATCH($A192,Data[Dist],0),MATCH(B$6,Data[#Headers],0))</f>
        <v>Midland</v>
      </c>
      <c r="C192" s="21">
        <f>INDEX(Data[],MATCH($A192,Data[Dist],0),MATCH(C$6,Data[#Headers],0))</f>
        <v>332393</v>
      </c>
      <c r="D192" s="21">
        <f>INDEX(Data[],MATCH($A192,Data[Dist],0),MATCH(D$6,Data[#Headers],0))</f>
        <v>330555</v>
      </c>
      <c r="E192" s="21">
        <f>INDEX(Data[],MATCH($A192,Data[Dist],0),MATCH(E$6,Data[#Headers],0))</f>
        <v>330555</v>
      </c>
      <c r="F192" s="21">
        <f>INDEX(Data[],MATCH($A192,Data[Dist],0),MATCH(F$6,Data[#Headers],0))</f>
        <v>330554</v>
      </c>
      <c r="G192" s="21">
        <f>INDEX(Data[],MATCH($A192,Data[Dist],0),MATCH(G$6,Data[#Headers],0))</f>
        <v>1660127</v>
      </c>
      <c r="H192" s="21">
        <f>INDEX(Data[],MATCH($A192,Data[Dist],0),MATCH(H$6,Data[#Headers],0))-G192</f>
        <v>1652774</v>
      </c>
      <c r="I192" s="24"/>
      <c r="J192" s="21">
        <f>INDEX(Notes!$I$2:$N$11,MATCH(Notes!$B$2,Notes!$I$2:$I$11,0),4)*$C192</f>
        <v>1329572</v>
      </c>
      <c r="K192" s="21">
        <f>INDEX(Notes!$I$2:$N$11,MATCH(Notes!$B$2,Notes!$I$2:$I$11,0),5)*$D192</f>
        <v>330555</v>
      </c>
      <c r="L192" s="21">
        <f>INDEX(Notes!$I$2:$N$11,MATCH(Notes!$B$2,Notes!$I$2:$I$11,0),6)*$E192</f>
        <v>0</v>
      </c>
      <c r="M192" s="21">
        <f>IF(Notes!$B$2="June",'Payment Total'!$F192,0)</f>
        <v>0</v>
      </c>
      <c r="N192" s="21">
        <f t="shared" si="8"/>
        <v>0</v>
      </c>
      <c r="P192" s="25" t="s">
        <v>1015</v>
      </c>
      <c r="Q192" s="25">
        <v>330555</v>
      </c>
      <c r="R192" s="20" t="str">
        <f t="shared" si="9"/>
        <v>4269</v>
      </c>
      <c r="S192" s="20" t="str">
        <f t="shared" si="10"/>
        <v>4269</v>
      </c>
      <c r="T192" s="41">
        <f t="shared" si="11"/>
        <v>0</v>
      </c>
      <c r="V192" s="41"/>
    </row>
    <row r="193" spans="1:22" s="25" customFormat="1" ht="12.75" x14ac:dyDescent="0.2">
      <c r="A193" s="19" t="str">
        <f>Data!B188</f>
        <v>4271</v>
      </c>
      <c r="B193" s="20" t="str">
        <f>INDEX(Data[],MATCH($A193,Data[Dist],0),MATCH(B$6,Data[#Headers],0))</f>
        <v>Mid-Prairie</v>
      </c>
      <c r="C193" s="21">
        <f>INDEX(Data[],MATCH($A193,Data[Dist],0),MATCH(C$6,Data[#Headers],0))</f>
        <v>832029</v>
      </c>
      <c r="D193" s="21">
        <f>INDEX(Data[],MATCH($A193,Data[Dist],0),MATCH(D$6,Data[#Headers],0))</f>
        <v>827546</v>
      </c>
      <c r="E193" s="21">
        <f>INDEX(Data[],MATCH($A193,Data[Dist],0),MATCH(E$6,Data[#Headers],0))</f>
        <v>827546</v>
      </c>
      <c r="F193" s="21">
        <f>INDEX(Data[],MATCH($A193,Data[Dist],0),MATCH(F$6,Data[#Headers],0))</f>
        <v>827546</v>
      </c>
      <c r="G193" s="21">
        <f>INDEX(Data[],MATCH($A193,Data[Dist],0),MATCH(G$6,Data[#Headers],0))</f>
        <v>4155662</v>
      </c>
      <c r="H193" s="21">
        <f>INDEX(Data[],MATCH($A193,Data[Dist],0),MATCH(H$6,Data[#Headers],0))-G193</f>
        <v>4137730</v>
      </c>
      <c r="I193" s="24"/>
      <c r="J193" s="21">
        <f>INDEX(Notes!$I$2:$N$11,MATCH(Notes!$B$2,Notes!$I$2:$I$11,0),4)*$C193</f>
        <v>3328116</v>
      </c>
      <c r="K193" s="21">
        <f>INDEX(Notes!$I$2:$N$11,MATCH(Notes!$B$2,Notes!$I$2:$I$11,0),5)*$D193</f>
        <v>827546</v>
      </c>
      <c r="L193" s="21">
        <f>INDEX(Notes!$I$2:$N$11,MATCH(Notes!$B$2,Notes!$I$2:$I$11,0),6)*$E193</f>
        <v>0</v>
      </c>
      <c r="M193" s="21">
        <f>IF(Notes!$B$2="June",'Payment Total'!$F193,0)</f>
        <v>0</v>
      </c>
      <c r="N193" s="21">
        <f t="shared" si="8"/>
        <v>0</v>
      </c>
      <c r="P193" s="25" t="s">
        <v>1016</v>
      </c>
      <c r="Q193" s="25">
        <v>827546</v>
      </c>
      <c r="R193" s="20" t="str">
        <f t="shared" si="9"/>
        <v>4271</v>
      </c>
      <c r="S193" s="20" t="str">
        <f t="shared" si="10"/>
        <v>4271</v>
      </c>
      <c r="T193" s="41">
        <f t="shared" si="11"/>
        <v>0</v>
      </c>
      <c r="V193" s="41"/>
    </row>
    <row r="194" spans="1:22" s="25" customFormat="1" ht="12.75" x14ac:dyDescent="0.2">
      <c r="A194" s="19" t="str">
        <f>Data!B189</f>
        <v>4356</v>
      </c>
      <c r="B194" s="20" t="str">
        <f>INDEX(Data[],MATCH($A194,Data[Dist],0),MATCH(B$6,Data[#Headers],0))</f>
        <v>Missouri Valley</v>
      </c>
      <c r="C194" s="21">
        <f>INDEX(Data[],MATCH($A194,Data[Dist],0),MATCH(C$6,Data[#Headers],0))</f>
        <v>523790</v>
      </c>
      <c r="D194" s="21">
        <f>INDEX(Data[],MATCH($A194,Data[Dist],0),MATCH(D$6,Data[#Headers],0))</f>
        <v>521064</v>
      </c>
      <c r="E194" s="21">
        <f>INDEX(Data[],MATCH($A194,Data[Dist],0),MATCH(E$6,Data[#Headers],0))</f>
        <v>521065</v>
      </c>
      <c r="F194" s="21">
        <f>INDEX(Data[],MATCH($A194,Data[Dist],0),MATCH(F$6,Data[#Headers],0))</f>
        <v>521063</v>
      </c>
      <c r="G194" s="21">
        <f>INDEX(Data[],MATCH($A194,Data[Dist],0),MATCH(G$6,Data[#Headers],0))</f>
        <v>2616224</v>
      </c>
      <c r="H194" s="21">
        <f>INDEX(Data[],MATCH($A194,Data[Dist],0),MATCH(H$6,Data[#Headers],0))-G194</f>
        <v>2605322</v>
      </c>
      <c r="I194" s="24"/>
      <c r="J194" s="21">
        <f>INDEX(Notes!$I$2:$N$11,MATCH(Notes!$B$2,Notes!$I$2:$I$11,0),4)*$C194</f>
        <v>2095160</v>
      </c>
      <c r="K194" s="21">
        <f>INDEX(Notes!$I$2:$N$11,MATCH(Notes!$B$2,Notes!$I$2:$I$11,0),5)*$D194</f>
        <v>521064</v>
      </c>
      <c r="L194" s="21">
        <f>INDEX(Notes!$I$2:$N$11,MATCH(Notes!$B$2,Notes!$I$2:$I$11,0),6)*$E194</f>
        <v>0</v>
      </c>
      <c r="M194" s="21">
        <f>IF(Notes!$B$2="June",'Payment Total'!$F194,0)</f>
        <v>0</v>
      </c>
      <c r="N194" s="21">
        <f t="shared" si="8"/>
        <v>0</v>
      </c>
      <c r="P194" s="25" t="s">
        <v>1017</v>
      </c>
      <c r="Q194" s="25">
        <v>521064</v>
      </c>
      <c r="R194" s="20" t="str">
        <f t="shared" si="9"/>
        <v>4356</v>
      </c>
      <c r="S194" s="20" t="str">
        <f t="shared" si="10"/>
        <v>4356</v>
      </c>
      <c r="T194" s="41">
        <f t="shared" si="11"/>
        <v>0</v>
      </c>
      <c r="V194" s="41"/>
    </row>
    <row r="195" spans="1:22" s="25" customFormat="1" ht="12.75" x14ac:dyDescent="0.2">
      <c r="A195" s="19" t="str">
        <f>Data!B190</f>
        <v>4419</v>
      </c>
      <c r="B195" s="20" t="str">
        <f>INDEX(Data[],MATCH($A195,Data[Dist],0),MATCH(B$6,Data[#Headers],0))</f>
        <v>MFL Mar Mac</v>
      </c>
      <c r="C195" s="21">
        <f>INDEX(Data[],MATCH($A195,Data[Dist],0),MATCH(C$6,Data[#Headers],0))</f>
        <v>633080</v>
      </c>
      <c r="D195" s="21">
        <f>INDEX(Data[],MATCH($A195,Data[Dist],0),MATCH(D$6,Data[#Headers],0))</f>
        <v>630030</v>
      </c>
      <c r="E195" s="21">
        <f>INDEX(Data[],MATCH($A195,Data[Dist],0),MATCH(E$6,Data[#Headers],0))</f>
        <v>630029</v>
      </c>
      <c r="F195" s="21">
        <f>INDEX(Data[],MATCH($A195,Data[Dist],0),MATCH(F$6,Data[#Headers],0))</f>
        <v>630030</v>
      </c>
      <c r="G195" s="21">
        <f>INDEX(Data[],MATCH($A195,Data[Dist],0),MATCH(G$6,Data[#Headers],0))</f>
        <v>3162350</v>
      </c>
      <c r="H195" s="21">
        <f>INDEX(Data[],MATCH($A195,Data[Dist],0),MATCH(H$6,Data[#Headers],0))-G195</f>
        <v>3150147</v>
      </c>
      <c r="I195" s="24"/>
      <c r="J195" s="21">
        <f>INDEX(Notes!$I$2:$N$11,MATCH(Notes!$B$2,Notes!$I$2:$I$11,0),4)*$C195</f>
        <v>2532320</v>
      </c>
      <c r="K195" s="21">
        <f>INDEX(Notes!$I$2:$N$11,MATCH(Notes!$B$2,Notes!$I$2:$I$11,0),5)*$D195</f>
        <v>630030</v>
      </c>
      <c r="L195" s="21">
        <f>INDEX(Notes!$I$2:$N$11,MATCH(Notes!$B$2,Notes!$I$2:$I$11,0),6)*$E195</f>
        <v>0</v>
      </c>
      <c r="M195" s="21">
        <f>IF(Notes!$B$2="June",'Payment Total'!$F195,0)</f>
        <v>0</v>
      </c>
      <c r="N195" s="21">
        <f t="shared" si="8"/>
        <v>0</v>
      </c>
      <c r="P195" s="25" t="s">
        <v>1018</v>
      </c>
      <c r="Q195" s="25">
        <v>630030</v>
      </c>
      <c r="R195" s="20" t="str">
        <f t="shared" si="9"/>
        <v>4419</v>
      </c>
      <c r="S195" s="20" t="str">
        <f t="shared" si="10"/>
        <v>4419</v>
      </c>
      <c r="T195" s="41">
        <f t="shared" si="11"/>
        <v>0</v>
      </c>
      <c r="V195" s="41"/>
    </row>
    <row r="196" spans="1:22" s="25" customFormat="1" ht="12.75" x14ac:dyDescent="0.2">
      <c r="A196" s="19" t="str">
        <f>Data!B191</f>
        <v>4437</v>
      </c>
      <c r="B196" s="20" t="str">
        <f>INDEX(Data[],MATCH($A196,Data[Dist],0),MATCH(B$6,Data[#Headers],0))</f>
        <v>Montezuma</v>
      </c>
      <c r="C196" s="21">
        <f>INDEX(Data[],MATCH($A196,Data[Dist],0),MATCH(C$6,Data[#Headers],0))</f>
        <v>222298</v>
      </c>
      <c r="D196" s="21">
        <f>INDEX(Data[],MATCH($A196,Data[Dist],0),MATCH(D$6,Data[#Headers],0))</f>
        <v>220550</v>
      </c>
      <c r="E196" s="21">
        <f>INDEX(Data[],MATCH($A196,Data[Dist],0),MATCH(E$6,Data[#Headers],0))</f>
        <v>220549</v>
      </c>
      <c r="F196" s="21">
        <f>INDEX(Data[],MATCH($A196,Data[Dist],0),MATCH(F$6,Data[#Headers],0))</f>
        <v>220550</v>
      </c>
      <c r="G196" s="21">
        <f>INDEX(Data[],MATCH($A196,Data[Dist],0),MATCH(G$6,Data[#Headers],0))</f>
        <v>1109742</v>
      </c>
      <c r="H196" s="21">
        <f>INDEX(Data[],MATCH($A196,Data[Dist],0),MATCH(H$6,Data[#Headers],0))-G196</f>
        <v>1102747</v>
      </c>
      <c r="I196" s="24"/>
      <c r="J196" s="21">
        <f>INDEX(Notes!$I$2:$N$11,MATCH(Notes!$B$2,Notes!$I$2:$I$11,0),4)*$C196</f>
        <v>889192</v>
      </c>
      <c r="K196" s="21">
        <f>INDEX(Notes!$I$2:$N$11,MATCH(Notes!$B$2,Notes!$I$2:$I$11,0),5)*$D196</f>
        <v>220550</v>
      </c>
      <c r="L196" s="21">
        <f>INDEX(Notes!$I$2:$N$11,MATCH(Notes!$B$2,Notes!$I$2:$I$11,0),6)*$E196</f>
        <v>0</v>
      </c>
      <c r="M196" s="21">
        <f>IF(Notes!$B$2="June",'Payment Total'!$F196,0)</f>
        <v>0</v>
      </c>
      <c r="N196" s="21">
        <f t="shared" si="8"/>
        <v>0</v>
      </c>
      <c r="P196" s="25" t="s">
        <v>1019</v>
      </c>
      <c r="Q196" s="25">
        <v>220550</v>
      </c>
      <c r="R196" s="20" t="str">
        <f t="shared" si="9"/>
        <v>4437</v>
      </c>
      <c r="S196" s="20" t="str">
        <f t="shared" si="10"/>
        <v>4437</v>
      </c>
      <c r="T196" s="41">
        <f t="shared" si="11"/>
        <v>0</v>
      </c>
      <c r="V196" s="41"/>
    </row>
    <row r="197" spans="1:22" s="25" customFormat="1" ht="12.75" x14ac:dyDescent="0.2">
      <c r="A197" s="19" t="str">
        <f>Data!B192</f>
        <v>4446</v>
      </c>
      <c r="B197" s="20" t="str">
        <f>INDEX(Data[],MATCH($A197,Data[Dist],0),MATCH(B$6,Data[#Headers],0))</f>
        <v>Monticello</v>
      </c>
      <c r="C197" s="21">
        <f>INDEX(Data[],MATCH($A197,Data[Dist],0),MATCH(C$6,Data[#Headers],0))</f>
        <v>708510</v>
      </c>
      <c r="D197" s="21">
        <f>INDEX(Data[],MATCH($A197,Data[Dist],0),MATCH(D$6,Data[#Headers],0))</f>
        <v>704874</v>
      </c>
      <c r="E197" s="21">
        <f>INDEX(Data[],MATCH($A197,Data[Dist],0),MATCH(E$6,Data[#Headers],0))</f>
        <v>704873</v>
      </c>
      <c r="F197" s="21">
        <f>INDEX(Data[],MATCH($A197,Data[Dist],0),MATCH(F$6,Data[#Headers],0))</f>
        <v>704874</v>
      </c>
      <c r="G197" s="21">
        <f>INDEX(Data[],MATCH($A197,Data[Dist],0),MATCH(G$6,Data[#Headers],0))</f>
        <v>3538914</v>
      </c>
      <c r="H197" s="21">
        <f>INDEX(Data[],MATCH($A197,Data[Dist],0),MATCH(H$6,Data[#Headers],0))-G197</f>
        <v>3524367</v>
      </c>
      <c r="I197" s="24"/>
      <c r="J197" s="21">
        <f>INDEX(Notes!$I$2:$N$11,MATCH(Notes!$B$2,Notes!$I$2:$I$11,0),4)*$C197</f>
        <v>2834040</v>
      </c>
      <c r="K197" s="21">
        <f>INDEX(Notes!$I$2:$N$11,MATCH(Notes!$B$2,Notes!$I$2:$I$11,0),5)*$D197</f>
        <v>704874</v>
      </c>
      <c r="L197" s="21">
        <f>INDEX(Notes!$I$2:$N$11,MATCH(Notes!$B$2,Notes!$I$2:$I$11,0),6)*$E197</f>
        <v>0</v>
      </c>
      <c r="M197" s="21">
        <f>IF(Notes!$B$2="June",'Payment Total'!$F197,0)</f>
        <v>0</v>
      </c>
      <c r="N197" s="21">
        <f t="shared" si="8"/>
        <v>0</v>
      </c>
      <c r="P197" s="25" t="s">
        <v>1020</v>
      </c>
      <c r="Q197" s="25">
        <v>704874</v>
      </c>
      <c r="R197" s="20" t="str">
        <f t="shared" si="9"/>
        <v>4446</v>
      </c>
      <c r="S197" s="20" t="str">
        <f t="shared" si="10"/>
        <v>4446</v>
      </c>
      <c r="T197" s="41">
        <f t="shared" si="11"/>
        <v>0</v>
      </c>
      <c r="V197" s="41"/>
    </row>
    <row r="198" spans="1:22" s="25" customFormat="1" ht="12.75" x14ac:dyDescent="0.2">
      <c r="A198" s="19" t="str">
        <f>Data!B193</f>
        <v>4491</v>
      </c>
      <c r="B198" s="20" t="str">
        <f>INDEX(Data[],MATCH($A198,Data[Dist],0),MATCH(B$6,Data[#Headers],0))</f>
        <v>Moravia</v>
      </c>
      <c r="C198" s="21">
        <f>INDEX(Data[],MATCH($A198,Data[Dist],0),MATCH(C$6,Data[#Headers],0))</f>
        <v>257040</v>
      </c>
      <c r="D198" s="21">
        <f>INDEX(Data[],MATCH($A198,Data[Dist],0),MATCH(D$6,Data[#Headers],0))</f>
        <v>255839</v>
      </c>
      <c r="E198" s="21">
        <f>INDEX(Data[],MATCH($A198,Data[Dist],0),MATCH(E$6,Data[#Headers],0))</f>
        <v>255839</v>
      </c>
      <c r="F198" s="21">
        <f>INDEX(Data[],MATCH($A198,Data[Dist],0),MATCH(F$6,Data[#Headers],0))</f>
        <v>255837</v>
      </c>
      <c r="G198" s="21">
        <f>INDEX(Data[],MATCH($A198,Data[Dist],0),MATCH(G$6,Data[#Headers],0))</f>
        <v>1283999</v>
      </c>
      <c r="H198" s="21">
        <f>INDEX(Data[],MATCH($A198,Data[Dist],0),MATCH(H$6,Data[#Headers],0))-G198</f>
        <v>1279193</v>
      </c>
      <c r="I198" s="24"/>
      <c r="J198" s="21">
        <f>INDEX(Notes!$I$2:$N$11,MATCH(Notes!$B$2,Notes!$I$2:$I$11,0),4)*$C198</f>
        <v>1028160</v>
      </c>
      <c r="K198" s="21">
        <f>INDEX(Notes!$I$2:$N$11,MATCH(Notes!$B$2,Notes!$I$2:$I$11,0),5)*$D198</f>
        <v>255839</v>
      </c>
      <c r="L198" s="21">
        <f>INDEX(Notes!$I$2:$N$11,MATCH(Notes!$B$2,Notes!$I$2:$I$11,0),6)*$E198</f>
        <v>0</v>
      </c>
      <c r="M198" s="21">
        <f>IF(Notes!$B$2="June",'Payment Total'!$F198,0)</f>
        <v>0</v>
      </c>
      <c r="N198" s="21">
        <f t="shared" si="8"/>
        <v>0</v>
      </c>
      <c r="P198" s="25" t="s">
        <v>1021</v>
      </c>
      <c r="Q198" s="25">
        <v>255839</v>
      </c>
      <c r="R198" s="20" t="str">
        <f t="shared" si="9"/>
        <v>4491</v>
      </c>
      <c r="S198" s="20" t="str">
        <f t="shared" si="10"/>
        <v>4491</v>
      </c>
      <c r="T198" s="41">
        <f t="shared" si="11"/>
        <v>0</v>
      </c>
      <c r="V198" s="41"/>
    </row>
    <row r="199" spans="1:22" s="25" customFormat="1" ht="12.75" x14ac:dyDescent="0.2">
      <c r="A199" s="19" t="str">
        <f>Data!B194</f>
        <v>4505</v>
      </c>
      <c r="B199" s="20" t="str">
        <f>INDEX(Data[],MATCH($A199,Data[Dist],0),MATCH(B$6,Data[#Headers],0))</f>
        <v>Mormon Trail</v>
      </c>
      <c r="C199" s="21">
        <f>INDEX(Data[],MATCH($A199,Data[Dist],0),MATCH(C$6,Data[#Headers],0))</f>
        <v>191954</v>
      </c>
      <c r="D199" s="21">
        <f>INDEX(Data[],MATCH($A199,Data[Dist],0),MATCH(D$6,Data[#Headers],0))</f>
        <v>191124</v>
      </c>
      <c r="E199" s="21">
        <f>INDEX(Data[],MATCH($A199,Data[Dist],0),MATCH(E$6,Data[#Headers],0))</f>
        <v>191124</v>
      </c>
      <c r="F199" s="21">
        <f>INDEX(Data[],MATCH($A199,Data[Dist],0),MATCH(F$6,Data[#Headers],0))</f>
        <v>191123</v>
      </c>
      <c r="G199" s="21">
        <f>INDEX(Data[],MATCH($A199,Data[Dist],0),MATCH(G$6,Data[#Headers],0))</f>
        <v>958940</v>
      </c>
      <c r="H199" s="21">
        <f>INDEX(Data[],MATCH($A199,Data[Dist],0),MATCH(H$6,Data[#Headers],0))-G199</f>
        <v>955619</v>
      </c>
      <c r="I199" s="24"/>
      <c r="J199" s="21">
        <f>INDEX(Notes!$I$2:$N$11,MATCH(Notes!$B$2,Notes!$I$2:$I$11,0),4)*$C199</f>
        <v>767816</v>
      </c>
      <c r="K199" s="21">
        <f>INDEX(Notes!$I$2:$N$11,MATCH(Notes!$B$2,Notes!$I$2:$I$11,0),5)*$D199</f>
        <v>191124</v>
      </c>
      <c r="L199" s="21">
        <f>INDEX(Notes!$I$2:$N$11,MATCH(Notes!$B$2,Notes!$I$2:$I$11,0),6)*$E199</f>
        <v>0</v>
      </c>
      <c r="M199" s="21">
        <f>IF(Notes!$B$2="June",'Payment Total'!$F199,0)</f>
        <v>0</v>
      </c>
      <c r="N199" s="21">
        <f t="shared" si="8"/>
        <v>0</v>
      </c>
      <c r="P199" s="25" t="s">
        <v>1022</v>
      </c>
      <c r="Q199" s="25">
        <v>191124</v>
      </c>
      <c r="R199" s="20" t="str">
        <f t="shared" si="9"/>
        <v>4505</v>
      </c>
      <c r="S199" s="20" t="str">
        <f t="shared" si="10"/>
        <v>4505</v>
      </c>
      <c r="T199" s="41">
        <f t="shared" si="11"/>
        <v>0</v>
      </c>
      <c r="V199" s="41"/>
    </row>
    <row r="200" spans="1:22" s="25" customFormat="1" ht="12.75" x14ac:dyDescent="0.2">
      <c r="A200" s="19" t="str">
        <f>Data!B195</f>
        <v>4509</v>
      </c>
      <c r="B200" s="20" t="str">
        <f>INDEX(Data[],MATCH($A200,Data[Dist],0),MATCH(B$6,Data[#Headers],0))</f>
        <v>Morning Sun</v>
      </c>
      <c r="C200" s="21">
        <f>INDEX(Data[],MATCH($A200,Data[Dist],0),MATCH(C$6,Data[#Headers],0))</f>
        <v>168892</v>
      </c>
      <c r="D200" s="21">
        <f>INDEX(Data[],MATCH($A200,Data[Dist],0),MATCH(D$6,Data[#Headers],0))</f>
        <v>168145</v>
      </c>
      <c r="E200" s="21">
        <f>INDEX(Data[],MATCH($A200,Data[Dist],0),MATCH(E$6,Data[#Headers],0))</f>
        <v>168144</v>
      </c>
      <c r="F200" s="21">
        <f>INDEX(Data[],MATCH($A200,Data[Dist],0),MATCH(F$6,Data[#Headers],0))</f>
        <v>168145</v>
      </c>
      <c r="G200" s="21">
        <f>INDEX(Data[],MATCH($A200,Data[Dist],0),MATCH(G$6,Data[#Headers],0))</f>
        <v>843713</v>
      </c>
      <c r="H200" s="21">
        <f>INDEX(Data[],MATCH($A200,Data[Dist],0),MATCH(H$6,Data[#Headers],0))-G200</f>
        <v>840722</v>
      </c>
      <c r="I200" s="24"/>
      <c r="J200" s="21">
        <f>INDEX(Notes!$I$2:$N$11,MATCH(Notes!$B$2,Notes!$I$2:$I$11,0),4)*$C200</f>
        <v>675568</v>
      </c>
      <c r="K200" s="21">
        <f>INDEX(Notes!$I$2:$N$11,MATCH(Notes!$B$2,Notes!$I$2:$I$11,0),5)*$D200</f>
        <v>168145</v>
      </c>
      <c r="L200" s="21">
        <f>INDEX(Notes!$I$2:$N$11,MATCH(Notes!$B$2,Notes!$I$2:$I$11,0),6)*$E200</f>
        <v>0</v>
      </c>
      <c r="M200" s="21">
        <f>IF(Notes!$B$2="June",'Payment Total'!$F200,0)</f>
        <v>0</v>
      </c>
      <c r="N200" s="21">
        <f t="shared" ref="N200:N263" si="12">SUM(J200:M200)-G200</f>
        <v>0</v>
      </c>
      <c r="P200" s="25" t="s">
        <v>1023</v>
      </c>
      <c r="Q200" s="25">
        <v>168145</v>
      </c>
      <c r="R200" s="20" t="str">
        <f t="shared" ref="R200:R263" si="13">TEXT(P200/10000,"0000")</f>
        <v>4509</v>
      </c>
      <c r="S200" s="20" t="str">
        <f t="shared" ref="S200:S263" si="14">IF(R200="1968","3582",IF(R200="5160","5319",IF(R200="5510","4824",IF(R200="6536","1935",IF(R200="6035","6048",IF(R200="5325","5323",IF(R200="6099","5157",R200)))))))</f>
        <v>4509</v>
      </c>
      <c r="T200" s="41">
        <f t="shared" ref="T200:T263" si="15">INDEX($A$7:$H$331,MATCH($S200,$A$7:$A$331,0),4)-Q200</f>
        <v>0</v>
      </c>
      <c r="V200" s="41"/>
    </row>
    <row r="201" spans="1:22" s="25" customFormat="1" ht="12.75" x14ac:dyDescent="0.2">
      <c r="A201" s="19" t="str">
        <f>Data!B196</f>
        <v>4518</v>
      </c>
      <c r="B201" s="20" t="str">
        <f>INDEX(Data[],MATCH($A201,Data[Dist],0),MATCH(B$6,Data[#Headers],0))</f>
        <v>Moulton-Udell</v>
      </c>
      <c r="C201" s="21">
        <f>INDEX(Data[],MATCH($A201,Data[Dist],0),MATCH(C$6,Data[#Headers],0))</f>
        <v>155285</v>
      </c>
      <c r="D201" s="21">
        <f>INDEX(Data[],MATCH($A201,Data[Dist],0),MATCH(D$6,Data[#Headers],0))</f>
        <v>154555</v>
      </c>
      <c r="E201" s="21">
        <f>INDEX(Data[],MATCH($A201,Data[Dist],0),MATCH(E$6,Data[#Headers],0))</f>
        <v>154554</v>
      </c>
      <c r="F201" s="21">
        <f>INDEX(Data[],MATCH($A201,Data[Dist],0),MATCH(F$6,Data[#Headers],0))</f>
        <v>154555</v>
      </c>
      <c r="G201" s="21">
        <f>INDEX(Data[],MATCH($A201,Data[Dist],0),MATCH(G$6,Data[#Headers],0))</f>
        <v>775695</v>
      </c>
      <c r="H201" s="21">
        <f>INDEX(Data[],MATCH($A201,Data[Dist],0),MATCH(H$6,Data[#Headers],0))-G201</f>
        <v>772772</v>
      </c>
      <c r="I201" s="24"/>
      <c r="J201" s="21">
        <f>INDEX(Notes!$I$2:$N$11,MATCH(Notes!$B$2,Notes!$I$2:$I$11,0),4)*$C201</f>
        <v>621140</v>
      </c>
      <c r="K201" s="21">
        <f>INDEX(Notes!$I$2:$N$11,MATCH(Notes!$B$2,Notes!$I$2:$I$11,0),5)*$D201</f>
        <v>154555</v>
      </c>
      <c r="L201" s="21">
        <f>INDEX(Notes!$I$2:$N$11,MATCH(Notes!$B$2,Notes!$I$2:$I$11,0),6)*$E201</f>
        <v>0</v>
      </c>
      <c r="M201" s="21">
        <f>IF(Notes!$B$2="June",'Payment Total'!$F201,0)</f>
        <v>0</v>
      </c>
      <c r="N201" s="21">
        <f t="shared" si="12"/>
        <v>0</v>
      </c>
      <c r="P201" s="25" t="s">
        <v>1024</v>
      </c>
      <c r="Q201" s="25">
        <v>154555</v>
      </c>
      <c r="R201" s="20" t="str">
        <f t="shared" si="13"/>
        <v>4518</v>
      </c>
      <c r="S201" s="20" t="str">
        <f t="shared" si="14"/>
        <v>4518</v>
      </c>
      <c r="T201" s="41">
        <f t="shared" si="15"/>
        <v>0</v>
      </c>
      <c r="V201" s="41"/>
    </row>
    <row r="202" spans="1:22" s="25" customFormat="1" ht="12.75" x14ac:dyDescent="0.2">
      <c r="A202" s="19" t="str">
        <f>Data!B197</f>
        <v>4527</v>
      </c>
      <c r="B202" s="20" t="str">
        <f>INDEX(Data[],MATCH($A202,Data[Dist],0),MATCH(B$6,Data[#Headers],0))</f>
        <v>Mount Ayr</v>
      </c>
      <c r="C202" s="21">
        <f>INDEX(Data[],MATCH($A202,Data[Dist],0),MATCH(C$6,Data[#Headers],0))</f>
        <v>418564</v>
      </c>
      <c r="D202" s="21">
        <f>INDEX(Data[],MATCH($A202,Data[Dist],0),MATCH(D$6,Data[#Headers],0))</f>
        <v>416317</v>
      </c>
      <c r="E202" s="21">
        <f>INDEX(Data[],MATCH($A202,Data[Dist],0),MATCH(E$6,Data[#Headers],0))</f>
        <v>416317</v>
      </c>
      <c r="F202" s="21">
        <f>INDEX(Data[],MATCH($A202,Data[Dist],0),MATCH(F$6,Data[#Headers],0))</f>
        <v>416317</v>
      </c>
      <c r="G202" s="21">
        <f>INDEX(Data[],MATCH($A202,Data[Dist],0),MATCH(G$6,Data[#Headers],0))</f>
        <v>2090573</v>
      </c>
      <c r="H202" s="21">
        <f>INDEX(Data[],MATCH($A202,Data[Dist],0),MATCH(H$6,Data[#Headers],0))-G202</f>
        <v>2081585</v>
      </c>
      <c r="I202" s="24"/>
      <c r="J202" s="21">
        <f>INDEX(Notes!$I$2:$N$11,MATCH(Notes!$B$2,Notes!$I$2:$I$11,0),4)*$C202</f>
        <v>1674256</v>
      </c>
      <c r="K202" s="21">
        <f>INDEX(Notes!$I$2:$N$11,MATCH(Notes!$B$2,Notes!$I$2:$I$11,0),5)*$D202</f>
        <v>416317</v>
      </c>
      <c r="L202" s="21">
        <f>INDEX(Notes!$I$2:$N$11,MATCH(Notes!$B$2,Notes!$I$2:$I$11,0),6)*$E202</f>
        <v>0</v>
      </c>
      <c r="M202" s="21">
        <f>IF(Notes!$B$2="June",'Payment Total'!$F202,0)</f>
        <v>0</v>
      </c>
      <c r="N202" s="21">
        <f t="shared" si="12"/>
        <v>0</v>
      </c>
      <c r="P202" s="25" t="s">
        <v>1025</v>
      </c>
      <c r="Q202" s="25">
        <v>416317</v>
      </c>
      <c r="R202" s="20" t="str">
        <f t="shared" si="13"/>
        <v>4527</v>
      </c>
      <c r="S202" s="20" t="str">
        <f t="shared" si="14"/>
        <v>4527</v>
      </c>
      <c r="T202" s="41">
        <f t="shared" si="15"/>
        <v>0</v>
      </c>
      <c r="V202" s="41"/>
    </row>
    <row r="203" spans="1:22" s="25" customFormat="1" ht="12.75" x14ac:dyDescent="0.2">
      <c r="A203" s="19" t="str">
        <f>Data!B198</f>
        <v>4536</v>
      </c>
      <c r="B203" s="20" t="str">
        <f>INDEX(Data[],MATCH($A203,Data[Dist],0),MATCH(B$6,Data[#Headers],0))</f>
        <v>Mount Pleasant</v>
      </c>
      <c r="C203" s="21">
        <f>INDEX(Data[],MATCH($A203,Data[Dist],0),MATCH(C$6,Data[#Headers],0))</f>
        <v>1329443</v>
      </c>
      <c r="D203" s="21">
        <f>INDEX(Data[],MATCH($A203,Data[Dist],0),MATCH(D$6,Data[#Headers],0))</f>
        <v>1322935</v>
      </c>
      <c r="E203" s="21">
        <f>INDEX(Data[],MATCH($A203,Data[Dist],0),MATCH(E$6,Data[#Headers],0))</f>
        <v>1322935</v>
      </c>
      <c r="F203" s="21">
        <f>INDEX(Data[],MATCH($A203,Data[Dist],0),MATCH(F$6,Data[#Headers],0))</f>
        <v>1322936</v>
      </c>
      <c r="G203" s="21">
        <f>INDEX(Data[],MATCH($A203,Data[Dist],0),MATCH(G$6,Data[#Headers],0))</f>
        <v>6640707</v>
      </c>
      <c r="H203" s="21">
        <f>INDEX(Data[],MATCH($A203,Data[Dist],0),MATCH(H$6,Data[#Headers],0))-G203</f>
        <v>6614676</v>
      </c>
      <c r="I203" s="24"/>
      <c r="J203" s="21">
        <f>INDEX(Notes!$I$2:$N$11,MATCH(Notes!$B$2,Notes!$I$2:$I$11,0),4)*$C203</f>
        <v>5317772</v>
      </c>
      <c r="K203" s="21">
        <f>INDEX(Notes!$I$2:$N$11,MATCH(Notes!$B$2,Notes!$I$2:$I$11,0),5)*$D203</f>
        <v>1322935</v>
      </c>
      <c r="L203" s="21">
        <f>INDEX(Notes!$I$2:$N$11,MATCH(Notes!$B$2,Notes!$I$2:$I$11,0),6)*$E203</f>
        <v>0</v>
      </c>
      <c r="M203" s="21">
        <f>IF(Notes!$B$2="June",'Payment Total'!$F203,0)</f>
        <v>0</v>
      </c>
      <c r="N203" s="21">
        <f t="shared" si="12"/>
        <v>0</v>
      </c>
      <c r="P203" s="25" t="s">
        <v>1026</v>
      </c>
      <c r="Q203" s="25">
        <v>1322935</v>
      </c>
      <c r="R203" s="20" t="str">
        <f t="shared" si="13"/>
        <v>4536</v>
      </c>
      <c r="S203" s="20" t="str">
        <f t="shared" si="14"/>
        <v>4536</v>
      </c>
      <c r="T203" s="41">
        <f t="shared" si="15"/>
        <v>0</v>
      </c>
      <c r="V203" s="41"/>
    </row>
    <row r="204" spans="1:22" s="25" customFormat="1" ht="12.75" x14ac:dyDescent="0.2">
      <c r="A204" s="19" t="str">
        <f>Data!B199</f>
        <v>4554</v>
      </c>
      <c r="B204" s="20" t="str">
        <f>INDEX(Data[],MATCH($A204,Data[Dist],0),MATCH(B$6,Data[#Headers],0))</f>
        <v>Mount Vernon</v>
      </c>
      <c r="C204" s="21">
        <f>INDEX(Data[],MATCH($A204,Data[Dist],0),MATCH(C$6,Data[#Headers],0))</f>
        <v>818417</v>
      </c>
      <c r="D204" s="21">
        <f>INDEX(Data[],MATCH($A204,Data[Dist],0),MATCH(D$6,Data[#Headers],0))</f>
        <v>814296</v>
      </c>
      <c r="E204" s="21">
        <f>INDEX(Data[],MATCH($A204,Data[Dist],0),MATCH(E$6,Data[#Headers],0))</f>
        <v>814297</v>
      </c>
      <c r="F204" s="21">
        <f>INDEX(Data[],MATCH($A204,Data[Dist],0),MATCH(F$6,Data[#Headers],0))</f>
        <v>814295</v>
      </c>
      <c r="G204" s="21">
        <f>INDEX(Data[],MATCH($A204,Data[Dist],0),MATCH(G$6,Data[#Headers],0))</f>
        <v>4087964</v>
      </c>
      <c r="H204" s="21">
        <f>INDEX(Data[],MATCH($A204,Data[Dist],0),MATCH(H$6,Data[#Headers],0))-G204</f>
        <v>4071482</v>
      </c>
      <c r="I204" s="24"/>
      <c r="J204" s="21">
        <f>INDEX(Notes!$I$2:$N$11,MATCH(Notes!$B$2,Notes!$I$2:$I$11,0),4)*$C204</f>
        <v>3273668</v>
      </c>
      <c r="K204" s="21">
        <f>INDEX(Notes!$I$2:$N$11,MATCH(Notes!$B$2,Notes!$I$2:$I$11,0),5)*$D204</f>
        <v>814296</v>
      </c>
      <c r="L204" s="21">
        <f>INDEX(Notes!$I$2:$N$11,MATCH(Notes!$B$2,Notes!$I$2:$I$11,0),6)*$E204</f>
        <v>0</v>
      </c>
      <c r="M204" s="21">
        <f>IF(Notes!$B$2="June",'Payment Total'!$F204,0)</f>
        <v>0</v>
      </c>
      <c r="N204" s="21">
        <f t="shared" si="12"/>
        <v>0</v>
      </c>
      <c r="P204" s="25" t="s">
        <v>1027</v>
      </c>
      <c r="Q204" s="25">
        <v>814296</v>
      </c>
      <c r="R204" s="20" t="str">
        <f t="shared" si="13"/>
        <v>4554</v>
      </c>
      <c r="S204" s="20" t="str">
        <f t="shared" si="14"/>
        <v>4554</v>
      </c>
      <c r="T204" s="41">
        <f t="shared" si="15"/>
        <v>0</v>
      </c>
      <c r="V204" s="41"/>
    </row>
    <row r="205" spans="1:22" s="25" customFormat="1" ht="12.75" x14ac:dyDescent="0.2">
      <c r="A205" s="19" t="str">
        <f>Data!B200</f>
        <v>4572</v>
      </c>
      <c r="B205" s="20" t="str">
        <f>INDEX(Data[],MATCH($A205,Data[Dist],0),MATCH(B$6,Data[#Headers],0))</f>
        <v>Murray</v>
      </c>
      <c r="C205" s="21">
        <f>INDEX(Data[],MATCH($A205,Data[Dist],0),MATCH(C$6,Data[#Headers],0))</f>
        <v>203832</v>
      </c>
      <c r="D205" s="21">
        <f>INDEX(Data[],MATCH($A205,Data[Dist],0),MATCH(D$6,Data[#Headers],0))</f>
        <v>203004</v>
      </c>
      <c r="E205" s="21">
        <f>INDEX(Data[],MATCH($A205,Data[Dist],0),MATCH(E$6,Data[#Headers],0))</f>
        <v>203004</v>
      </c>
      <c r="F205" s="21">
        <f>INDEX(Data[],MATCH($A205,Data[Dist],0),MATCH(F$6,Data[#Headers],0))</f>
        <v>203005</v>
      </c>
      <c r="G205" s="21">
        <f>INDEX(Data[],MATCH($A205,Data[Dist],0),MATCH(G$6,Data[#Headers],0))</f>
        <v>1018332</v>
      </c>
      <c r="H205" s="21">
        <f>INDEX(Data[],MATCH($A205,Data[Dist],0),MATCH(H$6,Data[#Headers],0))-G205</f>
        <v>1015021</v>
      </c>
      <c r="I205" s="24"/>
      <c r="J205" s="21">
        <f>INDEX(Notes!$I$2:$N$11,MATCH(Notes!$B$2,Notes!$I$2:$I$11,0),4)*$C205</f>
        <v>815328</v>
      </c>
      <c r="K205" s="21">
        <f>INDEX(Notes!$I$2:$N$11,MATCH(Notes!$B$2,Notes!$I$2:$I$11,0),5)*$D205</f>
        <v>203004</v>
      </c>
      <c r="L205" s="21">
        <f>INDEX(Notes!$I$2:$N$11,MATCH(Notes!$B$2,Notes!$I$2:$I$11,0),6)*$E205</f>
        <v>0</v>
      </c>
      <c r="M205" s="21">
        <f>IF(Notes!$B$2="June",'Payment Total'!$F205,0)</f>
        <v>0</v>
      </c>
      <c r="N205" s="21">
        <f t="shared" si="12"/>
        <v>0</v>
      </c>
      <c r="P205" s="25" t="s">
        <v>1028</v>
      </c>
      <c r="Q205" s="25">
        <v>203004</v>
      </c>
      <c r="R205" s="20" t="str">
        <f t="shared" si="13"/>
        <v>4572</v>
      </c>
      <c r="S205" s="20" t="str">
        <f t="shared" si="14"/>
        <v>4572</v>
      </c>
      <c r="T205" s="41">
        <f t="shared" si="15"/>
        <v>0</v>
      </c>
      <c r="V205" s="41"/>
    </row>
    <row r="206" spans="1:22" s="25" customFormat="1" ht="12.75" x14ac:dyDescent="0.2">
      <c r="A206" s="19" t="str">
        <f>Data!B201</f>
        <v>4581</v>
      </c>
      <c r="B206" s="20" t="str">
        <f>INDEX(Data[],MATCH($A206,Data[Dist],0),MATCH(B$6,Data[#Headers],0))</f>
        <v>Muscatine</v>
      </c>
      <c r="C206" s="21">
        <f>INDEX(Data[],MATCH($A206,Data[Dist],0),MATCH(C$6,Data[#Headers],0))</f>
        <v>3542069</v>
      </c>
      <c r="D206" s="21">
        <f>INDEX(Data[],MATCH($A206,Data[Dist],0),MATCH(D$6,Data[#Headers],0))</f>
        <v>3525465</v>
      </c>
      <c r="E206" s="21">
        <f>INDEX(Data[],MATCH($A206,Data[Dist],0),MATCH(E$6,Data[#Headers],0))</f>
        <v>3525465</v>
      </c>
      <c r="F206" s="21">
        <f>INDEX(Data[],MATCH($A206,Data[Dist],0),MATCH(F$6,Data[#Headers],0))</f>
        <v>3525463</v>
      </c>
      <c r="G206" s="21">
        <f>INDEX(Data[],MATCH($A206,Data[Dist],0),MATCH(G$6,Data[#Headers],0))</f>
        <v>17693741</v>
      </c>
      <c r="H206" s="21">
        <f>INDEX(Data[],MATCH($A206,Data[Dist],0),MATCH(H$6,Data[#Headers],0))-G206</f>
        <v>17627323</v>
      </c>
      <c r="I206" s="24"/>
      <c r="J206" s="21">
        <f>INDEX(Notes!$I$2:$N$11,MATCH(Notes!$B$2,Notes!$I$2:$I$11,0),4)*$C206</f>
        <v>14168276</v>
      </c>
      <c r="K206" s="21">
        <f>INDEX(Notes!$I$2:$N$11,MATCH(Notes!$B$2,Notes!$I$2:$I$11,0),5)*$D206</f>
        <v>3525465</v>
      </c>
      <c r="L206" s="21">
        <f>INDEX(Notes!$I$2:$N$11,MATCH(Notes!$B$2,Notes!$I$2:$I$11,0),6)*$E206</f>
        <v>0</v>
      </c>
      <c r="M206" s="21">
        <f>IF(Notes!$B$2="June",'Payment Total'!$F206,0)</f>
        <v>0</v>
      </c>
      <c r="N206" s="21">
        <f t="shared" si="12"/>
        <v>0</v>
      </c>
      <c r="P206" s="25" t="s">
        <v>1029</v>
      </c>
      <c r="Q206" s="25">
        <v>3525465</v>
      </c>
      <c r="R206" s="20" t="str">
        <f t="shared" si="13"/>
        <v>4581</v>
      </c>
      <c r="S206" s="20" t="str">
        <f t="shared" si="14"/>
        <v>4581</v>
      </c>
      <c r="T206" s="41">
        <f t="shared" si="15"/>
        <v>0</v>
      </c>
      <c r="V206" s="41"/>
    </row>
    <row r="207" spans="1:22" s="25" customFormat="1" ht="12.75" x14ac:dyDescent="0.2">
      <c r="A207" s="19" t="str">
        <f>Data!B202</f>
        <v>4599</v>
      </c>
      <c r="B207" s="20" t="str">
        <f>INDEX(Data[],MATCH($A207,Data[Dist],0),MATCH(B$6,Data[#Headers],0))</f>
        <v>Nashua-Plainfield</v>
      </c>
      <c r="C207" s="21">
        <f>INDEX(Data[],MATCH($A207,Data[Dist],0),MATCH(C$6,Data[#Headers],0))</f>
        <v>422267</v>
      </c>
      <c r="D207" s="21">
        <f>INDEX(Data[],MATCH($A207,Data[Dist],0),MATCH(D$6,Data[#Headers],0))</f>
        <v>420038</v>
      </c>
      <c r="E207" s="21">
        <f>INDEX(Data[],MATCH($A207,Data[Dist],0),MATCH(E$6,Data[#Headers],0))</f>
        <v>420038</v>
      </c>
      <c r="F207" s="21">
        <f>INDEX(Data[],MATCH($A207,Data[Dist],0),MATCH(F$6,Data[#Headers],0))</f>
        <v>420036</v>
      </c>
      <c r="G207" s="21">
        <f>INDEX(Data[],MATCH($A207,Data[Dist],0),MATCH(G$6,Data[#Headers],0))</f>
        <v>2109106</v>
      </c>
      <c r="H207" s="21">
        <f>INDEX(Data[],MATCH($A207,Data[Dist],0),MATCH(H$6,Data[#Headers],0))-G207</f>
        <v>2100188</v>
      </c>
      <c r="I207" s="24"/>
      <c r="J207" s="21">
        <f>INDEX(Notes!$I$2:$N$11,MATCH(Notes!$B$2,Notes!$I$2:$I$11,0),4)*$C207</f>
        <v>1689068</v>
      </c>
      <c r="K207" s="21">
        <f>INDEX(Notes!$I$2:$N$11,MATCH(Notes!$B$2,Notes!$I$2:$I$11,0),5)*$D207</f>
        <v>420038</v>
      </c>
      <c r="L207" s="21">
        <f>INDEX(Notes!$I$2:$N$11,MATCH(Notes!$B$2,Notes!$I$2:$I$11,0),6)*$E207</f>
        <v>0</v>
      </c>
      <c r="M207" s="21">
        <f>IF(Notes!$B$2="June",'Payment Total'!$F207,0)</f>
        <v>0</v>
      </c>
      <c r="N207" s="21">
        <f t="shared" si="12"/>
        <v>0</v>
      </c>
      <c r="P207" s="25" t="s">
        <v>1030</v>
      </c>
      <c r="Q207" s="25">
        <v>420038</v>
      </c>
      <c r="R207" s="20" t="str">
        <f t="shared" si="13"/>
        <v>4599</v>
      </c>
      <c r="S207" s="20" t="str">
        <f t="shared" si="14"/>
        <v>4599</v>
      </c>
      <c r="T207" s="41">
        <f t="shared" si="15"/>
        <v>0</v>
      </c>
      <c r="V207" s="41"/>
    </row>
    <row r="208" spans="1:22" s="25" customFormat="1" ht="12.75" x14ac:dyDescent="0.2">
      <c r="A208" s="19" t="str">
        <f>Data!B203</f>
        <v>4617</v>
      </c>
      <c r="B208" s="20" t="str">
        <f>INDEX(Data[],MATCH($A208,Data[Dist],0),MATCH(B$6,Data[#Headers],0))</f>
        <v>Nevada</v>
      </c>
      <c r="C208" s="21">
        <f>INDEX(Data[],MATCH($A208,Data[Dist],0),MATCH(C$6,Data[#Headers],0))</f>
        <v>1024226</v>
      </c>
      <c r="D208" s="21">
        <f>INDEX(Data[],MATCH($A208,Data[Dist],0),MATCH(D$6,Data[#Headers],0))</f>
        <v>1019023</v>
      </c>
      <c r="E208" s="21">
        <f>INDEX(Data[],MATCH($A208,Data[Dist],0),MATCH(E$6,Data[#Headers],0))</f>
        <v>1019023</v>
      </c>
      <c r="F208" s="21">
        <f>INDEX(Data[],MATCH($A208,Data[Dist],0),MATCH(F$6,Data[#Headers],0))</f>
        <v>1019022</v>
      </c>
      <c r="G208" s="21">
        <f>INDEX(Data[],MATCH($A208,Data[Dist],0),MATCH(G$6,Data[#Headers],0))</f>
        <v>5115927</v>
      </c>
      <c r="H208" s="21">
        <f>INDEX(Data[],MATCH($A208,Data[Dist],0),MATCH(H$6,Data[#Headers],0))-G208</f>
        <v>5095114</v>
      </c>
      <c r="I208" s="24"/>
      <c r="J208" s="21">
        <f>INDEX(Notes!$I$2:$N$11,MATCH(Notes!$B$2,Notes!$I$2:$I$11,0),4)*$C208</f>
        <v>4096904</v>
      </c>
      <c r="K208" s="21">
        <f>INDEX(Notes!$I$2:$N$11,MATCH(Notes!$B$2,Notes!$I$2:$I$11,0),5)*$D208</f>
        <v>1019023</v>
      </c>
      <c r="L208" s="21">
        <f>INDEX(Notes!$I$2:$N$11,MATCH(Notes!$B$2,Notes!$I$2:$I$11,0),6)*$E208</f>
        <v>0</v>
      </c>
      <c r="M208" s="21">
        <f>IF(Notes!$B$2="June",'Payment Total'!$F208,0)</f>
        <v>0</v>
      </c>
      <c r="N208" s="21">
        <f t="shared" si="12"/>
        <v>0</v>
      </c>
      <c r="P208" s="25" t="s">
        <v>1031</v>
      </c>
      <c r="Q208" s="25">
        <v>1019023</v>
      </c>
      <c r="R208" s="20" t="str">
        <f t="shared" si="13"/>
        <v>4617</v>
      </c>
      <c r="S208" s="20" t="str">
        <f t="shared" si="14"/>
        <v>4617</v>
      </c>
      <c r="T208" s="41">
        <f t="shared" si="15"/>
        <v>0</v>
      </c>
      <c r="V208" s="41"/>
    </row>
    <row r="209" spans="1:22" s="25" customFormat="1" ht="12.75" x14ac:dyDescent="0.2">
      <c r="A209" s="19" t="str">
        <f>Data!B204</f>
        <v>4644</v>
      </c>
      <c r="B209" s="20" t="str">
        <f>INDEX(Data[],MATCH($A209,Data[Dist],0),MATCH(B$6,Data[#Headers],0))</f>
        <v>Newell-Fonda</v>
      </c>
      <c r="C209" s="21">
        <f>INDEX(Data[],MATCH($A209,Data[Dist],0),MATCH(C$6,Data[#Headers],0))</f>
        <v>302120</v>
      </c>
      <c r="D209" s="21">
        <f>INDEX(Data[],MATCH($A209,Data[Dist],0),MATCH(D$6,Data[#Headers],0))</f>
        <v>300330</v>
      </c>
      <c r="E209" s="21">
        <f>INDEX(Data[],MATCH($A209,Data[Dist],0),MATCH(E$6,Data[#Headers],0))</f>
        <v>300331</v>
      </c>
      <c r="F209" s="21">
        <f>INDEX(Data[],MATCH($A209,Data[Dist],0),MATCH(F$6,Data[#Headers],0))</f>
        <v>300329</v>
      </c>
      <c r="G209" s="21">
        <f>INDEX(Data[],MATCH($A209,Data[Dist],0),MATCH(G$6,Data[#Headers],0))</f>
        <v>1508810</v>
      </c>
      <c r="H209" s="21">
        <f>INDEX(Data[],MATCH($A209,Data[Dist],0),MATCH(H$6,Data[#Headers],0))-G209</f>
        <v>1501652</v>
      </c>
      <c r="I209" s="24"/>
      <c r="J209" s="21">
        <f>INDEX(Notes!$I$2:$N$11,MATCH(Notes!$B$2,Notes!$I$2:$I$11,0),4)*$C209</f>
        <v>1208480</v>
      </c>
      <c r="K209" s="21">
        <f>INDEX(Notes!$I$2:$N$11,MATCH(Notes!$B$2,Notes!$I$2:$I$11,0),5)*$D209</f>
        <v>300330</v>
      </c>
      <c r="L209" s="21">
        <f>INDEX(Notes!$I$2:$N$11,MATCH(Notes!$B$2,Notes!$I$2:$I$11,0),6)*$E209</f>
        <v>0</v>
      </c>
      <c r="M209" s="21">
        <f>IF(Notes!$B$2="June",'Payment Total'!$F209,0)</f>
        <v>0</v>
      </c>
      <c r="N209" s="21">
        <f t="shared" si="12"/>
        <v>0</v>
      </c>
      <c r="P209" s="25" t="s">
        <v>1032</v>
      </c>
      <c r="Q209" s="25">
        <v>300330</v>
      </c>
      <c r="R209" s="20" t="str">
        <f t="shared" si="13"/>
        <v>4644</v>
      </c>
      <c r="S209" s="20" t="str">
        <f t="shared" si="14"/>
        <v>4644</v>
      </c>
      <c r="T209" s="41">
        <f t="shared" si="15"/>
        <v>0</v>
      </c>
      <c r="V209" s="41"/>
    </row>
    <row r="210" spans="1:22" s="25" customFormat="1" ht="12.75" x14ac:dyDescent="0.2">
      <c r="A210" s="19" t="str">
        <f>Data!B205</f>
        <v>4662</v>
      </c>
      <c r="B210" s="20" t="str">
        <f>INDEX(Data[],MATCH($A210,Data[Dist],0),MATCH(B$6,Data[#Headers],0))</f>
        <v>New Hampton</v>
      </c>
      <c r="C210" s="21">
        <f>INDEX(Data[],MATCH($A210,Data[Dist],0),MATCH(C$6,Data[#Headers],0))</f>
        <v>642679</v>
      </c>
      <c r="D210" s="21">
        <f>INDEX(Data[],MATCH($A210,Data[Dist],0),MATCH(D$6,Data[#Headers],0))</f>
        <v>639035</v>
      </c>
      <c r="E210" s="21">
        <f>INDEX(Data[],MATCH($A210,Data[Dist],0),MATCH(E$6,Data[#Headers],0))</f>
        <v>639035</v>
      </c>
      <c r="F210" s="21">
        <f>INDEX(Data[],MATCH($A210,Data[Dist],0),MATCH(F$6,Data[#Headers],0))</f>
        <v>639033</v>
      </c>
      <c r="G210" s="21">
        <f>INDEX(Data[],MATCH($A210,Data[Dist],0),MATCH(G$6,Data[#Headers],0))</f>
        <v>3209751</v>
      </c>
      <c r="H210" s="21">
        <f>INDEX(Data[],MATCH($A210,Data[Dist],0),MATCH(H$6,Data[#Headers],0))-G210</f>
        <v>3195173</v>
      </c>
      <c r="I210" s="24"/>
      <c r="J210" s="21">
        <f>INDEX(Notes!$I$2:$N$11,MATCH(Notes!$B$2,Notes!$I$2:$I$11,0),4)*$C210</f>
        <v>2570716</v>
      </c>
      <c r="K210" s="21">
        <f>INDEX(Notes!$I$2:$N$11,MATCH(Notes!$B$2,Notes!$I$2:$I$11,0),5)*$D210</f>
        <v>639035</v>
      </c>
      <c r="L210" s="21">
        <f>INDEX(Notes!$I$2:$N$11,MATCH(Notes!$B$2,Notes!$I$2:$I$11,0),6)*$E210</f>
        <v>0</v>
      </c>
      <c r="M210" s="21">
        <f>IF(Notes!$B$2="June",'Payment Total'!$F210,0)</f>
        <v>0</v>
      </c>
      <c r="N210" s="21">
        <f t="shared" si="12"/>
        <v>0</v>
      </c>
      <c r="P210" s="25" t="s">
        <v>1033</v>
      </c>
      <c r="Q210" s="25">
        <v>639035</v>
      </c>
      <c r="R210" s="20" t="str">
        <f t="shared" si="13"/>
        <v>4662</v>
      </c>
      <c r="S210" s="20" t="str">
        <f t="shared" si="14"/>
        <v>4662</v>
      </c>
      <c r="T210" s="41">
        <f t="shared" si="15"/>
        <v>0</v>
      </c>
      <c r="V210" s="41"/>
    </row>
    <row r="211" spans="1:22" s="25" customFormat="1" ht="12.75" x14ac:dyDescent="0.2">
      <c r="A211" s="19" t="str">
        <f>Data!B206</f>
        <v>4689</v>
      </c>
      <c r="B211" s="20" t="str">
        <f>INDEX(Data[],MATCH($A211,Data[Dist],0),MATCH(B$6,Data[#Headers],0))</f>
        <v>New London</v>
      </c>
      <c r="C211" s="21">
        <f>INDEX(Data[],MATCH($A211,Data[Dist],0),MATCH(C$6,Data[#Headers],0))</f>
        <v>455750</v>
      </c>
      <c r="D211" s="21">
        <f>INDEX(Data[],MATCH($A211,Data[Dist],0),MATCH(D$6,Data[#Headers],0))</f>
        <v>453748</v>
      </c>
      <c r="E211" s="21">
        <f>INDEX(Data[],MATCH($A211,Data[Dist],0),MATCH(E$6,Data[#Headers],0))</f>
        <v>453748</v>
      </c>
      <c r="F211" s="21">
        <f>INDEX(Data[],MATCH($A211,Data[Dist],0),MATCH(F$6,Data[#Headers],0))</f>
        <v>453748</v>
      </c>
      <c r="G211" s="21">
        <f>INDEX(Data[],MATCH($A211,Data[Dist],0),MATCH(G$6,Data[#Headers],0))</f>
        <v>2276748</v>
      </c>
      <c r="H211" s="21">
        <f>INDEX(Data[],MATCH($A211,Data[Dist],0),MATCH(H$6,Data[#Headers],0))-G211</f>
        <v>2268740</v>
      </c>
      <c r="I211" s="24"/>
      <c r="J211" s="21">
        <f>INDEX(Notes!$I$2:$N$11,MATCH(Notes!$B$2,Notes!$I$2:$I$11,0),4)*$C211</f>
        <v>1823000</v>
      </c>
      <c r="K211" s="21">
        <f>INDEX(Notes!$I$2:$N$11,MATCH(Notes!$B$2,Notes!$I$2:$I$11,0),5)*$D211</f>
        <v>453748</v>
      </c>
      <c r="L211" s="21">
        <f>INDEX(Notes!$I$2:$N$11,MATCH(Notes!$B$2,Notes!$I$2:$I$11,0),6)*$E211</f>
        <v>0</v>
      </c>
      <c r="M211" s="21">
        <f>IF(Notes!$B$2="June",'Payment Total'!$F211,0)</f>
        <v>0</v>
      </c>
      <c r="N211" s="21">
        <f t="shared" si="12"/>
        <v>0</v>
      </c>
      <c r="P211" s="25" t="s">
        <v>1034</v>
      </c>
      <c r="Q211" s="25">
        <v>453748</v>
      </c>
      <c r="R211" s="20" t="str">
        <f t="shared" si="13"/>
        <v>4689</v>
      </c>
      <c r="S211" s="20" t="str">
        <f t="shared" si="14"/>
        <v>4689</v>
      </c>
      <c r="T211" s="41">
        <f t="shared" si="15"/>
        <v>0</v>
      </c>
      <c r="V211" s="41"/>
    </row>
    <row r="212" spans="1:22" s="25" customFormat="1" ht="12.75" x14ac:dyDescent="0.2">
      <c r="A212" s="19" t="str">
        <f>Data!B207</f>
        <v>4725</v>
      </c>
      <c r="B212" s="20" t="str">
        <f>INDEX(Data[],MATCH($A212,Data[Dist],0),MATCH(B$6,Data[#Headers],0))</f>
        <v>Newton</v>
      </c>
      <c r="C212" s="21">
        <f>INDEX(Data[],MATCH($A212,Data[Dist],0),MATCH(C$6,Data[#Headers],0))</f>
        <v>2420370</v>
      </c>
      <c r="D212" s="21">
        <f>INDEX(Data[],MATCH($A212,Data[Dist],0),MATCH(D$6,Data[#Headers],0))</f>
        <v>2409439</v>
      </c>
      <c r="E212" s="21">
        <f>INDEX(Data[],MATCH($A212,Data[Dist],0),MATCH(E$6,Data[#Headers],0))</f>
        <v>2409438</v>
      </c>
      <c r="F212" s="21">
        <f>INDEX(Data[],MATCH($A212,Data[Dist],0),MATCH(F$6,Data[#Headers],0))</f>
        <v>2409439</v>
      </c>
      <c r="G212" s="21">
        <f>INDEX(Data[],MATCH($A212,Data[Dist],0),MATCH(G$6,Data[#Headers],0))</f>
        <v>12090919</v>
      </c>
      <c r="H212" s="21">
        <f>INDEX(Data[],MATCH($A212,Data[Dist],0),MATCH(H$6,Data[#Headers],0))-G212</f>
        <v>12047192</v>
      </c>
      <c r="I212" s="24"/>
      <c r="J212" s="21">
        <f>INDEX(Notes!$I$2:$N$11,MATCH(Notes!$B$2,Notes!$I$2:$I$11,0),4)*$C212</f>
        <v>9681480</v>
      </c>
      <c r="K212" s="21">
        <f>INDEX(Notes!$I$2:$N$11,MATCH(Notes!$B$2,Notes!$I$2:$I$11,0),5)*$D212</f>
        <v>2409439</v>
      </c>
      <c r="L212" s="21">
        <f>INDEX(Notes!$I$2:$N$11,MATCH(Notes!$B$2,Notes!$I$2:$I$11,0),6)*$E212</f>
        <v>0</v>
      </c>
      <c r="M212" s="21">
        <f>IF(Notes!$B$2="June",'Payment Total'!$F212,0)</f>
        <v>0</v>
      </c>
      <c r="N212" s="21">
        <f t="shared" si="12"/>
        <v>0</v>
      </c>
      <c r="P212" s="25" t="s">
        <v>1035</v>
      </c>
      <c r="Q212" s="25">
        <v>2409439</v>
      </c>
      <c r="R212" s="20" t="str">
        <f t="shared" si="13"/>
        <v>4725</v>
      </c>
      <c r="S212" s="20" t="str">
        <f t="shared" si="14"/>
        <v>4725</v>
      </c>
      <c r="T212" s="41">
        <f t="shared" si="15"/>
        <v>0</v>
      </c>
      <c r="V212" s="41"/>
    </row>
    <row r="213" spans="1:22" s="25" customFormat="1" ht="12.75" x14ac:dyDescent="0.2">
      <c r="A213" s="19" t="str">
        <f>Data!B208</f>
        <v>4772</v>
      </c>
      <c r="B213" s="20" t="str">
        <f>INDEX(Data[],MATCH($A213,Data[Dist],0),MATCH(B$6,Data[#Headers],0))</f>
        <v>Central Springs</v>
      </c>
      <c r="C213" s="21">
        <f>INDEX(Data[],MATCH($A213,Data[Dist],0),MATCH(C$6,Data[#Headers],0))</f>
        <v>525774</v>
      </c>
      <c r="D213" s="21">
        <f>INDEX(Data[],MATCH($A213,Data[Dist],0),MATCH(D$6,Data[#Headers],0))</f>
        <v>522835</v>
      </c>
      <c r="E213" s="21">
        <f>INDEX(Data[],MATCH($A213,Data[Dist],0),MATCH(E$6,Data[#Headers],0))</f>
        <v>522835</v>
      </c>
      <c r="F213" s="21">
        <f>INDEX(Data[],MATCH($A213,Data[Dist],0),MATCH(F$6,Data[#Headers],0))</f>
        <v>522833</v>
      </c>
      <c r="G213" s="21">
        <f>INDEX(Data[],MATCH($A213,Data[Dist],0),MATCH(G$6,Data[#Headers],0))</f>
        <v>2625931</v>
      </c>
      <c r="H213" s="21">
        <f>INDEX(Data[],MATCH($A213,Data[Dist],0),MATCH(H$6,Data[#Headers],0))-G213</f>
        <v>2614173</v>
      </c>
      <c r="I213" s="24"/>
      <c r="J213" s="21">
        <f>INDEX(Notes!$I$2:$N$11,MATCH(Notes!$B$2,Notes!$I$2:$I$11,0),4)*$C213</f>
        <v>2103096</v>
      </c>
      <c r="K213" s="21">
        <f>INDEX(Notes!$I$2:$N$11,MATCH(Notes!$B$2,Notes!$I$2:$I$11,0),5)*$D213</f>
        <v>522835</v>
      </c>
      <c r="L213" s="21">
        <f>INDEX(Notes!$I$2:$N$11,MATCH(Notes!$B$2,Notes!$I$2:$I$11,0),6)*$E213</f>
        <v>0</v>
      </c>
      <c r="M213" s="21">
        <f>IF(Notes!$B$2="June",'Payment Total'!$F213,0)</f>
        <v>0</v>
      </c>
      <c r="N213" s="21">
        <f t="shared" si="12"/>
        <v>0</v>
      </c>
      <c r="P213" s="25" t="s">
        <v>1036</v>
      </c>
      <c r="Q213" s="25">
        <v>522835</v>
      </c>
      <c r="R213" s="20" t="str">
        <f t="shared" si="13"/>
        <v>4772</v>
      </c>
      <c r="S213" s="20" t="str">
        <f t="shared" si="14"/>
        <v>4772</v>
      </c>
      <c r="T213" s="41">
        <f t="shared" si="15"/>
        <v>0</v>
      </c>
      <c r="V213" s="41"/>
    </row>
    <row r="214" spans="1:22" s="25" customFormat="1" ht="12.75" x14ac:dyDescent="0.2">
      <c r="A214" s="19" t="str">
        <f>Data!B209</f>
        <v>4773</v>
      </c>
      <c r="B214" s="20" t="str">
        <f>INDEX(Data[],MATCH($A214,Data[Dist],0),MATCH(B$6,Data[#Headers],0))</f>
        <v>Northeast</v>
      </c>
      <c r="C214" s="21">
        <f>INDEX(Data[],MATCH($A214,Data[Dist],0),MATCH(C$6,Data[#Headers],0))</f>
        <v>378730</v>
      </c>
      <c r="D214" s="21">
        <f>INDEX(Data[],MATCH($A214,Data[Dist],0),MATCH(D$6,Data[#Headers],0))</f>
        <v>376828</v>
      </c>
      <c r="E214" s="21">
        <f>INDEX(Data[],MATCH($A214,Data[Dist],0),MATCH(E$6,Data[#Headers],0))</f>
        <v>376828</v>
      </c>
      <c r="F214" s="21">
        <f>INDEX(Data[],MATCH($A214,Data[Dist],0),MATCH(F$6,Data[#Headers],0))</f>
        <v>376827</v>
      </c>
      <c r="G214" s="21">
        <f>INDEX(Data[],MATCH($A214,Data[Dist],0),MATCH(G$6,Data[#Headers],0))</f>
        <v>1891748</v>
      </c>
      <c r="H214" s="21">
        <f>INDEX(Data[],MATCH($A214,Data[Dist],0),MATCH(H$6,Data[#Headers],0))-G214</f>
        <v>1884139</v>
      </c>
      <c r="I214" s="24"/>
      <c r="J214" s="21">
        <f>INDEX(Notes!$I$2:$N$11,MATCH(Notes!$B$2,Notes!$I$2:$I$11,0),4)*$C214</f>
        <v>1514920</v>
      </c>
      <c r="K214" s="21">
        <f>INDEX(Notes!$I$2:$N$11,MATCH(Notes!$B$2,Notes!$I$2:$I$11,0),5)*$D214</f>
        <v>376828</v>
      </c>
      <c r="L214" s="21">
        <f>INDEX(Notes!$I$2:$N$11,MATCH(Notes!$B$2,Notes!$I$2:$I$11,0),6)*$E214</f>
        <v>0</v>
      </c>
      <c r="M214" s="21">
        <f>IF(Notes!$B$2="June",'Payment Total'!$F214,0)</f>
        <v>0</v>
      </c>
      <c r="N214" s="21">
        <f t="shared" si="12"/>
        <v>0</v>
      </c>
      <c r="P214" s="25" t="s">
        <v>1037</v>
      </c>
      <c r="Q214" s="25">
        <v>376828</v>
      </c>
      <c r="R214" s="20" t="str">
        <f t="shared" si="13"/>
        <v>4773</v>
      </c>
      <c r="S214" s="20" t="str">
        <f t="shared" si="14"/>
        <v>4773</v>
      </c>
      <c r="T214" s="41">
        <f t="shared" si="15"/>
        <v>0</v>
      </c>
      <c r="V214" s="41"/>
    </row>
    <row r="215" spans="1:22" s="25" customFormat="1" ht="12.75" x14ac:dyDescent="0.2">
      <c r="A215" s="19" t="str">
        <f>Data!B210</f>
        <v>4774</v>
      </c>
      <c r="B215" s="20" t="str">
        <f>INDEX(Data[],MATCH($A215,Data[Dist],0),MATCH(B$6,Data[#Headers],0))</f>
        <v>North Fayette Valley</v>
      </c>
      <c r="C215" s="21">
        <f>INDEX(Data[],MATCH($A215,Data[Dist],0),MATCH(C$6,Data[#Headers],0))</f>
        <v>829629</v>
      </c>
      <c r="D215" s="21">
        <f>INDEX(Data[],MATCH($A215,Data[Dist],0),MATCH(D$6,Data[#Headers],0))</f>
        <v>825475</v>
      </c>
      <c r="E215" s="21">
        <f>INDEX(Data[],MATCH($A215,Data[Dist],0),MATCH(E$6,Data[#Headers],0))</f>
        <v>825474</v>
      </c>
      <c r="F215" s="21">
        <f>INDEX(Data[],MATCH($A215,Data[Dist],0),MATCH(F$6,Data[#Headers],0))</f>
        <v>825475</v>
      </c>
      <c r="G215" s="21">
        <f>INDEX(Data[],MATCH($A215,Data[Dist],0),MATCH(G$6,Data[#Headers],0))</f>
        <v>4143991</v>
      </c>
      <c r="H215" s="21">
        <f>INDEX(Data[],MATCH($A215,Data[Dist],0),MATCH(H$6,Data[#Headers],0))-G215</f>
        <v>4127372</v>
      </c>
      <c r="I215" s="24"/>
      <c r="J215" s="21">
        <f>INDEX(Notes!$I$2:$N$11,MATCH(Notes!$B$2,Notes!$I$2:$I$11,0),4)*$C215</f>
        <v>3318516</v>
      </c>
      <c r="K215" s="21">
        <f>INDEX(Notes!$I$2:$N$11,MATCH(Notes!$B$2,Notes!$I$2:$I$11,0),5)*$D215</f>
        <v>825475</v>
      </c>
      <c r="L215" s="21">
        <f>INDEX(Notes!$I$2:$N$11,MATCH(Notes!$B$2,Notes!$I$2:$I$11,0),6)*$E215</f>
        <v>0</v>
      </c>
      <c r="M215" s="21">
        <f>IF(Notes!$B$2="June",'Payment Total'!$F215,0)</f>
        <v>0</v>
      </c>
      <c r="N215" s="21">
        <f t="shared" si="12"/>
        <v>0</v>
      </c>
      <c r="P215" s="25" t="s">
        <v>1038</v>
      </c>
      <c r="Q215" s="25">
        <v>825475</v>
      </c>
      <c r="R215" s="20" t="str">
        <f t="shared" si="13"/>
        <v>4774</v>
      </c>
      <c r="S215" s="20" t="str">
        <f t="shared" si="14"/>
        <v>4774</v>
      </c>
      <c r="T215" s="41">
        <f t="shared" si="15"/>
        <v>0</v>
      </c>
      <c r="V215" s="41"/>
    </row>
    <row r="216" spans="1:22" s="25" customFormat="1" ht="12.75" x14ac:dyDescent="0.2">
      <c r="A216" s="19" t="str">
        <f>Data!B211</f>
        <v>4776</v>
      </c>
      <c r="B216" s="20" t="str">
        <f>INDEX(Data[],MATCH($A216,Data[Dist],0),MATCH(B$6,Data[#Headers],0))</f>
        <v>North Mahaska</v>
      </c>
      <c r="C216" s="21">
        <f>INDEX(Data[],MATCH($A216,Data[Dist],0),MATCH(C$6,Data[#Headers],0))</f>
        <v>325069</v>
      </c>
      <c r="D216" s="21">
        <f>INDEX(Data[],MATCH($A216,Data[Dist],0),MATCH(D$6,Data[#Headers],0))</f>
        <v>323299</v>
      </c>
      <c r="E216" s="21">
        <f>INDEX(Data[],MATCH($A216,Data[Dist],0),MATCH(E$6,Data[#Headers],0))</f>
        <v>323299</v>
      </c>
      <c r="F216" s="21">
        <f>INDEX(Data[],MATCH($A216,Data[Dist],0),MATCH(F$6,Data[#Headers],0))</f>
        <v>323298</v>
      </c>
      <c r="G216" s="21">
        <f>INDEX(Data[],MATCH($A216,Data[Dist],0),MATCH(G$6,Data[#Headers],0))</f>
        <v>1623575</v>
      </c>
      <c r="H216" s="21">
        <f>INDEX(Data[],MATCH($A216,Data[Dist],0),MATCH(H$6,Data[#Headers],0))-G216</f>
        <v>1616494</v>
      </c>
      <c r="I216" s="24"/>
      <c r="J216" s="21">
        <f>INDEX(Notes!$I$2:$N$11,MATCH(Notes!$B$2,Notes!$I$2:$I$11,0),4)*$C216</f>
        <v>1300276</v>
      </c>
      <c r="K216" s="21">
        <f>INDEX(Notes!$I$2:$N$11,MATCH(Notes!$B$2,Notes!$I$2:$I$11,0),5)*$D216</f>
        <v>323299</v>
      </c>
      <c r="L216" s="21">
        <f>INDEX(Notes!$I$2:$N$11,MATCH(Notes!$B$2,Notes!$I$2:$I$11,0),6)*$E216</f>
        <v>0</v>
      </c>
      <c r="M216" s="21">
        <f>IF(Notes!$B$2="June",'Payment Total'!$F216,0)</f>
        <v>0</v>
      </c>
      <c r="N216" s="21">
        <f t="shared" si="12"/>
        <v>0</v>
      </c>
      <c r="P216" s="25" t="s">
        <v>1039</v>
      </c>
      <c r="Q216" s="25">
        <v>323299</v>
      </c>
      <c r="R216" s="20" t="str">
        <f t="shared" si="13"/>
        <v>4776</v>
      </c>
      <c r="S216" s="20" t="str">
        <f t="shared" si="14"/>
        <v>4776</v>
      </c>
      <c r="T216" s="41">
        <f t="shared" si="15"/>
        <v>0</v>
      </c>
      <c r="V216" s="41"/>
    </row>
    <row r="217" spans="1:22" s="25" customFormat="1" ht="12.75" x14ac:dyDescent="0.2">
      <c r="A217" s="19" t="str">
        <f>Data!B212</f>
        <v>4777</v>
      </c>
      <c r="B217" s="20" t="str">
        <f>INDEX(Data[],MATCH($A217,Data[Dist],0),MATCH(B$6,Data[#Headers],0))</f>
        <v>North Linn</v>
      </c>
      <c r="C217" s="21">
        <f>INDEX(Data[],MATCH($A217,Data[Dist],0),MATCH(C$6,Data[#Headers],0))</f>
        <v>368692</v>
      </c>
      <c r="D217" s="21">
        <f>INDEX(Data[],MATCH($A217,Data[Dist],0),MATCH(D$6,Data[#Headers],0))</f>
        <v>366646</v>
      </c>
      <c r="E217" s="21">
        <f>INDEX(Data[],MATCH($A217,Data[Dist],0),MATCH(E$6,Data[#Headers],0))</f>
        <v>366646</v>
      </c>
      <c r="F217" s="21">
        <f>INDEX(Data[],MATCH($A217,Data[Dist],0),MATCH(F$6,Data[#Headers],0))</f>
        <v>366644</v>
      </c>
      <c r="G217" s="21">
        <f>INDEX(Data[],MATCH($A217,Data[Dist],0),MATCH(G$6,Data[#Headers],0))</f>
        <v>1841414</v>
      </c>
      <c r="H217" s="21">
        <f>INDEX(Data[],MATCH($A217,Data[Dist],0),MATCH(H$6,Data[#Headers],0))-G217</f>
        <v>1833228</v>
      </c>
      <c r="I217" s="24"/>
      <c r="J217" s="21">
        <f>INDEX(Notes!$I$2:$N$11,MATCH(Notes!$B$2,Notes!$I$2:$I$11,0),4)*$C217</f>
        <v>1474768</v>
      </c>
      <c r="K217" s="21">
        <f>INDEX(Notes!$I$2:$N$11,MATCH(Notes!$B$2,Notes!$I$2:$I$11,0),5)*$D217</f>
        <v>366646</v>
      </c>
      <c r="L217" s="21">
        <f>INDEX(Notes!$I$2:$N$11,MATCH(Notes!$B$2,Notes!$I$2:$I$11,0),6)*$E217</f>
        <v>0</v>
      </c>
      <c r="M217" s="21">
        <f>IF(Notes!$B$2="June",'Payment Total'!$F217,0)</f>
        <v>0</v>
      </c>
      <c r="N217" s="21">
        <f t="shared" si="12"/>
        <v>0</v>
      </c>
      <c r="P217" s="25" t="s">
        <v>1040</v>
      </c>
      <c r="Q217" s="25">
        <v>366646</v>
      </c>
      <c r="R217" s="20" t="str">
        <f t="shared" si="13"/>
        <v>4777</v>
      </c>
      <c r="S217" s="20" t="str">
        <f t="shared" si="14"/>
        <v>4777</v>
      </c>
      <c r="T217" s="41">
        <f t="shared" si="15"/>
        <v>0</v>
      </c>
      <c r="V217" s="41"/>
    </row>
    <row r="218" spans="1:22" s="25" customFormat="1" ht="12.75" x14ac:dyDescent="0.2">
      <c r="A218" s="19" t="str">
        <f>Data!B213</f>
        <v>4778</v>
      </c>
      <c r="B218" s="20" t="str">
        <f>INDEX(Data[],MATCH($A218,Data[Dist],0),MATCH(B$6,Data[#Headers],0))</f>
        <v>North Kossuth</v>
      </c>
      <c r="C218" s="21">
        <f>INDEX(Data[],MATCH($A218,Data[Dist],0),MATCH(C$6,Data[#Headers],0))</f>
        <v>98225</v>
      </c>
      <c r="D218" s="21">
        <f>INDEX(Data[],MATCH($A218,Data[Dist],0),MATCH(D$6,Data[#Headers],0))</f>
        <v>97312</v>
      </c>
      <c r="E218" s="21">
        <f>INDEX(Data[],MATCH($A218,Data[Dist],0),MATCH(E$6,Data[#Headers],0))</f>
        <v>97313</v>
      </c>
      <c r="F218" s="21">
        <f>INDEX(Data[],MATCH($A218,Data[Dist],0),MATCH(F$6,Data[#Headers],0))</f>
        <v>97311</v>
      </c>
      <c r="G218" s="21">
        <f>INDEX(Data[],MATCH($A218,Data[Dist],0),MATCH(G$6,Data[#Headers],0))</f>
        <v>490212</v>
      </c>
      <c r="H218" s="21">
        <f>INDEX(Data[],MATCH($A218,Data[Dist],0),MATCH(H$6,Data[#Headers],0))-G218</f>
        <v>486562</v>
      </c>
      <c r="I218" s="24"/>
      <c r="J218" s="21">
        <f>INDEX(Notes!$I$2:$N$11,MATCH(Notes!$B$2,Notes!$I$2:$I$11,0),4)*$C218</f>
        <v>392900</v>
      </c>
      <c r="K218" s="21">
        <f>INDEX(Notes!$I$2:$N$11,MATCH(Notes!$B$2,Notes!$I$2:$I$11,0),5)*$D218</f>
        <v>97312</v>
      </c>
      <c r="L218" s="21">
        <f>INDEX(Notes!$I$2:$N$11,MATCH(Notes!$B$2,Notes!$I$2:$I$11,0),6)*$E218</f>
        <v>0</v>
      </c>
      <c r="M218" s="21">
        <f>IF(Notes!$B$2="June",'Payment Total'!$F218,0)</f>
        <v>0</v>
      </c>
      <c r="N218" s="21">
        <f t="shared" si="12"/>
        <v>0</v>
      </c>
      <c r="P218" s="25" t="s">
        <v>1041</v>
      </c>
      <c r="Q218" s="25">
        <v>97312</v>
      </c>
      <c r="R218" s="20" t="str">
        <f t="shared" si="13"/>
        <v>4778</v>
      </c>
      <c r="S218" s="20" t="str">
        <f t="shared" si="14"/>
        <v>4778</v>
      </c>
      <c r="T218" s="41">
        <f t="shared" si="15"/>
        <v>0</v>
      </c>
      <c r="V218" s="41"/>
    </row>
    <row r="219" spans="1:22" s="25" customFormat="1" ht="12.75" x14ac:dyDescent="0.2">
      <c r="A219" s="19" t="str">
        <f>Data!B214</f>
        <v>4779</v>
      </c>
      <c r="B219" s="20" t="str">
        <f>INDEX(Data[],MATCH($A219,Data[Dist],0),MATCH(B$6,Data[#Headers],0))</f>
        <v>North Polk</v>
      </c>
      <c r="C219" s="21">
        <f>INDEX(Data[],MATCH($A219,Data[Dist],0),MATCH(C$6,Data[#Headers],0))</f>
        <v>1608330</v>
      </c>
      <c r="D219" s="21">
        <f>INDEX(Data[],MATCH($A219,Data[Dist],0),MATCH(D$6,Data[#Headers],0))</f>
        <v>1600275</v>
      </c>
      <c r="E219" s="21">
        <f>INDEX(Data[],MATCH($A219,Data[Dist],0),MATCH(E$6,Data[#Headers],0))</f>
        <v>1600275</v>
      </c>
      <c r="F219" s="21">
        <f>INDEX(Data[],MATCH($A219,Data[Dist],0),MATCH(F$6,Data[#Headers],0))</f>
        <v>1600273</v>
      </c>
      <c r="G219" s="21">
        <f>INDEX(Data[],MATCH($A219,Data[Dist],0),MATCH(G$6,Data[#Headers],0))</f>
        <v>8033595</v>
      </c>
      <c r="H219" s="21">
        <f>INDEX(Data[],MATCH($A219,Data[Dist],0),MATCH(H$6,Data[#Headers],0))-G219</f>
        <v>8001373</v>
      </c>
      <c r="I219" s="24"/>
      <c r="J219" s="21">
        <f>INDEX(Notes!$I$2:$N$11,MATCH(Notes!$B$2,Notes!$I$2:$I$11,0),4)*$C219</f>
        <v>6433320</v>
      </c>
      <c r="K219" s="21">
        <f>INDEX(Notes!$I$2:$N$11,MATCH(Notes!$B$2,Notes!$I$2:$I$11,0),5)*$D219</f>
        <v>1600275</v>
      </c>
      <c r="L219" s="21">
        <f>INDEX(Notes!$I$2:$N$11,MATCH(Notes!$B$2,Notes!$I$2:$I$11,0),6)*$E219</f>
        <v>0</v>
      </c>
      <c r="M219" s="21">
        <f>IF(Notes!$B$2="June",'Payment Total'!$F219,0)</f>
        <v>0</v>
      </c>
      <c r="N219" s="21">
        <f t="shared" si="12"/>
        <v>0</v>
      </c>
      <c r="P219" s="25" t="s">
        <v>1042</v>
      </c>
      <c r="Q219" s="25">
        <v>1600275</v>
      </c>
      <c r="R219" s="20" t="str">
        <f t="shared" si="13"/>
        <v>4779</v>
      </c>
      <c r="S219" s="20" t="str">
        <f t="shared" si="14"/>
        <v>4779</v>
      </c>
      <c r="T219" s="41">
        <f t="shared" si="15"/>
        <v>0</v>
      </c>
      <c r="V219" s="41"/>
    </row>
    <row r="220" spans="1:22" s="25" customFormat="1" ht="12.75" x14ac:dyDescent="0.2">
      <c r="A220" s="19" t="str">
        <f>Data!B215</f>
        <v>4784</v>
      </c>
      <c r="B220" s="20" t="str">
        <f>INDEX(Data[],MATCH($A220,Data[Dist],0),MATCH(B$6,Data[#Headers],0))</f>
        <v>North Scott</v>
      </c>
      <c r="C220" s="21">
        <f>INDEX(Data[],MATCH($A220,Data[Dist],0),MATCH(C$6,Data[#Headers],0))</f>
        <v>2032659</v>
      </c>
      <c r="D220" s="21">
        <f>INDEX(Data[],MATCH($A220,Data[Dist],0),MATCH(D$6,Data[#Headers],0))</f>
        <v>2021328</v>
      </c>
      <c r="E220" s="21">
        <f>INDEX(Data[],MATCH($A220,Data[Dist],0),MATCH(E$6,Data[#Headers],0))</f>
        <v>2021328</v>
      </c>
      <c r="F220" s="21">
        <f>INDEX(Data[],MATCH($A220,Data[Dist],0),MATCH(F$6,Data[#Headers],0))</f>
        <v>2021326</v>
      </c>
      <c r="G220" s="21">
        <f>INDEX(Data[],MATCH($A220,Data[Dist],0),MATCH(G$6,Data[#Headers],0))</f>
        <v>10151964</v>
      </c>
      <c r="H220" s="21">
        <f>INDEX(Data[],MATCH($A220,Data[Dist],0),MATCH(H$6,Data[#Headers],0))-G220</f>
        <v>10106638</v>
      </c>
      <c r="I220" s="24"/>
      <c r="J220" s="21">
        <f>INDEX(Notes!$I$2:$N$11,MATCH(Notes!$B$2,Notes!$I$2:$I$11,0),4)*$C220</f>
        <v>8130636</v>
      </c>
      <c r="K220" s="21">
        <f>INDEX(Notes!$I$2:$N$11,MATCH(Notes!$B$2,Notes!$I$2:$I$11,0),5)*$D220</f>
        <v>2021328</v>
      </c>
      <c r="L220" s="21">
        <f>INDEX(Notes!$I$2:$N$11,MATCH(Notes!$B$2,Notes!$I$2:$I$11,0),6)*$E220</f>
        <v>0</v>
      </c>
      <c r="M220" s="21">
        <f>IF(Notes!$B$2="June",'Payment Total'!$F220,0)</f>
        <v>0</v>
      </c>
      <c r="N220" s="21">
        <f t="shared" si="12"/>
        <v>0</v>
      </c>
      <c r="P220" s="25" t="s">
        <v>1043</v>
      </c>
      <c r="Q220" s="25">
        <v>2021328</v>
      </c>
      <c r="R220" s="20" t="str">
        <f t="shared" si="13"/>
        <v>4784</v>
      </c>
      <c r="S220" s="20" t="str">
        <f t="shared" si="14"/>
        <v>4784</v>
      </c>
      <c r="T220" s="41">
        <f t="shared" si="15"/>
        <v>0</v>
      </c>
      <c r="V220" s="41"/>
    </row>
    <row r="221" spans="1:22" s="25" customFormat="1" ht="12.75" x14ac:dyDescent="0.2">
      <c r="A221" s="19" t="str">
        <f>Data!B216</f>
        <v>4785</v>
      </c>
      <c r="B221" s="20" t="str">
        <f>INDEX(Data[],MATCH($A221,Data[Dist],0),MATCH(B$6,Data[#Headers],0))</f>
        <v>North Tama</v>
      </c>
      <c r="C221" s="21">
        <f>INDEX(Data[],MATCH($A221,Data[Dist],0),MATCH(C$6,Data[#Headers],0))</f>
        <v>308241</v>
      </c>
      <c r="D221" s="21">
        <f>INDEX(Data[],MATCH($A221,Data[Dist],0),MATCH(D$6,Data[#Headers],0))</f>
        <v>306551</v>
      </c>
      <c r="E221" s="21">
        <f>INDEX(Data[],MATCH($A221,Data[Dist],0),MATCH(E$6,Data[#Headers],0))</f>
        <v>306551</v>
      </c>
      <c r="F221" s="21">
        <f>INDEX(Data[],MATCH($A221,Data[Dist],0),MATCH(F$6,Data[#Headers],0))</f>
        <v>306551</v>
      </c>
      <c r="G221" s="21">
        <f>INDEX(Data[],MATCH($A221,Data[Dist],0),MATCH(G$6,Data[#Headers],0))</f>
        <v>1539515</v>
      </c>
      <c r="H221" s="21">
        <f>INDEX(Data[],MATCH($A221,Data[Dist],0),MATCH(H$6,Data[#Headers],0))-G221</f>
        <v>1532755</v>
      </c>
      <c r="I221" s="24"/>
      <c r="J221" s="21">
        <f>INDEX(Notes!$I$2:$N$11,MATCH(Notes!$B$2,Notes!$I$2:$I$11,0),4)*$C221</f>
        <v>1232964</v>
      </c>
      <c r="K221" s="21">
        <f>INDEX(Notes!$I$2:$N$11,MATCH(Notes!$B$2,Notes!$I$2:$I$11,0),5)*$D221</f>
        <v>306551</v>
      </c>
      <c r="L221" s="21">
        <f>INDEX(Notes!$I$2:$N$11,MATCH(Notes!$B$2,Notes!$I$2:$I$11,0),6)*$E221</f>
        <v>0</v>
      </c>
      <c r="M221" s="21">
        <f>IF(Notes!$B$2="June",'Payment Total'!$F221,0)</f>
        <v>0</v>
      </c>
      <c r="N221" s="21">
        <f t="shared" si="12"/>
        <v>0</v>
      </c>
      <c r="P221" s="25" t="s">
        <v>1044</v>
      </c>
      <c r="Q221" s="25">
        <v>306551</v>
      </c>
      <c r="R221" s="20" t="str">
        <f t="shared" si="13"/>
        <v>4785</v>
      </c>
      <c r="S221" s="20" t="str">
        <f t="shared" si="14"/>
        <v>4785</v>
      </c>
      <c r="T221" s="41">
        <f t="shared" si="15"/>
        <v>0</v>
      </c>
      <c r="V221" s="41"/>
    </row>
    <row r="222" spans="1:22" s="25" customFormat="1" ht="12.75" x14ac:dyDescent="0.2">
      <c r="A222" s="19" t="str">
        <f>Data!B217</f>
        <v>4788</v>
      </c>
      <c r="B222" s="20" t="str">
        <f>INDEX(Data[],MATCH($A222,Data[Dist],0),MATCH(B$6,Data[#Headers],0))</f>
        <v>Northwood-Kensett</v>
      </c>
      <c r="C222" s="21">
        <f>INDEX(Data[],MATCH($A222,Data[Dist],0),MATCH(C$6,Data[#Headers],0))</f>
        <v>349962</v>
      </c>
      <c r="D222" s="21">
        <f>INDEX(Data[],MATCH($A222,Data[Dist],0),MATCH(D$6,Data[#Headers],0))</f>
        <v>348037</v>
      </c>
      <c r="E222" s="21">
        <f>INDEX(Data[],MATCH($A222,Data[Dist],0),MATCH(E$6,Data[#Headers],0))</f>
        <v>348037</v>
      </c>
      <c r="F222" s="21">
        <f>INDEX(Data[],MATCH($A222,Data[Dist],0),MATCH(F$6,Data[#Headers],0))</f>
        <v>348036</v>
      </c>
      <c r="G222" s="21">
        <f>INDEX(Data[],MATCH($A222,Data[Dist],0),MATCH(G$6,Data[#Headers],0))</f>
        <v>1747885</v>
      </c>
      <c r="H222" s="21">
        <f>INDEX(Data[],MATCH($A222,Data[Dist],0),MATCH(H$6,Data[#Headers],0))-G222</f>
        <v>1740184</v>
      </c>
      <c r="I222" s="24"/>
      <c r="J222" s="21">
        <f>INDEX(Notes!$I$2:$N$11,MATCH(Notes!$B$2,Notes!$I$2:$I$11,0),4)*$C222</f>
        <v>1399848</v>
      </c>
      <c r="K222" s="21">
        <f>INDEX(Notes!$I$2:$N$11,MATCH(Notes!$B$2,Notes!$I$2:$I$11,0),5)*$D222</f>
        <v>348037</v>
      </c>
      <c r="L222" s="21">
        <f>INDEX(Notes!$I$2:$N$11,MATCH(Notes!$B$2,Notes!$I$2:$I$11,0),6)*$E222</f>
        <v>0</v>
      </c>
      <c r="M222" s="21">
        <f>IF(Notes!$B$2="June",'Payment Total'!$F222,0)</f>
        <v>0</v>
      </c>
      <c r="N222" s="21">
        <f t="shared" si="12"/>
        <v>0</v>
      </c>
      <c r="P222" s="25" t="s">
        <v>1045</v>
      </c>
      <c r="Q222" s="25">
        <v>348037</v>
      </c>
      <c r="R222" s="20" t="str">
        <f t="shared" si="13"/>
        <v>4788</v>
      </c>
      <c r="S222" s="20" t="str">
        <f t="shared" si="14"/>
        <v>4788</v>
      </c>
      <c r="T222" s="41">
        <f t="shared" si="15"/>
        <v>0</v>
      </c>
      <c r="V222" s="41"/>
    </row>
    <row r="223" spans="1:22" s="25" customFormat="1" ht="12.75" x14ac:dyDescent="0.2">
      <c r="A223" s="19" t="str">
        <f>Data!B218</f>
        <v>4797</v>
      </c>
      <c r="B223" s="20" t="str">
        <f>INDEX(Data[],MATCH($A223,Data[Dist],0),MATCH(B$6,Data[#Headers],0))</f>
        <v>Norwalk</v>
      </c>
      <c r="C223" s="21">
        <f>INDEX(Data[],MATCH($A223,Data[Dist],0),MATCH(C$6,Data[#Headers],0))</f>
        <v>2735028</v>
      </c>
      <c r="D223" s="21">
        <f>INDEX(Data[],MATCH($A223,Data[Dist],0),MATCH(D$6,Data[#Headers],0))</f>
        <v>2722147</v>
      </c>
      <c r="E223" s="21">
        <f>INDEX(Data[],MATCH($A223,Data[Dist],0),MATCH(E$6,Data[#Headers],0))</f>
        <v>2722148</v>
      </c>
      <c r="F223" s="21">
        <f>INDEX(Data[],MATCH($A223,Data[Dist],0),MATCH(F$6,Data[#Headers],0))</f>
        <v>2722146</v>
      </c>
      <c r="G223" s="21">
        <f>INDEX(Data[],MATCH($A223,Data[Dist],0),MATCH(G$6,Data[#Headers],0))</f>
        <v>13662259</v>
      </c>
      <c r="H223" s="21">
        <f>INDEX(Data[],MATCH($A223,Data[Dist],0),MATCH(H$6,Data[#Headers],0))-G223</f>
        <v>13610737</v>
      </c>
      <c r="I223" s="24"/>
      <c r="J223" s="21">
        <f>INDEX(Notes!$I$2:$N$11,MATCH(Notes!$B$2,Notes!$I$2:$I$11,0),4)*$C223</f>
        <v>10940112</v>
      </c>
      <c r="K223" s="21">
        <f>INDEX(Notes!$I$2:$N$11,MATCH(Notes!$B$2,Notes!$I$2:$I$11,0),5)*$D223</f>
        <v>2722147</v>
      </c>
      <c r="L223" s="21">
        <f>INDEX(Notes!$I$2:$N$11,MATCH(Notes!$B$2,Notes!$I$2:$I$11,0),6)*$E223</f>
        <v>0</v>
      </c>
      <c r="M223" s="21">
        <f>IF(Notes!$B$2="June",'Payment Total'!$F223,0)</f>
        <v>0</v>
      </c>
      <c r="N223" s="21">
        <f t="shared" si="12"/>
        <v>0</v>
      </c>
      <c r="P223" s="25" t="s">
        <v>1046</v>
      </c>
      <c r="Q223" s="25">
        <v>2722147</v>
      </c>
      <c r="R223" s="20" t="str">
        <f t="shared" si="13"/>
        <v>4797</v>
      </c>
      <c r="S223" s="20" t="str">
        <f t="shared" si="14"/>
        <v>4797</v>
      </c>
      <c r="T223" s="41">
        <f t="shared" si="15"/>
        <v>0</v>
      </c>
      <c r="V223" s="41"/>
    </row>
    <row r="224" spans="1:22" s="25" customFormat="1" ht="12.75" x14ac:dyDescent="0.2">
      <c r="A224" s="19" t="str">
        <f>Data!B219</f>
        <v>4824</v>
      </c>
      <c r="B224" s="20" t="str">
        <f>INDEX(Data[],MATCH($A224,Data[Dist],0),MATCH(B$6,Data[#Headers],0))</f>
        <v>Riverside</v>
      </c>
      <c r="C224" s="21">
        <f>INDEX(Data[],MATCH($A224,Data[Dist],0),MATCH(C$6,Data[#Headers],0))</f>
        <v>475575</v>
      </c>
      <c r="D224" s="21">
        <f>INDEX(Data[],MATCH($A224,Data[Dist],0),MATCH(D$6,Data[#Headers],0))</f>
        <v>472908</v>
      </c>
      <c r="E224" s="21">
        <f>INDEX(Data[],MATCH($A224,Data[Dist],0),MATCH(E$6,Data[#Headers],0))</f>
        <v>472907</v>
      </c>
      <c r="F224" s="21">
        <f>INDEX(Data[],MATCH($A224,Data[Dist],0),MATCH(F$6,Data[#Headers],0))</f>
        <v>472908</v>
      </c>
      <c r="G224" s="21">
        <f>INDEX(Data[],MATCH($A224,Data[Dist],0),MATCH(G$6,Data[#Headers],0))</f>
        <v>2375208</v>
      </c>
      <c r="H224" s="21">
        <f>INDEX(Data[],MATCH($A224,Data[Dist],0),MATCH(H$6,Data[#Headers],0))-G224</f>
        <v>2364537</v>
      </c>
      <c r="I224" s="24"/>
      <c r="J224" s="21">
        <f>INDEX(Notes!$I$2:$N$11,MATCH(Notes!$B$2,Notes!$I$2:$I$11,0),4)*$C224</f>
        <v>1902300</v>
      </c>
      <c r="K224" s="21">
        <f>INDEX(Notes!$I$2:$N$11,MATCH(Notes!$B$2,Notes!$I$2:$I$11,0),5)*$D224</f>
        <v>472908</v>
      </c>
      <c r="L224" s="21">
        <f>INDEX(Notes!$I$2:$N$11,MATCH(Notes!$B$2,Notes!$I$2:$I$11,0),6)*$E224</f>
        <v>0</v>
      </c>
      <c r="M224" s="21">
        <f>IF(Notes!$B$2="June",'Payment Total'!$F224,0)</f>
        <v>0</v>
      </c>
      <c r="N224" s="21">
        <f t="shared" si="12"/>
        <v>0</v>
      </c>
      <c r="P224" s="25" t="s">
        <v>1047</v>
      </c>
      <c r="Q224" s="25">
        <v>472908</v>
      </c>
      <c r="R224" s="20" t="str">
        <f t="shared" si="13"/>
        <v>5510</v>
      </c>
      <c r="S224" s="20" t="str">
        <f t="shared" si="14"/>
        <v>4824</v>
      </c>
      <c r="T224" s="41">
        <f t="shared" si="15"/>
        <v>0</v>
      </c>
      <c r="V224" s="41"/>
    </row>
    <row r="225" spans="1:22" s="25" customFormat="1" ht="12.75" x14ac:dyDescent="0.2">
      <c r="A225" s="19" t="str">
        <f>Data!B220</f>
        <v>4860</v>
      </c>
      <c r="B225" s="20" t="str">
        <f>INDEX(Data[],MATCH($A225,Data[Dist],0),MATCH(B$6,Data[#Headers],0))</f>
        <v>Odebolt Arthur Battle Creek Ida Gr</v>
      </c>
      <c r="C225" s="21">
        <f>INDEX(Data[],MATCH($A225,Data[Dist],0),MATCH(C$6,Data[#Headers],0))</f>
        <v>563675</v>
      </c>
      <c r="D225" s="21">
        <f>INDEX(Data[],MATCH($A225,Data[Dist],0),MATCH(D$6,Data[#Headers],0))</f>
        <v>560283</v>
      </c>
      <c r="E225" s="21">
        <f>INDEX(Data[],MATCH($A225,Data[Dist],0),MATCH(E$6,Data[#Headers],0))</f>
        <v>560282</v>
      </c>
      <c r="F225" s="21">
        <f>INDEX(Data[],MATCH($A225,Data[Dist],0),MATCH(F$6,Data[#Headers],0))</f>
        <v>560283</v>
      </c>
      <c r="G225" s="21">
        <f>INDEX(Data[],MATCH($A225,Data[Dist],0),MATCH(G$6,Data[#Headers],0))</f>
        <v>2814983</v>
      </c>
      <c r="H225" s="21">
        <f>INDEX(Data[],MATCH($A225,Data[Dist],0),MATCH(H$6,Data[#Headers],0))-G225</f>
        <v>2801412</v>
      </c>
      <c r="I225" s="24"/>
      <c r="J225" s="21">
        <f>INDEX(Notes!$I$2:$N$11,MATCH(Notes!$B$2,Notes!$I$2:$I$11,0),4)*$C225</f>
        <v>2254700</v>
      </c>
      <c r="K225" s="21">
        <f>INDEX(Notes!$I$2:$N$11,MATCH(Notes!$B$2,Notes!$I$2:$I$11,0),5)*$D225</f>
        <v>560283</v>
      </c>
      <c r="L225" s="21">
        <f>INDEX(Notes!$I$2:$N$11,MATCH(Notes!$B$2,Notes!$I$2:$I$11,0),6)*$E225</f>
        <v>0</v>
      </c>
      <c r="M225" s="21">
        <f>IF(Notes!$B$2="June",'Payment Total'!$F225,0)</f>
        <v>0</v>
      </c>
      <c r="N225" s="21">
        <f t="shared" si="12"/>
        <v>0</v>
      </c>
      <c r="P225" s="25" t="s">
        <v>1048</v>
      </c>
      <c r="Q225" s="25">
        <v>560283</v>
      </c>
      <c r="R225" s="20" t="str">
        <f t="shared" si="13"/>
        <v>4860</v>
      </c>
      <c r="S225" s="20" t="str">
        <f t="shared" si="14"/>
        <v>4860</v>
      </c>
      <c r="T225" s="41">
        <f t="shared" si="15"/>
        <v>0</v>
      </c>
      <c r="V225" s="41"/>
    </row>
    <row r="226" spans="1:22" s="25" customFormat="1" ht="12.75" x14ac:dyDescent="0.2">
      <c r="A226" s="19" t="str">
        <f>Data!B221</f>
        <v>4869</v>
      </c>
      <c r="B226" s="20" t="str">
        <f>INDEX(Data[],MATCH($A226,Data[Dist],0),MATCH(B$6,Data[#Headers],0))</f>
        <v>Oelwein</v>
      </c>
      <c r="C226" s="21">
        <f>INDEX(Data[],MATCH($A226,Data[Dist],0),MATCH(C$6,Data[#Headers],0))</f>
        <v>1157650</v>
      </c>
      <c r="D226" s="21">
        <f>INDEX(Data[],MATCH($A226,Data[Dist],0),MATCH(D$6,Data[#Headers],0))</f>
        <v>1152698</v>
      </c>
      <c r="E226" s="21">
        <f>INDEX(Data[],MATCH($A226,Data[Dist],0),MATCH(E$6,Data[#Headers],0))</f>
        <v>1152698</v>
      </c>
      <c r="F226" s="21">
        <f>INDEX(Data[],MATCH($A226,Data[Dist],0),MATCH(F$6,Data[#Headers],0))</f>
        <v>1152698</v>
      </c>
      <c r="G226" s="21">
        <f>INDEX(Data[],MATCH($A226,Data[Dist],0),MATCH(G$6,Data[#Headers],0))</f>
        <v>5783298</v>
      </c>
      <c r="H226" s="21">
        <f>INDEX(Data[],MATCH($A226,Data[Dist],0),MATCH(H$6,Data[#Headers],0))-G226</f>
        <v>5763490</v>
      </c>
      <c r="I226" s="24"/>
      <c r="J226" s="21">
        <f>INDEX(Notes!$I$2:$N$11,MATCH(Notes!$B$2,Notes!$I$2:$I$11,0),4)*$C226</f>
        <v>4630600</v>
      </c>
      <c r="K226" s="21">
        <f>INDEX(Notes!$I$2:$N$11,MATCH(Notes!$B$2,Notes!$I$2:$I$11,0),5)*$D226</f>
        <v>1152698</v>
      </c>
      <c r="L226" s="21">
        <f>INDEX(Notes!$I$2:$N$11,MATCH(Notes!$B$2,Notes!$I$2:$I$11,0),6)*$E226</f>
        <v>0</v>
      </c>
      <c r="M226" s="21">
        <f>IF(Notes!$B$2="June",'Payment Total'!$F226,0)</f>
        <v>0</v>
      </c>
      <c r="N226" s="21">
        <f t="shared" si="12"/>
        <v>0</v>
      </c>
      <c r="P226" s="25" t="s">
        <v>1049</v>
      </c>
      <c r="Q226" s="25">
        <v>1152698</v>
      </c>
      <c r="R226" s="20" t="str">
        <f t="shared" si="13"/>
        <v>4869</v>
      </c>
      <c r="S226" s="20" t="str">
        <f t="shared" si="14"/>
        <v>4869</v>
      </c>
      <c r="T226" s="41">
        <f t="shared" si="15"/>
        <v>0</v>
      </c>
      <c r="V226" s="41"/>
    </row>
    <row r="227" spans="1:22" s="25" customFormat="1" ht="12.75" x14ac:dyDescent="0.2">
      <c r="A227" s="19" t="str">
        <f>Data!B222</f>
        <v>4878</v>
      </c>
      <c r="B227" s="20" t="str">
        <f>INDEX(Data[],MATCH($A227,Data[Dist],0),MATCH(B$6,Data[#Headers],0))</f>
        <v>Ogden</v>
      </c>
      <c r="C227" s="21">
        <f>INDEX(Data[],MATCH($A227,Data[Dist],0),MATCH(C$6,Data[#Headers],0))</f>
        <v>334831</v>
      </c>
      <c r="D227" s="21">
        <f>INDEX(Data[],MATCH($A227,Data[Dist],0),MATCH(D$6,Data[#Headers],0))</f>
        <v>332615</v>
      </c>
      <c r="E227" s="21">
        <f>INDEX(Data[],MATCH($A227,Data[Dist],0),MATCH(E$6,Data[#Headers],0))</f>
        <v>332615</v>
      </c>
      <c r="F227" s="21">
        <f>INDEX(Data[],MATCH($A227,Data[Dist],0),MATCH(F$6,Data[#Headers],0))</f>
        <v>332615</v>
      </c>
      <c r="G227" s="21">
        <f>INDEX(Data[],MATCH($A227,Data[Dist],0),MATCH(G$6,Data[#Headers],0))</f>
        <v>1671939</v>
      </c>
      <c r="H227" s="21">
        <f>INDEX(Data[],MATCH($A227,Data[Dist],0),MATCH(H$6,Data[#Headers],0))-G227</f>
        <v>1663075</v>
      </c>
      <c r="I227" s="24"/>
      <c r="J227" s="21">
        <f>INDEX(Notes!$I$2:$N$11,MATCH(Notes!$B$2,Notes!$I$2:$I$11,0),4)*$C227</f>
        <v>1339324</v>
      </c>
      <c r="K227" s="21">
        <f>INDEX(Notes!$I$2:$N$11,MATCH(Notes!$B$2,Notes!$I$2:$I$11,0),5)*$D227</f>
        <v>332615</v>
      </c>
      <c r="L227" s="21">
        <f>INDEX(Notes!$I$2:$N$11,MATCH(Notes!$B$2,Notes!$I$2:$I$11,0),6)*$E227</f>
        <v>0</v>
      </c>
      <c r="M227" s="21">
        <f>IF(Notes!$B$2="June",'Payment Total'!$F227,0)</f>
        <v>0</v>
      </c>
      <c r="N227" s="21">
        <f t="shared" si="12"/>
        <v>0</v>
      </c>
      <c r="P227" s="25" t="s">
        <v>1050</v>
      </c>
      <c r="Q227" s="25">
        <v>332615</v>
      </c>
      <c r="R227" s="20" t="str">
        <f t="shared" si="13"/>
        <v>4878</v>
      </c>
      <c r="S227" s="20" t="str">
        <f t="shared" si="14"/>
        <v>4878</v>
      </c>
      <c r="T227" s="41">
        <f t="shared" si="15"/>
        <v>0</v>
      </c>
      <c r="V227" s="41"/>
    </row>
    <row r="228" spans="1:22" s="25" customFormat="1" ht="12.75" x14ac:dyDescent="0.2">
      <c r="A228" s="19" t="str">
        <f>Data!B223</f>
        <v>4890</v>
      </c>
      <c r="B228" s="20" t="str">
        <f>INDEX(Data[],MATCH($A228,Data[Dist],0),MATCH(B$6,Data[#Headers],0))</f>
        <v>Okoboji</v>
      </c>
      <c r="C228" s="21">
        <f>INDEX(Data[],MATCH($A228,Data[Dist],0),MATCH(C$6,Data[#Headers],0))</f>
        <v>35828</v>
      </c>
      <c r="D228" s="21">
        <f>INDEX(Data[],MATCH($A228,Data[Dist],0),MATCH(D$6,Data[#Headers],0))</f>
        <v>31982</v>
      </c>
      <c r="E228" s="21">
        <f>INDEX(Data[],MATCH($A228,Data[Dist],0),MATCH(E$6,Data[#Headers],0))</f>
        <v>31982</v>
      </c>
      <c r="F228" s="21">
        <f>INDEX(Data[],MATCH($A228,Data[Dist],0),MATCH(F$6,Data[#Headers],0))</f>
        <v>31982</v>
      </c>
      <c r="G228" s="21">
        <f>INDEX(Data[],MATCH($A228,Data[Dist],0),MATCH(G$6,Data[#Headers],0))</f>
        <v>175294</v>
      </c>
      <c r="H228" s="21">
        <f>INDEX(Data[],MATCH($A228,Data[Dist],0),MATCH(H$6,Data[#Headers],0))-G228</f>
        <v>159910</v>
      </c>
      <c r="I228" s="24"/>
      <c r="J228" s="21">
        <f>INDEX(Notes!$I$2:$N$11,MATCH(Notes!$B$2,Notes!$I$2:$I$11,0),4)*$C228</f>
        <v>143312</v>
      </c>
      <c r="K228" s="21">
        <f>INDEX(Notes!$I$2:$N$11,MATCH(Notes!$B$2,Notes!$I$2:$I$11,0),5)*$D228</f>
        <v>31982</v>
      </c>
      <c r="L228" s="21">
        <f>INDEX(Notes!$I$2:$N$11,MATCH(Notes!$B$2,Notes!$I$2:$I$11,0),6)*$E228</f>
        <v>0</v>
      </c>
      <c r="M228" s="21">
        <f>IF(Notes!$B$2="June",'Payment Total'!$F228,0)</f>
        <v>0</v>
      </c>
      <c r="N228" s="21">
        <f t="shared" si="12"/>
        <v>0</v>
      </c>
      <c r="P228" s="25" t="s">
        <v>1051</v>
      </c>
      <c r="Q228" s="25">
        <v>31982</v>
      </c>
      <c r="R228" s="20" t="str">
        <f t="shared" si="13"/>
        <v>4890</v>
      </c>
      <c r="S228" s="20" t="str">
        <f t="shared" si="14"/>
        <v>4890</v>
      </c>
      <c r="T228" s="41">
        <f t="shared" si="15"/>
        <v>0</v>
      </c>
      <c r="V228" s="41"/>
    </row>
    <row r="229" spans="1:22" s="25" customFormat="1" ht="12.75" x14ac:dyDescent="0.2">
      <c r="A229" s="19" t="str">
        <f>Data!B224</f>
        <v>4905</v>
      </c>
      <c r="B229" s="20" t="str">
        <f>INDEX(Data[],MATCH($A229,Data[Dist],0),MATCH(B$6,Data[#Headers],0))</f>
        <v>Olin</v>
      </c>
      <c r="C229" s="21">
        <f>INDEX(Data[],MATCH($A229,Data[Dist],0),MATCH(C$6,Data[#Headers],0))</f>
        <v>147583</v>
      </c>
      <c r="D229" s="21">
        <f>INDEX(Data[],MATCH($A229,Data[Dist],0),MATCH(D$6,Data[#Headers],0))</f>
        <v>146857</v>
      </c>
      <c r="E229" s="21">
        <f>INDEX(Data[],MATCH($A229,Data[Dist],0),MATCH(E$6,Data[#Headers],0))</f>
        <v>146857</v>
      </c>
      <c r="F229" s="21">
        <f>INDEX(Data[],MATCH($A229,Data[Dist],0),MATCH(F$6,Data[#Headers],0))</f>
        <v>146855</v>
      </c>
      <c r="G229" s="21">
        <f>INDEX(Data[],MATCH($A229,Data[Dist],0),MATCH(G$6,Data[#Headers],0))</f>
        <v>737189</v>
      </c>
      <c r="H229" s="21">
        <f>INDEX(Data[],MATCH($A229,Data[Dist],0),MATCH(H$6,Data[#Headers],0))-G229</f>
        <v>734283</v>
      </c>
      <c r="I229" s="24"/>
      <c r="J229" s="21">
        <f>INDEX(Notes!$I$2:$N$11,MATCH(Notes!$B$2,Notes!$I$2:$I$11,0),4)*$C229</f>
        <v>590332</v>
      </c>
      <c r="K229" s="21">
        <f>INDEX(Notes!$I$2:$N$11,MATCH(Notes!$B$2,Notes!$I$2:$I$11,0),5)*$D229</f>
        <v>146857</v>
      </c>
      <c r="L229" s="21">
        <f>INDEX(Notes!$I$2:$N$11,MATCH(Notes!$B$2,Notes!$I$2:$I$11,0),6)*$E229</f>
        <v>0</v>
      </c>
      <c r="M229" s="21">
        <f>IF(Notes!$B$2="June",'Payment Total'!$F229,0)</f>
        <v>0</v>
      </c>
      <c r="N229" s="21">
        <f t="shared" si="12"/>
        <v>0</v>
      </c>
      <c r="P229" s="25" t="s">
        <v>1052</v>
      </c>
      <c r="Q229" s="25">
        <v>146857</v>
      </c>
      <c r="R229" s="20" t="str">
        <f t="shared" si="13"/>
        <v>4905</v>
      </c>
      <c r="S229" s="20" t="str">
        <f t="shared" si="14"/>
        <v>4905</v>
      </c>
      <c r="T229" s="41">
        <f t="shared" si="15"/>
        <v>0</v>
      </c>
      <c r="V229" s="41"/>
    </row>
    <row r="230" spans="1:22" s="25" customFormat="1" ht="12.75" x14ac:dyDescent="0.2">
      <c r="A230" s="19" t="str">
        <f>Data!B225</f>
        <v>4978</v>
      </c>
      <c r="B230" s="20" t="str">
        <f>INDEX(Data[],MATCH($A230,Data[Dist],0),MATCH(B$6,Data[#Headers],0))</f>
        <v>Orient-Macksburg</v>
      </c>
      <c r="C230" s="21">
        <f>INDEX(Data[],MATCH($A230,Data[Dist],0),MATCH(C$6,Data[#Headers],0))</f>
        <v>71686</v>
      </c>
      <c r="D230" s="21">
        <f>INDEX(Data[],MATCH($A230,Data[Dist],0),MATCH(D$6,Data[#Headers],0))</f>
        <v>71070</v>
      </c>
      <c r="E230" s="21">
        <f>INDEX(Data[],MATCH($A230,Data[Dist],0),MATCH(E$6,Data[#Headers],0))</f>
        <v>71070</v>
      </c>
      <c r="F230" s="21">
        <f>INDEX(Data[],MATCH($A230,Data[Dist],0),MATCH(F$6,Data[#Headers],0))</f>
        <v>71070</v>
      </c>
      <c r="G230" s="21">
        <f>INDEX(Data[],MATCH($A230,Data[Dist],0),MATCH(G$6,Data[#Headers],0))</f>
        <v>357814</v>
      </c>
      <c r="H230" s="21">
        <f>INDEX(Data[],MATCH($A230,Data[Dist],0),MATCH(H$6,Data[#Headers],0))-G230</f>
        <v>355350</v>
      </c>
      <c r="I230" s="24"/>
      <c r="J230" s="21">
        <f>INDEX(Notes!$I$2:$N$11,MATCH(Notes!$B$2,Notes!$I$2:$I$11,0),4)*$C230</f>
        <v>286744</v>
      </c>
      <c r="K230" s="21">
        <f>INDEX(Notes!$I$2:$N$11,MATCH(Notes!$B$2,Notes!$I$2:$I$11,0),5)*$D230</f>
        <v>71070</v>
      </c>
      <c r="L230" s="21">
        <f>INDEX(Notes!$I$2:$N$11,MATCH(Notes!$B$2,Notes!$I$2:$I$11,0),6)*$E230</f>
        <v>0</v>
      </c>
      <c r="M230" s="21">
        <f>IF(Notes!$B$2="June",'Payment Total'!$F230,0)</f>
        <v>0</v>
      </c>
      <c r="N230" s="21">
        <f t="shared" si="12"/>
        <v>0</v>
      </c>
      <c r="P230" s="25" t="s">
        <v>1053</v>
      </c>
      <c r="Q230" s="25">
        <v>71070</v>
      </c>
      <c r="R230" s="20" t="str">
        <f t="shared" si="13"/>
        <v>4978</v>
      </c>
      <c r="S230" s="20" t="str">
        <f t="shared" si="14"/>
        <v>4978</v>
      </c>
      <c r="T230" s="41">
        <f t="shared" si="15"/>
        <v>0</v>
      </c>
      <c r="V230" s="41"/>
    </row>
    <row r="231" spans="1:22" s="25" customFormat="1" ht="12.75" x14ac:dyDescent="0.2">
      <c r="A231" s="19" t="str">
        <f>Data!B226</f>
        <v>4995</v>
      </c>
      <c r="B231" s="20" t="str">
        <f>INDEX(Data[],MATCH($A231,Data[Dist],0),MATCH(B$6,Data[#Headers],0))</f>
        <v>Osage</v>
      </c>
      <c r="C231" s="21">
        <f>INDEX(Data[],MATCH($A231,Data[Dist],0),MATCH(C$6,Data[#Headers],0))</f>
        <v>628496</v>
      </c>
      <c r="D231" s="21">
        <f>INDEX(Data[],MATCH($A231,Data[Dist],0),MATCH(D$6,Data[#Headers],0))</f>
        <v>625109</v>
      </c>
      <c r="E231" s="21">
        <f>INDEX(Data[],MATCH($A231,Data[Dist],0),MATCH(E$6,Data[#Headers],0))</f>
        <v>625109</v>
      </c>
      <c r="F231" s="21">
        <f>INDEX(Data[],MATCH($A231,Data[Dist],0),MATCH(F$6,Data[#Headers],0))</f>
        <v>625107</v>
      </c>
      <c r="G231" s="21">
        <f>INDEX(Data[],MATCH($A231,Data[Dist],0),MATCH(G$6,Data[#Headers],0))</f>
        <v>3139093</v>
      </c>
      <c r="H231" s="21">
        <f>INDEX(Data[],MATCH($A231,Data[Dist],0),MATCH(H$6,Data[#Headers],0))-G231</f>
        <v>3125543</v>
      </c>
      <c r="I231" s="24"/>
      <c r="J231" s="21">
        <f>INDEX(Notes!$I$2:$N$11,MATCH(Notes!$B$2,Notes!$I$2:$I$11,0),4)*$C231</f>
        <v>2513984</v>
      </c>
      <c r="K231" s="21">
        <f>INDEX(Notes!$I$2:$N$11,MATCH(Notes!$B$2,Notes!$I$2:$I$11,0),5)*$D231</f>
        <v>625109</v>
      </c>
      <c r="L231" s="21">
        <f>INDEX(Notes!$I$2:$N$11,MATCH(Notes!$B$2,Notes!$I$2:$I$11,0),6)*$E231</f>
        <v>0</v>
      </c>
      <c r="M231" s="21">
        <f>IF(Notes!$B$2="June",'Payment Total'!$F231,0)</f>
        <v>0</v>
      </c>
      <c r="N231" s="21">
        <f t="shared" si="12"/>
        <v>0</v>
      </c>
      <c r="P231" s="25" t="s">
        <v>1054</v>
      </c>
      <c r="Q231" s="25">
        <v>625109</v>
      </c>
      <c r="R231" s="20" t="str">
        <f t="shared" si="13"/>
        <v>4995</v>
      </c>
      <c r="S231" s="20" t="str">
        <f t="shared" si="14"/>
        <v>4995</v>
      </c>
      <c r="T231" s="41">
        <f t="shared" si="15"/>
        <v>0</v>
      </c>
      <c r="V231" s="41"/>
    </row>
    <row r="232" spans="1:22" s="25" customFormat="1" ht="12.75" x14ac:dyDescent="0.2">
      <c r="A232" s="19" t="str">
        <f>Data!B227</f>
        <v>5013</v>
      </c>
      <c r="B232" s="20" t="str">
        <f>INDEX(Data[],MATCH($A232,Data[Dist],0),MATCH(B$6,Data[#Headers],0))</f>
        <v>Oskaloosa</v>
      </c>
      <c r="C232" s="21">
        <f>INDEX(Data[],MATCH($A232,Data[Dist],0),MATCH(C$6,Data[#Headers],0))</f>
        <v>1773090</v>
      </c>
      <c r="D232" s="21">
        <f>INDEX(Data[],MATCH($A232,Data[Dist],0),MATCH(D$6,Data[#Headers],0))</f>
        <v>1764749</v>
      </c>
      <c r="E232" s="21">
        <f>INDEX(Data[],MATCH($A232,Data[Dist],0),MATCH(E$6,Data[#Headers],0))</f>
        <v>1764749</v>
      </c>
      <c r="F232" s="21">
        <f>INDEX(Data[],MATCH($A232,Data[Dist],0),MATCH(F$6,Data[#Headers],0))</f>
        <v>1764747</v>
      </c>
      <c r="G232" s="21">
        <f>INDEX(Data[],MATCH($A232,Data[Dist],0),MATCH(G$6,Data[#Headers],0))</f>
        <v>8857109</v>
      </c>
      <c r="H232" s="21">
        <f>INDEX(Data[],MATCH($A232,Data[Dist],0),MATCH(H$6,Data[#Headers],0))-G232</f>
        <v>8823743</v>
      </c>
      <c r="I232" s="24"/>
      <c r="J232" s="21">
        <f>INDEX(Notes!$I$2:$N$11,MATCH(Notes!$B$2,Notes!$I$2:$I$11,0),4)*$C232</f>
        <v>7092360</v>
      </c>
      <c r="K232" s="21">
        <f>INDEX(Notes!$I$2:$N$11,MATCH(Notes!$B$2,Notes!$I$2:$I$11,0),5)*$D232</f>
        <v>1764749</v>
      </c>
      <c r="L232" s="21">
        <f>INDEX(Notes!$I$2:$N$11,MATCH(Notes!$B$2,Notes!$I$2:$I$11,0),6)*$E232</f>
        <v>0</v>
      </c>
      <c r="M232" s="21">
        <f>IF(Notes!$B$2="June",'Payment Total'!$F232,0)</f>
        <v>0</v>
      </c>
      <c r="N232" s="21">
        <f t="shared" si="12"/>
        <v>0</v>
      </c>
      <c r="P232" s="25" t="s">
        <v>1055</v>
      </c>
      <c r="Q232" s="25">
        <v>1764749</v>
      </c>
      <c r="R232" s="20" t="str">
        <f t="shared" si="13"/>
        <v>5013</v>
      </c>
      <c r="S232" s="20" t="str">
        <f t="shared" si="14"/>
        <v>5013</v>
      </c>
      <c r="T232" s="41">
        <f t="shared" si="15"/>
        <v>0</v>
      </c>
      <c r="V232" s="41"/>
    </row>
    <row r="233" spans="1:22" s="25" customFormat="1" ht="12.75" x14ac:dyDescent="0.2">
      <c r="A233" s="19" t="str">
        <f>Data!B228</f>
        <v>5049</v>
      </c>
      <c r="B233" s="20" t="str">
        <f>INDEX(Data[],MATCH($A233,Data[Dist],0),MATCH(B$6,Data[#Headers],0))</f>
        <v>Ottumwa</v>
      </c>
      <c r="C233" s="21">
        <f>INDEX(Data[],MATCH($A233,Data[Dist],0),MATCH(C$6,Data[#Headers],0))</f>
        <v>4707776</v>
      </c>
      <c r="D233" s="21">
        <f>INDEX(Data[],MATCH($A233,Data[Dist],0),MATCH(D$6,Data[#Headers],0))</f>
        <v>4688579</v>
      </c>
      <c r="E233" s="21">
        <f>INDEX(Data[],MATCH($A233,Data[Dist],0),MATCH(E$6,Data[#Headers],0))</f>
        <v>4688579</v>
      </c>
      <c r="F233" s="21">
        <f>INDEX(Data[],MATCH($A233,Data[Dist],0),MATCH(F$6,Data[#Headers],0))</f>
        <v>4688579</v>
      </c>
      <c r="G233" s="21">
        <f>INDEX(Data[],MATCH($A233,Data[Dist],0),MATCH(G$6,Data[#Headers],0))</f>
        <v>23519683</v>
      </c>
      <c r="H233" s="21">
        <f>INDEX(Data[],MATCH($A233,Data[Dist],0),MATCH(H$6,Data[#Headers],0))-G233</f>
        <v>23442895</v>
      </c>
      <c r="I233" s="24"/>
      <c r="J233" s="21">
        <f>INDEX(Notes!$I$2:$N$11,MATCH(Notes!$B$2,Notes!$I$2:$I$11,0),4)*$C233</f>
        <v>18831104</v>
      </c>
      <c r="K233" s="21">
        <f>INDEX(Notes!$I$2:$N$11,MATCH(Notes!$B$2,Notes!$I$2:$I$11,0),5)*$D233</f>
        <v>4688579</v>
      </c>
      <c r="L233" s="21">
        <f>INDEX(Notes!$I$2:$N$11,MATCH(Notes!$B$2,Notes!$I$2:$I$11,0),6)*$E233</f>
        <v>0</v>
      </c>
      <c r="M233" s="21">
        <f>IF(Notes!$B$2="June",'Payment Total'!$F233,0)</f>
        <v>0</v>
      </c>
      <c r="N233" s="21">
        <f t="shared" si="12"/>
        <v>0</v>
      </c>
      <c r="P233" s="25" t="s">
        <v>1056</v>
      </c>
      <c r="Q233" s="25">
        <v>4688579</v>
      </c>
      <c r="R233" s="20" t="str">
        <f t="shared" si="13"/>
        <v>5049</v>
      </c>
      <c r="S233" s="20" t="str">
        <f t="shared" si="14"/>
        <v>5049</v>
      </c>
      <c r="T233" s="41">
        <f t="shared" si="15"/>
        <v>0</v>
      </c>
      <c r="V233" s="41"/>
    </row>
    <row r="234" spans="1:22" s="25" customFormat="1" ht="12.75" x14ac:dyDescent="0.2">
      <c r="A234" s="19" t="str">
        <f>Data!B229</f>
        <v>5121</v>
      </c>
      <c r="B234" s="20" t="str">
        <f>INDEX(Data[],MATCH($A234,Data[Dist],0),MATCH(B$6,Data[#Headers],0))</f>
        <v>Panorama</v>
      </c>
      <c r="C234" s="21">
        <f>INDEX(Data[],MATCH($A234,Data[Dist],0),MATCH(C$6,Data[#Headers],0))</f>
        <v>347516</v>
      </c>
      <c r="D234" s="21">
        <f>INDEX(Data[],MATCH($A234,Data[Dist],0),MATCH(D$6,Data[#Headers],0))</f>
        <v>345104</v>
      </c>
      <c r="E234" s="21">
        <f>INDEX(Data[],MATCH($A234,Data[Dist],0),MATCH(E$6,Data[#Headers],0))</f>
        <v>345103</v>
      </c>
      <c r="F234" s="21">
        <f>INDEX(Data[],MATCH($A234,Data[Dist],0),MATCH(F$6,Data[#Headers],0))</f>
        <v>345104</v>
      </c>
      <c r="G234" s="21">
        <f>INDEX(Data[],MATCH($A234,Data[Dist],0),MATCH(G$6,Data[#Headers],0))</f>
        <v>1735168</v>
      </c>
      <c r="H234" s="21">
        <f>INDEX(Data[],MATCH($A234,Data[Dist],0),MATCH(H$6,Data[#Headers],0))-G234</f>
        <v>1725517</v>
      </c>
      <c r="I234" s="24"/>
      <c r="J234" s="21">
        <f>INDEX(Notes!$I$2:$N$11,MATCH(Notes!$B$2,Notes!$I$2:$I$11,0),4)*$C234</f>
        <v>1390064</v>
      </c>
      <c r="K234" s="21">
        <f>INDEX(Notes!$I$2:$N$11,MATCH(Notes!$B$2,Notes!$I$2:$I$11,0),5)*$D234</f>
        <v>345104</v>
      </c>
      <c r="L234" s="21">
        <f>INDEX(Notes!$I$2:$N$11,MATCH(Notes!$B$2,Notes!$I$2:$I$11,0),6)*$E234</f>
        <v>0</v>
      </c>
      <c r="M234" s="21">
        <f>IF(Notes!$B$2="June",'Payment Total'!$F234,0)</f>
        <v>0</v>
      </c>
      <c r="N234" s="21">
        <f t="shared" si="12"/>
        <v>0</v>
      </c>
      <c r="P234" s="25" t="s">
        <v>1057</v>
      </c>
      <c r="Q234" s="25">
        <v>345104</v>
      </c>
      <c r="R234" s="20" t="str">
        <f t="shared" si="13"/>
        <v>5121</v>
      </c>
      <c r="S234" s="20" t="str">
        <f t="shared" si="14"/>
        <v>5121</v>
      </c>
      <c r="T234" s="41">
        <f t="shared" si="15"/>
        <v>0</v>
      </c>
      <c r="V234" s="41"/>
    </row>
    <row r="235" spans="1:22" s="25" customFormat="1" ht="12.75" x14ac:dyDescent="0.2">
      <c r="A235" s="19" t="str">
        <f>Data!B230</f>
        <v>5139</v>
      </c>
      <c r="B235" s="20" t="str">
        <f>INDEX(Data[],MATCH($A235,Data[Dist],0),MATCH(B$6,Data[#Headers],0))</f>
        <v>Paton-Churdan</v>
      </c>
      <c r="C235" s="21">
        <f>INDEX(Data[],MATCH($A235,Data[Dist],0),MATCH(C$6,Data[#Headers],0))</f>
        <v>113365</v>
      </c>
      <c r="D235" s="21">
        <f>INDEX(Data[],MATCH($A235,Data[Dist],0),MATCH(D$6,Data[#Headers],0))</f>
        <v>112658</v>
      </c>
      <c r="E235" s="21">
        <f>INDEX(Data[],MATCH($A235,Data[Dist],0),MATCH(E$6,Data[#Headers],0))</f>
        <v>112658</v>
      </c>
      <c r="F235" s="21">
        <f>INDEX(Data[],MATCH($A235,Data[Dist],0),MATCH(F$6,Data[#Headers],0))</f>
        <v>112658</v>
      </c>
      <c r="G235" s="21">
        <f>INDEX(Data[],MATCH($A235,Data[Dist],0),MATCH(G$6,Data[#Headers],0))</f>
        <v>566118</v>
      </c>
      <c r="H235" s="21">
        <f>INDEX(Data[],MATCH($A235,Data[Dist],0),MATCH(H$6,Data[#Headers],0))-G235</f>
        <v>563290</v>
      </c>
      <c r="I235" s="24"/>
      <c r="J235" s="21">
        <f>INDEX(Notes!$I$2:$N$11,MATCH(Notes!$B$2,Notes!$I$2:$I$11,0),4)*$C235</f>
        <v>453460</v>
      </c>
      <c r="K235" s="21">
        <f>INDEX(Notes!$I$2:$N$11,MATCH(Notes!$B$2,Notes!$I$2:$I$11,0),5)*$D235</f>
        <v>112658</v>
      </c>
      <c r="L235" s="21">
        <f>INDEX(Notes!$I$2:$N$11,MATCH(Notes!$B$2,Notes!$I$2:$I$11,0),6)*$E235</f>
        <v>0</v>
      </c>
      <c r="M235" s="21">
        <f>IF(Notes!$B$2="June",'Payment Total'!$F235,0)</f>
        <v>0</v>
      </c>
      <c r="N235" s="21">
        <f t="shared" si="12"/>
        <v>0</v>
      </c>
      <c r="P235" s="25" t="s">
        <v>1058</v>
      </c>
      <c r="Q235" s="25">
        <v>112658</v>
      </c>
      <c r="R235" s="20" t="str">
        <f t="shared" si="13"/>
        <v>5139</v>
      </c>
      <c r="S235" s="20" t="str">
        <f t="shared" si="14"/>
        <v>5139</v>
      </c>
      <c r="T235" s="41">
        <f t="shared" si="15"/>
        <v>0</v>
      </c>
      <c r="V235" s="41"/>
    </row>
    <row r="236" spans="1:22" s="25" customFormat="1" ht="12.75" x14ac:dyDescent="0.2">
      <c r="A236" s="19" t="str">
        <f>Data!B231</f>
        <v>5157</v>
      </c>
      <c r="B236" s="20" t="str">
        <f>INDEX(Data[],MATCH($A236,Data[Dist],0),MATCH(B$6,Data[#Headers],0))</f>
        <v>South O'Brien</v>
      </c>
      <c r="C236" s="21">
        <f>INDEX(Data[],MATCH($A236,Data[Dist],0),MATCH(C$6,Data[#Headers],0))</f>
        <v>188171</v>
      </c>
      <c r="D236" s="21">
        <f>INDEX(Data[],MATCH($A236,Data[Dist],0),MATCH(D$6,Data[#Headers],0))</f>
        <v>185998</v>
      </c>
      <c r="E236" s="21">
        <f>INDEX(Data[],MATCH($A236,Data[Dist],0),MATCH(E$6,Data[#Headers],0))</f>
        <v>185998</v>
      </c>
      <c r="F236" s="21">
        <f>INDEX(Data[],MATCH($A236,Data[Dist],0),MATCH(F$6,Data[#Headers],0))</f>
        <v>185998</v>
      </c>
      <c r="G236" s="21">
        <f>INDEX(Data[],MATCH($A236,Data[Dist],0),MATCH(G$6,Data[#Headers],0))</f>
        <v>938682</v>
      </c>
      <c r="H236" s="21">
        <f>INDEX(Data[],MATCH($A236,Data[Dist],0),MATCH(H$6,Data[#Headers],0))-G236</f>
        <v>929990</v>
      </c>
      <c r="I236" s="24"/>
      <c r="J236" s="21">
        <f>INDEX(Notes!$I$2:$N$11,MATCH(Notes!$B$2,Notes!$I$2:$I$11,0),4)*$C236</f>
        <v>752684</v>
      </c>
      <c r="K236" s="21">
        <f>INDEX(Notes!$I$2:$N$11,MATCH(Notes!$B$2,Notes!$I$2:$I$11,0),5)*$D236</f>
        <v>185998</v>
      </c>
      <c r="L236" s="21">
        <f>INDEX(Notes!$I$2:$N$11,MATCH(Notes!$B$2,Notes!$I$2:$I$11,0),6)*$E236</f>
        <v>0</v>
      </c>
      <c r="M236" s="21">
        <f>IF(Notes!$B$2="June",'Payment Total'!$F236,0)</f>
        <v>0</v>
      </c>
      <c r="N236" s="21">
        <f t="shared" si="12"/>
        <v>0</v>
      </c>
      <c r="P236" s="25" t="s">
        <v>1059</v>
      </c>
      <c r="Q236" s="25">
        <v>185998</v>
      </c>
      <c r="R236" s="20" t="str">
        <f t="shared" si="13"/>
        <v>6099</v>
      </c>
      <c r="S236" s="20" t="str">
        <f t="shared" si="14"/>
        <v>5157</v>
      </c>
      <c r="T236" s="41">
        <f t="shared" si="15"/>
        <v>0</v>
      </c>
      <c r="V236" s="41"/>
    </row>
    <row r="237" spans="1:22" s="25" customFormat="1" ht="12.75" x14ac:dyDescent="0.2">
      <c r="A237" s="19" t="str">
        <f>Data!B232</f>
        <v>5163</v>
      </c>
      <c r="B237" s="20" t="str">
        <f>INDEX(Data[],MATCH($A237,Data[Dist],0),MATCH(B$6,Data[#Headers],0))</f>
        <v>Pekin</v>
      </c>
      <c r="C237" s="21">
        <f>INDEX(Data[],MATCH($A237,Data[Dist],0),MATCH(C$6,Data[#Headers],0))</f>
        <v>327351</v>
      </c>
      <c r="D237" s="21">
        <f>INDEX(Data[],MATCH($A237,Data[Dist],0),MATCH(D$6,Data[#Headers],0))</f>
        <v>325358</v>
      </c>
      <c r="E237" s="21">
        <f>INDEX(Data[],MATCH($A237,Data[Dist],0),MATCH(E$6,Data[#Headers],0))</f>
        <v>325358</v>
      </c>
      <c r="F237" s="21">
        <f>INDEX(Data[],MATCH($A237,Data[Dist],0),MATCH(F$6,Data[#Headers],0))</f>
        <v>325358</v>
      </c>
      <c r="G237" s="21">
        <f>INDEX(Data[],MATCH($A237,Data[Dist],0),MATCH(G$6,Data[#Headers],0))</f>
        <v>1634762</v>
      </c>
      <c r="H237" s="21">
        <f>INDEX(Data[],MATCH($A237,Data[Dist],0),MATCH(H$6,Data[#Headers],0))-G237</f>
        <v>1626790</v>
      </c>
      <c r="I237" s="24"/>
      <c r="J237" s="21">
        <f>INDEX(Notes!$I$2:$N$11,MATCH(Notes!$B$2,Notes!$I$2:$I$11,0),4)*$C237</f>
        <v>1309404</v>
      </c>
      <c r="K237" s="21">
        <f>INDEX(Notes!$I$2:$N$11,MATCH(Notes!$B$2,Notes!$I$2:$I$11,0),5)*$D237</f>
        <v>325358</v>
      </c>
      <c r="L237" s="21">
        <f>INDEX(Notes!$I$2:$N$11,MATCH(Notes!$B$2,Notes!$I$2:$I$11,0),6)*$E237</f>
        <v>0</v>
      </c>
      <c r="M237" s="21">
        <f>IF(Notes!$B$2="June",'Payment Total'!$F237,0)</f>
        <v>0</v>
      </c>
      <c r="N237" s="21">
        <f t="shared" si="12"/>
        <v>0</v>
      </c>
      <c r="P237" s="25" t="s">
        <v>1060</v>
      </c>
      <c r="Q237" s="25">
        <v>325358</v>
      </c>
      <c r="R237" s="20" t="str">
        <f t="shared" si="13"/>
        <v>5163</v>
      </c>
      <c r="S237" s="20" t="str">
        <f t="shared" si="14"/>
        <v>5163</v>
      </c>
      <c r="T237" s="41">
        <f t="shared" si="15"/>
        <v>0</v>
      </c>
      <c r="V237" s="41"/>
    </row>
    <row r="238" spans="1:22" s="25" customFormat="1" ht="12.75" x14ac:dyDescent="0.2">
      <c r="A238" s="19" t="str">
        <f>Data!B233</f>
        <v>5166</v>
      </c>
      <c r="B238" s="20" t="str">
        <f>INDEX(Data[],MATCH($A238,Data[Dist],0),MATCH(B$6,Data[#Headers],0))</f>
        <v>Pella</v>
      </c>
      <c r="C238" s="21">
        <f>INDEX(Data[],MATCH($A238,Data[Dist],0),MATCH(C$6,Data[#Headers],0))</f>
        <v>1472759</v>
      </c>
      <c r="D238" s="21">
        <f>INDEX(Data[],MATCH($A238,Data[Dist],0),MATCH(D$6,Data[#Headers],0))</f>
        <v>1464740</v>
      </c>
      <c r="E238" s="21">
        <f>INDEX(Data[],MATCH($A238,Data[Dist],0),MATCH(E$6,Data[#Headers],0))</f>
        <v>1464740</v>
      </c>
      <c r="F238" s="21">
        <f>INDEX(Data[],MATCH($A238,Data[Dist],0),MATCH(F$6,Data[#Headers],0))</f>
        <v>1464739</v>
      </c>
      <c r="G238" s="21">
        <f>INDEX(Data[],MATCH($A238,Data[Dist],0),MATCH(G$6,Data[#Headers],0))</f>
        <v>7355776</v>
      </c>
      <c r="H238" s="21">
        <f>INDEX(Data[],MATCH($A238,Data[Dist],0),MATCH(H$6,Data[#Headers],0))-G238</f>
        <v>7323699</v>
      </c>
      <c r="I238" s="24"/>
      <c r="J238" s="21">
        <f>INDEX(Notes!$I$2:$N$11,MATCH(Notes!$B$2,Notes!$I$2:$I$11,0),4)*$C238</f>
        <v>5891036</v>
      </c>
      <c r="K238" s="21">
        <f>INDEX(Notes!$I$2:$N$11,MATCH(Notes!$B$2,Notes!$I$2:$I$11,0),5)*$D238</f>
        <v>1464740</v>
      </c>
      <c r="L238" s="21">
        <f>INDEX(Notes!$I$2:$N$11,MATCH(Notes!$B$2,Notes!$I$2:$I$11,0),6)*$E238</f>
        <v>0</v>
      </c>
      <c r="M238" s="21">
        <f>IF(Notes!$B$2="June",'Payment Total'!$F238,0)</f>
        <v>0</v>
      </c>
      <c r="N238" s="21">
        <f t="shared" si="12"/>
        <v>0</v>
      </c>
      <c r="P238" s="25" t="s">
        <v>1061</v>
      </c>
      <c r="Q238" s="25">
        <v>1464740</v>
      </c>
      <c r="R238" s="20" t="str">
        <f t="shared" si="13"/>
        <v>5166</v>
      </c>
      <c r="S238" s="20" t="str">
        <f t="shared" si="14"/>
        <v>5166</v>
      </c>
      <c r="T238" s="41">
        <f t="shared" si="15"/>
        <v>0</v>
      </c>
      <c r="V238" s="41"/>
    </row>
    <row r="239" spans="1:22" s="25" customFormat="1" ht="12.75" x14ac:dyDescent="0.2">
      <c r="A239" s="19" t="str">
        <f>Data!B234</f>
        <v>5184</v>
      </c>
      <c r="B239" s="20" t="str">
        <f>INDEX(Data[],MATCH($A239,Data[Dist],0),MATCH(B$6,Data[#Headers],0))</f>
        <v>Perry</v>
      </c>
      <c r="C239" s="21">
        <f>INDEX(Data[],MATCH($A239,Data[Dist],0),MATCH(C$6,Data[#Headers],0))</f>
        <v>1749458</v>
      </c>
      <c r="D239" s="21">
        <f>INDEX(Data[],MATCH($A239,Data[Dist],0),MATCH(D$6,Data[#Headers],0))</f>
        <v>1742255</v>
      </c>
      <c r="E239" s="21">
        <f>INDEX(Data[],MATCH($A239,Data[Dist],0),MATCH(E$6,Data[#Headers],0))</f>
        <v>1742255</v>
      </c>
      <c r="F239" s="21">
        <f>INDEX(Data[],MATCH($A239,Data[Dist],0),MATCH(F$6,Data[#Headers],0))</f>
        <v>1742255</v>
      </c>
      <c r="G239" s="21">
        <f>INDEX(Data[],MATCH($A239,Data[Dist],0),MATCH(G$6,Data[#Headers],0))</f>
        <v>8740087</v>
      </c>
      <c r="H239" s="21">
        <f>INDEX(Data[],MATCH($A239,Data[Dist],0),MATCH(H$6,Data[#Headers],0))-G239</f>
        <v>8711275</v>
      </c>
      <c r="I239" s="24"/>
      <c r="J239" s="21">
        <f>INDEX(Notes!$I$2:$N$11,MATCH(Notes!$B$2,Notes!$I$2:$I$11,0),4)*$C239</f>
        <v>6997832</v>
      </c>
      <c r="K239" s="21">
        <f>INDEX(Notes!$I$2:$N$11,MATCH(Notes!$B$2,Notes!$I$2:$I$11,0),5)*$D239</f>
        <v>1742255</v>
      </c>
      <c r="L239" s="21">
        <f>INDEX(Notes!$I$2:$N$11,MATCH(Notes!$B$2,Notes!$I$2:$I$11,0),6)*$E239</f>
        <v>0</v>
      </c>
      <c r="M239" s="21">
        <f>IF(Notes!$B$2="June",'Payment Total'!$F239,0)</f>
        <v>0</v>
      </c>
      <c r="N239" s="21">
        <f t="shared" si="12"/>
        <v>0</v>
      </c>
      <c r="P239" s="25" t="s">
        <v>1062</v>
      </c>
      <c r="Q239" s="25">
        <v>1742255</v>
      </c>
      <c r="R239" s="20" t="str">
        <f t="shared" si="13"/>
        <v>5184</v>
      </c>
      <c r="S239" s="20" t="str">
        <f t="shared" si="14"/>
        <v>5184</v>
      </c>
      <c r="T239" s="41">
        <f t="shared" si="15"/>
        <v>0</v>
      </c>
      <c r="V239" s="41"/>
    </row>
    <row r="240" spans="1:22" s="25" customFormat="1" ht="12.75" x14ac:dyDescent="0.2">
      <c r="A240" s="19" t="str">
        <f>Data!B235</f>
        <v>5250</v>
      </c>
      <c r="B240" s="20" t="str">
        <f>INDEX(Data[],MATCH($A240,Data[Dist],0),MATCH(B$6,Data[#Headers],0))</f>
        <v>Pleasant Valley</v>
      </c>
      <c r="C240" s="21">
        <f>INDEX(Data[],MATCH($A240,Data[Dist],0),MATCH(C$6,Data[#Headers],0))</f>
        <v>3889701</v>
      </c>
      <c r="D240" s="21">
        <f>INDEX(Data[],MATCH($A240,Data[Dist],0),MATCH(D$6,Data[#Headers],0))</f>
        <v>3868910</v>
      </c>
      <c r="E240" s="21">
        <f>INDEX(Data[],MATCH($A240,Data[Dist],0),MATCH(E$6,Data[#Headers],0))</f>
        <v>3868910</v>
      </c>
      <c r="F240" s="21">
        <f>INDEX(Data[],MATCH($A240,Data[Dist],0),MATCH(F$6,Data[#Headers],0))</f>
        <v>3868911</v>
      </c>
      <c r="G240" s="21">
        <f>INDEX(Data[],MATCH($A240,Data[Dist],0),MATCH(G$6,Data[#Headers],0))</f>
        <v>19427714</v>
      </c>
      <c r="H240" s="21">
        <f>INDEX(Data[],MATCH($A240,Data[Dist],0),MATCH(H$6,Data[#Headers],0))-G240</f>
        <v>19344551</v>
      </c>
      <c r="I240" s="24"/>
      <c r="J240" s="21">
        <f>INDEX(Notes!$I$2:$N$11,MATCH(Notes!$B$2,Notes!$I$2:$I$11,0),4)*$C240</f>
        <v>15558804</v>
      </c>
      <c r="K240" s="21">
        <f>INDEX(Notes!$I$2:$N$11,MATCH(Notes!$B$2,Notes!$I$2:$I$11,0),5)*$D240</f>
        <v>3868910</v>
      </c>
      <c r="L240" s="21">
        <f>INDEX(Notes!$I$2:$N$11,MATCH(Notes!$B$2,Notes!$I$2:$I$11,0),6)*$E240</f>
        <v>0</v>
      </c>
      <c r="M240" s="21">
        <f>IF(Notes!$B$2="June",'Payment Total'!$F240,0)</f>
        <v>0</v>
      </c>
      <c r="N240" s="21">
        <f t="shared" si="12"/>
        <v>0</v>
      </c>
      <c r="P240" s="25" t="s">
        <v>1063</v>
      </c>
      <c r="Q240" s="25">
        <v>3868910</v>
      </c>
      <c r="R240" s="20" t="str">
        <f t="shared" si="13"/>
        <v>5250</v>
      </c>
      <c r="S240" s="20" t="str">
        <f t="shared" si="14"/>
        <v>5250</v>
      </c>
      <c r="T240" s="41">
        <f t="shared" si="15"/>
        <v>0</v>
      </c>
      <c r="V240" s="41"/>
    </row>
    <row r="241" spans="1:22" s="25" customFormat="1" ht="12.75" x14ac:dyDescent="0.2">
      <c r="A241" s="19" t="str">
        <f>Data!B236</f>
        <v>5256</v>
      </c>
      <c r="B241" s="20" t="str">
        <f>INDEX(Data[],MATCH($A241,Data[Dist],0),MATCH(B$6,Data[#Headers],0))</f>
        <v>Pleasantville</v>
      </c>
      <c r="C241" s="21">
        <f>INDEX(Data[],MATCH($A241,Data[Dist],0),MATCH(C$6,Data[#Headers],0))</f>
        <v>591713</v>
      </c>
      <c r="D241" s="21">
        <f>INDEX(Data[],MATCH($A241,Data[Dist],0),MATCH(D$6,Data[#Headers],0))</f>
        <v>589111</v>
      </c>
      <c r="E241" s="21">
        <f>INDEX(Data[],MATCH($A241,Data[Dist],0),MATCH(E$6,Data[#Headers],0))</f>
        <v>589110</v>
      </c>
      <c r="F241" s="21">
        <f>INDEX(Data[],MATCH($A241,Data[Dist],0),MATCH(F$6,Data[#Headers],0))</f>
        <v>589111</v>
      </c>
      <c r="G241" s="21">
        <f>INDEX(Data[],MATCH($A241,Data[Dist],0),MATCH(G$6,Data[#Headers],0))</f>
        <v>2955963</v>
      </c>
      <c r="H241" s="21">
        <f>INDEX(Data[],MATCH($A241,Data[Dist],0),MATCH(H$6,Data[#Headers],0))-G241</f>
        <v>2945552</v>
      </c>
      <c r="I241" s="24"/>
      <c r="J241" s="21">
        <f>INDEX(Notes!$I$2:$N$11,MATCH(Notes!$B$2,Notes!$I$2:$I$11,0),4)*$C241</f>
        <v>2366852</v>
      </c>
      <c r="K241" s="21">
        <f>INDEX(Notes!$I$2:$N$11,MATCH(Notes!$B$2,Notes!$I$2:$I$11,0),5)*$D241</f>
        <v>589111</v>
      </c>
      <c r="L241" s="21">
        <f>INDEX(Notes!$I$2:$N$11,MATCH(Notes!$B$2,Notes!$I$2:$I$11,0),6)*$E241</f>
        <v>0</v>
      </c>
      <c r="M241" s="21">
        <f>IF(Notes!$B$2="June",'Payment Total'!$F241,0)</f>
        <v>0</v>
      </c>
      <c r="N241" s="21">
        <f t="shared" si="12"/>
        <v>0</v>
      </c>
      <c r="P241" s="25" t="s">
        <v>1064</v>
      </c>
      <c r="Q241" s="25">
        <v>589111</v>
      </c>
      <c r="R241" s="20" t="str">
        <f t="shared" si="13"/>
        <v>5256</v>
      </c>
      <c r="S241" s="20" t="str">
        <f t="shared" si="14"/>
        <v>5256</v>
      </c>
      <c r="T241" s="41">
        <f t="shared" si="15"/>
        <v>0</v>
      </c>
      <c r="V241" s="41"/>
    </row>
    <row r="242" spans="1:22" s="25" customFormat="1" ht="12.75" x14ac:dyDescent="0.2">
      <c r="A242" s="19" t="str">
        <f>Data!B237</f>
        <v>5283</v>
      </c>
      <c r="B242" s="20" t="str">
        <f>INDEX(Data[],MATCH($A242,Data[Dist],0),MATCH(B$6,Data[#Headers],0))</f>
        <v>Pocahontas Area</v>
      </c>
      <c r="C242" s="21">
        <f>INDEX(Data[],MATCH($A242,Data[Dist],0),MATCH(C$6,Data[#Headers],0))</f>
        <v>261880</v>
      </c>
      <c r="D242" s="21">
        <f>INDEX(Data[],MATCH($A242,Data[Dist],0),MATCH(D$6,Data[#Headers],0))</f>
        <v>259440</v>
      </c>
      <c r="E242" s="21">
        <f>INDEX(Data[],MATCH($A242,Data[Dist],0),MATCH(E$6,Data[#Headers],0))</f>
        <v>259440</v>
      </c>
      <c r="F242" s="21">
        <f>INDEX(Data[],MATCH($A242,Data[Dist],0),MATCH(F$6,Data[#Headers],0))</f>
        <v>259440</v>
      </c>
      <c r="G242" s="21">
        <f>INDEX(Data[],MATCH($A242,Data[Dist],0),MATCH(G$6,Data[#Headers],0))</f>
        <v>1306960</v>
      </c>
      <c r="H242" s="21">
        <f>INDEX(Data[],MATCH($A242,Data[Dist],0),MATCH(H$6,Data[#Headers],0))-G242</f>
        <v>1297200</v>
      </c>
      <c r="I242" s="24"/>
      <c r="J242" s="21">
        <f>INDEX(Notes!$I$2:$N$11,MATCH(Notes!$B$2,Notes!$I$2:$I$11,0),4)*$C242</f>
        <v>1047520</v>
      </c>
      <c r="K242" s="21">
        <f>INDEX(Notes!$I$2:$N$11,MATCH(Notes!$B$2,Notes!$I$2:$I$11,0),5)*$D242</f>
        <v>259440</v>
      </c>
      <c r="L242" s="21">
        <f>INDEX(Notes!$I$2:$N$11,MATCH(Notes!$B$2,Notes!$I$2:$I$11,0),6)*$E242</f>
        <v>0</v>
      </c>
      <c r="M242" s="21">
        <f>IF(Notes!$B$2="June",'Payment Total'!$F242,0)</f>
        <v>0</v>
      </c>
      <c r="N242" s="21">
        <f t="shared" si="12"/>
        <v>0</v>
      </c>
      <c r="P242" s="25" t="s">
        <v>1065</v>
      </c>
      <c r="Q242" s="25">
        <v>259440</v>
      </c>
      <c r="R242" s="20" t="str">
        <f t="shared" si="13"/>
        <v>5283</v>
      </c>
      <c r="S242" s="20" t="str">
        <f t="shared" si="14"/>
        <v>5283</v>
      </c>
      <c r="T242" s="41">
        <f t="shared" si="15"/>
        <v>0</v>
      </c>
      <c r="V242" s="41"/>
    </row>
    <row r="243" spans="1:22" s="25" customFormat="1" ht="12.75" x14ac:dyDescent="0.2">
      <c r="A243" s="19" t="str">
        <f>Data!B238</f>
        <v>5310</v>
      </c>
      <c r="B243" s="20" t="str">
        <f>INDEX(Data[],MATCH($A243,Data[Dist],0),MATCH(B$6,Data[#Headers],0))</f>
        <v>Postville</v>
      </c>
      <c r="C243" s="21">
        <f>INDEX(Data[],MATCH($A243,Data[Dist],0),MATCH(C$6,Data[#Headers],0))</f>
        <v>685020</v>
      </c>
      <c r="D243" s="21">
        <f>INDEX(Data[],MATCH($A243,Data[Dist],0),MATCH(D$6,Data[#Headers],0))</f>
        <v>682176</v>
      </c>
      <c r="E243" s="21">
        <f>INDEX(Data[],MATCH($A243,Data[Dist],0),MATCH(E$6,Data[#Headers],0))</f>
        <v>682176</v>
      </c>
      <c r="F243" s="21">
        <f>INDEX(Data[],MATCH($A243,Data[Dist],0),MATCH(F$6,Data[#Headers],0))</f>
        <v>682176</v>
      </c>
      <c r="G243" s="21">
        <f>INDEX(Data[],MATCH($A243,Data[Dist],0),MATCH(G$6,Data[#Headers],0))</f>
        <v>3422256</v>
      </c>
      <c r="H243" s="21">
        <f>INDEX(Data[],MATCH($A243,Data[Dist],0),MATCH(H$6,Data[#Headers],0))-G243</f>
        <v>3410880</v>
      </c>
      <c r="I243" s="24"/>
      <c r="J243" s="21">
        <f>INDEX(Notes!$I$2:$N$11,MATCH(Notes!$B$2,Notes!$I$2:$I$11,0),4)*$C243</f>
        <v>2740080</v>
      </c>
      <c r="K243" s="21">
        <f>INDEX(Notes!$I$2:$N$11,MATCH(Notes!$B$2,Notes!$I$2:$I$11,0),5)*$D243</f>
        <v>682176</v>
      </c>
      <c r="L243" s="21">
        <f>INDEX(Notes!$I$2:$N$11,MATCH(Notes!$B$2,Notes!$I$2:$I$11,0),6)*$E243</f>
        <v>0</v>
      </c>
      <c r="M243" s="21">
        <f>IF(Notes!$B$2="June",'Payment Total'!$F243,0)</f>
        <v>0</v>
      </c>
      <c r="N243" s="21">
        <f t="shared" si="12"/>
        <v>0</v>
      </c>
      <c r="P243" s="25" t="s">
        <v>1066</v>
      </c>
      <c r="Q243" s="25">
        <v>682176</v>
      </c>
      <c r="R243" s="20" t="str">
        <f t="shared" si="13"/>
        <v>5310</v>
      </c>
      <c r="S243" s="20" t="str">
        <f t="shared" si="14"/>
        <v>5310</v>
      </c>
      <c r="T243" s="41">
        <f t="shared" si="15"/>
        <v>0</v>
      </c>
      <c r="V243" s="41"/>
    </row>
    <row r="244" spans="1:22" s="25" customFormat="1" ht="12.75" x14ac:dyDescent="0.2">
      <c r="A244" s="19" t="str">
        <f>Data!B239</f>
        <v>5319</v>
      </c>
      <c r="B244" s="20" t="str">
        <f>INDEX(Data[],MATCH($A244,Data[Dist],0),MATCH(B$6,Data[#Headers],0))</f>
        <v>PCM</v>
      </c>
      <c r="C244" s="21">
        <f>INDEX(Data[],MATCH($A244,Data[Dist],0),MATCH(C$6,Data[#Headers],0))</f>
        <v>750405</v>
      </c>
      <c r="D244" s="21">
        <f>INDEX(Data[],MATCH($A244,Data[Dist],0),MATCH(D$6,Data[#Headers],0))</f>
        <v>746653</v>
      </c>
      <c r="E244" s="21">
        <f>INDEX(Data[],MATCH($A244,Data[Dist],0),MATCH(E$6,Data[#Headers],0))</f>
        <v>746653</v>
      </c>
      <c r="F244" s="21">
        <f>INDEX(Data[],MATCH($A244,Data[Dist],0),MATCH(F$6,Data[#Headers],0))</f>
        <v>746653</v>
      </c>
      <c r="G244" s="21">
        <f>INDEX(Data[],MATCH($A244,Data[Dist],0),MATCH(G$6,Data[#Headers],0))</f>
        <v>3748273</v>
      </c>
      <c r="H244" s="21">
        <f>INDEX(Data[],MATCH($A244,Data[Dist],0),MATCH(H$6,Data[#Headers],0))-G244</f>
        <v>3733265</v>
      </c>
      <c r="I244" s="24"/>
      <c r="J244" s="21">
        <f>INDEX(Notes!$I$2:$N$11,MATCH(Notes!$B$2,Notes!$I$2:$I$11,0),4)*$C244</f>
        <v>3001620</v>
      </c>
      <c r="K244" s="21">
        <f>INDEX(Notes!$I$2:$N$11,MATCH(Notes!$B$2,Notes!$I$2:$I$11,0),5)*$D244</f>
        <v>746653</v>
      </c>
      <c r="L244" s="21">
        <f>INDEX(Notes!$I$2:$N$11,MATCH(Notes!$B$2,Notes!$I$2:$I$11,0),6)*$E244</f>
        <v>0</v>
      </c>
      <c r="M244" s="21">
        <f>IF(Notes!$B$2="June",'Payment Total'!$F244,0)</f>
        <v>0</v>
      </c>
      <c r="N244" s="21">
        <f t="shared" si="12"/>
        <v>0</v>
      </c>
      <c r="P244" s="25" t="s">
        <v>1067</v>
      </c>
      <c r="Q244" s="25">
        <v>746653</v>
      </c>
      <c r="R244" s="20" t="str">
        <f t="shared" si="13"/>
        <v>5160</v>
      </c>
      <c r="S244" s="20" t="str">
        <f t="shared" si="14"/>
        <v>5319</v>
      </c>
      <c r="T244" s="41">
        <f t="shared" si="15"/>
        <v>0</v>
      </c>
      <c r="V244" s="41"/>
    </row>
    <row r="245" spans="1:22" s="25" customFormat="1" ht="12.75" x14ac:dyDescent="0.2">
      <c r="A245" s="19" t="str">
        <f>Data!B240</f>
        <v>5463</v>
      </c>
      <c r="B245" s="20" t="str">
        <f>INDEX(Data[],MATCH($A245,Data[Dist],0),MATCH(B$6,Data[#Headers],0))</f>
        <v>Red Oak</v>
      </c>
      <c r="C245" s="21">
        <f>INDEX(Data[],MATCH($A245,Data[Dist],0),MATCH(C$6,Data[#Headers],0))</f>
        <v>778496</v>
      </c>
      <c r="D245" s="21">
        <f>INDEX(Data[],MATCH($A245,Data[Dist],0),MATCH(D$6,Data[#Headers],0))</f>
        <v>774518</v>
      </c>
      <c r="E245" s="21">
        <f>INDEX(Data[],MATCH($A245,Data[Dist],0),MATCH(E$6,Data[#Headers],0))</f>
        <v>774518</v>
      </c>
      <c r="F245" s="21">
        <f>INDEX(Data[],MATCH($A245,Data[Dist],0),MATCH(F$6,Data[#Headers],0))</f>
        <v>774517</v>
      </c>
      <c r="G245" s="21">
        <f>INDEX(Data[],MATCH($A245,Data[Dist],0),MATCH(G$6,Data[#Headers],0))</f>
        <v>3888502</v>
      </c>
      <c r="H245" s="21">
        <f>INDEX(Data[],MATCH($A245,Data[Dist],0),MATCH(H$6,Data[#Headers],0))-G245</f>
        <v>3872589</v>
      </c>
      <c r="I245" s="24"/>
      <c r="J245" s="21">
        <f>INDEX(Notes!$I$2:$N$11,MATCH(Notes!$B$2,Notes!$I$2:$I$11,0),4)*$C245</f>
        <v>3113984</v>
      </c>
      <c r="K245" s="21">
        <f>INDEX(Notes!$I$2:$N$11,MATCH(Notes!$B$2,Notes!$I$2:$I$11,0),5)*$D245</f>
        <v>774518</v>
      </c>
      <c r="L245" s="21">
        <f>INDEX(Notes!$I$2:$N$11,MATCH(Notes!$B$2,Notes!$I$2:$I$11,0),6)*$E245</f>
        <v>0</v>
      </c>
      <c r="M245" s="21">
        <f>IF(Notes!$B$2="June",'Payment Total'!$F245,0)</f>
        <v>0</v>
      </c>
      <c r="N245" s="21">
        <f t="shared" si="12"/>
        <v>0</v>
      </c>
      <c r="P245" s="25" t="s">
        <v>1068</v>
      </c>
      <c r="Q245" s="25">
        <v>774518</v>
      </c>
      <c r="R245" s="20" t="str">
        <f t="shared" si="13"/>
        <v>5463</v>
      </c>
      <c r="S245" s="20" t="str">
        <f t="shared" si="14"/>
        <v>5463</v>
      </c>
      <c r="T245" s="41">
        <f t="shared" si="15"/>
        <v>0</v>
      </c>
      <c r="V245" s="41"/>
    </row>
    <row r="246" spans="1:22" s="25" customFormat="1" ht="12.75" x14ac:dyDescent="0.2">
      <c r="A246" s="19" t="str">
        <f>Data!B241</f>
        <v>5486</v>
      </c>
      <c r="B246" s="20" t="str">
        <f>INDEX(Data[],MATCH($A246,Data[Dist],0),MATCH(B$6,Data[#Headers],0))</f>
        <v>Remsen-Union</v>
      </c>
      <c r="C246" s="21">
        <f>INDEX(Data[],MATCH($A246,Data[Dist],0),MATCH(C$6,Data[#Headers],0))</f>
        <v>166634</v>
      </c>
      <c r="D246" s="21">
        <f>INDEX(Data[],MATCH($A246,Data[Dist],0),MATCH(D$6,Data[#Headers],0))</f>
        <v>165444</v>
      </c>
      <c r="E246" s="21">
        <f>INDEX(Data[],MATCH($A246,Data[Dist],0),MATCH(E$6,Data[#Headers],0))</f>
        <v>165443</v>
      </c>
      <c r="F246" s="21">
        <f>INDEX(Data[],MATCH($A246,Data[Dist],0),MATCH(F$6,Data[#Headers],0))</f>
        <v>165444</v>
      </c>
      <c r="G246" s="21">
        <f>INDEX(Data[],MATCH($A246,Data[Dist],0),MATCH(G$6,Data[#Headers],0))</f>
        <v>831980</v>
      </c>
      <c r="H246" s="21">
        <f>INDEX(Data[],MATCH($A246,Data[Dist],0),MATCH(H$6,Data[#Headers],0))-G246</f>
        <v>827217</v>
      </c>
      <c r="I246" s="24"/>
      <c r="J246" s="21">
        <f>INDEX(Notes!$I$2:$N$11,MATCH(Notes!$B$2,Notes!$I$2:$I$11,0),4)*$C246</f>
        <v>666536</v>
      </c>
      <c r="K246" s="21">
        <f>INDEX(Notes!$I$2:$N$11,MATCH(Notes!$B$2,Notes!$I$2:$I$11,0),5)*$D246</f>
        <v>165444</v>
      </c>
      <c r="L246" s="21">
        <f>INDEX(Notes!$I$2:$N$11,MATCH(Notes!$B$2,Notes!$I$2:$I$11,0),6)*$E246</f>
        <v>0</v>
      </c>
      <c r="M246" s="21">
        <f>IF(Notes!$B$2="June",'Payment Total'!$F246,0)</f>
        <v>0</v>
      </c>
      <c r="N246" s="21">
        <f t="shared" si="12"/>
        <v>0</v>
      </c>
      <c r="P246" s="25" t="s">
        <v>1069</v>
      </c>
      <c r="Q246" s="25">
        <v>165444</v>
      </c>
      <c r="R246" s="20" t="str">
        <f t="shared" si="13"/>
        <v>5486</v>
      </c>
      <c r="S246" s="20" t="str">
        <f t="shared" si="14"/>
        <v>5486</v>
      </c>
      <c r="T246" s="41">
        <f t="shared" si="15"/>
        <v>0</v>
      </c>
      <c r="V246" s="41"/>
    </row>
    <row r="247" spans="1:22" s="25" customFormat="1" ht="12.75" x14ac:dyDescent="0.2">
      <c r="A247" s="19" t="str">
        <f>Data!B242</f>
        <v>5508</v>
      </c>
      <c r="B247" s="20" t="str">
        <f>INDEX(Data[],MATCH($A247,Data[Dist],0),MATCH(B$6,Data[#Headers],0))</f>
        <v>Riceville</v>
      </c>
      <c r="C247" s="21">
        <f>INDEX(Data[],MATCH($A247,Data[Dist],0),MATCH(C$6,Data[#Headers],0))</f>
        <v>197894</v>
      </c>
      <c r="D247" s="21">
        <f>INDEX(Data[],MATCH($A247,Data[Dist],0),MATCH(D$6,Data[#Headers],0))</f>
        <v>196602</v>
      </c>
      <c r="E247" s="21">
        <f>INDEX(Data[],MATCH($A247,Data[Dist],0),MATCH(E$6,Data[#Headers],0))</f>
        <v>196601</v>
      </c>
      <c r="F247" s="21">
        <f>INDEX(Data[],MATCH($A247,Data[Dist],0),MATCH(F$6,Data[#Headers],0))</f>
        <v>196602</v>
      </c>
      <c r="G247" s="21">
        <f>INDEX(Data[],MATCH($A247,Data[Dist],0),MATCH(G$6,Data[#Headers],0))</f>
        <v>988178</v>
      </c>
      <c r="H247" s="21">
        <f>INDEX(Data[],MATCH($A247,Data[Dist],0),MATCH(H$6,Data[#Headers],0))-G247</f>
        <v>983007</v>
      </c>
      <c r="I247" s="24"/>
      <c r="J247" s="21">
        <f>INDEX(Notes!$I$2:$N$11,MATCH(Notes!$B$2,Notes!$I$2:$I$11,0),4)*$C247</f>
        <v>791576</v>
      </c>
      <c r="K247" s="21">
        <f>INDEX(Notes!$I$2:$N$11,MATCH(Notes!$B$2,Notes!$I$2:$I$11,0),5)*$D247</f>
        <v>196602</v>
      </c>
      <c r="L247" s="21">
        <f>INDEX(Notes!$I$2:$N$11,MATCH(Notes!$B$2,Notes!$I$2:$I$11,0),6)*$E247</f>
        <v>0</v>
      </c>
      <c r="M247" s="21">
        <f>IF(Notes!$B$2="June",'Payment Total'!$F247,0)</f>
        <v>0</v>
      </c>
      <c r="N247" s="21">
        <f t="shared" si="12"/>
        <v>0</v>
      </c>
      <c r="P247" s="25" t="s">
        <v>1070</v>
      </c>
      <c r="Q247" s="25">
        <v>196602</v>
      </c>
      <c r="R247" s="20" t="str">
        <f t="shared" si="13"/>
        <v>5508</v>
      </c>
      <c r="S247" s="20" t="str">
        <f t="shared" si="14"/>
        <v>5508</v>
      </c>
      <c r="T247" s="41">
        <f t="shared" si="15"/>
        <v>0</v>
      </c>
      <c r="V247" s="41"/>
    </row>
    <row r="248" spans="1:22" s="25" customFormat="1" ht="12.75" x14ac:dyDescent="0.2">
      <c r="A248" s="19" t="str">
        <f>Data!B243</f>
        <v>5607</v>
      </c>
      <c r="B248" s="20" t="str">
        <f>INDEX(Data[],MATCH($A248,Data[Dist],0),MATCH(B$6,Data[#Headers],0))</f>
        <v>Rock Valley</v>
      </c>
      <c r="C248" s="21">
        <f>INDEX(Data[],MATCH($A248,Data[Dist],0),MATCH(C$6,Data[#Headers],0))</f>
        <v>632560</v>
      </c>
      <c r="D248" s="21">
        <f>INDEX(Data[],MATCH($A248,Data[Dist],0),MATCH(D$6,Data[#Headers],0))</f>
        <v>629479</v>
      </c>
      <c r="E248" s="21">
        <f>INDEX(Data[],MATCH($A248,Data[Dist],0),MATCH(E$6,Data[#Headers],0))</f>
        <v>629479</v>
      </c>
      <c r="F248" s="21">
        <f>INDEX(Data[],MATCH($A248,Data[Dist],0),MATCH(F$6,Data[#Headers],0))</f>
        <v>629477</v>
      </c>
      <c r="G248" s="21">
        <f>INDEX(Data[],MATCH($A248,Data[Dist],0),MATCH(G$6,Data[#Headers],0))</f>
        <v>3159719</v>
      </c>
      <c r="H248" s="21">
        <f>INDEX(Data[],MATCH($A248,Data[Dist],0),MATCH(H$6,Data[#Headers],0))-G248</f>
        <v>3147393</v>
      </c>
      <c r="I248" s="24"/>
      <c r="J248" s="21">
        <f>INDEX(Notes!$I$2:$N$11,MATCH(Notes!$B$2,Notes!$I$2:$I$11,0),4)*$C248</f>
        <v>2530240</v>
      </c>
      <c r="K248" s="21">
        <f>INDEX(Notes!$I$2:$N$11,MATCH(Notes!$B$2,Notes!$I$2:$I$11,0),5)*$D248</f>
        <v>629479</v>
      </c>
      <c r="L248" s="21">
        <f>INDEX(Notes!$I$2:$N$11,MATCH(Notes!$B$2,Notes!$I$2:$I$11,0),6)*$E248</f>
        <v>0</v>
      </c>
      <c r="M248" s="21">
        <f>IF(Notes!$B$2="June",'Payment Total'!$F248,0)</f>
        <v>0</v>
      </c>
      <c r="N248" s="21">
        <f t="shared" si="12"/>
        <v>0</v>
      </c>
      <c r="P248" s="25" t="s">
        <v>1071</v>
      </c>
      <c r="Q248" s="25">
        <v>629479</v>
      </c>
      <c r="R248" s="20" t="str">
        <f t="shared" si="13"/>
        <v>5607</v>
      </c>
      <c r="S248" s="20" t="str">
        <f t="shared" si="14"/>
        <v>5607</v>
      </c>
      <c r="T248" s="41">
        <f t="shared" si="15"/>
        <v>0</v>
      </c>
      <c r="V248" s="41"/>
    </row>
    <row r="249" spans="1:22" s="25" customFormat="1" ht="12.75" x14ac:dyDescent="0.2">
      <c r="A249" s="19" t="str">
        <f>Data!B244</f>
        <v>5643</v>
      </c>
      <c r="B249" s="20" t="str">
        <f>INDEX(Data[],MATCH($A249,Data[Dist],0),MATCH(B$6,Data[#Headers],0))</f>
        <v>Roland-Story</v>
      </c>
      <c r="C249" s="21">
        <f>INDEX(Data[],MATCH($A249,Data[Dist],0),MATCH(C$6,Data[#Headers],0))</f>
        <v>696412</v>
      </c>
      <c r="D249" s="21">
        <f>INDEX(Data[],MATCH($A249,Data[Dist],0),MATCH(D$6,Data[#Headers],0))</f>
        <v>692720</v>
      </c>
      <c r="E249" s="21">
        <f>INDEX(Data[],MATCH($A249,Data[Dist],0),MATCH(E$6,Data[#Headers],0))</f>
        <v>692720</v>
      </c>
      <c r="F249" s="21">
        <f>INDEX(Data[],MATCH($A249,Data[Dist],0),MATCH(F$6,Data[#Headers],0))</f>
        <v>692720</v>
      </c>
      <c r="G249" s="21">
        <f>INDEX(Data[],MATCH($A249,Data[Dist],0),MATCH(G$6,Data[#Headers],0))</f>
        <v>3478368</v>
      </c>
      <c r="H249" s="21">
        <f>INDEX(Data[],MATCH($A249,Data[Dist],0),MATCH(H$6,Data[#Headers],0))-G249</f>
        <v>3463600</v>
      </c>
      <c r="I249" s="24"/>
      <c r="J249" s="21">
        <f>INDEX(Notes!$I$2:$N$11,MATCH(Notes!$B$2,Notes!$I$2:$I$11,0),4)*$C249</f>
        <v>2785648</v>
      </c>
      <c r="K249" s="21">
        <f>INDEX(Notes!$I$2:$N$11,MATCH(Notes!$B$2,Notes!$I$2:$I$11,0),5)*$D249</f>
        <v>692720</v>
      </c>
      <c r="L249" s="21">
        <f>INDEX(Notes!$I$2:$N$11,MATCH(Notes!$B$2,Notes!$I$2:$I$11,0),6)*$E249</f>
        <v>0</v>
      </c>
      <c r="M249" s="21">
        <f>IF(Notes!$B$2="June",'Payment Total'!$F249,0)</f>
        <v>0</v>
      </c>
      <c r="N249" s="21">
        <f t="shared" si="12"/>
        <v>0</v>
      </c>
      <c r="P249" s="25" t="s">
        <v>1072</v>
      </c>
      <c r="Q249" s="25">
        <v>692720</v>
      </c>
      <c r="R249" s="20" t="str">
        <f t="shared" si="13"/>
        <v>5643</v>
      </c>
      <c r="S249" s="20" t="str">
        <f t="shared" si="14"/>
        <v>5643</v>
      </c>
      <c r="T249" s="41">
        <f t="shared" si="15"/>
        <v>0</v>
      </c>
      <c r="V249" s="41"/>
    </row>
    <row r="250" spans="1:22" s="25" customFormat="1" ht="12.75" x14ac:dyDescent="0.2">
      <c r="A250" s="19" t="str">
        <f>Data!B245</f>
        <v>5697</v>
      </c>
      <c r="B250" s="20" t="str">
        <f>INDEX(Data[],MATCH($A250,Data[Dist],0),MATCH(B$6,Data[#Headers],0))</f>
        <v>Rudd-Rockford-Marble Rock</v>
      </c>
      <c r="C250" s="21">
        <f>INDEX(Data[],MATCH($A250,Data[Dist],0),MATCH(C$6,Data[#Headers],0))</f>
        <v>306327</v>
      </c>
      <c r="D250" s="21">
        <f>INDEX(Data[],MATCH($A250,Data[Dist],0),MATCH(D$6,Data[#Headers],0))</f>
        <v>304750</v>
      </c>
      <c r="E250" s="21">
        <f>INDEX(Data[],MATCH($A250,Data[Dist],0),MATCH(E$6,Data[#Headers],0))</f>
        <v>304750</v>
      </c>
      <c r="F250" s="21">
        <f>INDEX(Data[],MATCH($A250,Data[Dist],0),MATCH(F$6,Data[#Headers],0))</f>
        <v>304749</v>
      </c>
      <c r="G250" s="21">
        <f>INDEX(Data[],MATCH($A250,Data[Dist],0),MATCH(G$6,Data[#Headers],0))</f>
        <v>1530058</v>
      </c>
      <c r="H250" s="21">
        <f>INDEX(Data[],MATCH($A250,Data[Dist],0),MATCH(H$6,Data[#Headers],0))-G250</f>
        <v>1523749</v>
      </c>
      <c r="I250" s="24"/>
      <c r="J250" s="21">
        <f>INDEX(Notes!$I$2:$N$11,MATCH(Notes!$B$2,Notes!$I$2:$I$11,0),4)*$C250</f>
        <v>1225308</v>
      </c>
      <c r="K250" s="21">
        <f>INDEX(Notes!$I$2:$N$11,MATCH(Notes!$B$2,Notes!$I$2:$I$11,0),5)*$D250</f>
        <v>304750</v>
      </c>
      <c r="L250" s="21">
        <f>INDEX(Notes!$I$2:$N$11,MATCH(Notes!$B$2,Notes!$I$2:$I$11,0),6)*$E250</f>
        <v>0</v>
      </c>
      <c r="M250" s="21">
        <f>IF(Notes!$B$2="June",'Payment Total'!$F250,0)</f>
        <v>0</v>
      </c>
      <c r="N250" s="21">
        <f t="shared" si="12"/>
        <v>0</v>
      </c>
      <c r="P250" s="25" t="s">
        <v>1073</v>
      </c>
      <c r="Q250" s="25">
        <v>304750</v>
      </c>
      <c r="R250" s="20" t="str">
        <f t="shared" si="13"/>
        <v>5697</v>
      </c>
      <c r="S250" s="20" t="str">
        <f t="shared" si="14"/>
        <v>5697</v>
      </c>
      <c r="T250" s="41">
        <f t="shared" si="15"/>
        <v>0</v>
      </c>
      <c r="V250" s="41"/>
    </row>
    <row r="251" spans="1:22" s="25" customFormat="1" ht="12.75" x14ac:dyDescent="0.2">
      <c r="A251" s="19" t="str">
        <f>Data!B246</f>
        <v>5724</v>
      </c>
      <c r="B251" s="20" t="str">
        <f>INDEX(Data[],MATCH($A251,Data[Dist],0),MATCH(B$6,Data[#Headers],0))</f>
        <v>Ruthven-Ayrshire</v>
      </c>
      <c r="C251" s="21">
        <f>INDEX(Data[],MATCH($A251,Data[Dist],0),MATCH(C$6,Data[#Headers],0))</f>
        <v>116697</v>
      </c>
      <c r="D251" s="21">
        <f>INDEX(Data[],MATCH($A251,Data[Dist],0),MATCH(D$6,Data[#Headers],0))</f>
        <v>116033</v>
      </c>
      <c r="E251" s="21">
        <f>INDEX(Data[],MATCH($A251,Data[Dist],0),MATCH(E$6,Data[#Headers],0))</f>
        <v>116033</v>
      </c>
      <c r="F251" s="21">
        <f>INDEX(Data[],MATCH($A251,Data[Dist],0),MATCH(F$6,Data[#Headers],0))</f>
        <v>116033</v>
      </c>
      <c r="G251" s="21">
        <f>INDEX(Data[],MATCH($A251,Data[Dist],0),MATCH(G$6,Data[#Headers],0))</f>
        <v>582821</v>
      </c>
      <c r="H251" s="21">
        <f>INDEX(Data[],MATCH($A251,Data[Dist],0),MATCH(H$6,Data[#Headers],0))-G251</f>
        <v>580165</v>
      </c>
      <c r="I251" s="24"/>
      <c r="J251" s="21">
        <f>INDEX(Notes!$I$2:$N$11,MATCH(Notes!$B$2,Notes!$I$2:$I$11,0),4)*$C251</f>
        <v>466788</v>
      </c>
      <c r="K251" s="21">
        <f>INDEX(Notes!$I$2:$N$11,MATCH(Notes!$B$2,Notes!$I$2:$I$11,0),5)*$D251</f>
        <v>116033</v>
      </c>
      <c r="L251" s="21">
        <f>INDEX(Notes!$I$2:$N$11,MATCH(Notes!$B$2,Notes!$I$2:$I$11,0),6)*$E251</f>
        <v>0</v>
      </c>
      <c r="M251" s="21">
        <f>IF(Notes!$B$2="June",'Payment Total'!$F251,0)</f>
        <v>0</v>
      </c>
      <c r="N251" s="21">
        <f t="shared" si="12"/>
        <v>0</v>
      </c>
      <c r="P251" s="25" t="s">
        <v>1074</v>
      </c>
      <c r="Q251" s="25">
        <v>116033</v>
      </c>
      <c r="R251" s="20" t="str">
        <f t="shared" si="13"/>
        <v>5724</v>
      </c>
      <c r="S251" s="20" t="str">
        <f t="shared" si="14"/>
        <v>5724</v>
      </c>
      <c r="T251" s="41">
        <f t="shared" si="15"/>
        <v>0</v>
      </c>
      <c r="V251" s="41"/>
    </row>
    <row r="252" spans="1:22" s="25" customFormat="1" ht="12.75" x14ac:dyDescent="0.2">
      <c r="A252" s="19" t="str">
        <f>Data!B247</f>
        <v>5751</v>
      </c>
      <c r="B252" s="20" t="str">
        <f>INDEX(Data[],MATCH($A252,Data[Dist],0),MATCH(B$6,Data[#Headers],0))</f>
        <v>St Ansgar</v>
      </c>
      <c r="C252" s="21">
        <f>INDEX(Data[],MATCH($A252,Data[Dist],0),MATCH(C$6,Data[#Headers],0))</f>
        <v>331935</v>
      </c>
      <c r="D252" s="21">
        <f>INDEX(Data[],MATCH($A252,Data[Dist],0),MATCH(D$6,Data[#Headers],0))</f>
        <v>329779</v>
      </c>
      <c r="E252" s="21">
        <f>INDEX(Data[],MATCH($A252,Data[Dist],0),MATCH(E$6,Data[#Headers],0))</f>
        <v>329779</v>
      </c>
      <c r="F252" s="21">
        <f>INDEX(Data[],MATCH($A252,Data[Dist],0),MATCH(F$6,Data[#Headers],0))</f>
        <v>329780</v>
      </c>
      <c r="G252" s="21">
        <f>INDEX(Data[],MATCH($A252,Data[Dist],0),MATCH(G$6,Data[#Headers],0))</f>
        <v>1657519</v>
      </c>
      <c r="H252" s="21">
        <f>INDEX(Data[],MATCH($A252,Data[Dist],0),MATCH(H$6,Data[#Headers],0))-G252</f>
        <v>1648896</v>
      </c>
      <c r="I252" s="24"/>
      <c r="J252" s="21">
        <f>INDEX(Notes!$I$2:$N$11,MATCH(Notes!$B$2,Notes!$I$2:$I$11,0),4)*$C252</f>
        <v>1327740</v>
      </c>
      <c r="K252" s="21">
        <f>INDEX(Notes!$I$2:$N$11,MATCH(Notes!$B$2,Notes!$I$2:$I$11,0),5)*$D252</f>
        <v>329779</v>
      </c>
      <c r="L252" s="21">
        <f>INDEX(Notes!$I$2:$N$11,MATCH(Notes!$B$2,Notes!$I$2:$I$11,0),6)*$E252</f>
        <v>0</v>
      </c>
      <c r="M252" s="21">
        <f>IF(Notes!$B$2="June",'Payment Total'!$F252,0)</f>
        <v>0</v>
      </c>
      <c r="N252" s="21">
        <f t="shared" si="12"/>
        <v>0</v>
      </c>
      <c r="P252" s="25" t="s">
        <v>1075</v>
      </c>
      <c r="Q252" s="25">
        <v>329779</v>
      </c>
      <c r="R252" s="20" t="str">
        <f t="shared" si="13"/>
        <v>5751</v>
      </c>
      <c r="S252" s="20" t="str">
        <f t="shared" si="14"/>
        <v>5751</v>
      </c>
      <c r="T252" s="41">
        <f t="shared" si="15"/>
        <v>0</v>
      </c>
      <c r="V252" s="41"/>
    </row>
    <row r="253" spans="1:22" s="25" customFormat="1" ht="12.75" x14ac:dyDescent="0.2">
      <c r="A253" s="19" t="str">
        <f>Data!B248</f>
        <v>5805</v>
      </c>
      <c r="B253" s="20" t="str">
        <f>INDEX(Data[],MATCH($A253,Data[Dist],0),MATCH(B$6,Data[#Headers],0))</f>
        <v>Saydel</v>
      </c>
      <c r="C253" s="21">
        <f>INDEX(Data[],MATCH($A253,Data[Dist],0),MATCH(C$6,Data[#Headers],0))</f>
        <v>172058</v>
      </c>
      <c r="D253" s="21">
        <f>INDEX(Data[],MATCH($A253,Data[Dist],0),MATCH(D$6,Data[#Headers],0))</f>
        <v>168217</v>
      </c>
      <c r="E253" s="21">
        <f>INDEX(Data[],MATCH($A253,Data[Dist],0),MATCH(E$6,Data[#Headers],0))</f>
        <v>168217</v>
      </c>
      <c r="F253" s="21">
        <f>INDEX(Data[],MATCH($A253,Data[Dist],0),MATCH(F$6,Data[#Headers],0))</f>
        <v>168218</v>
      </c>
      <c r="G253" s="21">
        <f>INDEX(Data[],MATCH($A253,Data[Dist],0),MATCH(G$6,Data[#Headers],0))</f>
        <v>856449</v>
      </c>
      <c r="H253" s="21">
        <f>INDEX(Data[],MATCH($A253,Data[Dist],0),MATCH(H$6,Data[#Headers],0))-G253</f>
        <v>841086</v>
      </c>
      <c r="I253" s="24"/>
      <c r="J253" s="21">
        <f>INDEX(Notes!$I$2:$N$11,MATCH(Notes!$B$2,Notes!$I$2:$I$11,0),4)*$C253</f>
        <v>688232</v>
      </c>
      <c r="K253" s="21">
        <f>INDEX(Notes!$I$2:$N$11,MATCH(Notes!$B$2,Notes!$I$2:$I$11,0),5)*$D253</f>
        <v>168217</v>
      </c>
      <c r="L253" s="21">
        <f>INDEX(Notes!$I$2:$N$11,MATCH(Notes!$B$2,Notes!$I$2:$I$11,0),6)*$E253</f>
        <v>0</v>
      </c>
      <c r="M253" s="21">
        <f>IF(Notes!$B$2="June",'Payment Total'!$F253,0)</f>
        <v>0</v>
      </c>
      <c r="N253" s="21">
        <f t="shared" si="12"/>
        <v>0</v>
      </c>
      <c r="P253" s="25" t="s">
        <v>1076</v>
      </c>
      <c r="Q253" s="25">
        <v>168217</v>
      </c>
      <c r="R253" s="20" t="str">
        <f t="shared" si="13"/>
        <v>5805</v>
      </c>
      <c r="S253" s="20" t="str">
        <f t="shared" si="14"/>
        <v>5805</v>
      </c>
      <c r="T253" s="41">
        <f t="shared" si="15"/>
        <v>0</v>
      </c>
      <c r="V253" s="41"/>
    </row>
    <row r="254" spans="1:22" s="25" customFormat="1" ht="12.75" x14ac:dyDescent="0.2">
      <c r="A254" s="19" t="str">
        <f>Data!B249</f>
        <v>5823</v>
      </c>
      <c r="B254" s="20" t="str">
        <f>INDEX(Data[],MATCH($A254,Data[Dist],0),MATCH(B$6,Data[#Headers],0))</f>
        <v>Schaller-Crestland</v>
      </c>
      <c r="C254" s="21">
        <f>INDEX(Data[],MATCH($A254,Data[Dist],0),MATCH(C$6,Data[#Headers],0))</f>
        <v>227388</v>
      </c>
      <c r="D254" s="21">
        <f>INDEX(Data[],MATCH($A254,Data[Dist],0),MATCH(D$6,Data[#Headers],0))</f>
        <v>226018</v>
      </c>
      <c r="E254" s="21">
        <f>INDEX(Data[],MATCH($A254,Data[Dist],0),MATCH(E$6,Data[#Headers],0))</f>
        <v>226018</v>
      </c>
      <c r="F254" s="21">
        <f>INDEX(Data[],MATCH($A254,Data[Dist],0),MATCH(F$6,Data[#Headers],0))</f>
        <v>226018</v>
      </c>
      <c r="G254" s="21">
        <f>INDEX(Data[],MATCH($A254,Data[Dist],0),MATCH(G$6,Data[#Headers],0))</f>
        <v>1135570</v>
      </c>
      <c r="H254" s="21">
        <f>INDEX(Data[],MATCH($A254,Data[Dist],0),MATCH(H$6,Data[#Headers],0))-G254</f>
        <v>1130090</v>
      </c>
      <c r="I254" s="24"/>
      <c r="J254" s="21">
        <f>INDEX(Notes!$I$2:$N$11,MATCH(Notes!$B$2,Notes!$I$2:$I$11,0),4)*$C254</f>
        <v>909552</v>
      </c>
      <c r="K254" s="21">
        <f>INDEX(Notes!$I$2:$N$11,MATCH(Notes!$B$2,Notes!$I$2:$I$11,0),5)*$D254</f>
        <v>226018</v>
      </c>
      <c r="L254" s="21">
        <f>INDEX(Notes!$I$2:$N$11,MATCH(Notes!$B$2,Notes!$I$2:$I$11,0),6)*$E254</f>
        <v>0</v>
      </c>
      <c r="M254" s="21">
        <f>IF(Notes!$B$2="June",'Payment Total'!$F254,0)</f>
        <v>0</v>
      </c>
      <c r="N254" s="21">
        <f t="shared" si="12"/>
        <v>0</v>
      </c>
      <c r="P254" s="25" t="s">
        <v>1077</v>
      </c>
      <c r="Q254" s="25">
        <v>226018</v>
      </c>
      <c r="R254" s="20" t="str">
        <f t="shared" si="13"/>
        <v>5823</v>
      </c>
      <c r="S254" s="20" t="str">
        <f t="shared" si="14"/>
        <v>5823</v>
      </c>
      <c r="T254" s="41">
        <f t="shared" si="15"/>
        <v>0</v>
      </c>
      <c r="V254" s="41"/>
    </row>
    <row r="255" spans="1:22" s="25" customFormat="1" ht="12.75" x14ac:dyDescent="0.2">
      <c r="A255" s="19" t="str">
        <f>Data!B250</f>
        <v>5832</v>
      </c>
      <c r="B255" s="20" t="str">
        <f>INDEX(Data[],MATCH($A255,Data[Dist],0),MATCH(B$6,Data[#Headers],0))</f>
        <v>Schleswig</v>
      </c>
      <c r="C255" s="21">
        <f>INDEX(Data[],MATCH($A255,Data[Dist],0),MATCH(C$6,Data[#Headers],0))</f>
        <v>133887</v>
      </c>
      <c r="D255" s="21">
        <f>INDEX(Data[],MATCH($A255,Data[Dist],0),MATCH(D$6,Data[#Headers],0))</f>
        <v>132994</v>
      </c>
      <c r="E255" s="21">
        <f>INDEX(Data[],MATCH($A255,Data[Dist],0),MATCH(E$6,Data[#Headers],0))</f>
        <v>132993</v>
      </c>
      <c r="F255" s="21">
        <f>INDEX(Data[],MATCH($A255,Data[Dist],0),MATCH(F$6,Data[#Headers],0))</f>
        <v>132994</v>
      </c>
      <c r="G255" s="21">
        <f>INDEX(Data[],MATCH($A255,Data[Dist],0),MATCH(G$6,Data[#Headers],0))</f>
        <v>668542</v>
      </c>
      <c r="H255" s="21">
        <f>INDEX(Data[],MATCH($A255,Data[Dist],0),MATCH(H$6,Data[#Headers],0))-G255</f>
        <v>664967</v>
      </c>
      <c r="I255" s="24"/>
      <c r="J255" s="21">
        <f>INDEX(Notes!$I$2:$N$11,MATCH(Notes!$B$2,Notes!$I$2:$I$11,0),4)*$C255</f>
        <v>535548</v>
      </c>
      <c r="K255" s="21">
        <f>INDEX(Notes!$I$2:$N$11,MATCH(Notes!$B$2,Notes!$I$2:$I$11,0),5)*$D255</f>
        <v>132994</v>
      </c>
      <c r="L255" s="21">
        <f>INDEX(Notes!$I$2:$N$11,MATCH(Notes!$B$2,Notes!$I$2:$I$11,0),6)*$E255</f>
        <v>0</v>
      </c>
      <c r="M255" s="21">
        <f>IF(Notes!$B$2="June",'Payment Total'!$F255,0)</f>
        <v>0</v>
      </c>
      <c r="N255" s="21">
        <f t="shared" si="12"/>
        <v>0</v>
      </c>
      <c r="P255" s="25" t="s">
        <v>1078</v>
      </c>
      <c r="Q255" s="25">
        <v>132994</v>
      </c>
      <c r="R255" s="20" t="str">
        <f t="shared" si="13"/>
        <v>5832</v>
      </c>
      <c r="S255" s="20" t="str">
        <f t="shared" si="14"/>
        <v>5832</v>
      </c>
      <c r="T255" s="41">
        <f t="shared" si="15"/>
        <v>0</v>
      </c>
      <c r="V255" s="41"/>
    </row>
    <row r="256" spans="1:22" s="25" customFormat="1" ht="12.75" x14ac:dyDescent="0.2">
      <c r="A256" s="19" t="str">
        <f>Data!B251</f>
        <v>5877</v>
      </c>
      <c r="B256" s="20" t="str">
        <f>INDEX(Data[],MATCH($A256,Data[Dist],0),MATCH(B$6,Data[#Headers],0))</f>
        <v>Sergeant Bluff-Luton</v>
      </c>
      <c r="C256" s="21">
        <f>INDEX(Data[],MATCH($A256,Data[Dist],0),MATCH(C$6,Data[#Headers],0))</f>
        <v>848131</v>
      </c>
      <c r="D256" s="21">
        <f>INDEX(Data[],MATCH($A256,Data[Dist],0),MATCH(D$6,Data[#Headers],0))</f>
        <v>842734</v>
      </c>
      <c r="E256" s="21">
        <f>INDEX(Data[],MATCH($A256,Data[Dist],0),MATCH(E$6,Data[#Headers],0))</f>
        <v>842734</v>
      </c>
      <c r="F256" s="21">
        <f>INDEX(Data[],MATCH($A256,Data[Dist],0),MATCH(F$6,Data[#Headers],0))</f>
        <v>842732</v>
      </c>
      <c r="G256" s="21">
        <f>INDEX(Data[],MATCH($A256,Data[Dist],0),MATCH(G$6,Data[#Headers],0))</f>
        <v>4235258</v>
      </c>
      <c r="H256" s="21">
        <f>INDEX(Data[],MATCH($A256,Data[Dist],0),MATCH(H$6,Data[#Headers],0))-G256</f>
        <v>4213668</v>
      </c>
      <c r="I256" s="24"/>
      <c r="J256" s="21">
        <f>INDEX(Notes!$I$2:$N$11,MATCH(Notes!$B$2,Notes!$I$2:$I$11,0),4)*$C256</f>
        <v>3392524</v>
      </c>
      <c r="K256" s="21">
        <f>INDEX(Notes!$I$2:$N$11,MATCH(Notes!$B$2,Notes!$I$2:$I$11,0),5)*$D256</f>
        <v>842734</v>
      </c>
      <c r="L256" s="21">
        <f>INDEX(Notes!$I$2:$N$11,MATCH(Notes!$B$2,Notes!$I$2:$I$11,0),6)*$E256</f>
        <v>0</v>
      </c>
      <c r="M256" s="21">
        <f>IF(Notes!$B$2="June",'Payment Total'!$F256,0)</f>
        <v>0</v>
      </c>
      <c r="N256" s="21">
        <f t="shared" si="12"/>
        <v>0</v>
      </c>
      <c r="P256" s="25" t="s">
        <v>1079</v>
      </c>
      <c r="Q256" s="25">
        <v>842734</v>
      </c>
      <c r="R256" s="20" t="str">
        <f t="shared" si="13"/>
        <v>5877</v>
      </c>
      <c r="S256" s="20" t="str">
        <f t="shared" si="14"/>
        <v>5877</v>
      </c>
      <c r="T256" s="41">
        <f t="shared" si="15"/>
        <v>0</v>
      </c>
      <c r="V256" s="41"/>
    </row>
    <row r="257" spans="1:22" s="25" customFormat="1" ht="12.75" x14ac:dyDescent="0.2">
      <c r="A257" s="19" t="str">
        <f>Data!B252</f>
        <v>5895</v>
      </c>
      <c r="B257" s="20" t="str">
        <f>INDEX(Data[],MATCH($A257,Data[Dist],0),MATCH(B$6,Data[#Headers],0))</f>
        <v>Seymour</v>
      </c>
      <c r="C257" s="21">
        <f>INDEX(Data[],MATCH($A257,Data[Dist],0),MATCH(C$6,Data[#Headers],0))</f>
        <v>180209</v>
      </c>
      <c r="D257" s="21">
        <f>INDEX(Data[],MATCH($A257,Data[Dist],0),MATCH(D$6,Data[#Headers],0))</f>
        <v>179334</v>
      </c>
      <c r="E257" s="21">
        <f>INDEX(Data[],MATCH($A257,Data[Dist],0),MATCH(E$6,Data[#Headers],0))</f>
        <v>179334</v>
      </c>
      <c r="F257" s="21">
        <f>INDEX(Data[],MATCH($A257,Data[Dist],0),MATCH(F$6,Data[#Headers],0))</f>
        <v>179333</v>
      </c>
      <c r="G257" s="21">
        <f>INDEX(Data[],MATCH($A257,Data[Dist],0),MATCH(G$6,Data[#Headers],0))</f>
        <v>900170</v>
      </c>
      <c r="H257" s="21">
        <f>INDEX(Data[],MATCH($A257,Data[Dist],0),MATCH(H$6,Data[#Headers],0))-G257</f>
        <v>896669</v>
      </c>
      <c r="I257" s="24"/>
      <c r="J257" s="21">
        <f>INDEX(Notes!$I$2:$N$11,MATCH(Notes!$B$2,Notes!$I$2:$I$11,0),4)*$C257</f>
        <v>720836</v>
      </c>
      <c r="K257" s="21">
        <f>INDEX(Notes!$I$2:$N$11,MATCH(Notes!$B$2,Notes!$I$2:$I$11,0),5)*$D257</f>
        <v>179334</v>
      </c>
      <c r="L257" s="21">
        <f>INDEX(Notes!$I$2:$N$11,MATCH(Notes!$B$2,Notes!$I$2:$I$11,0),6)*$E257</f>
        <v>0</v>
      </c>
      <c r="M257" s="21">
        <f>IF(Notes!$B$2="June",'Payment Total'!$F257,0)</f>
        <v>0</v>
      </c>
      <c r="N257" s="21">
        <f t="shared" si="12"/>
        <v>0</v>
      </c>
      <c r="P257" s="25" t="s">
        <v>1080</v>
      </c>
      <c r="Q257" s="25">
        <v>179334</v>
      </c>
      <c r="R257" s="20" t="str">
        <f t="shared" si="13"/>
        <v>5895</v>
      </c>
      <c r="S257" s="20" t="str">
        <f t="shared" si="14"/>
        <v>5895</v>
      </c>
      <c r="T257" s="41">
        <f t="shared" si="15"/>
        <v>0</v>
      </c>
      <c r="V257" s="41"/>
    </row>
    <row r="258" spans="1:22" s="25" customFormat="1" ht="12.75" x14ac:dyDescent="0.2">
      <c r="A258" s="19" t="str">
        <f>Data!B253</f>
        <v>5922</v>
      </c>
      <c r="B258" s="20" t="str">
        <f>INDEX(Data[],MATCH($A258,Data[Dist],0),MATCH(B$6,Data[#Headers],0))</f>
        <v>West Fork</v>
      </c>
      <c r="C258" s="21">
        <f>INDEX(Data[],MATCH($A258,Data[Dist],0),MATCH(C$6,Data[#Headers],0))</f>
        <v>478503</v>
      </c>
      <c r="D258" s="21">
        <f>INDEX(Data[],MATCH($A258,Data[Dist],0),MATCH(D$6,Data[#Headers],0))</f>
        <v>475686</v>
      </c>
      <c r="E258" s="21">
        <f>INDEX(Data[],MATCH($A258,Data[Dist],0),MATCH(E$6,Data[#Headers],0))</f>
        <v>475686</v>
      </c>
      <c r="F258" s="21">
        <f>INDEX(Data[],MATCH($A258,Data[Dist],0),MATCH(F$6,Data[#Headers],0))</f>
        <v>475684</v>
      </c>
      <c r="G258" s="21">
        <f>INDEX(Data[],MATCH($A258,Data[Dist],0),MATCH(G$6,Data[#Headers],0))</f>
        <v>2389698</v>
      </c>
      <c r="H258" s="21">
        <f>INDEX(Data[],MATCH($A258,Data[Dist],0),MATCH(H$6,Data[#Headers],0))-G258</f>
        <v>2378428</v>
      </c>
      <c r="I258" s="24"/>
      <c r="J258" s="21">
        <f>INDEX(Notes!$I$2:$N$11,MATCH(Notes!$B$2,Notes!$I$2:$I$11,0),4)*$C258</f>
        <v>1914012</v>
      </c>
      <c r="K258" s="21">
        <f>INDEX(Notes!$I$2:$N$11,MATCH(Notes!$B$2,Notes!$I$2:$I$11,0),5)*$D258</f>
        <v>475686</v>
      </c>
      <c r="L258" s="21">
        <f>INDEX(Notes!$I$2:$N$11,MATCH(Notes!$B$2,Notes!$I$2:$I$11,0),6)*$E258</f>
        <v>0</v>
      </c>
      <c r="M258" s="21">
        <f>IF(Notes!$B$2="June",'Payment Total'!$F258,0)</f>
        <v>0</v>
      </c>
      <c r="N258" s="21">
        <f t="shared" si="12"/>
        <v>0</v>
      </c>
      <c r="P258" s="25" t="s">
        <v>1081</v>
      </c>
      <c r="Q258" s="25">
        <v>475686</v>
      </c>
      <c r="R258" s="20" t="str">
        <f t="shared" si="13"/>
        <v>5922</v>
      </c>
      <c r="S258" s="20" t="str">
        <f t="shared" si="14"/>
        <v>5922</v>
      </c>
      <c r="T258" s="41">
        <f t="shared" si="15"/>
        <v>0</v>
      </c>
      <c r="V258" s="41"/>
    </row>
    <row r="259" spans="1:22" s="25" customFormat="1" ht="12.75" x14ac:dyDescent="0.2">
      <c r="A259" s="19" t="str">
        <f>Data!B254</f>
        <v>5949</v>
      </c>
      <c r="B259" s="20" t="str">
        <f>INDEX(Data[],MATCH($A259,Data[Dist],0),MATCH(B$6,Data[#Headers],0))</f>
        <v>Sheldon</v>
      </c>
      <c r="C259" s="21">
        <f>INDEX(Data[],MATCH($A259,Data[Dist],0),MATCH(C$6,Data[#Headers],0))</f>
        <v>877534</v>
      </c>
      <c r="D259" s="21">
        <f>INDEX(Data[],MATCH($A259,Data[Dist],0),MATCH(D$6,Data[#Headers],0))</f>
        <v>873319</v>
      </c>
      <c r="E259" s="21">
        <f>INDEX(Data[],MATCH($A259,Data[Dist],0),MATCH(E$6,Data[#Headers],0))</f>
        <v>873319</v>
      </c>
      <c r="F259" s="21">
        <f>INDEX(Data[],MATCH($A259,Data[Dist],0),MATCH(F$6,Data[#Headers],0))</f>
        <v>873320</v>
      </c>
      <c r="G259" s="21">
        <f>INDEX(Data[],MATCH($A259,Data[Dist],0),MATCH(G$6,Data[#Headers],0))</f>
        <v>4383455</v>
      </c>
      <c r="H259" s="21">
        <f>INDEX(Data[],MATCH($A259,Data[Dist],0),MATCH(H$6,Data[#Headers],0))-G259</f>
        <v>4366596</v>
      </c>
      <c r="I259" s="24"/>
      <c r="J259" s="21">
        <f>INDEX(Notes!$I$2:$N$11,MATCH(Notes!$B$2,Notes!$I$2:$I$11,0),4)*$C259</f>
        <v>3510136</v>
      </c>
      <c r="K259" s="21">
        <f>INDEX(Notes!$I$2:$N$11,MATCH(Notes!$B$2,Notes!$I$2:$I$11,0),5)*$D259</f>
        <v>873319</v>
      </c>
      <c r="L259" s="21">
        <f>INDEX(Notes!$I$2:$N$11,MATCH(Notes!$B$2,Notes!$I$2:$I$11,0),6)*$E259</f>
        <v>0</v>
      </c>
      <c r="M259" s="21">
        <f>IF(Notes!$B$2="June",'Payment Total'!$F259,0)</f>
        <v>0</v>
      </c>
      <c r="N259" s="21">
        <f t="shared" si="12"/>
        <v>0</v>
      </c>
      <c r="P259" s="25" t="s">
        <v>1082</v>
      </c>
      <c r="Q259" s="25">
        <v>873319</v>
      </c>
      <c r="R259" s="20" t="str">
        <f t="shared" si="13"/>
        <v>5949</v>
      </c>
      <c r="S259" s="20" t="str">
        <f t="shared" si="14"/>
        <v>5949</v>
      </c>
      <c r="T259" s="41">
        <f t="shared" si="15"/>
        <v>0</v>
      </c>
      <c r="V259" s="41"/>
    </row>
    <row r="260" spans="1:22" s="25" customFormat="1" ht="12.75" x14ac:dyDescent="0.2">
      <c r="A260" s="19" t="str">
        <f>Data!B255</f>
        <v>5976</v>
      </c>
      <c r="B260" s="20" t="str">
        <f>INDEX(Data[],MATCH($A260,Data[Dist],0),MATCH(B$6,Data[#Headers],0))</f>
        <v>Shenandoah</v>
      </c>
      <c r="C260" s="21">
        <f>INDEX(Data[],MATCH($A260,Data[Dist],0),MATCH(C$6,Data[#Headers],0))</f>
        <v>775684</v>
      </c>
      <c r="D260" s="21">
        <f>INDEX(Data[],MATCH($A260,Data[Dist],0),MATCH(D$6,Data[#Headers],0))</f>
        <v>771715</v>
      </c>
      <c r="E260" s="21">
        <f>INDEX(Data[],MATCH($A260,Data[Dist],0),MATCH(E$6,Data[#Headers],0))</f>
        <v>771715</v>
      </c>
      <c r="F260" s="21">
        <f>INDEX(Data[],MATCH($A260,Data[Dist],0),MATCH(F$6,Data[#Headers],0))</f>
        <v>771716</v>
      </c>
      <c r="G260" s="21">
        <f>INDEX(Data[],MATCH($A260,Data[Dist],0),MATCH(G$6,Data[#Headers],0))</f>
        <v>3874451</v>
      </c>
      <c r="H260" s="21">
        <f>INDEX(Data[],MATCH($A260,Data[Dist],0),MATCH(H$6,Data[#Headers],0))-G260</f>
        <v>3858576</v>
      </c>
      <c r="I260" s="24"/>
      <c r="J260" s="21">
        <f>INDEX(Notes!$I$2:$N$11,MATCH(Notes!$B$2,Notes!$I$2:$I$11,0),4)*$C260</f>
        <v>3102736</v>
      </c>
      <c r="K260" s="21">
        <f>INDEX(Notes!$I$2:$N$11,MATCH(Notes!$B$2,Notes!$I$2:$I$11,0),5)*$D260</f>
        <v>771715</v>
      </c>
      <c r="L260" s="21">
        <f>INDEX(Notes!$I$2:$N$11,MATCH(Notes!$B$2,Notes!$I$2:$I$11,0),6)*$E260</f>
        <v>0</v>
      </c>
      <c r="M260" s="21">
        <f>IF(Notes!$B$2="June",'Payment Total'!$F260,0)</f>
        <v>0</v>
      </c>
      <c r="N260" s="21">
        <f t="shared" si="12"/>
        <v>0</v>
      </c>
      <c r="P260" s="25" t="s">
        <v>1083</v>
      </c>
      <c r="Q260" s="25">
        <v>771715</v>
      </c>
      <c r="R260" s="20" t="str">
        <f t="shared" si="13"/>
        <v>5976</v>
      </c>
      <c r="S260" s="20" t="str">
        <f t="shared" si="14"/>
        <v>5976</v>
      </c>
      <c r="T260" s="41">
        <f t="shared" si="15"/>
        <v>0</v>
      </c>
      <c r="V260" s="41"/>
    </row>
    <row r="261" spans="1:22" s="25" customFormat="1" ht="12.75" x14ac:dyDescent="0.2">
      <c r="A261" s="19" t="str">
        <f>Data!B256</f>
        <v>5994</v>
      </c>
      <c r="B261" s="20" t="str">
        <f>INDEX(Data[],MATCH($A261,Data[Dist],0),MATCH(B$6,Data[#Headers],0))</f>
        <v>Sibley-Ocheyedan</v>
      </c>
      <c r="C261" s="21">
        <f>INDEX(Data[],MATCH($A261,Data[Dist],0),MATCH(C$6,Data[#Headers],0))</f>
        <v>451731</v>
      </c>
      <c r="D261" s="21">
        <f>INDEX(Data[],MATCH($A261,Data[Dist],0),MATCH(D$6,Data[#Headers],0))</f>
        <v>449295</v>
      </c>
      <c r="E261" s="21">
        <f>INDEX(Data[],MATCH($A261,Data[Dist],0),MATCH(E$6,Data[#Headers],0))</f>
        <v>449295</v>
      </c>
      <c r="F261" s="21">
        <f>INDEX(Data[],MATCH($A261,Data[Dist],0),MATCH(F$6,Data[#Headers],0))</f>
        <v>449293</v>
      </c>
      <c r="G261" s="21">
        <f>INDEX(Data[],MATCH($A261,Data[Dist],0),MATCH(G$6,Data[#Headers],0))</f>
        <v>2256219</v>
      </c>
      <c r="H261" s="21">
        <f>INDEX(Data[],MATCH($A261,Data[Dist],0),MATCH(H$6,Data[#Headers],0))-G261</f>
        <v>2246473</v>
      </c>
      <c r="I261" s="24"/>
      <c r="J261" s="21">
        <f>INDEX(Notes!$I$2:$N$11,MATCH(Notes!$B$2,Notes!$I$2:$I$11,0),4)*$C261</f>
        <v>1806924</v>
      </c>
      <c r="K261" s="21">
        <f>INDEX(Notes!$I$2:$N$11,MATCH(Notes!$B$2,Notes!$I$2:$I$11,0),5)*$D261</f>
        <v>449295</v>
      </c>
      <c r="L261" s="21">
        <f>INDEX(Notes!$I$2:$N$11,MATCH(Notes!$B$2,Notes!$I$2:$I$11,0),6)*$E261</f>
        <v>0</v>
      </c>
      <c r="M261" s="21">
        <f>IF(Notes!$B$2="June",'Payment Total'!$F261,0)</f>
        <v>0</v>
      </c>
      <c r="N261" s="21">
        <f t="shared" si="12"/>
        <v>0</v>
      </c>
      <c r="P261" s="25" t="s">
        <v>1084</v>
      </c>
      <c r="Q261" s="25">
        <v>449295</v>
      </c>
      <c r="R261" s="20" t="str">
        <f t="shared" si="13"/>
        <v>5994</v>
      </c>
      <c r="S261" s="20" t="str">
        <f t="shared" si="14"/>
        <v>5994</v>
      </c>
      <c r="T261" s="41">
        <f t="shared" si="15"/>
        <v>0</v>
      </c>
      <c r="V261" s="41"/>
    </row>
    <row r="262" spans="1:22" s="25" customFormat="1" ht="12.75" x14ac:dyDescent="0.2">
      <c r="A262" s="19" t="str">
        <f>Data!B257</f>
        <v>6003</v>
      </c>
      <c r="B262" s="20" t="str">
        <f>INDEX(Data[],MATCH($A262,Data[Dist],0),MATCH(B$6,Data[#Headers],0))</f>
        <v>Sidney</v>
      </c>
      <c r="C262" s="21">
        <f>INDEX(Data[],MATCH($A262,Data[Dist],0),MATCH(C$6,Data[#Headers],0))</f>
        <v>271552</v>
      </c>
      <c r="D262" s="21">
        <f>INDEX(Data[],MATCH($A262,Data[Dist],0),MATCH(D$6,Data[#Headers],0))</f>
        <v>270092</v>
      </c>
      <c r="E262" s="21">
        <f>INDEX(Data[],MATCH($A262,Data[Dist],0),MATCH(E$6,Data[#Headers],0))</f>
        <v>270092</v>
      </c>
      <c r="F262" s="21">
        <f>INDEX(Data[],MATCH($A262,Data[Dist],0),MATCH(F$6,Data[#Headers],0))</f>
        <v>270093</v>
      </c>
      <c r="G262" s="21">
        <f>INDEX(Data[],MATCH($A262,Data[Dist],0),MATCH(G$6,Data[#Headers],0))</f>
        <v>1356300</v>
      </c>
      <c r="H262" s="21">
        <f>INDEX(Data[],MATCH($A262,Data[Dist],0),MATCH(H$6,Data[#Headers],0))-G262</f>
        <v>1350461</v>
      </c>
      <c r="I262" s="24"/>
      <c r="J262" s="21">
        <f>INDEX(Notes!$I$2:$N$11,MATCH(Notes!$B$2,Notes!$I$2:$I$11,0),4)*$C262</f>
        <v>1086208</v>
      </c>
      <c r="K262" s="21">
        <f>INDEX(Notes!$I$2:$N$11,MATCH(Notes!$B$2,Notes!$I$2:$I$11,0),5)*$D262</f>
        <v>270092</v>
      </c>
      <c r="L262" s="21">
        <f>INDEX(Notes!$I$2:$N$11,MATCH(Notes!$B$2,Notes!$I$2:$I$11,0),6)*$E262</f>
        <v>0</v>
      </c>
      <c r="M262" s="21">
        <f>IF(Notes!$B$2="June",'Payment Total'!$F262,0)</f>
        <v>0</v>
      </c>
      <c r="N262" s="21">
        <f t="shared" si="12"/>
        <v>0</v>
      </c>
      <c r="P262" s="25" t="s">
        <v>1085</v>
      </c>
      <c r="Q262" s="25">
        <v>270092</v>
      </c>
      <c r="R262" s="20" t="str">
        <f t="shared" si="13"/>
        <v>6003</v>
      </c>
      <c r="S262" s="20" t="str">
        <f t="shared" si="14"/>
        <v>6003</v>
      </c>
      <c r="T262" s="41">
        <f t="shared" si="15"/>
        <v>0</v>
      </c>
      <c r="V262" s="41"/>
    </row>
    <row r="263" spans="1:22" s="25" customFormat="1" ht="12.75" x14ac:dyDescent="0.2">
      <c r="A263" s="19" t="str">
        <f>Data!B258</f>
        <v>6012</v>
      </c>
      <c r="B263" s="20" t="str">
        <f>INDEX(Data[],MATCH($A263,Data[Dist],0),MATCH(B$6,Data[#Headers],0))</f>
        <v>Sigourney</v>
      </c>
      <c r="C263" s="21">
        <f>INDEX(Data[],MATCH($A263,Data[Dist],0),MATCH(C$6,Data[#Headers],0))</f>
        <v>430939</v>
      </c>
      <c r="D263" s="21">
        <f>INDEX(Data[],MATCH($A263,Data[Dist],0),MATCH(D$6,Data[#Headers],0))</f>
        <v>428820</v>
      </c>
      <c r="E263" s="21">
        <f>INDEX(Data[],MATCH($A263,Data[Dist],0),MATCH(E$6,Data[#Headers],0))</f>
        <v>428820</v>
      </c>
      <c r="F263" s="21">
        <f>INDEX(Data[],MATCH($A263,Data[Dist],0),MATCH(F$6,Data[#Headers],0))</f>
        <v>428820</v>
      </c>
      <c r="G263" s="21">
        <f>INDEX(Data[],MATCH($A263,Data[Dist],0),MATCH(G$6,Data[#Headers],0))</f>
        <v>2152576</v>
      </c>
      <c r="H263" s="21">
        <f>INDEX(Data[],MATCH($A263,Data[Dist],0),MATCH(H$6,Data[#Headers],0))-G263</f>
        <v>2144100</v>
      </c>
      <c r="I263" s="24"/>
      <c r="J263" s="21">
        <f>INDEX(Notes!$I$2:$N$11,MATCH(Notes!$B$2,Notes!$I$2:$I$11,0),4)*$C263</f>
        <v>1723756</v>
      </c>
      <c r="K263" s="21">
        <f>INDEX(Notes!$I$2:$N$11,MATCH(Notes!$B$2,Notes!$I$2:$I$11,0),5)*$D263</f>
        <v>428820</v>
      </c>
      <c r="L263" s="21">
        <f>INDEX(Notes!$I$2:$N$11,MATCH(Notes!$B$2,Notes!$I$2:$I$11,0),6)*$E263</f>
        <v>0</v>
      </c>
      <c r="M263" s="21">
        <f>IF(Notes!$B$2="June",'Payment Total'!$F263,0)</f>
        <v>0</v>
      </c>
      <c r="N263" s="21">
        <f t="shared" si="12"/>
        <v>0</v>
      </c>
      <c r="P263" s="25" t="s">
        <v>1086</v>
      </c>
      <c r="Q263" s="25">
        <v>428820</v>
      </c>
      <c r="R263" s="20" t="str">
        <f t="shared" si="13"/>
        <v>6012</v>
      </c>
      <c r="S263" s="20" t="str">
        <f t="shared" si="14"/>
        <v>6012</v>
      </c>
      <c r="T263" s="41">
        <f t="shared" si="15"/>
        <v>0</v>
      </c>
      <c r="V263" s="41"/>
    </row>
    <row r="264" spans="1:22" s="25" customFormat="1" ht="12.75" x14ac:dyDescent="0.2">
      <c r="A264" s="19" t="str">
        <f>Data!B259</f>
        <v>6030</v>
      </c>
      <c r="B264" s="20" t="str">
        <f>INDEX(Data[],MATCH($A264,Data[Dist],0),MATCH(B$6,Data[#Headers],0))</f>
        <v>Sioux Center</v>
      </c>
      <c r="C264" s="21">
        <f>INDEX(Data[],MATCH($A264,Data[Dist],0),MATCH(C$6,Data[#Headers],0))</f>
        <v>1233753</v>
      </c>
      <c r="D264" s="21">
        <f>INDEX(Data[],MATCH($A264,Data[Dist],0),MATCH(D$6,Data[#Headers],0))</f>
        <v>1228146</v>
      </c>
      <c r="E264" s="21">
        <f>INDEX(Data[],MATCH($A264,Data[Dist],0),MATCH(E$6,Data[#Headers],0))</f>
        <v>1228145</v>
      </c>
      <c r="F264" s="21">
        <f>INDEX(Data[],MATCH($A264,Data[Dist],0),MATCH(F$6,Data[#Headers],0))</f>
        <v>1228146</v>
      </c>
      <c r="G264" s="21">
        <f>INDEX(Data[],MATCH($A264,Data[Dist],0),MATCH(G$6,Data[#Headers],0))</f>
        <v>6163158</v>
      </c>
      <c r="H264" s="21">
        <f>INDEX(Data[],MATCH($A264,Data[Dist],0),MATCH(H$6,Data[#Headers],0))-G264</f>
        <v>6140727</v>
      </c>
      <c r="I264" s="24"/>
      <c r="J264" s="21">
        <f>INDEX(Notes!$I$2:$N$11,MATCH(Notes!$B$2,Notes!$I$2:$I$11,0),4)*$C264</f>
        <v>4935012</v>
      </c>
      <c r="K264" s="21">
        <f>INDEX(Notes!$I$2:$N$11,MATCH(Notes!$B$2,Notes!$I$2:$I$11,0),5)*$D264</f>
        <v>1228146</v>
      </c>
      <c r="L264" s="21">
        <f>INDEX(Notes!$I$2:$N$11,MATCH(Notes!$B$2,Notes!$I$2:$I$11,0),6)*$E264</f>
        <v>0</v>
      </c>
      <c r="M264" s="21">
        <f>IF(Notes!$B$2="June",'Payment Total'!$F264,0)</f>
        <v>0</v>
      </c>
      <c r="N264" s="21">
        <f t="shared" ref="N264:N327" si="16">SUM(J264:M264)-G264</f>
        <v>0</v>
      </c>
      <c r="P264" s="25" t="s">
        <v>1087</v>
      </c>
      <c r="Q264" s="25">
        <v>1228146</v>
      </c>
      <c r="R264" s="20" t="str">
        <f t="shared" ref="R264:R327" si="17">TEXT(P264/10000,"0000")</f>
        <v>6030</v>
      </c>
      <c r="S264" s="20" t="str">
        <f t="shared" ref="S264:S327" si="18">IF(R264="1968","3582",IF(R264="5160","5319",IF(R264="5510","4824",IF(R264="6536","1935",IF(R264="6035","6048",IF(R264="5325","5323",IF(R264="6099","5157",R264)))))))</f>
        <v>6030</v>
      </c>
      <c r="T264" s="41">
        <f t="shared" ref="T264:T327" si="19">INDEX($A$7:$H$331,MATCH($S264,$A$7:$A$331,0),4)-Q264</f>
        <v>0</v>
      </c>
      <c r="V264" s="41"/>
    </row>
    <row r="265" spans="1:22" s="25" customFormat="1" ht="12.75" x14ac:dyDescent="0.2">
      <c r="A265" s="19" t="str">
        <f>Data!B260</f>
        <v>6039</v>
      </c>
      <c r="B265" s="20" t="str">
        <f>INDEX(Data[],MATCH($A265,Data[Dist],0),MATCH(B$6,Data[#Headers],0))</f>
        <v>Sioux City</v>
      </c>
      <c r="C265" s="21">
        <f>INDEX(Data[],MATCH($A265,Data[Dist],0),MATCH(C$6,Data[#Headers],0))</f>
        <v>13412255</v>
      </c>
      <c r="D265" s="21">
        <f>INDEX(Data[],MATCH($A265,Data[Dist],0),MATCH(D$6,Data[#Headers],0))</f>
        <v>13357485</v>
      </c>
      <c r="E265" s="21">
        <f>INDEX(Data[],MATCH($A265,Data[Dist],0),MATCH(E$6,Data[#Headers],0))</f>
        <v>13357485</v>
      </c>
      <c r="F265" s="21">
        <f>INDEX(Data[],MATCH($A265,Data[Dist],0),MATCH(F$6,Data[#Headers],0))</f>
        <v>13357484</v>
      </c>
      <c r="G265" s="21">
        <f>INDEX(Data[],MATCH($A265,Data[Dist],0),MATCH(G$6,Data[#Headers],0))</f>
        <v>67006505</v>
      </c>
      <c r="H265" s="21">
        <f>INDEX(Data[],MATCH($A265,Data[Dist],0),MATCH(H$6,Data[#Headers],0))-G265</f>
        <v>66787424</v>
      </c>
      <c r="I265" s="24"/>
      <c r="J265" s="21">
        <f>INDEX(Notes!$I$2:$N$11,MATCH(Notes!$B$2,Notes!$I$2:$I$11,0),4)*$C265</f>
        <v>53649020</v>
      </c>
      <c r="K265" s="21">
        <f>INDEX(Notes!$I$2:$N$11,MATCH(Notes!$B$2,Notes!$I$2:$I$11,0),5)*$D265</f>
        <v>13357485</v>
      </c>
      <c r="L265" s="21">
        <f>INDEX(Notes!$I$2:$N$11,MATCH(Notes!$B$2,Notes!$I$2:$I$11,0),6)*$E265</f>
        <v>0</v>
      </c>
      <c r="M265" s="21">
        <f>IF(Notes!$B$2="June",'Payment Total'!$F265,0)</f>
        <v>0</v>
      </c>
      <c r="N265" s="21">
        <f t="shared" si="16"/>
        <v>0</v>
      </c>
      <c r="P265" s="25" t="s">
        <v>1088</v>
      </c>
      <c r="Q265" s="25">
        <v>13357485</v>
      </c>
      <c r="R265" s="20" t="str">
        <f t="shared" si="17"/>
        <v>6039</v>
      </c>
      <c r="S265" s="20" t="str">
        <f t="shared" si="18"/>
        <v>6039</v>
      </c>
      <c r="T265" s="41">
        <f t="shared" si="19"/>
        <v>0</v>
      </c>
      <c r="V265" s="41"/>
    </row>
    <row r="266" spans="1:22" s="25" customFormat="1" ht="12.75" x14ac:dyDescent="0.2">
      <c r="A266" s="19" t="str">
        <f>Data!B261</f>
        <v>6048</v>
      </c>
      <c r="B266" s="20" t="str">
        <f>INDEX(Data[],MATCH($A266,Data[Dist],0),MATCH(B$6,Data[#Headers],0))</f>
        <v>Sioux Central</v>
      </c>
      <c r="C266" s="21">
        <f>INDEX(Data[],MATCH($A266,Data[Dist],0),MATCH(C$6,Data[#Headers],0))</f>
        <v>282571</v>
      </c>
      <c r="D266" s="21">
        <f>INDEX(Data[],MATCH($A266,Data[Dist],0),MATCH(D$6,Data[#Headers],0))</f>
        <v>280933</v>
      </c>
      <c r="E266" s="21">
        <f>INDEX(Data[],MATCH($A266,Data[Dist],0),MATCH(E$6,Data[#Headers],0))</f>
        <v>280934</v>
      </c>
      <c r="F266" s="21">
        <f>INDEX(Data[],MATCH($A266,Data[Dist],0),MATCH(F$6,Data[#Headers],0))</f>
        <v>280932</v>
      </c>
      <c r="G266" s="21">
        <f>INDEX(Data[],MATCH($A266,Data[Dist],0),MATCH(G$6,Data[#Headers],0))</f>
        <v>1411217</v>
      </c>
      <c r="H266" s="21">
        <f>INDEX(Data[],MATCH($A266,Data[Dist],0),MATCH(H$6,Data[#Headers],0))-G266</f>
        <v>1404667</v>
      </c>
      <c r="I266" s="24"/>
      <c r="J266" s="21">
        <f>INDEX(Notes!$I$2:$N$11,MATCH(Notes!$B$2,Notes!$I$2:$I$11,0),4)*$C266</f>
        <v>1130284</v>
      </c>
      <c r="K266" s="21">
        <f>INDEX(Notes!$I$2:$N$11,MATCH(Notes!$B$2,Notes!$I$2:$I$11,0),5)*$D266</f>
        <v>280933</v>
      </c>
      <c r="L266" s="21">
        <f>INDEX(Notes!$I$2:$N$11,MATCH(Notes!$B$2,Notes!$I$2:$I$11,0),6)*$E266</f>
        <v>0</v>
      </c>
      <c r="M266" s="21">
        <f>IF(Notes!$B$2="June",'Payment Total'!$F266,0)</f>
        <v>0</v>
      </c>
      <c r="N266" s="21">
        <f t="shared" si="16"/>
        <v>0</v>
      </c>
      <c r="P266" s="25" t="s">
        <v>1089</v>
      </c>
      <c r="Q266" s="25">
        <v>280933</v>
      </c>
      <c r="R266" s="20" t="str">
        <f t="shared" si="17"/>
        <v>6035</v>
      </c>
      <c r="S266" s="20" t="str">
        <f t="shared" si="18"/>
        <v>6048</v>
      </c>
      <c r="T266" s="41">
        <f t="shared" si="19"/>
        <v>0</v>
      </c>
      <c r="V266" s="41"/>
    </row>
    <row r="267" spans="1:22" s="25" customFormat="1" ht="12.75" x14ac:dyDescent="0.2">
      <c r="A267" s="19" t="str">
        <f>Data!B262</f>
        <v>6091</v>
      </c>
      <c r="B267" s="20" t="str">
        <f>INDEX(Data[],MATCH($A267,Data[Dist],0),MATCH(B$6,Data[#Headers],0))</f>
        <v>South Central Calhoun</v>
      </c>
      <c r="C267" s="21">
        <f>INDEX(Data[],MATCH($A267,Data[Dist],0),MATCH(C$6,Data[#Headers],0))</f>
        <v>537088</v>
      </c>
      <c r="D267" s="21">
        <f>INDEX(Data[],MATCH($A267,Data[Dist],0),MATCH(D$6,Data[#Headers],0))</f>
        <v>533612</v>
      </c>
      <c r="E267" s="21">
        <f>INDEX(Data[],MATCH($A267,Data[Dist],0),MATCH(E$6,Data[#Headers],0))</f>
        <v>533612</v>
      </c>
      <c r="F267" s="21">
        <f>INDEX(Data[],MATCH($A267,Data[Dist],0),MATCH(F$6,Data[#Headers],0))</f>
        <v>533610</v>
      </c>
      <c r="G267" s="21">
        <f>INDEX(Data[],MATCH($A267,Data[Dist],0),MATCH(G$6,Data[#Headers],0))</f>
        <v>2681964</v>
      </c>
      <c r="H267" s="21">
        <f>INDEX(Data[],MATCH($A267,Data[Dist],0),MATCH(H$6,Data[#Headers],0))-G267</f>
        <v>2668058</v>
      </c>
      <c r="I267" s="24"/>
      <c r="J267" s="21">
        <f>INDEX(Notes!$I$2:$N$11,MATCH(Notes!$B$2,Notes!$I$2:$I$11,0),4)*$C267</f>
        <v>2148352</v>
      </c>
      <c r="K267" s="21">
        <f>INDEX(Notes!$I$2:$N$11,MATCH(Notes!$B$2,Notes!$I$2:$I$11,0),5)*$D267</f>
        <v>533612</v>
      </c>
      <c r="L267" s="21">
        <f>INDEX(Notes!$I$2:$N$11,MATCH(Notes!$B$2,Notes!$I$2:$I$11,0),6)*$E267</f>
        <v>0</v>
      </c>
      <c r="M267" s="21">
        <f>IF(Notes!$B$2="June",'Payment Total'!$F267,0)</f>
        <v>0</v>
      </c>
      <c r="N267" s="21">
        <f t="shared" si="16"/>
        <v>0</v>
      </c>
      <c r="P267" s="25" t="s">
        <v>1090</v>
      </c>
      <c r="Q267" s="25">
        <v>533612</v>
      </c>
      <c r="R267" s="20" t="str">
        <f t="shared" si="17"/>
        <v>6091</v>
      </c>
      <c r="S267" s="20" t="str">
        <f t="shared" si="18"/>
        <v>6091</v>
      </c>
      <c r="T267" s="41">
        <f t="shared" si="19"/>
        <v>0</v>
      </c>
      <c r="V267" s="41"/>
    </row>
    <row r="268" spans="1:22" s="25" customFormat="1" ht="12.75" x14ac:dyDescent="0.2">
      <c r="A268" s="19" t="str">
        <f>Data!B263</f>
        <v>6093</v>
      </c>
      <c r="B268" s="20" t="str">
        <f>INDEX(Data[],MATCH($A268,Data[Dist],0),MATCH(B$6,Data[#Headers],0))</f>
        <v>Solon</v>
      </c>
      <c r="C268" s="21">
        <f>INDEX(Data[],MATCH($A268,Data[Dist],0),MATCH(C$6,Data[#Headers],0))</f>
        <v>979787</v>
      </c>
      <c r="D268" s="21">
        <f>INDEX(Data[],MATCH($A268,Data[Dist],0),MATCH(D$6,Data[#Headers],0))</f>
        <v>974373</v>
      </c>
      <c r="E268" s="21">
        <f>INDEX(Data[],MATCH($A268,Data[Dist],0),MATCH(E$6,Data[#Headers],0))</f>
        <v>974372</v>
      </c>
      <c r="F268" s="21">
        <f>INDEX(Data[],MATCH($A268,Data[Dist],0),MATCH(F$6,Data[#Headers],0))</f>
        <v>974373</v>
      </c>
      <c r="G268" s="21">
        <f>INDEX(Data[],MATCH($A268,Data[Dist],0),MATCH(G$6,Data[#Headers],0))</f>
        <v>4893521</v>
      </c>
      <c r="H268" s="21">
        <f>INDEX(Data[],MATCH($A268,Data[Dist],0),MATCH(H$6,Data[#Headers],0))-G268</f>
        <v>4871862</v>
      </c>
      <c r="I268" s="24"/>
      <c r="J268" s="21">
        <f>INDEX(Notes!$I$2:$N$11,MATCH(Notes!$B$2,Notes!$I$2:$I$11,0),4)*$C268</f>
        <v>3919148</v>
      </c>
      <c r="K268" s="21">
        <f>INDEX(Notes!$I$2:$N$11,MATCH(Notes!$B$2,Notes!$I$2:$I$11,0),5)*$D268</f>
        <v>974373</v>
      </c>
      <c r="L268" s="21">
        <f>INDEX(Notes!$I$2:$N$11,MATCH(Notes!$B$2,Notes!$I$2:$I$11,0),6)*$E268</f>
        <v>0</v>
      </c>
      <c r="M268" s="21">
        <f>IF(Notes!$B$2="June",'Payment Total'!$F268,0)</f>
        <v>0</v>
      </c>
      <c r="N268" s="21">
        <f t="shared" si="16"/>
        <v>0</v>
      </c>
      <c r="P268" s="25" t="s">
        <v>1091</v>
      </c>
      <c r="Q268" s="25">
        <v>974373</v>
      </c>
      <c r="R268" s="20" t="str">
        <f t="shared" si="17"/>
        <v>6093</v>
      </c>
      <c r="S268" s="20" t="str">
        <f t="shared" si="18"/>
        <v>6093</v>
      </c>
      <c r="T268" s="41">
        <f t="shared" si="19"/>
        <v>0</v>
      </c>
      <c r="V268" s="41"/>
    </row>
    <row r="269" spans="1:22" s="25" customFormat="1" ht="12.75" x14ac:dyDescent="0.2">
      <c r="A269" s="19" t="str">
        <f>Data!B264</f>
        <v>6094</v>
      </c>
      <c r="B269" s="20" t="str">
        <f>INDEX(Data[],MATCH($A269,Data[Dist],0),MATCH(B$6,Data[#Headers],0))</f>
        <v>Southeast Warren</v>
      </c>
      <c r="C269" s="21">
        <f>INDEX(Data[],MATCH($A269,Data[Dist],0),MATCH(C$6,Data[#Headers],0))</f>
        <v>388675</v>
      </c>
      <c r="D269" s="21">
        <f>INDEX(Data[],MATCH($A269,Data[Dist],0),MATCH(D$6,Data[#Headers],0))</f>
        <v>386843</v>
      </c>
      <c r="E269" s="21">
        <f>INDEX(Data[],MATCH($A269,Data[Dist],0),MATCH(E$6,Data[#Headers],0))</f>
        <v>386843</v>
      </c>
      <c r="F269" s="21">
        <f>INDEX(Data[],MATCH($A269,Data[Dist],0),MATCH(F$6,Data[#Headers],0))</f>
        <v>386842</v>
      </c>
      <c r="G269" s="21">
        <f>INDEX(Data[],MATCH($A269,Data[Dist],0),MATCH(G$6,Data[#Headers],0))</f>
        <v>1941543</v>
      </c>
      <c r="H269" s="21">
        <f>INDEX(Data[],MATCH($A269,Data[Dist],0),MATCH(H$6,Data[#Headers],0))-G269</f>
        <v>1934214</v>
      </c>
      <c r="I269" s="24"/>
      <c r="J269" s="21">
        <f>INDEX(Notes!$I$2:$N$11,MATCH(Notes!$B$2,Notes!$I$2:$I$11,0),4)*$C269</f>
        <v>1554700</v>
      </c>
      <c r="K269" s="21">
        <f>INDEX(Notes!$I$2:$N$11,MATCH(Notes!$B$2,Notes!$I$2:$I$11,0),5)*$D269</f>
        <v>386843</v>
      </c>
      <c r="L269" s="21">
        <f>INDEX(Notes!$I$2:$N$11,MATCH(Notes!$B$2,Notes!$I$2:$I$11,0),6)*$E269</f>
        <v>0</v>
      </c>
      <c r="M269" s="21">
        <f>IF(Notes!$B$2="June",'Payment Total'!$F269,0)</f>
        <v>0</v>
      </c>
      <c r="N269" s="21">
        <f t="shared" si="16"/>
        <v>0</v>
      </c>
      <c r="P269" s="25" t="s">
        <v>1092</v>
      </c>
      <c r="Q269" s="25">
        <v>386843</v>
      </c>
      <c r="R269" s="20" t="str">
        <f t="shared" si="17"/>
        <v>6094</v>
      </c>
      <c r="S269" s="20" t="str">
        <f t="shared" si="18"/>
        <v>6094</v>
      </c>
      <c r="T269" s="41">
        <f t="shared" si="19"/>
        <v>0</v>
      </c>
      <c r="V269" s="41"/>
    </row>
    <row r="270" spans="1:22" s="25" customFormat="1" ht="12.75" x14ac:dyDescent="0.2">
      <c r="A270" s="19" t="str">
        <f>Data!B265</f>
        <v>6095</v>
      </c>
      <c r="B270" s="20" t="str">
        <f>INDEX(Data[],MATCH($A270,Data[Dist],0),MATCH(B$6,Data[#Headers],0))</f>
        <v>South Hamilton</v>
      </c>
      <c r="C270" s="21">
        <f>INDEX(Data[],MATCH($A270,Data[Dist],0),MATCH(C$6,Data[#Headers],0))</f>
        <v>367300</v>
      </c>
      <c r="D270" s="21">
        <f>INDEX(Data[],MATCH($A270,Data[Dist],0),MATCH(D$6,Data[#Headers],0))</f>
        <v>365015</v>
      </c>
      <c r="E270" s="21">
        <f>INDEX(Data[],MATCH($A270,Data[Dist],0),MATCH(E$6,Data[#Headers],0))</f>
        <v>365015</v>
      </c>
      <c r="F270" s="21">
        <f>INDEX(Data[],MATCH($A270,Data[Dist],0),MATCH(F$6,Data[#Headers],0))</f>
        <v>365015</v>
      </c>
      <c r="G270" s="21">
        <f>INDEX(Data[],MATCH($A270,Data[Dist],0),MATCH(G$6,Data[#Headers],0))</f>
        <v>1834215</v>
      </c>
      <c r="H270" s="21">
        <f>INDEX(Data[],MATCH($A270,Data[Dist],0),MATCH(H$6,Data[#Headers],0))-G270</f>
        <v>1825075</v>
      </c>
      <c r="I270" s="24"/>
      <c r="J270" s="21">
        <f>INDEX(Notes!$I$2:$N$11,MATCH(Notes!$B$2,Notes!$I$2:$I$11,0),4)*$C270</f>
        <v>1469200</v>
      </c>
      <c r="K270" s="21">
        <f>INDEX(Notes!$I$2:$N$11,MATCH(Notes!$B$2,Notes!$I$2:$I$11,0),5)*$D270</f>
        <v>365015</v>
      </c>
      <c r="L270" s="21">
        <f>INDEX(Notes!$I$2:$N$11,MATCH(Notes!$B$2,Notes!$I$2:$I$11,0),6)*$E270</f>
        <v>0</v>
      </c>
      <c r="M270" s="21">
        <f>IF(Notes!$B$2="June",'Payment Total'!$F270,0)</f>
        <v>0</v>
      </c>
      <c r="N270" s="21">
        <f t="shared" si="16"/>
        <v>0</v>
      </c>
      <c r="P270" s="25" t="s">
        <v>1093</v>
      </c>
      <c r="Q270" s="25">
        <v>365015</v>
      </c>
      <c r="R270" s="20" t="str">
        <f t="shared" si="17"/>
        <v>6095</v>
      </c>
      <c r="S270" s="20" t="str">
        <f t="shared" si="18"/>
        <v>6095</v>
      </c>
      <c r="T270" s="41">
        <f t="shared" si="19"/>
        <v>0</v>
      </c>
      <c r="V270" s="41"/>
    </row>
    <row r="271" spans="1:22" s="25" customFormat="1" ht="12.75" x14ac:dyDescent="0.2">
      <c r="A271" s="19" t="str">
        <f>Data!B266</f>
        <v>6096</v>
      </c>
      <c r="B271" s="20" t="str">
        <f>INDEX(Data[],MATCH($A271,Data[Dist],0),MATCH(B$6,Data[#Headers],0))</f>
        <v>Southeast Valley</v>
      </c>
      <c r="C271" s="21">
        <f>INDEX(Data[],MATCH($A271,Data[Dist],0),MATCH(C$6,Data[#Headers],0))</f>
        <v>694301</v>
      </c>
      <c r="D271" s="21">
        <f>INDEX(Data[],MATCH($A271,Data[Dist],0),MATCH(D$6,Data[#Headers],0))</f>
        <v>690154</v>
      </c>
      <c r="E271" s="21">
        <f>INDEX(Data[],MATCH($A271,Data[Dist],0),MATCH(E$6,Data[#Headers],0))</f>
        <v>690153</v>
      </c>
      <c r="F271" s="21">
        <f>INDEX(Data[],MATCH($A271,Data[Dist],0),MATCH(F$6,Data[#Headers],0))</f>
        <v>690154</v>
      </c>
      <c r="G271" s="21">
        <f>INDEX(Data[],MATCH($A271,Data[Dist],0),MATCH(G$6,Data[#Headers],0))</f>
        <v>3467358</v>
      </c>
      <c r="H271" s="21">
        <f>INDEX(Data[],MATCH($A271,Data[Dist],0),MATCH(H$6,Data[#Headers],0))-G271</f>
        <v>3450767</v>
      </c>
      <c r="I271" s="24"/>
      <c r="J271" s="21">
        <f>INDEX(Notes!$I$2:$N$11,MATCH(Notes!$B$2,Notes!$I$2:$I$11,0),4)*$C271</f>
        <v>2777204</v>
      </c>
      <c r="K271" s="21">
        <f>INDEX(Notes!$I$2:$N$11,MATCH(Notes!$B$2,Notes!$I$2:$I$11,0),5)*$D271</f>
        <v>690154</v>
      </c>
      <c r="L271" s="21">
        <f>INDEX(Notes!$I$2:$N$11,MATCH(Notes!$B$2,Notes!$I$2:$I$11,0),6)*$E271</f>
        <v>0</v>
      </c>
      <c r="M271" s="21">
        <f>IF(Notes!$B$2="June",'Payment Total'!$F271,0)</f>
        <v>0</v>
      </c>
      <c r="N271" s="21">
        <f t="shared" si="16"/>
        <v>0</v>
      </c>
      <c r="P271" s="25" t="s">
        <v>1094</v>
      </c>
      <c r="Q271" s="25">
        <v>690154</v>
      </c>
      <c r="R271" s="20" t="str">
        <f t="shared" si="17"/>
        <v>6096</v>
      </c>
      <c r="S271" s="20" t="str">
        <f t="shared" si="18"/>
        <v>6096</v>
      </c>
      <c r="T271" s="41">
        <f t="shared" si="19"/>
        <v>0</v>
      </c>
      <c r="V271" s="41"/>
    </row>
    <row r="272" spans="1:22" s="25" customFormat="1" ht="12.75" x14ac:dyDescent="0.2">
      <c r="A272" s="19" t="str">
        <f>Data!B267</f>
        <v>6097</v>
      </c>
      <c r="B272" s="20" t="str">
        <f>INDEX(Data[],MATCH($A272,Data[Dist],0),MATCH(B$6,Data[#Headers],0))</f>
        <v>South Page</v>
      </c>
      <c r="C272" s="21">
        <f>INDEX(Data[],MATCH($A272,Data[Dist],0),MATCH(C$6,Data[#Headers],0))</f>
        <v>139229</v>
      </c>
      <c r="D272" s="21">
        <f>INDEX(Data[],MATCH($A272,Data[Dist],0),MATCH(D$6,Data[#Headers],0))</f>
        <v>138489</v>
      </c>
      <c r="E272" s="21">
        <f>INDEX(Data[],MATCH($A272,Data[Dist],0),MATCH(E$6,Data[#Headers],0))</f>
        <v>138488</v>
      </c>
      <c r="F272" s="21">
        <f>INDEX(Data[],MATCH($A272,Data[Dist],0),MATCH(F$6,Data[#Headers],0))</f>
        <v>138489</v>
      </c>
      <c r="G272" s="21">
        <f>INDEX(Data[],MATCH($A272,Data[Dist],0),MATCH(G$6,Data[#Headers],0))</f>
        <v>695405</v>
      </c>
      <c r="H272" s="21">
        <f>INDEX(Data[],MATCH($A272,Data[Dist],0),MATCH(H$6,Data[#Headers],0))-G272</f>
        <v>692442</v>
      </c>
      <c r="I272" s="24"/>
      <c r="J272" s="21">
        <f>INDEX(Notes!$I$2:$N$11,MATCH(Notes!$B$2,Notes!$I$2:$I$11,0),4)*$C272</f>
        <v>556916</v>
      </c>
      <c r="K272" s="21">
        <f>INDEX(Notes!$I$2:$N$11,MATCH(Notes!$B$2,Notes!$I$2:$I$11,0),5)*$D272</f>
        <v>138489</v>
      </c>
      <c r="L272" s="21">
        <f>INDEX(Notes!$I$2:$N$11,MATCH(Notes!$B$2,Notes!$I$2:$I$11,0),6)*$E272</f>
        <v>0</v>
      </c>
      <c r="M272" s="21">
        <f>IF(Notes!$B$2="June",'Payment Total'!$F272,0)</f>
        <v>0</v>
      </c>
      <c r="N272" s="21">
        <f t="shared" si="16"/>
        <v>0</v>
      </c>
      <c r="P272" s="25" t="s">
        <v>1095</v>
      </c>
      <c r="Q272" s="25">
        <v>138489</v>
      </c>
      <c r="R272" s="20" t="str">
        <f t="shared" si="17"/>
        <v>6097</v>
      </c>
      <c r="S272" s="20" t="str">
        <f t="shared" si="18"/>
        <v>6097</v>
      </c>
      <c r="T272" s="41">
        <f t="shared" si="19"/>
        <v>0</v>
      </c>
      <c r="V272" s="41"/>
    </row>
    <row r="273" spans="1:22" s="25" customFormat="1" ht="12.75" x14ac:dyDescent="0.2">
      <c r="A273" s="19" t="str">
        <f>Data!B268</f>
        <v>6098</v>
      </c>
      <c r="B273" s="20" t="str">
        <f>INDEX(Data[],MATCH($A273,Data[Dist],0),MATCH(B$6,Data[#Headers],0))</f>
        <v>South Tama</v>
      </c>
      <c r="C273" s="21">
        <f>INDEX(Data[],MATCH($A273,Data[Dist],0),MATCH(C$6,Data[#Headers],0))</f>
        <v>1210974</v>
      </c>
      <c r="D273" s="21">
        <f>INDEX(Data[],MATCH($A273,Data[Dist],0),MATCH(D$6,Data[#Headers],0))</f>
        <v>1205716</v>
      </c>
      <c r="E273" s="21">
        <f>INDEX(Data[],MATCH($A273,Data[Dist],0),MATCH(E$6,Data[#Headers],0))</f>
        <v>1205717</v>
      </c>
      <c r="F273" s="21">
        <f>INDEX(Data[],MATCH($A273,Data[Dist],0),MATCH(F$6,Data[#Headers],0))</f>
        <v>1205715</v>
      </c>
      <c r="G273" s="21">
        <f>INDEX(Data[],MATCH($A273,Data[Dist],0),MATCH(G$6,Data[#Headers],0))</f>
        <v>6049612</v>
      </c>
      <c r="H273" s="21">
        <f>INDEX(Data[],MATCH($A273,Data[Dist],0),MATCH(H$6,Data[#Headers],0))-G273</f>
        <v>6028582</v>
      </c>
      <c r="I273" s="24"/>
      <c r="J273" s="21">
        <f>INDEX(Notes!$I$2:$N$11,MATCH(Notes!$B$2,Notes!$I$2:$I$11,0),4)*$C273</f>
        <v>4843896</v>
      </c>
      <c r="K273" s="21">
        <f>INDEX(Notes!$I$2:$N$11,MATCH(Notes!$B$2,Notes!$I$2:$I$11,0),5)*$D273</f>
        <v>1205716</v>
      </c>
      <c r="L273" s="21">
        <f>INDEX(Notes!$I$2:$N$11,MATCH(Notes!$B$2,Notes!$I$2:$I$11,0),6)*$E273</f>
        <v>0</v>
      </c>
      <c r="M273" s="21">
        <f>IF(Notes!$B$2="June",'Payment Total'!$F273,0)</f>
        <v>0</v>
      </c>
      <c r="N273" s="21">
        <f t="shared" si="16"/>
        <v>0</v>
      </c>
      <c r="P273" s="25" t="s">
        <v>1096</v>
      </c>
      <c r="Q273" s="25">
        <v>1205716</v>
      </c>
      <c r="R273" s="20" t="str">
        <f t="shared" si="17"/>
        <v>6098</v>
      </c>
      <c r="S273" s="20" t="str">
        <f t="shared" si="18"/>
        <v>6098</v>
      </c>
      <c r="T273" s="41">
        <f t="shared" si="19"/>
        <v>0</v>
      </c>
      <c r="V273" s="41"/>
    </row>
    <row r="274" spans="1:22" s="25" customFormat="1" ht="12.75" x14ac:dyDescent="0.2">
      <c r="A274" s="19" t="str">
        <f>Data!B269</f>
        <v>6100</v>
      </c>
      <c r="B274" s="20" t="str">
        <f>INDEX(Data[],MATCH($A274,Data[Dist],0),MATCH(B$6,Data[#Headers],0))</f>
        <v>South Winneshiek</v>
      </c>
      <c r="C274" s="21">
        <f>INDEX(Data[],MATCH($A274,Data[Dist],0),MATCH(C$6,Data[#Headers],0))</f>
        <v>417402</v>
      </c>
      <c r="D274" s="21">
        <f>INDEX(Data[],MATCH($A274,Data[Dist],0),MATCH(D$6,Data[#Headers],0))</f>
        <v>415401</v>
      </c>
      <c r="E274" s="21">
        <f>INDEX(Data[],MATCH($A274,Data[Dist],0),MATCH(E$6,Data[#Headers],0))</f>
        <v>415401</v>
      </c>
      <c r="F274" s="21">
        <f>INDEX(Data[],MATCH($A274,Data[Dist],0),MATCH(F$6,Data[#Headers],0))</f>
        <v>415401</v>
      </c>
      <c r="G274" s="21">
        <f>INDEX(Data[],MATCH($A274,Data[Dist],0),MATCH(G$6,Data[#Headers],0))</f>
        <v>2085009</v>
      </c>
      <c r="H274" s="21">
        <f>INDEX(Data[],MATCH($A274,Data[Dist],0),MATCH(H$6,Data[#Headers],0))-G274</f>
        <v>2077005</v>
      </c>
      <c r="I274" s="24"/>
      <c r="J274" s="21">
        <f>INDEX(Notes!$I$2:$N$11,MATCH(Notes!$B$2,Notes!$I$2:$I$11,0),4)*$C274</f>
        <v>1669608</v>
      </c>
      <c r="K274" s="21">
        <f>INDEX(Notes!$I$2:$N$11,MATCH(Notes!$B$2,Notes!$I$2:$I$11,0),5)*$D274</f>
        <v>415401</v>
      </c>
      <c r="L274" s="21">
        <f>INDEX(Notes!$I$2:$N$11,MATCH(Notes!$B$2,Notes!$I$2:$I$11,0),6)*$E274</f>
        <v>0</v>
      </c>
      <c r="M274" s="21">
        <f>IF(Notes!$B$2="June",'Payment Total'!$F274,0)</f>
        <v>0</v>
      </c>
      <c r="N274" s="21">
        <f t="shared" si="16"/>
        <v>0</v>
      </c>
      <c r="P274" s="25" t="s">
        <v>1097</v>
      </c>
      <c r="Q274" s="25">
        <v>415401</v>
      </c>
      <c r="R274" s="20" t="str">
        <f t="shared" si="17"/>
        <v>6100</v>
      </c>
      <c r="S274" s="20" t="str">
        <f t="shared" si="18"/>
        <v>6100</v>
      </c>
      <c r="T274" s="41">
        <f t="shared" si="19"/>
        <v>0</v>
      </c>
      <c r="V274" s="41"/>
    </row>
    <row r="275" spans="1:22" s="25" customFormat="1" ht="12.75" x14ac:dyDescent="0.2">
      <c r="A275" s="19" t="str">
        <f>Data!B270</f>
        <v>6101</v>
      </c>
      <c r="B275" s="20" t="str">
        <f>INDEX(Data[],MATCH($A275,Data[Dist],0),MATCH(B$6,Data[#Headers],0))</f>
        <v>Southeast Polk</v>
      </c>
      <c r="C275" s="21">
        <f>INDEX(Data[],MATCH($A275,Data[Dist],0),MATCH(C$6,Data[#Headers],0))</f>
        <v>5647856</v>
      </c>
      <c r="D275" s="21">
        <f>INDEX(Data[],MATCH($A275,Data[Dist],0),MATCH(D$6,Data[#Headers],0))</f>
        <v>5620827</v>
      </c>
      <c r="E275" s="21">
        <f>INDEX(Data[],MATCH($A275,Data[Dist],0),MATCH(E$6,Data[#Headers],0))</f>
        <v>5620827</v>
      </c>
      <c r="F275" s="21">
        <f>INDEX(Data[],MATCH($A275,Data[Dist],0),MATCH(F$6,Data[#Headers],0))</f>
        <v>5620827</v>
      </c>
      <c r="G275" s="21">
        <f>INDEX(Data[],MATCH($A275,Data[Dist],0),MATCH(G$6,Data[#Headers],0))</f>
        <v>28212251</v>
      </c>
      <c r="H275" s="21">
        <f>INDEX(Data[],MATCH($A275,Data[Dist],0),MATCH(H$6,Data[#Headers],0))-G275</f>
        <v>28104135</v>
      </c>
      <c r="I275" s="24"/>
      <c r="J275" s="21">
        <f>INDEX(Notes!$I$2:$N$11,MATCH(Notes!$B$2,Notes!$I$2:$I$11,0),4)*$C275</f>
        <v>22591424</v>
      </c>
      <c r="K275" s="21">
        <f>INDEX(Notes!$I$2:$N$11,MATCH(Notes!$B$2,Notes!$I$2:$I$11,0),5)*$D275</f>
        <v>5620827</v>
      </c>
      <c r="L275" s="21">
        <f>INDEX(Notes!$I$2:$N$11,MATCH(Notes!$B$2,Notes!$I$2:$I$11,0),6)*$E275</f>
        <v>0</v>
      </c>
      <c r="M275" s="21">
        <f>IF(Notes!$B$2="June",'Payment Total'!$F275,0)</f>
        <v>0</v>
      </c>
      <c r="N275" s="21">
        <f t="shared" si="16"/>
        <v>0</v>
      </c>
      <c r="P275" s="25" t="s">
        <v>1098</v>
      </c>
      <c r="Q275" s="25">
        <v>5620827</v>
      </c>
      <c r="R275" s="20" t="str">
        <f t="shared" si="17"/>
        <v>6101</v>
      </c>
      <c r="S275" s="20" t="str">
        <f t="shared" si="18"/>
        <v>6101</v>
      </c>
      <c r="T275" s="41">
        <f t="shared" si="19"/>
        <v>0</v>
      </c>
      <c r="V275" s="41"/>
    </row>
    <row r="276" spans="1:22" s="25" customFormat="1" ht="12.75" x14ac:dyDescent="0.2">
      <c r="A276" s="19" t="str">
        <f>Data!B271</f>
        <v>6102</v>
      </c>
      <c r="B276" s="20" t="str">
        <f>INDEX(Data[],MATCH($A276,Data[Dist],0),MATCH(B$6,Data[#Headers],0))</f>
        <v>Spencer</v>
      </c>
      <c r="C276" s="21">
        <f>INDEX(Data[],MATCH($A276,Data[Dist],0),MATCH(C$6,Data[#Headers],0))</f>
        <v>1643516</v>
      </c>
      <c r="D276" s="21">
        <f>INDEX(Data[],MATCH($A276,Data[Dist],0),MATCH(D$6,Data[#Headers],0))</f>
        <v>1635963</v>
      </c>
      <c r="E276" s="21">
        <f>INDEX(Data[],MATCH($A276,Data[Dist],0),MATCH(E$6,Data[#Headers],0))</f>
        <v>1635963</v>
      </c>
      <c r="F276" s="21">
        <f>INDEX(Data[],MATCH($A276,Data[Dist],0),MATCH(F$6,Data[#Headers],0))</f>
        <v>1635961</v>
      </c>
      <c r="G276" s="21">
        <f>INDEX(Data[],MATCH($A276,Data[Dist],0),MATCH(G$6,Data[#Headers],0))</f>
        <v>8210027</v>
      </c>
      <c r="H276" s="21">
        <f>INDEX(Data[],MATCH($A276,Data[Dist],0),MATCH(H$6,Data[#Headers],0))-G276</f>
        <v>8179813</v>
      </c>
      <c r="I276" s="24"/>
      <c r="J276" s="21">
        <f>INDEX(Notes!$I$2:$N$11,MATCH(Notes!$B$2,Notes!$I$2:$I$11,0),4)*$C276</f>
        <v>6574064</v>
      </c>
      <c r="K276" s="21">
        <f>INDEX(Notes!$I$2:$N$11,MATCH(Notes!$B$2,Notes!$I$2:$I$11,0),5)*$D276</f>
        <v>1635963</v>
      </c>
      <c r="L276" s="21">
        <f>INDEX(Notes!$I$2:$N$11,MATCH(Notes!$B$2,Notes!$I$2:$I$11,0),6)*$E276</f>
        <v>0</v>
      </c>
      <c r="M276" s="21">
        <f>IF(Notes!$B$2="June",'Payment Total'!$F276,0)</f>
        <v>0</v>
      </c>
      <c r="N276" s="21">
        <f t="shared" si="16"/>
        <v>0</v>
      </c>
      <c r="P276" s="25" t="s">
        <v>1099</v>
      </c>
      <c r="Q276" s="25">
        <v>1635963</v>
      </c>
      <c r="R276" s="20" t="str">
        <f t="shared" si="17"/>
        <v>6102</v>
      </c>
      <c r="S276" s="20" t="str">
        <f t="shared" si="18"/>
        <v>6102</v>
      </c>
      <c r="T276" s="41">
        <f t="shared" si="19"/>
        <v>0</v>
      </c>
      <c r="V276" s="41"/>
    </row>
    <row r="277" spans="1:22" s="25" customFormat="1" ht="12.75" x14ac:dyDescent="0.2">
      <c r="A277" s="19" t="str">
        <f>Data!B272</f>
        <v>6120</v>
      </c>
      <c r="B277" s="20" t="str">
        <f>INDEX(Data[],MATCH($A277,Data[Dist],0),MATCH(B$6,Data[#Headers],0))</f>
        <v>Spirit Lake</v>
      </c>
      <c r="C277" s="21">
        <f>INDEX(Data[],MATCH($A277,Data[Dist],0),MATCH(C$6,Data[#Headers],0))</f>
        <v>208364</v>
      </c>
      <c r="D277" s="21">
        <f>INDEX(Data[],MATCH($A277,Data[Dist],0),MATCH(D$6,Data[#Headers],0))</f>
        <v>203969</v>
      </c>
      <c r="E277" s="21">
        <f>INDEX(Data[],MATCH($A277,Data[Dist],0),MATCH(E$6,Data[#Headers],0))</f>
        <v>203969</v>
      </c>
      <c r="F277" s="21">
        <f>INDEX(Data[],MATCH($A277,Data[Dist],0),MATCH(F$6,Data[#Headers],0))</f>
        <v>203968</v>
      </c>
      <c r="G277" s="21">
        <f>INDEX(Data[],MATCH($A277,Data[Dist],0),MATCH(G$6,Data[#Headers],0))</f>
        <v>1037425</v>
      </c>
      <c r="H277" s="21">
        <f>INDEX(Data[],MATCH($A277,Data[Dist],0),MATCH(H$6,Data[#Headers],0))-G277</f>
        <v>1019844</v>
      </c>
      <c r="I277" s="24"/>
      <c r="J277" s="21">
        <f>INDEX(Notes!$I$2:$N$11,MATCH(Notes!$B$2,Notes!$I$2:$I$11,0),4)*$C277</f>
        <v>833456</v>
      </c>
      <c r="K277" s="21">
        <f>INDEX(Notes!$I$2:$N$11,MATCH(Notes!$B$2,Notes!$I$2:$I$11,0),5)*$D277</f>
        <v>203969</v>
      </c>
      <c r="L277" s="21">
        <f>INDEX(Notes!$I$2:$N$11,MATCH(Notes!$B$2,Notes!$I$2:$I$11,0),6)*$E277</f>
        <v>0</v>
      </c>
      <c r="M277" s="21">
        <f>IF(Notes!$B$2="June",'Payment Total'!$F277,0)</f>
        <v>0</v>
      </c>
      <c r="N277" s="21">
        <f t="shared" si="16"/>
        <v>0</v>
      </c>
      <c r="P277" s="25" t="s">
        <v>1100</v>
      </c>
      <c r="Q277" s="25">
        <v>203969</v>
      </c>
      <c r="R277" s="20" t="str">
        <f t="shared" si="17"/>
        <v>6120</v>
      </c>
      <c r="S277" s="20" t="str">
        <f t="shared" si="18"/>
        <v>6120</v>
      </c>
      <c r="T277" s="41">
        <f t="shared" si="19"/>
        <v>0</v>
      </c>
      <c r="V277" s="41"/>
    </row>
    <row r="278" spans="1:22" s="25" customFormat="1" ht="12.75" x14ac:dyDescent="0.2">
      <c r="A278" s="19" t="str">
        <f>Data!B273</f>
        <v>6138</v>
      </c>
      <c r="B278" s="20" t="str">
        <f>INDEX(Data[],MATCH($A278,Data[Dist],0),MATCH(B$6,Data[#Headers],0))</f>
        <v>Springville</v>
      </c>
      <c r="C278" s="21">
        <f>INDEX(Data[],MATCH($A278,Data[Dist],0),MATCH(C$6,Data[#Headers],0))</f>
        <v>316427</v>
      </c>
      <c r="D278" s="21">
        <f>INDEX(Data[],MATCH($A278,Data[Dist],0),MATCH(D$6,Data[#Headers],0))</f>
        <v>314884</v>
      </c>
      <c r="E278" s="21">
        <f>INDEX(Data[],MATCH($A278,Data[Dist],0),MATCH(E$6,Data[#Headers],0))</f>
        <v>314883</v>
      </c>
      <c r="F278" s="21">
        <f>INDEX(Data[],MATCH($A278,Data[Dist],0),MATCH(F$6,Data[#Headers],0))</f>
        <v>314884</v>
      </c>
      <c r="G278" s="21">
        <f>INDEX(Data[],MATCH($A278,Data[Dist],0),MATCH(G$6,Data[#Headers],0))</f>
        <v>1580592</v>
      </c>
      <c r="H278" s="21">
        <f>INDEX(Data[],MATCH($A278,Data[Dist],0),MATCH(H$6,Data[#Headers],0))-G278</f>
        <v>1574417</v>
      </c>
      <c r="I278" s="24"/>
      <c r="J278" s="21">
        <f>INDEX(Notes!$I$2:$N$11,MATCH(Notes!$B$2,Notes!$I$2:$I$11,0),4)*$C278</f>
        <v>1265708</v>
      </c>
      <c r="K278" s="21">
        <f>INDEX(Notes!$I$2:$N$11,MATCH(Notes!$B$2,Notes!$I$2:$I$11,0),5)*$D278</f>
        <v>314884</v>
      </c>
      <c r="L278" s="21">
        <f>INDEX(Notes!$I$2:$N$11,MATCH(Notes!$B$2,Notes!$I$2:$I$11,0),6)*$E278</f>
        <v>0</v>
      </c>
      <c r="M278" s="21">
        <f>IF(Notes!$B$2="June",'Payment Total'!$F278,0)</f>
        <v>0</v>
      </c>
      <c r="N278" s="21">
        <f t="shared" si="16"/>
        <v>0</v>
      </c>
      <c r="P278" s="25" t="s">
        <v>1101</v>
      </c>
      <c r="Q278" s="25">
        <v>314884</v>
      </c>
      <c r="R278" s="20" t="str">
        <f t="shared" si="17"/>
        <v>6138</v>
      </c>
      <c r="S278" s="20" t="str">
        <f t="shared" si="18"/>
        <v>6138</v>
      </c>
      <c r="T278" s="41">
        <f t="shared" si="19"/>
        <v>0</v>
      </c>
      <c r="V278" s="41"/>
    </row>
    <row r="279" spans="1:22" s="25" customFormat="1" ht="12.75" x14ac:dyDescent="0.2">
      <c r="A279" s="19" t="str">
        <f>Data!B274</f>
        <v>6165</v>
      </c>
      <c r="B279" s="20" t="str">
        <f>INDEX(Data[],MATCH($A279,Data[Dist],0),MATCH(B$6,Data[#Headers],0))</f>
        <v>Stanton</v>
      </c>
      <c r="C279" s="21">
        <f>INDEX(Data[],MATCH($A279,Data[Dist],0),MATCH(C$6,Data[#Headers],0))</f>
        <v>150905</v>
      </c>
      <c r="D279" s="21">
        <f>INDEX(Data[],MATCH($A279,Data[Dist],0),MATCH(D$6,Data[#Headers],0))</f>
        <v>150202</v>
      </c>
      <c r="E279" s="21">
        <f>INDEX(Data[],MATCH($A279,Data[Dist],0),MATCH(E$6,Data[#Headers],0))</f>
        <v>150202</v>
      </c>
      <c r="F279" s="21">
        <f>INDEX(Data[],MATCH($A279,Data[Dist],0),MATCH(F$6,Data[#Headers],0))</f>
        <v>150201</v>
      </c>
      <c r="G279" s="21">
        <f>INDEX(Data[],MATCH($A279,Data[Dist],0),MATCH(G$6,Data[#Headers],0))</f>
        <v>753822</v>
      </c>
      <c r="H279" s="21">
        <f>INDEX(Data[],MATCH($A279,Data[Dist],0),MATCH(H$6,Data[#Headers],0))-G279</f>
        <v>751009</v>
      </c>
      <c r="I279" s="24"/>
      <c r="J279" s="21">
        <f>INDEX(Notes!$I$2:$N$11,MATCH(Notes!$B$2,Notes!$I$2:$I$11,0),4)*$C279</f>
        <v>603620</v>
      </c>
      <c r="K279" s="21">
        <f>INDEX(Notes!$I$2:$N$11,MATCH(Notes!$B$2,Notes!$I$2:$I$11,0),5)*$D279</f>
        <v>150202</v>
      </c>
      <c r="L279" s="21">
        <f>INDEX(Notes!$I$2:$N$11,MATCH(Notes!$B$2,Notes!$I$2:$I$11,0),6)*$E279</f>
        <v>0</v>
      </c>
      <c r="M279" s="21">
        <f>IF(Notes!$B$2="June",'Payment Total'!$F279,0)</f>
        <v>0</v>
      </c>
      <c r="N279" s="21">
        <f t="shared" si="16"/>
        <v>0</v>
      </c>
      <c r="P279" s="25" t="s">
        <v>1102</v>
      </c>
      <c r="Q279" s="25">
        <v>150202</v>
      </c>
      <c r="R279" s="20" t="str">
        <f t="shared" si="17"/>
        <v>6165</v>
      </c>
      <c r="S279" s="20" t="str">
        <f t="shared" si="18"/>
        <v>6165</v>
      </c>
      <c r="T279" s="41">
        <f t="shared" si="19"/>
        <v>0</v>
      </c>
      <c r="V279" s="41"/>
    </row>
    <row r="280" spans="1:22" s="25" customFormat="1" ht="12.75" x14ac:dyDescent="0.2">
      <c r="A280" s="19" t="str">
        <f>Data!B275</f>
        <v>6175</v>
      </c>
      <c r="B280" s="20" t="str">
        <f>INDEX(Data[],MATCH($A280,Data[Dist],0),MATCH(B$6,Data[#Headers],0))</f>
        <v>Starmont</v>
      </c>
      <c r="C280" s="21">
        <f>INDEX(Data[],MATCH($A280,Data[Dist],0),MATCH(C$6,Data[#Headers],0))</f>
        <v>426329</v>
      </c>
      <c r="D280" s="21">
        <f>INDEX(Data[],MATCH($A280,Data[Dist],0),MATCH(D$6,Data[#Headers],0))</f>
        <v>424170</v>
      </c>
      <c r="E280" s="21">
        <f>INDEX(Data[],MATCH($A280,Data[Dist],0),MATCH(E$6,Data[#Headers],0))</f>
        <v>424170</v>
      </c>
      <c r="F280" s="21">
        <f>INDEX(Data[],MATCH($A280,Data[Dist],0),MATCH(F$6,Data[#Headers],0))</f>
        <v>424170</v>
      </c>
      <c r="G280" s="21">
        <f>INDEX(Data[],MATCH($A280,Data[Dist],0),MATCH(G$6,Data[#Headers],0))</f>
        <v>2129486</v>
      </c>
      <c r="H280" s="21">
        <f>INDEX(Data[],MATCH($A280,Data[Dist],0),MATCH(H$6,Data[#Headers],0))-G280</f>
        <v>2120850</v>
      </c>
      <c r="I280" s="24"/>
      <c r="J280" s="21">
        <f>INDEX(Notes!$I$2:$N$11,MATCH(Notes!$B$2,Notes!$I$2:$I$11,0),4)*$C280</f>
        <v>1705316</v>
      </c>
      <c r="K280" s="21">
        <f>INDEX(Notes!$I$2:$N$11,MATCH(Notes!$B$2,Notes!$I$2:$I$11,0),5)*$D280</f>
        <v>424170</v>
      </c>
      <c r="L280" s="21">
        <f>INDEX(Notes!$I$2:$N$11,MATCH(Notes!$B$2,Notes!$I$2:$I$11,0),6)*$E280</f>
        <v>0</v>
      </c>
      <c r="M280" s="21">
        <f>IF(Notes!$B$2="June",'Payment Total'!$F280,0)</f>
        <v>0</v>
      </c>
      <c r="N280" s="21">
        <f t="shared" si="16"/>
        <v>0</v>
      </c>
      <c r="P280" s="25" t="s">
        <v>1103</v>
      </c>
      <c r="Q280" s="25">
        <v>424170</v>
      </c>
      <c r="R280" s="20" t="str">
        <f t="shared" si="17"/>
        <v>6175</v>
      </c>
      <c r="S280" s="20" t="str">
        <f t="shared" si="18"/>
        <v>6175</v>
      </c>
      <c r="T280" s="41">
        <f t="shared" si="19"/>
        <v>0</v>
      </c>
      <c r="V280" s="41"/>
    </row>
    <row r="281" spans="1:22" s="25" customFormat="1" ht="12.75" x14ac:dyDescent="0.2">
      <c r="A281" s="19" t="str">
        <f>Data!B276</f>
        <v>6219</v>
      </c>
      <c r="B281" s="20" t="str">
        <f>INDEX(Data[],MATCH($A281,Data[Dist],0),MATCH(B$6,Data[#Headers],0))</f>
        <v>Storm Lake</v>
      </c>
      <c r="C281" s="21">
        <f>INDEX(Data[],MATCH($A281,Data[Dist],0),MATCH(C$6,Data[#Headers],0))</f>
        <v>2407308</v>
      </c>
      <c r="D281" s="21">
        <f>INDEX(Data[],MATCH($A281,Data[Dist],0),MATCH(D$6,Data[#Headers],0))</f>
        <v>2397614</v>
      </c>
      <c r="E281" s="21">
        <f>INDEX(Data[],MATCH($A281,Data[Dist],0),MATCH(E$6,Data[#Headers],0))</f>
        <v>2397614</v>
      </c>
      <c r="F281" s="21">
        <f>INDEX(Data[],MATCH($A281,Data[Dist],0),MATCH(F$6,Data[#Headers],0))</f>
        <v>2397613</v>
      </c>
      <c r="G281" s="21">
        <f>INDEX(Data[],MATCH($A281,Data[Dist],0),MATCH(G$6,Data[#Headers],0))</f>
        <v>12026846</v>
      </c>
      <c r="H281" s="21">
        <f>INDEX(Data[],MATCH($A281,Data[Dist],0),MATCH(H$6,Data[#Headers],0))-G281</f>
        <v>11988069</v>
      </c>
      <c r="I281" s="24"/>
      <c r="J281" s="21">
        <f>INDEX(Notes!$I$2:$N$11,MATCH(Notes!$B$2,Notes!$I$2:$I$11,0),4)*$C281</f>
        <v>9629232</v>
      </c>
      <c r="K281" s="21">
        <f>INDEX(Notes!$I$2:$N$11,MATCH(Notes!$B$2,Notes!$I$2:$I$11,0),5)*$D281</f>
        <v>2397614</v>
      </c>
      <c r="L281" s="21">
        <f>INDEX(Notes!$I$2:$N$11,MATCH(Notes!$B$2,Notes!$I$2:$I$11,0),6)*$E281</f>
        <v>0</v>
      </c>
      <c r="M281" s="21">
        <f>IF(Notes!$B$2="June",'Payment Total'!$F281,0)</f>
        <v>0</v>
      </c>
      <c r="N281" s="21">
        <f t="shared" si="16"/>
        <v>0</v>
      </c>
      <c r="P281" s="25" t="s">
        <v>1104</v>
      </c>
      <c r="Q281" s="25">
        <v>2397614</v>
      </c>
      <c r="R281" s="20" t="str">
        <f t="shared" si="17"/>
        <v>6219</v>
      </c>
      <c r="S281" s="20" t="str">
        <f t="shared" si="18"/>
        <v>6219</v>
      </c>
      <c r="T281" s="41">
        <f t="shared" si="19"/>
        <v>0</v>
      </c>
      <c r="V281" s="41"/>
    </row>
    <row r="282" spans="1:22" s="25" customFormat="1" ht="12.75" x14ac:dyDescent="0.2">
      <c r="A282" s="19" t="str">
        <f>Data!B277</f>
        <v>6246</v>
      </c>
      <c r="B282" s="20" t="str">
        <f>INDEX(Data[],MATCH($A282,Data[Dist],0),MATCH(B$6,Data[#Headers],0))</f>
        <v>Stratford</v>
      </c>
      <c r="C282" s="21">
        <f>INDEX(Data[],MATCH($A282,Data[Dist],0),MATCH(C$6,Data[#Headers],0))</f>
        <v>111694</v>
      </c>
      <c r="D282" s="21">
        <f>INDEX(Data[],MATCH($A282,Data[Dist],0),MATCH(D$6,Data[#Headers],0))</f>
        <v>111146</v>
      </c>
      <c r="E282" s="21">
        <f>INDEX(Data[],MATCH($A282,Data[Dist],0),MATCH(E$6,Data[#Headers],0))</f>
        <v>111145</v>
      </c>
      <c r="F282" s="21">
        <f>INDEX(Data[],MATCH($A282,Data[Dist],0),MATCH(F$6,Data[#Headers],0))</f>
        <v>111146</v>
      </c>
      <c r="G282" s="21">
        <f>INDEX(Data[],MATCH($A282,Data[Dist],0),MATCH(G$6,Data[#Headers],0))</f>
        <v>557922</v>
      </c>
      <c r="H282" s="21">
        <f>INDEX(Data[],MATCH($A282,Data[Dist],0),MATCH(H$6,Data[#Headers],0))-G282</f>
        <v>555727</v>
      </c>
      <c r="I282" s="24"/>
      <c r="J282" s="21">
        <f>INDEX(Notes!$I$2:$N$11,MATCH(Notes!$B$2,Notes!$I$2:$I$11,0),4)*$C282</f>
        <v>446776</v>
      </c>
      <c r="K282" s="21">
        <f>INDEX(Notes!$I$2:$N$11,MATCH(Notes!$B$2,Notes!$I$2:$I$11,0),5)*$D282</f>
        <v>111146</v>
      </c>
      <c r="L282" s="21">
        <f>INDEX(Notes!$I$2:$N$11,MATCH(Notes!$B$2,Notes!$I$2:$I$11,0),6)*$E282</f>
        <v>0</v>
      </c>
      <c r="M282" s="21">
        <f>IF(Notes!$B$2="June",'Payment Total'!$F282,0)</f>
        <v>0</v>
      </c>
      <c r="N282" s="21">
        <f t="shared" si="16"/>
        <v>0</v>
      </c>
      <c r="P282" s="25" t="s">
        <v>1105</v>
      </c>
      <c r="Q282" s="25">
        <v>111146</v>
      </c>
      <c r="R282" s="20" t="str">
        <f t="shared" si="17"/>
        <v>6246</v>
      </c>
      <c r="S282" s="20" t="str">
        <f t="shared" si="18"/>
        <v>6246</v>
      </c>
      <c r="T282" s="41">
        <f t="shared" si="19"/>
        <v>0</v>
      </c>
      <c r="V282" s="41"/>
    </row>
    <row r="283" spans="1:22" s="25" customFormat="1" ht="12.75" x14ac:dyDescent="0.2">
      <c r="A283" s="19" t="str">
        <f>Data!B278</f>
        <v>6264</v>
      </c>
      <c r="B283" s="20" t="str">
        <f>INDEX(Data[],MATCH($A283,Data[Dist],0),MATCH(B$6,Data[#Headers],0))</f>
        <v>West Central Valley</v>
      </c>
      <c r="C283" s="21">
        <f>INDEX(Data[],MATCH($A283,Data[Dist],0),MATCH(C$6,Data[#Headers],0))</f>
        <v>564551</v>
      </c>
      <c r="D283" s="21">
        <f>INDEX(Data[],MATCH($A283,Data[Dist],0),MATCH(D$6,Data[#Headers],0))</f>
        <v>561018</v>
      </c>
      <c r="E283" s="21">
        <f>INDEX(Data[],MATCH($A283,Data[Dist],0),MATCH(E$6,Data[#Headers],0))</f>
        <v>561018</v>
      </c>
      <c r="F283" s="21">
        <f>INDEX(Data[],MATCH($A283,Data[Dist],0),MATCH(F$6,Data[#Headers],0))</f>
        <v>561019</v>
      </c>
      <c r="G283" s="21">
        <f>INDEX(Data[],MATCH($A283,Data[Dist],0),MATCH(G$6,Data[#Headers],0))</f>
        <v>2819222</v>
      </c>
      <c r="H283" s="21">
        <f>INDEX(Data[],MATCH($A283,Data[Dist],0),MATCH(H$6,Data[#Headers],0))-G283</f>
        <v>2805091</v>
      </c>
      <c r="I283" s="24"/>
      <c r="J283" s="21">
        <f>INDEX(Notes!$I$2:$N$11,MATCH(Notes!$B$2,Notes!$I$2:$I$11,0),4)*$C283</f>
        <v>2258204</v>
      </c>
      <c r="K283" s="21">
        <f>INDEX(Notes!$I$2:$N$11,MATCH(Notes!$B$2,Notes!$I$2:$I$11,0),5)*$D283</f>
        <v>561018</v>
      </c>
      <c r="L283" s="21">
        <f>INDEX(Notes!$I$2:$N$11,MATCH(Notes!$B$2,Notes!$I$2:$I$11,0),6)*$E283</f>
        <v>0</v>
      </c>
      <c r="M283" s="21">
        <f>IF(Notes!$B$2="June",'Payment Total'!$F283,0)</f>
        <v>0</v>
      </c>
      <c r="N283" s="21">
        <f t="shared" si="16"/>
        <v>0</v>
      </c>
      <c r="P283" s="25" t="s">
        <v>1106</v>
      </c>
      <c r="Q283" s="25">
        <v>561018</v>
      </c>
      <c r="R283" s="20" t="str">
        <f t="shared" si="17"/>
        <v>6264</v>
      </c>
      <c r="S283" s="20" t="str">
        <f t="shared" si="18"/>
        <v>6264</v>
      </c>
      <c r="T283" s="41">
        <f t="shared" si="19"/>
        <v>0</v>
      </c>
      <c r="V283" s="41"/>
    </row>
    <row r="284" spans="1:22" s="25" customFormat="1" ht="12.75" x14ac:dyDescent="0.2">
      <c r="A284" s="19" t="str">
        <f>Data!B279</f>
        <v>6273</v>
      </c>
      <c r="B284" s="20" t="str">
        <f>INDEX(Data[],MATCH($A284,Data[Dist],0),MATCH(B$6,Data[#Headers],0))</f>
        <v>Sumner-Fredericksburg</v>
      </c>
      <c r="C284" s="21">
        <f>INDEX(Data[],MATCH($A284,Data[Dist],0),MATCH(C$6,Data[#Headers],0))</f>
        <v>569273</v>
      </c>
      <c r="D284" s="21">
        <f>INDEX(Data[],MATCH($A284,Data[Dist],0),MATCH(D$6,Data[#Headers],0))</f>
        <v>566354</v>
      </c>
      <c r="E284" s="21">
        <f>INDEX(Data[],MATCH($A284,Data[Dist],0),MATCH(E$6,Data[#Headers],0))</f>
        <v>566355</v>
      </c>
      <c r="F284" s="21">
        <f>INDEX(Data[],MATCH($A284,Data[Dist],0),MATCH(F$6,Data[#Headers],0))</f>
        <v>566353</v>
      </c>
      <c r="G284" s="21">
        <f>INDEX(Data[],MATCH($A284,Data[Dist],0),MATCH(G$6,Data[#Headers],0))</f>
        <v>2843446</v>
      </c>
      <c r="H284" s="21">
        <f>INDEX(Data[],MATCH($A284,Data[Dist],0),MATCH(H$6,Data[#Headers],0))-G284</f>
        <v>2831772</v>
      </c>
      <c r="I284" s="24"/>
      <c r="J284" s="21">
        <f>INDEX(Notes!$I$2:$N$11,MATCH(Notes!$B$2,Notes!$I$2:$I$11,0),4)*$C284</f>
        <v>2277092</v>
      </c>
      <c r="K284" s="21">
        <f>INDEX(Notes!$I$2:$N$11,MATCH(Notes!$B$2,Notes!$I$2:$I$11,0),5)*$D284</f>
        <v>566354</v>
      </c>
      <c r="L284" s="21">
        <f>INDEX(Notes!$I$2:$N$11,MATCH(Notes!$B$2,Notes!$I$2:$I$11,0),6)*$E284</f>
        <v>0</v>
      </c>
      <c r="M284" s="21">
        <f>IF(Notes!$B$2="June",'Payment Total'!$F284,0)</f>
        <v>0</v>
      </c>
      <c r="N284" s="21">
        <f t="shared" si="16"/>
        <v>0</v>
      </c>
      <c r="P284" s="25" t="s">
        <v>1107</v>
      </c>
      <c r="Q284" s="25">
        <v>566354</v>
      </c>
      <c r="R284" s="20" t="str">
        <f t="shared" si="17"/>
        <v>6273</v>
      </c>
      <c r="S284" s="20" t="str">
        <f t="shared" si="18"/>
        <v>6273</v>
      </c>
      <c r="T284" s="41">
        <f t="shared" si="19"/>
        <v>0</v>
      </c>
      <c r="V284" s="41"/>
    </row>
    <row r="285" spans="1:22" s="25" customFormat="1" ht="12.75" x14ac:dyDescent="0.2">
      <c r="A285" s="19" t="str">
        <f>Data!B280</f>
        <v>6408</v>
      </c>
      <c r="B285" s="20" t="str">
        <f>INDEX(Data[],MATCH($A285,Data[Dist],0),MATCH(B$6,Data[#Headers],0))</f>
        <v>Tipton</v>
      </c>
      <c r="C285" s="21">
        <f>INDEX(Data[],MATCH($A285,Data[Dist],0),MATCH(C$6,Data[#Headers],0))</f>
        <v>598579</v>
      </c>
      <c r="D285" s="21">
        <f>INDEX(Data[],MATCH($A285,Data[Dist],0),MATCH(D$6,Data[#Headers],0))</f>
        <v>595540</v>
      </c>
      <c r="E285" s="21">
        <f>INDEX(Data[],MATCH($A285,Data[Dist],0),MATCH(E$6,Data[#Headers],0))</f>
        <v>595539</v>
      </c>
      <c r="F285" s="21">
        <f>INDEX(Data[],MATCH($A285,Data[Dist],0),MATCH(F$6,Data[#Headers],0))</f>
        <v>595540</v>
      </c>
      <c r="G285" s="21">
        <f>INDEX(Data[],MATCH($A285,Data[Dist],0),MATCH(G$6,Data[#Headers],0))</f>
        <v>2989856</v>
      </c>
      <c r="H285" s="21">
        <f>INDEX(Data[],MATCH($A285,Data[Dist],0),MATCH(H$6,Data[#Headers],0))-G285</f>
        <v>2977697</v>
      </c>
      <c r="I285" s="24"/>
      <c r="J285" s="21">
        <f>INDEX(Notes!$I$2:$N$11,MATCH(Notes!$B$2,Notes!$I$2:$I$11,0),4)*$C285</f>
        <v>2394316</v>
      </c>
      <c r="K285" s="21">
        <f>INDEX(Notes!$I$2:$N$11,MATCH(Notes!$B$2,Notes!$I$2:$I$11,0),5)*$D285</f>
        <v>595540</v>
      </c>
      <c r="L285" s="21">
        <f>INDEX(Notes!$I$2:$N$11,MATCH(Notes!$B$2,Notes!$I$2:$I$11,0),6)*$E285</f>
        <v>0</v>
      </c>
      <c r="M285" s="21">
        <f>IF(Notes!$B$2="June",'Payment Total'!$F285,0)</f>
        <v>0</v>
      </c>
      <c r="N285" s="21">
        <f t="shared" si="16"/>
        <v>0</v>
      </c>
      <c r="P285" s="25" t="s">
        <v>1108</v>
      </c>
      <c r="Q285" s="25">
        <v>595540</v>
      </c>
      <c r="R285" s="20" t="str">
        <f t="shared" si="17"/>
        <v>6408</v>
      </c>
      <c r="S285" s="20" t="str">
        <f t="shared" si="18"/>
        <v>6408</v>
      </c>
      <c r="T285" s="41">
        <f t="shared" si="19"/>
        <v>0</v>
      </c>
      <c r="V285" s="41"/>
    </row>
    <row r="286" spans="1:22" s="25" customFormat="1" ht="12.75" x14ac:dyDescent="0.2">
      <c r="A286" s="19" t="str">
        <f>Data!B281</f>
        <v>6453</v>
      </c>
      <c r="B286" s="20" t="str">
        <f>INDEX(Data[],MATCH($A286,Data[Dist],0),MATCH(B$6,Data[#Headers],0))</f>
        <v>Treynor</v>
      </c>
      <c r="C286" s="21">
        <f>INDEX(Data[],MATCH($A286,Data[Dist],0),MATCH(C$6,Data[#Headers],0))</f>
        <v>363908</v>
      </c>
      <c r="D286" s="21">
        <f>INDEX(Data[],MATCH($A286,Data[Dist],0),MATCH(D$6,Data[#Headers],0))</f>
        <v>361756</v>
      </c>
      <c r="E286" s="21">
        <f>INDEX(Data[],MATCH($A286,Data[Dist],0),MATCH(E$6,Data[#Headers],0))</f>
        <v>361756</v>
      </c>
      <c r="F286" s="21">
        <f>INDEX(Data[],MATCH($A286,Data[Dist],0),MATCH(F$6,Data[#Headers],0))</f>
        <v>361756</v>
      </c>
      <c r="G286" s="21">
        <f>INDEX(Data[],MATCH($A286,Data[Dist],0),MATCH(G$6,Data[#Headers],0))</f>
        <v>1817388</v>
      </c>
      <c r="H286" s="21">
        <f>INDEX(Data[],MATCH($A286,Data[Dist],0),MATCH(H$6,Data[#Headers],0))-G286</f>
        <v>1808780</v>
      </c>
      <c r="I286" s="24"/>
      <c r="J286" s="21">
        <f>INDEX(Notes!$I$2:$N$11,MATCH(Notes!$B$2,Notes!$I$2:$I$11,0),4)*$C286</f>
        <v>1455632</v>
      </c>
      <c r="K286" s="21">
        <f>INDEX(Notes!$I$2:$N$11,MATCH(Notes!$B$2,Notes!$I$2:$I$11,0),5)*$D286</f>
        <v>361756</v>
      </c>
      <c r="L286" s="21">
        <f>INDEX(Notes!$I$2:$N$11,MATCH(Notes!$B$2,Notes!$I$2:$I$11,0),6)*$E286</f>
        <v>0</v>
      </c>
      <c r="M286" s="21">
        <f>IF(Notes!$B$2="June",'Payment Total'!$F286,0)</f>
        <v>0</v>
      </c>
      <c r="N286" s="21">
        <f t="shared" si="16"/>
        <v>0</v>
      </c>
      <c r="P286" s="25" t="s">
        <v>1109</v>
      </c>
      <c r="Q286" s="25">
        <v>361756</v>
      </c>
      <c r="R286" s="20" t="str">
        <f t="shared" si="17"/>
        <v>6453</v>
      </c>
      <c r="S286" s="20" t="str">
        <f t="shared" si="18"/>
        <v>6453</v>
      </c>
      <c r="T286" s="41">
        <f t="shared" si="19"/>
        <v>0</v>
      </c>
      <c r="V286" s="41"/>
    </row>
    <row r="287" spans="1:22" s="25" customFormat="1" ht="12.75" x14ac:dyDescent="0.2">
      <c r="A287" s="19" t="str">
        <f>Data!B282</f>
        <v>6460</v>
      </c>
      <c r="B287" s="20" t="str">
        <f>INDEX(Data[],MATCH($A287,Data[Dist],0),MATCH(B$6,Data[#Headers],0))</f>
        <v>Tri-Center</v>
      </c>
      <c r="C287" s="21">
        <f>INDEX(Data[],MATCH($A287,Data[Dist],0),MATCH(C$6,Data[#Headers],0))</f>
        <v>493349</v>
      </c>
      <c r="D287" s="21">
        <f>INDEX(Data[],MATCH($A287,Data[Dist],0),MATCH(D$6,Data[#Headers],0))</f>
        <v>490888</v>
      </c>
      <c r="E287" s="21">
        <f>INDEX(Data[],MATCH($A287,Data[Dist],0),MATCH(E$6,Data[#Headers],0))</f>
        <v>490888</v>
      </c>
      <c r="F287" s="21">
        <f>INDEX(Data[],MATCH($A287,Data[Dist],0),MATCH(F$6,Data[#Headers],0))</f>
        <v>490887</v>
      </c>
      <c r="G287" s="21">
        <f>INDEX(Data[],MATCH($A287,Data[Dist],0),MATCH(G$6,Data[#Headers],0))</f>
        <v>2464284</v>
      </c>
      <c r="H287" s="21">
        <f>INDEX(Data[],MATCH($A287,Data[Dist],0),MATCH(H$6,Data[#Headers],0))-G287</f>
        <v>2454439</v>
      </c>
      <c r="I287" s="24"/>
      <c r="J287" s="21">
        <f>INDEX(Notes!$I$2:$N$11,MATCH(Notes!$B$2,Notes!$I$2:$I$11,0),4)*$C287</f>
        <v>1973396</v>
      </c>
      <c r="K287" s="21">
        <f>INDEX(Notes!$I$2:$N$11,MATCH(Notes!$B$2,Notes!$I$2:$I$11,0),5)*$D287</f>
        <v>490888</v>
      </c>
      <c r="L287" s="21">
        <f>INDEX(Notes!$I$2:$N$11,MATCH(Notes!$B$2,Notes!$I$2:$I$11,0),6)*$E287</f>
        <v>0</v>
      </c>
      <c r="M287" s="21">
        <f>IF(Notes!$B$2="June",'Payment Total'!$F287,0)</f>
        <v>0</v>
      </c>
      <c r="N287" s="21">
        <f t="shared" si="16"/>
        <v>0</v>
      </c>
      <c r="P287" s="25" t="s">
        <v>1110</v>
      </c>
      <c r="Q287" s="25">
        <v>490888</v>
      </c>
      <c r="R287" s="20" t="str">
        <f t="shared" si="17"/>
        <v>6460</v>
      </c>
      <c r="S287" s="20" t="str">
        <f t="shared" si="18"/>
        <v>6460</v>
      </c>
      <c r="T287" s="41">
        <f t="shared" si="19"/>
        <v>0</v>
      </c>
      <c r="V287" s="41"/>
    </row>
    <row r="288" spans="1:22" s="25" customFormat="1" ht="12.75" x14ac:dyDescent="0.2">
      <c r="A288" s="19" t="str">
        <f>Data!B283</f>
        <v>6462</v>
      </c>
      <c r="B288" s="20" t="str">
        <f>INDEX(Data[],MATCH($A288,Data[Dist],0),MATCH(B$6,Data[#Headers],0))</f>
        <v>Tri-County</v>
      </c>
      <c r="C288" s="21">
        <f>INDEX(Data[],MATCH($A288,Data[Dist],0),MATCH(C$6,Data[#Headers],0))</f>
        <v>190146</v>
      </c>
      <c r="D288" s="21">
        <f>INDEX(Data[],MATCH($A288,Data[Dist],0),MATCH(D$6,Data[#Headers],0))</f>
        <v>189182</v>
      </c>
      <c r="E288" s="21">
        <f>INDEX(Data[],MATCH($A288,Data[Dist],0),MATCH(E$6,Data[#Headers],0))</f>
        <v>189183</v>
      </c>
      <c r="F288" s="21">
        <f>INDEX(Data[],MATCH($A288,Data[Dist],0),MATCH(F$6,Data[#Headers],0))</f>
        <v>189181</v>
      </c>
      <c r="G288" s="21">
        <f>INDEX(Data[],MATCH($A288,Data[Dist],0),MATCH(G$6,Data[#Headers],0))</f>
        <v>949766</v>
      </c>
      <c r="H288" s="21">
        <f>INDEX(Data[],MATCH($A288,Data[Dist],0),MATCH(H$6,Data[#Headers],0))-G288</f>
        <v>945912</v>
      </c>
      <c r="I288" s="24"/>
      <c r="J288" s="21">
        <f>INDEX(Notes!$I$2:$N$11,MATCH(Notes!$B$2,Notes!$I$2:$I$11,0),4)*$C288</f>
        <v>760584</v>
      </c>
      <c r="K288" s="21">
        <f>INDEX(Notes!$I$2:$N$11,MATCH(Notes!$B$2,Notes!$I$2:$I$11,0),5)*$D288</f>
        <v>189182</v>
      </c>
      <c r="L288" s="21">
        <f>INDEX(Notes!$I$2:$N$11,MATCH(Notes!$B$2,Notes!$I$2:$I$11,0),6)*$E288</f>
        <v>0</v>
      </c>
      <c r="M288" s="21">
        <f>IF(Notes!$B$2="June",'Payment Total'!$F288,0)</f>
        <v>0</v>
      </c>
      <c r="N288" s="21">
        <f t="shared" si="16"/>
        <v>0</v>
      </c>
      <c r="P288" s="25" t="s">
        <v>1111</v>
      </c>
      <c r="Q288" s="25">
        <v>189182</v>
      </c>
      <c r="R288" s="20" t="str">
        <f t="shared" si="17"/>
        <v>6462</v>
      </c>
      <c r="S288" s="20" t="str">
        <f t="shared" si="18"/>
        <v>6462</v>
      </c>
      <c r="T288" s="41">
        <f t="shared" si="19"/>
        <v>0</v>
      </c>
      <c r="V288" s="41"/>
    </row>
    <row r="289" spans="1:22" s="25" customFormat="1" ht="12.75" x14ac:dyDescent="0.2">
      <c r="A289" s="19" t="str">
        <f>Data!B284</f>
        <v>6471</v>
      </c>
      <c r="B289" s="20" t="str">
        <f>INDEX(Data[],MATCH($A289,Data[Dist],0),MATCH(B$6,Data[#Headers],0))</f>
        <v>Tripoli</v>
      </c>
      <c r="C289" s="21">
        <f>INDEX(Data[],MATCH($A289,Data[Dist],0),MATCH(C$6,Data[#Headers],0))</f>
        <v>315862</v>
      </c>
      <c r="D289" s="21">
        <f>INDEX(Data[],MATCH($A289,Data[Dist],0),MATCH(D$6,Data[#Headers],0))</f>
        <v>314430</v>
      </c>
      <c r="E289" s="21">
        <f>INDEX(Data[],MATCH($A289,Data[Dist],0),MATCH(E$6,Data[#Headers],0))</f>
        <v>314430</v>
      </c>
      <c r="F289" s="21">
        <f>INDEX(Data[],MATCH($A289,Data[Dist],0),MATCH(F$6,Data[#Headers],0))</f>
        <v>314430</v>
      </c>
      <c r="G289" s="21">
        <f>INDEX(Data[],MATCH($A289,Data[Dist],0),MATCH(G$6,Data[#Headers],0))</f>
        <v>1577878</v>
      </c>
      <c r="H289" s="21">
        <f>INDEX(Data[],MATCH($A289,Data[Dist],0),MATCH(H$6,Data[#Headers],0))-G289</f>
        <v>1572150</v>
      </c>
      <c r="I289" s="24"/>
      <c r="J289" s="21">
        <f>INDEX(Notes!$I$2:$N$11,MATCH(Notes!$B$2,Notes!$I$2:$I$11,0),4)*$C289</f>
        <v>1263448</v>
      </c>
      <c r="K289" s="21">
        <f>INDEX(Notes!$I$2:$N$11,MATCH(Notes!$B$2,Notes!$I$2:$I$11,0),5)*$D289</f>
        <v>314430</v>
      </c>
      <c r="L289" s="21">
        <f>INDEX(Notes!$I$2:$N$11,MATCH(Notes!$B$2,Notes!$I$2:$I$11,0),6)*$E289</f>
        <v>0</v>
      </c>
      <c r="M289" s="21">
        <f>IF(Notes!$B$2="June",'Payment Total'!$F289,0)</f>
        <v>0</v>
      </c>
      <c r="N289" s="21">
        <f t="shared" si="16"/>
        <v>0</v>
      </c>
      <c r="P289" s="25" t="s">
        <v>1112</v>
      </c>
      <c r="Q289" s="25">
        <v>314430</v>
      </c>
      <c r="R289" s="20" t="str">
        <f t="shared" si="17"/>
        <v>6471</v>
      </c>
      <c r="S289" s="20" t="str">
        <f t="shared" si="18"/>
        <v>6471</v>
      </c>
      <c r="T289" s="41">
        <f t="shared" si="19"/>
        <v>0</v>
      </c>
      <c r="V289" s="41"/>
    </row>
    <row r="290" spans="1:22" s="25" customFormat="1" ht="12.75" x14ac:dyDescent="0.2">
      <c r="A290" s="19" t="str">
        <f>Data!B285</f>
        <v>6509</v>
      </c>
      <c r="B290" s="20" t="str">
        <f>INDEX(Data[],MATCH($A290,Data[Dist],0),MATCH(B$6,Data[#Headers],0))</f>
        <v>Turkey Valley</v>
      </c>
      <c r="C290" s="21">
        <f>INDEX(Data[],MATCH($A290,Data[Dist],0),MATCH(C$6,Data[#Headers],0))</f>
        <v>248550</v>
      </c>
      <c r="D290" s="21">
        <f>INDEX(Data[],MATCH($A290,Data[Dist],0),MATCH(D$6,Data[#Headers],0))</f>
        <v>247212</v>
      </c>
      <c r="E290" s="21">
        <f>INDEX(Data[],MATCH($A290,Data[Dist],0),MATCH(E$6,Data[#Headers],0))</f>
        <v>247212</v>
      </c>
      <c r="F290" s="21">
        <f>INDEX(Data[],MATCH($A290,Data[Dist],0),MATCH(F$6,Data[#Headers],0))</f>
        <v>247212</v>
      </c>
      <c r="G290" s="21">
        <f>INDEX(Data[],MATCH($A290,Data[Dist],0),MATCH(G$6,Data[#Headers],0))</f>
        <v>1241412</v>
      </c>
      <c r="H290" s="21">
        <f>INDEX(Data[],MATCH($A290,Data[Dist],0),MATCH(H$6,Data[#Headers],0))-G290</f>
        <v>1236060</v>
      </c>
      <c r="I290" s="24"/>
      <c r="J290" s="21">
        <f>INDEX(Notes!$I$2:$N$11,MATCH(Notes!$B$2,Notes!$I$2:$I$11,0),4)*$C290</f>
        <v>994200</v>
      </c>
      <c r="K290" s="21">
        <f>INDEX(Notes!$I$2:$N$11,MATCH(Notes!$B$2,Notes!$I$2:$I$11,0),5)*$D290</f>
        <v>247212</v>
      </c>
      <c r="L290" s="21">
        <f>INDEX(Notes!$I$2:$N$11,MATCH(Notes!$B$2,Notes!$I$2:$I$11,0),6)*$E290</f>
        <v>0</v>
      </c>
      <c r="M290" s="21">
        <f>IF(Notes!$B$2="June",'Payment Total'!$F290,0)</f>
        <v>0</v>
      </c>
      <c r="N290" s="21">
        <f t="shared" si="16"/>
        <v>0</v>
      </c>
      <c r="P290" s="25" t="s">
        <v>1113</v>
      </c>
      <c r="Q290" s="25">
        <v>247212</v>
      </c>
      <c r="R290" s="20" t="str">
        <f t="shared" si="17"/>
        <v>6509</v>
      </c>
      <c r="S290" s="20" t="str">
        <f t="shared" si="18"/>
        <v>6509</v>
      </c>
      <c r="T290" s="41">
        <f t="shared" si="19"/>
        <v>0</v>
      </c>
      <c r="V290" s="41"/>
    </row>
    <row r="291" spans="1:22" s="25" customFormat="1" ht="12.75" x14ac:dyDescent="0.2">
      <c r="A291" s="19" t="str">
        <f>Data!B286</f>
        <v>6512</v>
      </c>
      <c r="B291" s="20" t="str">
        <f>INDEX(Data[],MATCH($A291,Data[Dist],0),MATCH(B$6,Data[#Headers],0))</f>
        <v>Twin Cedars</v>
      </c>
      <c r="C291" s="21">
        <f>INDEX(Data[],MATCH($A291,Data[Dist],0),MATCH(C$6,Data[#Headers],0))</f>
        <v>271355</v>
      </c>
      <c r="D291" s="21">
        <f>INDEX(Data[],MATCH($A291,Data[Dist],0),MATCH(D$6,Data[#Headers],0))</f>
        <v>270175</v>
      </c>
      <c r="E291" s="21">
        <f>INDEX(Data[],MATCH($A291,Data[Dist],0),MATCH(E$6,Data[#Headers],0))</f>
        <v>270175</v>
      </c>
      <c r="F291" s="21">
        <f>INDEX(Data[],MATCH($A291,Data[Dist],0),MATCH(F$6,Data[#Headers],0))</f>
        <v>270174</v>
      </c>
      <c r="G291" s="21">
        <f>INDEX(Data[],MATCH($A291,Data[Dist],0),MATCH(G$6,Data[#Headers],0))</f>
        <v>1355595</v>
      </c>
      <c r="H291" s="21">
        <f>INDEX(Data[],MATCH($A291,Data[Dist],0),MATCH(H$6,Data[#Headers],0))-G291</f>
        <v>1350874</v>
      </c>
      <c r="I291" s="24"/>
      <c r="J291" s="21">
        <f>INDEX(Notes!$I$2:$N$11,MATCH(Notes!$B$2,Notes!$I$2:$I$11,0),4)*$C291</f>
        <v>1085420</v>
      </c>
      <c r="K291" s="21">
        <f>INDEX(Notes!$I$2:$N$11,MATCH(Notes!$B$2,Notes!$I$2:$I$11,0),5)*$D291</f>
        <v>270175</v>
      </c>
      <c r="L291" s="21">
        <f>INDEX(Notes!$I$2:$N$11,MATCH(Notes!$B$2,Notes!$I$2:$I$11,0),6)*$E291</f>
        <v>0</v>
      </c>
      <c r="M291" s="21">
        <f>IF(Notes!$B$2="June",'Payment Total'!$F291,0)</f>
        <v>0</v>
      </c>
      <c r="N291" s="21">
        <f t="shared" si="16"/>
        <v>0</v>
      </c>
      <c r="P291" s="25" t="s">
        <v>1114</v>
      </c>
      <c r="Q291" s="25">
        <v>270175</v>
      </c>
      <c r="R291" s="20" t="str">
        <f t="shared" si="17"/>
        <v>6512</v>
      </c>
      <c r="S291" s="20" t="str">
        <f t="shared" si="18"/>
        <v>6512</v>
      </c>
      <c r="T291" s="41">
        <f t="shared" si="19"/>
        <v>0</v>
      </c>
      <c r="V291" s="41"/>
    </row>
    <row r="292" spans="1:22" s="25" customFormat="1" ht="12.75" x14ac:dyDescent="0.2">
      <c r="A292" s="19" t="str">
        <f>Data!B287</f>
        <v>6516</v>
      </c>
      <c r="B292" s="20" t="str">
        <f>INDEX(Data[],MATCH($A292,Data[Dist],0),MATCH(B$6,Data[#Headers],0))</f>
        <v>Twin Rivers</v>
      </c>
      <c r="C292" s="21">
        <f>INDEX(Data[],MATCH($A292,Data[Dist],0),MATCH(C$6,Data[#Headers],0))</f>
        <v>78368</v>
      </c>
      <c r="D292" s="21">
        <f>INDEX(Data[],MATCH($A292,Data[Dist],0),MATCH(D$6,Data[#Headers],0))</f>
        <v>77783</v>
      </c>
      <c r="E292" s="21">
        <f>INDEX(Data[],MATCH($A292,Data[Dist],0),MATCH(E$6,Data[#Headers],0))</f>
        <v>77783</v>
      </c>
      <c r="F292" s="21">
        <f>INDEX(Data[],MATCH($A292,Data[Dist],0),MATCH(F$6,Data[#Headers],0))</f>
        <v>77783</v>
      </c>
      <c r="G292" s="21">
        <f>INDEX(Data[],MATCH($A292,Data[Dist],0),MATCH(G$6,Data[#Headers],0))</f>
        <v>391255</v>
      </c>
      <c r="H292" s="21">
        <f>INDEX(Data[],MATCH($A292,Data[Dist],0),MATCH(H$6,Data[#Headers],0))-G292</f>
        <v>388915</v>
      </c>
      <c r="I292" s="24"/>
      <c r="J292" s="21">
        <f>INDEX(Notes!$I$2:$N$11,MATCH(Notes!$B$2,Notes!$I$2:$I$11,0),4)*$C292</f>
        <v>313472</v>
      </c>
      <c r="K292" s="21">
        <f>INDEX(Notes!$I$2:$N$11,MATCH(Notes!$B$2,Notes!$I$2:$I$11,0),5)*$D292</f>
        <v>77783</v>
      </c>
      <c r="L292" s="21">
        <f>INDEX(Notes!$I$2:$N$11,MATCH(Notes!$B$2,Notes!$I$2:$I$11,0),6)*$E292</f>
        <v>0</v>
      </c>
      <c r="M292" s="21">
        <f>IF(Notes!$B$2="June",'Payment Total'!$F292,0)</f>
        <v>0</v>
      </c>
      <c r="N292" s="21">
        <f t="shared" si="16"/>
        <v>0</v>
      </c>
      <c r="P292" s="25" t="s">
        <v>1115</v>
      </c>
      <c r="Q292" s="25">
        <v>77783</v>
      </c>
      <c r="R292" s="20" t="str">
        <f t="shared" si="17"/>
        <v>6516</v>
      </c>
      <c r="S292" s="20" t="str">
        <f t="shared" si="18"/>
        <v>6516</v>
      </c>
      <c r="T292" s="41">
        <f t="shared" si="19"/>
        <v>0</v>
      </c>
      <c r="V292" s="41"/>
    </row>
    <row r="293" spans="1:22" s="25" customFormat="1" ht="12.75" x14ac:dyDescent="0.2">
      <c r="A293" s="19" t="str">
        <f>Data!B288</f>
        <v>6534</v>
      </c>
      <c r="B293" s="20" t="str">
        <f>INDEX(Data[],MATCH($A293,Data[Dist],0),MATCH(B$6,Data[#Headers],0))</f>
        <v>Underwood</v>
      </c>
      <c r="C293" s="21">
        <f>INDEX(Data[],MATCH($A293,Data[Dist],0),MATCH(C$6,Data[#Headers],0))</f>
        <v>533005</v>
      </c>
      <c r="D293" s="21">
        <f>INDEX(Data[],MATCH($A293,Data[Dist],0),MATCH(D$6,Data[#Headers],0))</f>
        <v>530248</v>
      </c>
      <c r="E293" s="21">
        <f>INDEX(Data[],MATCH($A293,Data[Dist],0),MATCH(E$6,Data[#Headers],0))</f>
        <v>530248</v>
      </c>
      <c r="F293" s="21">
        <f>INDEX(Data[],MATCH($A293,Data[Dist],0),MATCH(F$6,Data[#Headers],0))</f>
        <v>530246</v>
      </c>
      <c r="G293" s="21">
        <f>INDEX(Data[],MATCH($A293,Data[Dist],0),MATCH(G$6,Data[#Headers],0))</f>
        <v>2662268</v>
      </c>
      <c r="H293" s="21">
        <f>INDEX(Data[],MATCH($A293,Data[Dist],0),MATCH(H$6,Data[#Headers],0))-G293</f>
        <v>2651238</v>
      </c>
      <c r="I293" s="24"/>
      <c r="J293" s="21">
        <f>INDEX(Notes!$I$2:$N$11,MATCH(Notes!$B$2,Notes!$I$2:$I$11,0),4)*$C293</f>
        <v>2132020</v>
      </c>
      <c r="K293" s="21">
        <f>INDEX(Notes!$I$2:$N$11,MATCH(Notes!$B$2,Notes!$I$2:$I$11,0),5)*$D293</f>
        <v>530248</v>
      </c>
      <c r="L293" s="21">
        <f>INDEX(Notes!$I$2:$N$11,MATCH(Notes!$B$2,Notes!$I$2:$I$11,0),6)*$E293</f>
        <v>0</v>
      </c>
      <c r="M293" s="21">
        <f>IF(Notes!$B$2="June",'Payment Total'!$F293,0)</f>
        <v>0</v>
      </c>
      <c r="N293" s="21">
        <f t="shared" si="16"/>
        <v>0</v>
      </c>
      <c r="P293" s="25" t="s">
        <v>1116</v>
      </c>
      <c r="Q293" s="25">
        <v>530248</v>
      </c>
      <c r="R293" s="20" t="str">
        <f t="shared" si="17"/>
        <v>6534</v>
      </c>
      <c r="S293" s="20" t="str">
        <f t="shared" si="18"/>
        <v>6534</v>
      </c>
      <c r="T293" s="41">
        <f t="shared" si="19"/>
        <v>0</v>
      </c>
      <c r="V293" s="41"/>
    </row>
    <row r="294" spans="1:22" s="25" customFormat="1" ht="12.75" x14ac:dyDescent="0.2">
      <c r="A294" s="19" t="str">
        <f>Data!B289</f>
        <v>6561</v>
      </c>
      <c r="B294" s="20" t="str">
        <f>INDEX(Data[],MATCH($A294,Data[Dist],0),MATCH(B$6,Data[#Headers],0))</f>
        <v>United</v>
      </c>
      <c r="C294" s="21">
        <f>INDEX(Data[],MATCH($A294,Data[Dist],0),MATCH(C$6,Data[#Headers],0))</f>
        <v>163486</v>
      </c>
      <c r="D294" s="21">
        <f>INDEX(Data[],MATCH($A294,Data[Dist],0),MATCH(D$6,Data[#Headers],0))</f>
        <v>162121</v>
      </c>
      <c r="E294" s="21">
        <f>INDEX(Data[],MATCH($A294,Data[Dist],0),MATCH(E$6,Data[#Headers],0))</f>
        <v>162122</v>
      </c>
      <c r="F294" s="21">
        <f>INDEX(Data[],MATCH($A294,Data[Dist],0),MATCH(F$6,Data[#Headers],0))</f>
        <v>162120</v>
      </c>
      <c r="G294" s="21">
        <f>INDEX(Data[],MATCH($A294,Data[Dist],0),MATCH(G$6,Data[#Headers],0))</f>
        <v>816065</v>
      </c>
      <c r="H294" s="21">
        <f>INDEX(Data[],MATCH($A294,Data[Dist],0),MATCH(H$6,Data[#Headers],0))-G294</f>
        <v>810607</v>
      </c>
      <c r="I294" s="24"/>
      <c r="J294" s="21">
        <f>INDEX(Notes!$I$2:$N$11,MATCH(Notes!$B$2,Notes!$I$2:$I$11,0),4)*$C294</f>
        <v>653944</v>
      </c>
      <c r="K294" s="21">
        <f>INDEX(Notes!$I$2:$N$11,MATCH(Notes!$B$2,Notes!$I$2:$I$11,0),5)*$D294</f>
        <v>162121</v>
      </c>
      <c r="L294" s="21">
        <f>INDEX(Notes!$I$2:$N$11,MATCH(Notes!$B$2,Notes!$I$2:$I$11,0),6)*$E294</f>
        <v>0</v>
      </c>
      <c r="M294" s="21">
        <f>IF(Notes!$B$2="June",'Payment Total'!$F294,0)</f>
        <v>0</v>
      </c>
      <c r="N294" s="21">
        <f t="shared" si="16"/>
        <v>0</v>
      </c>
      <c r="P294" s="25" t="s">
        <v>1117</v>
      </c>
      <c r="Q294" s="25">
        <v>162121</v>
      </c>
      <c r="R294" s="20" t="str">
        <f t="shared" si="17"/>
        <v>6561</v>
      </c>
      <c r="S294" s="20" t="str">
        <f t="shared" si="18"/>
        <v>6561</v>
      </c>
      <c r="T294" s="41">
        <f t="shared" si="19"/>
        <v>0</v>
      </c>
      <c r="V294" s="41"/>
    </row>
    <row r="295" spans="1:22" s="25" customFormat="1" ht="12.75" x14ac:dyDescent="0.2">
      <c r="A295" s="19" t="str">
        <f>Data!B290</f>
        <v>6579</v>
      </c>
      <c r="B295" s="20" t="str">
        <f>INDEX(Data[],MATCH($A295,Data[Dist],0),MATCH(B$6,Data[#Headers],0))</f>
        <v>Urbandale</v>
      </c>
      <c r="C295" s="21">
        <f>INDEX(Data[],MATCH($A295,Data[Dist],0),MATCH(C$6,Data[#Headers],0))</f>
        <v>2491770</v>
      </c>
      <c r="D295" s="21">
        <f>INDEX(Data[],MATCH($A295,Data[Dist],0),MATCH(D$6,Data[#Headers],0))</f>
        <v>2478850</v>
      </c>
      <c r="E295" s="21">
        <f>INDEX(Data[],MATCH($A295,Data[Dist],0),MATCH(E$6,Data[#Headers],0))</f>
        <v>2478850</v>
      </c>
      <c r="F295" s="21">
        <f>INDEX(Data[],MATCH($A295,Data[Dist],0),MATCH(F$6,Data[#Headers],0))</f>
        <v>2478851</v>
      </c>
      <c r="G295" s="21">
        <f>INDEX(Data[],MATCH($A295,Data[Dist],0),MATCH(G$6,Data[#Headers],0))</f>
        <v>12445930</v>
      </c>
      <c r="H295" s="21">
        <f>INDEX(Data[],MATCH($A295,Data[Dist],0),MATCH(H$6,Data[#Headers],0))-G295</f>
        <v>12394251</v>
      </c>
      <c r="I295" s="24"/>
      <c r="J295" s="21">
        <f>INDEX(Notes!$I$2:$N$11,MATCH(Notes!$B$2,Notes!$I$2:$I$11,0),4)*$C295</f>
        <v>9967080</v>
      </c>
      <c r="K295" s="21">
        <f>INDEX(Notes!$I$2:$N$11,MATCH(Notes!$B$2,Notes!$I$2:$I$11,0),5)*$D295</f>
        <v>2478850</v>
      </c>
      <c r="L295" s="21">
        <f>INDEX(Notes!$I$2:$N$11,MATCH(Notes!$B$2,Notes!$I$2:$I$11,0),6)*$E295</f>
        <v>0</v>
      </c>
      <c r="M295" s="21">
        <f>IF(Notes!$B$2="June",'Payment Total'!$F295,0)</f>
        <v>0</v>
      </c>
      <c r="N295" s="21">
        <f t="shared" si="16"/>
        <v>0</v>
      </c>
      <c r="P295" s="25" t="s">
        <v>1118</v>
      </c>
      <c r="Q295" s="25">
        <v>2478850</v>
      </c>
      <c r="R295" s="20" t="str">
        <f t="shared" si="17"/>
        <v>6579</v>
      </c>
      <c r="S295" s="20" t="str">
        <f t="shared" si="18"/>
        <v>6579</v>
      </c>
      <c r="T295" s="41">
        <f t="shared" si="19"/>
        <v>0</v>
      </c>
      <c r="V295" s="41"/>
    </row>
    <row r="296" spans="1:22" s="25" customFormat="1" ht="12.75" x14ac:dyDescent="0.2">
      <c r="A296" s="19" t="str">
        <f>Data!B291</f>
        <v>6592</v>
      </c>
      <c r="B296" s="20" t="str">
        <f>INDEX(Data[],MATCH($A296,Data[Dist],0),MATCH(B$6,Data[#Headers],0))</f>
        <v>Van Buren County</v>
      </c>
      <c r="C296" s="21">
        <f>INDEX(Data[],MATCH($A296,Data[Dist],0),MATCH(C$6,Data[#Headers],0))</f>
        <v>652221</v>
      </c>
      <c r="D296" s="21">
        <f>INDEX(Data[],MATCH($A296,Data[Dist],0),MATCH(D$6,Data[#Headers],0))</f>
        <v>648618</v>
      </c>
      <c r="E296" s="21">
        <f>INDEX(Data[],MATCH($A296,Data[Dist],0),MATCH(E$6,Data[#Headers],0))</f>
        <v>648618</v>
      </c>
      <c r="F296" s="21">
        <f>INDEX(Data[],MATCH($A296,Data[Dist],0),MATCH(F$6,Data[#Headers],0))</f>
        <v>648617</v>
      </c>
      <c r="G296" s="21">
        <f>INDEX(Data[],MATCH($A296,Data[Dist],0),MATCH(G$6,Data[#Headers],0))</f>
        <v>3257502</v>
      </c>
      <c r="H296" s="21">
        <f>INDEX(Data[],MATCH($A296,Data[Dist],0),MATCH(H$6,Data[#Headers],0))-G296</f>
        <v>3243089</v>
      </c>
      <c r="I296" s="24"/>
      <c r="J296" s="21">
        <f>INDEX(Notes!$I$2:$N$11,MATCH(Notes!$B$2,Notes!$I$2:$I$11,0),4)*$C296</f>
        <v>2608884</v>
      </c>
      <c r="K296" s="21">
        <f>INDEX(Notes!$I$2:$N$11,MATCH(Notes!$B$2,Notes!$I$2:$I$11,0),5)*$D296</f>
        <v>648618</v>
      </c>
      <c r="L296" s="21">
        <f>INDEX(Notes!$I$2:$N$11,MATCH(Notes!$B$2,Notes!$I$2:$I$11,0),6)*$E296</f>
        <v>0</v>
      </c>
      <c r="M296" s="21">
        <f>IF(Notes!$B$2="June",'Payment Total'!$F296,0)</f>
        <v>0</v>
      </c>
      <c r="N296" s="21">
        <f t="shared" si="16"/>
        <v>0</v>
      </c>
      <c r="P296" s="25" t="s">
        <v>1119</v>
      </c>
      <c r="Q296" s="25">
        <v>648618</v>
      </c>
      <c r="R296" s="20" t="str">
        <f t="shared" si="17"/>
        <v>6592</v>
      </c>
      <c r="S296" s="20" t="str">
        <f t="shared" si="18"/>
        <v>6592</v>
      </c>
      <c r="T296" s="41">
        <f t="shared" si="19"/>
        <v>0</v>
      </c>
      <c r="V296" s="41"/>
    </row>
    <row r="297" spans="1:22" s="25" customFormat="1" ht="12.75" x14ac:dyDescent="0.2">
      <c r="A297" s="19" t="str">
        <f>Data!B292</f>
        <v>6615</v>
      </c>
      <c r="B297" s="20" t="str">
        <f>INDEX(Data[],MATCH($A297,Data[Dist],0),MATCH(B$6,Data[#Headers],0))</f>
        <v>Van Meter</v>
      </c>
      <c r="C297" s="21">
        <f>INDEX(Data[],MATCH($A297,Data[Dist],0),MATCH(C$6,Data[#Headers],0))</f>
        <v>675455</v>
      </c>
      <c r="D297" s="21">
        <f>INDEX(Data[],MATCH($A297,Data[Dist],0),MATCH(D$6,Data[#Headers],0))</f>
        <v>671941</v>
      </c>
      <c r="E297" s="21">
        <f>INDEX(Data[],MATCH($A297,Data[Dist],0),MATCH(E$6,Data[#Headers],0))</f>
        <v>671942</v>
      </c>
      <c r="F297" s="21">
        <f>INDEX(Data[],MATCH($A297,Data[Dist],0),MATCH(F$6,Data[#Headers],0))</f>
        <v>671940</v>
      </c>
      <c r="G297" s="21">
        <f>INDEX(Data[],MATCH($A297,Data[Dist],0),MATCH(G$6,Data[#Headers],0))</f>
        <v>3373761</v>
      </c>
      <c r="H297" s="21">
        <f>INDEX(Data[],MATCH($A297,Data[Dist],0),MATCH(H$6,Data[#Headers],0))-G297</f>
        <v>3359707</v>
      </c>
      <c r="I297" s="24"/>
      <c r="J297" s="21">
        <f>INDEX(Notes!$I$2:$N$11,MATCH(Notes!$B$2,Notes!$I$2:$I$11,0),4)*$C297</f>
        <v>2701820</v>
      </c>
      <c r="K297" s="21">
        <f>INDEX(Notes!$I$2:$N$11,MATCH(Notes!$B$2,Notes!$I$2:$I$11,0),5)*$D297</f>
        <v>671941</v>
      </c>
      <c r="L297" s="21">
        <f>INDEX(Notes!$I$2:$N$11,MATCH(Notes!$B$2,Notes!$I$2:$I$11,0),6)*$E297</f>
        <v>0</v>
      </c>
      <c r="M297" s="21">
        <f>IF(Notes!$B$2="June",'Payment Total'!$F297,0)</f>
        <v>0</v>
      </c>
      <c r="N297" s="21">
        <f t="shared" si="16"/>
        <v>0</v>
      </c>
      <c r="P297" s="25" t="s">
        <v>1120</v>
      </c>
      <c r="Q297" s="25">
        <v>671941</v>
      </c>
      <c r="R297" s="20" t="str">
        <f t="shared" si="17"/>
        <v>6615</v>
      </c>
      <c r="S297" s="20" t="str">
        <f t="shared" si="18"/>
        <v>6615</v>
      </c>
      <c r="T297" s="41">
        <f t="shared" si="19"/>
        <v>0</v>
      </c>
      <c r="V297" s="41"/>
    </row>
    <row r="298" spans="1:22" s="25" customFormat="1" ht="12.75" x14ac:dyDescent="0.2">
      <c r="A298" s="19" t="str">
        <f>Data!B293</f>
        <v>6651</v>
      </c>
      <c r="B298" s="20" t="str">
        <f>INDEX(Data[],MATCH($A298,Data[Dist],0),MATCH(B$6,Data[#Headers],0))</f>
        <v>Villisca</v>
      </c>
      <c r="C298" s="21">
        <f>INDEX(Data[],MATCH($A298,Data[Dist],0),MATCH(C$6,Data[#Headers],0))</f>
        <v>199701</v>
      </c>
      <c r="D298" s="21">
        <f>INDEX(Data[],MATCH($A298,Data[Dist],0),MATCH(D$6,Data[#Headers],0))</f>
        <v>198642</v>
      </c>
      <c r="E298" s="21">
        <f>INDEX(Data[],MATCH($A298,Data[Dist],0),MATCH(E$6,Data[#Headers],0))</f>
        <v>198642</v>
      </c>
      <c r="F298" s="21">
        <f>INDEX(Data[],MATCH($A298,Data[Dist],0),MATCH(F$6,Data[#Headers],0))</f>
        <v>198643</v>
      </c>
      <c r="G298" s="21">
        <f>INDEX(Data[],MATCH($A298,Data[Dist],0),MATCH(G$6,Data[#Headers],0))</f>
        <v>997446</v>
      </c>
      <c r="H298" s="21">
        <f>INDEX(Data[],MATCH($A298,Data[Dist],0),MATCH(H$6,Data[#Headers],0))-G298</f>
        <v>993211</v>
      </c>
      <c r="I298" s="24"/>
      <c r="J298" s="21">
        <f>INDEX(Notes!$I$2:$N$11,MATCH(Notes!$B$2,Notes!$I$2:$I$11,0),4)*$C298</f>
        <v>798804</v>
      </c>
      <c r="K298" s="21">
        <f>INDEX(Notes!$I$2:$N$11,MATCH(Notes!$B$2,Notes!$I$2:$I$11,0),5)*$D298</f>
        <v>198642</v>
      </c>
      <c r="L298" s="21">
        <f>INDEX(Notes!$I$2:$N$11,MATCH(Notes!$B$2,Notes!$I$2:$I$11,0),6)*$E298</f>
        <v>0</v>
      </c>
      <c r="M298" s="21">
        <f>IF(Notes!$B$2="June",'Payment Total'!$F298,0)</f>
        <v>0</v>
      </c>
      <c r="N298" s="21">
        <f t="shared" si="16"/>
        <v>0</v>
      </c>
      <c r="P298" s="25" t="s">
        <v>1121</v>
      </c>
      <c r="Q298" s="25">
        <v>198642</v>
      </c>
      <c r="R298" s="20" t="str">
        <f t="shared" si="17"/>
        <v>6651</v>
      </c>
      <c r="S298" s="20" t="str">
        <f t="shared" si="18"/>
        <v>6651</v>
      </c>
      <c r="T298" s="41">
        <f t="shared" si="19"/>
        <v>0</v>
      </c>
      <c r="V298" s="41"/>
    </row>
    <row r="299" spans="1:22" s="25" customFormat="1" ht="12.75" x14ac:dyDescent="0.2">
      <c r="A299" s="19" t="str">
        <f>Data!B294</f>
        <v>6660</v>
      </c>
      <c r="B299" s="20" t="str">
        <f>INDEX(Data[],MATCH($A299,Data[Dist],0),MATCH(B$6,Data[#Headers],0))</f>
        <v>Vinton-Shellsburg</v>
      </c>
      <c r="C299" s="21">
        <f>INDEX(Data[],MATCH($A299,Data[Dist],0),MATCH(C$6,Data[#Headers],0))</f>
        <v>1202895</v>
      </c>
      <c r="D299" s="21">
        <f>INDEX(Data[],MATCH($A299,Data[Dist],0),MATCH(D$6,Data[#Headers],0))</f>
        <v>1196842</v>
      </c>
      <c r="E299" s="21">
        <f>INDEX(Data[],MATCH($A299,Data[Dist],0),MATCH(E$6,Data[#Headers],0))</f>
        <v>1196841</v>
      </c>
      <c r="F299" s="21">
        <f>INDEX(Data[],MATCH($A299,Data[Dist],0),MATCH(F$6,Data[#Headers],0))</f>
        <v>1196842</v>
      </c>
      <c r="G299" s="21">
        <f>INDEX(Data[],MATCH($A299,Data[Dist],0),MATCH(G$6,Data[#Headers],0))</f>
        <v>6008422</v>
      </c>
      <c r="H299" s="21">
        <f>INDEX(Data[],MATCH($A299,Data[Dist],0),MATCH(H$6,Data[#Headers],0))-G299</f>
        <v>5984207</v>
      </c>
      <c r="I299" s="24"/>
      <c r="J299" s="21">
        <f>INDEX(Notes!$I$2:$N$11,MATCH(Notes!$B$2,Notes!$I$2:$I$11,0),4)*$C299</f>
        <v>4811580</v>
      </c>
      <c r="K299" s="21">
        <f>INDEX(Notes!$I$2:$N$11,MATCH(Notes!$B$2,Notes!$I$2:$I$11,0),5)*$D299</f>
        <v>1196842</v>
      </c>
      <c r="L299" s="21">
        <f>INDEX(Notes!$I$2:$N$11,MATCH(Notes!$B$2,Notes!$I$2:$I$11,0),6)*$E299</f>
        <v>0</v>
      </c>
      <c r="M299" s="21">
        <f>IF(Notes!$B$2="June",'Payment Total'!$F299,0)</f>
        <v>0</v>
      </c>
      <c r="N299" s="21">
        <f t="shared" si="16"/>
        <v>0</v>
      </c>
      <c r="P299" s="25" t="s">
        <v>1122</v>
      </c>
      <c r="Q299" s="25">
        <v>1196842</v>
      </c>
      <c r="R299" s="20" t="str">
        <f t="shared" si="17"/>
        <v>6660</v>
      </c>
      <c r="S299" s="20" t="str">
        <f t="shared" si="18"/>
        <v>6660</v>
      </c>
      <c r="T299" s="41">
        <f t="shared" si="19"/>
        <v>0</v>
      </c>
      <c r="V299" s="41"/>
    </row>
    <row r="300" spans="1:22" s="25" customFormat="1" ht="12.75" x14ac:dyDescent="0.2">
      <c r="A300" s="19" t="str">
        <f>Data!B295</f>
        <v>6700</v>
      </c>
      <c r="B300" s="20" t="str">
        <f>INDEX(Data[],MATCH($A300,Data[Dist],0),MATCH(B$6,Data[#Headers],0))</f>
        <v>Waco</v>
      </c>
      <c r="C300" s="21">
        <f>INDEX(Data[],MATCH($A300,Data[Dist],0),MATCH(C$6,Data[#Headers],0))</f>
        <v>394184</v>
      </c>
      <c r="D300" s="21">
        <f>INDEX(Data[],MATCH($A300,Data[Dist],0),MATCH(D$6,Data[#Headers],0))</f>
        <v>392458</v>
      </c>
      <c r="E300" s="21">
        <f>INDEX(Data[],MATCH($A300,Data[Dist],0),MATCH(E$6,Data[#Headers],0))</f>
        <v>392459</v>
      </c>
      <c r="F300" s="21">
        <f>INDEX(Data[],MATCH($A300,Data[Dist],0),MATCH(F$6,Data[#Headers],0))</f>
        <v>392457</v>
      </c>
      <c r="G300" s="21">
        <f>INDEX(Data[],MATCH($A300,Data[Dist],0),MATCH(G$6,Data[#Headers],0))</f>
        <v>1969194</v>
      </c>
      <c r="H300" s="21">
        <f>INDEX(Data[],MATCH($A300,Data[Dist],0),MATCH(H$6,Data[#Headers],0))-G300</f>
        <v>1962292</v>
      </c>
      <c r="I300" s="24"/>
      <c r="J300" s="21">
        <f>INDEX(Notes!$I$2:$N$11,MATCH(Notes!$B$2,Notes!$I$2:$I$11,0),4)*$C300</f>
        <v>1576736</v>
      </c>
      <c r="K300" s="21">
        <f>INDEX(Notes!$I$2:$N$11,MATCH(Notes!$B$2,Notes!$I$2:$I$11,0),5)*$D300</f>
        <v>392458</v>
      </c>
      <c r="L300" s="21">
        <f>INDEX(Notes!$I$2:$N$11,MATCH(Notes!$B$2,Notes!$I$2:$I$11,0),6)*$E300</f>
        <v>0</v>
      </c>
      <c r="M300" s="21">
        <f>IF(Notes!$B$2="June",'Payment Total'!$F300,0)</f>
        <v>0</v>
      </c>
      <c r="N300" s="21">
        <f t="shared" si="16"/>
        <v>0</v>
      </c>
      <c r="P300" s="25" t="s">
        <v>1123</v>
      </c>
      <c r="Q300" s="25">
        <v>392458</v>
      </c>
      <c r="R300" s="20" t="str">
        <f t="shared" si="17"/>
        <v>6700</v>
      </c>
      <c r="S300" s="20" t="str">
        <f t="shared" si="18"/>
        <v>6700</v>
      </c>
      <c r="T300" s="41">
        <f t="shared" si="19"/>
        <v>0</v>
      </c>
      <c r="V300" s="41"/>
    </row>
    <row r="301" spans="1:22" s="25" customFormat="1" ht="12.75" x14ac:dyDescent="0.2">
      <c r="A301" s="19" t="str">
        <f>Data!B296</f>
        <v>6741</v>
      </c>
      <c r="B301" s="20" t="str">
        <f>INDEX(Data[],MATCH($A301,Data[Dist],0),MATCH(B$6,Data[#Headers],0))</f>
        <v>East Sac County</v>
      </c>
      <c r="C301" s="21">
        <f>INDEX(Data[],MATCH($A301,Data[Dist],0),MATCH(C$6,Data[#Headers],0))</f>
        <v>536345</v>
      </c>
      <c r="D301" s="21">
        <f>INDEX(Data[],MATCH($A301,Data[Dist],0),MATCH(D$6,Data[#Headers],0))</f>
        <v>533175</v>
      </c>
      <c r="E301" s="21">
        <f>INDEX(Data[],MATCH($A301,Data[Dist],0),MATCH(E$6,Data[#Headers],0))</f>
        <v>533175</v>
      </c>
      <c r="F301" s="21">
        <f>INDEX(Data[],MATCH($A301,Data[Dist],0),MATCH(F$6,Data[#Headers],0))</f>
        <v>533175</v>
      </c>
      <c r="G301" s="21">
        <f>INDEX(Data[],MATCH($A301,Data[Dist],0),MATCH(G$6,Data[#Headers],0))</f>
        <v>2678555</v>
      </c>
      <c r="H301" s="21">
        <f>INDEX(Data[],MATCH($A301,Data[Dist],0),MATCH(H$6,Data[#Headers],0))-G301</f>
        <v>2665875</v>
      </c>
      <c r="I301" s="24"/>
      <c r="J301" s="21">
        <f>INDEX(Notes!$I$2:$N$11,MATCH(Notes!$B$2,Notes!$I$2:$I$11,0),4)*$C301</f>
        <v>2145380</v>
      </c>
      <c r="K301" s="21">
        <f>INDEX(Notes!$I$2:$N$11,MATCH(Notes!$B$2,Notes!$I$2:$I$11,0),5)*$D301</f>
        <v>533175</v>
      </c>
      <c r="L301" s="21">
        <f>INDEX(Notes!$I$2:$N$11,MATCH(Notes!$B$2,Notes!$I$2:$I$11,0),6)*$E301</f>
        <v>0</v>
      </c>
      <c r="M301" s="21">
        <f>IF(Notes!$B$2="June",'Payment Total'!$F301,0)</f>
        <v>0</v>
      </c>
      <c r="N301" s="21">
        <f t="shared" si="16"/>
        <v>0</v>
      </c>
      <c r="P301" s="25" t="s">
        <v>1124</v>
      </c>
      <c r="Q301" s="25">
        <v>533175</v>
      </c>
      <c r="R301" s="20" t="str">
        <f t="shared" si="17"/>
        <v>6741</v>
      </c>
      <c r="S301" s="20" t="str">
        <f t="shared" si="18"/>
        <v>6741</v>
      </c>
      <c r="T301" s="41">
        <f t="shared" si="19"/>
        <v>0</v>
      </c>
      <c r="V301" s="41"/>
    </row>
    <row r="302" spans="1:22" s="25" customFormat="1" ht="12.75" x14ac:dyDescent="0.2">
      <c r="A302" s="19" t="str">
        <f>Data!B297</f>
        <v>6759</v>
      </c>
      <c r="B302" s="20" t="str">
        <f>INDEX(Data[],MATCH($A302,Data[Dist],0),MATCH(B$6,Data[#Headers],0))</f>
        <v>Wapello</v>
      </c>
      <c r="C302" s="21">
        <f>INDEX(Data[],MATCH($A302,Data[Dist],0),MATCH(C$6,Data[#Headers],0))</f>
        <v>376058</v>
      </c>
      <c r="D302" s="21">
        <f>INDEX(Data[],MATCH($A302,Data[Dist],0),MATCH(D$6,Data[#Headers],0))</f>
        <v>374155</v>
      </c>
      <c r="E302" s="21">
        <f>INDEX(Data[],MATCH($A302,Data[Dist],0),MATCH(E$6,Data[#Headers],0))</f>
        <v>374156</v>
      </c>
      <c r="F302" s="21">
        <f>INDEX(Data[],MATCH($A302,Data[Dist],0),MATCH(F$6,Data[#Headers],0))</f>
        <v>374154</v>
      </c>
      <c r="G302" s="21">
        <f>INDEX(Data[],MATCH($A302,Data[Dist],0),MATCH(G$6,Data[#Headers],0))</f>
        <v>1878387</v>
      </c>
      <c r="H302" s="21">
        <f>INDEX(Data[],MATCH($A302,Data[Dist],0),MATCH(H$6,Data[#Headers],0))-G302</f>
        <v>1870777</v>
      </c>
      <c r="I302" s="24"/>
      <c r="J302" s="21">
        <f>INDEX(Notes!$I$2:$N$11,MATCH(Notes!$B$2,Notes!$I$2:$I$11,0),4)*$C302</f>
        <v>1504232</v>
      </c>
      <c r="K302" s="21">
        <f>INDEX(Notes!$I$2:$N$11,MATCH(Notes!$B$2,Notes!$I$2:$I$11,0),5)*$D302</f>
        <v>374155</v>
      </c>
      <c r="L302" s="21">
        <f>INDEX(Notes!$I$2:$N$11,MATCH(Notes!$B$2,Notes!$I$2:$I$11,0),6)*$E302</f>
        <v>0</v>
      </c>
      <c r="M302" s="21">
        <f>IF(Notes!$B$2="June",'Payment Total'!$F302,0)</f>
        <v>0</v>
      </c>
      <c r="N302" s="21">
        <f t="shared" si="16"/>
        <v>0</v>
      </c>
      <c r="P302" s="25" t="s">
        <v>1125</v>
      </c>
      <c r="Q302" s="25">
        <v>374155</v>
      </c>
      <c r="R302" s="20" t="str">
        <f t="shared" si="17"/>
        <v>6759</v>
      </c>
      <c r="S302" s="20" t="str">
        <f t="shared" si="18"/>
        <v>6759</v>
      </c>
      <c r="T302" s="41">
        <f t="shared" si="19"/>
        <v>0</v>
      </c>
      <c r="V302" s="41"/>
    </row>
    <row r="303" spans="1:22" s="25" customFormat="1" ht="12.75" x14ac:dyDescent="0.2">
      <c r="A303" s="19" t="str">
        <f>Data!B298</f>
        <v>6762</v>
      </c>
      <c r="B303" s="20" t="str">
        <f>INDEX(Data[],MATCH($A303,Data[Dist],0),MATCH(B$6,Data[#Headers],0))</f>
        <v>Wapsie Valley</v>
      </c>
      <c r="C303" s="21">
        <f>INDEX(Data[],MATCH($A303,Data[Dist],0),MATCH(C$6,Data[#Headers],0))</f>
        <v>494369</v>
      </c>
      <c r="D303" s="21">
        <f>INDEX(Data[],MATCH($A303,Data[Dist],0),MATCH(D$6,Data[#Headers],0))</f>
        <v>491967</v>
      </c>
      <c r="E303" s="21">
        <f>INDEX(Data[],MATCH($A303,Data[Dist],0),MATCH(E$6,Data[#Headers],0))</f>
        <v>491967</v>
      </c>
      <c r="F303" s="21">
        <f>INDEX(Data[],MATCH($A303,Data[Dist],0),MATCH(F$6,Data[#Headers],0))</f>
        <v>491968</v>
      </c>
      <c r="G303" s="21">
        <f>INDEX(Data[],MATCH($A303,Data[Dist],0),MATCH(G$6,Data[#Headers],0))</f>
        <v>2469443</v>
      </c>
      <c r="H303" s="21">
        <f>INDEX(Data[],MATCH($A303,Data[Dist],0),MATCH(H$6,Data[#Headers],0))-G303</f>
        <v>2459836</v>
      </c>
      <c r="I303" s="24"/>
      <c r="J303" s="21">
        <f>INDEX(Notes!$I$2:$N$11,MATCH(Notes!$B$2,Notes!$I$2:$I$11,0),4)*$C303</f>
        <v>1977476</v>
      </c>
      <c r="K303" s="21">
        <f>INDEX(Notes!$I$2:$N$11,MATCH(Notes!$B$2,Notes!$I$2:$I$11,0),5)*$D303</f>
        <v>491967</v>
      </c>
      <c r="L303" s="21">
        <f>INDEX(Notes!$I$2:$N$11,MATCH(Notes!$B$2,Notes!$I$2:$I$11,0),6)*$E303</f>
        <v>0</v>
      </c>
      <c r="M303" s="21">
        <f>IF(Notes!$B$2="June",'Payment Total'!$F303,0)</f>
        <v>0</v>
      </c>
      <c r="N303" s="21">
        <f>SUM(J303:M303)-G303</f>
        <v>0</v>
      </c>
      <c r="P303" s="25" t="s">
        <v>1126</v>
      </c>
      <c r="Q303" s="25">
        <v>491967</v>
      </c>
      <c r="R303" s="20" t="str">
        <f t="shared" si="17"/>
        <v>6762</v>
      </c>
      <c r="S303" s="20" t="str">
        <f t="shared" si="18"/>
        <v>6762</v>
      </c>
      <c r="T303" s="41">
        <f t="shared" si="19"/>
        <v>0</v>
      </c>
      <c r="V303" s="41"/>
    </row>
    <row r="304" spans="1:22" s="25" customFormat="1" ht="12.75" x14ac:dyDescent="0.2">
      <c r="A304" s="19" t="str">
        <f>Data!B299</f>
        <v>6768</v>
      </c>
      <c r="B304" s="20" t="str">
        <f>INDEX(Data[],MATCH($A304,Data[Dist],0),MATCH(B$6,Data[#Headers],0))</f>
        <v>Washington</v>
      </c>
      <c r="C304" s="21">
        <f>INDEX(Data[],MATCH($A304,Data[Dist],0),MATCH(C$6,Data[#Headers],0))</f>
        <v>1359402</v>
      </c>
      <c r="D304" s="21">
        <f>INDEX(Data[],MATCH($A304,Data[Dist],0),MATCH(D$6,Data[#Headers],0))</f>
        <v>1353214</v>
      </c>
      <c r="E304" s="21">
        <f>INDEX(Data[],MATCH($A304,Data[Dist],0),MATCH(E$6,Data[#Headers],0))</f>
        <v>1353214</v>
      </c>
      <c r="F304" s="21">
        <f>INDEX(Data[],MATCH($A304,Data[Dist],0),MATCH(F$6,Data[#Headers],0))</f>
        <v>1353214</v>
      </c>
      <c r="G304" s="21">
        <f>INDEX(Data[],MATCH($A304,Data[Dist],0),MATCH(G$6,Data[#Headers],0))</f>
        <v>6790822</v>
      </c>
      <c r="H304" s="21">
        <f>INDEX(Data[],MATCH($A304,Data[Dist],0),MATCH(H$6,Data[#Headers],0))-G304</f>
        <v>6766070</v>
      </c>
      <c r="I304" s="24"/>
      <c r="J304" s="21">
        <f>INDEX(Notes!$I$2:$N$11,MATCH(Notes!$B$2,Notes!$I$2:$I$11,0),4)*$C304</f>
        <v>5437608</v>
      </c>
      <c r="K304" s="21">
        <f>INDEX(Notes!$I$2:$N$11,MATCH(Notes!$B$2,Notes!$I$2:$I$11,0),5)*$D304</f>
        <v>1353214</v>
      </c>
      <c r="L304" s="21">
        <f>INDEX(Notes!$I$2:$N$11,MATCH(Notes!$B$2,Notes!$I$2:$I$11,0),6)*$E304</f>
        <v>0</v>
      </c>
      <c r="M304" s="21">
        <f>IF(Notes!$B$2="June",'Payment Total'!$F304,0)</f>
        <v>0</v>
      </c>
      <c r="N304" s="21">
        <f t="shared" si="16"/>
        <v>0</v>
      </c>
      <c r="P304" s="25" t="s">
        <v>1127</v>
      </c>
      <c r="Q304" s="25">
        <v>1353214</v>
      </c>
      <c r="R304" s="20" t="str">
        <f t="shared" si="17"/>
        <v>6768</v>
      </c>
      <c r="S304" s="20" t="str">
        <f t="shared" si="18"/>
        <v>6768</v>
      </c>
      <c r="T304" s="41">
        <f t="shared" si="19"/>
        <v>0</v>
      </c>
      <c r="V304" s="41"/>
    </row>
    <row r="305" spans="1:22" s="25" customFormat="1" ht="12.75" x14ac:dyDescent="0.2">
      <c r="A305" s="19" t="str">
        <f>Data!B300</f>
        <v>6795</v>
      </c>
      <c r="B305" s="20" t="str">
        <f>INDEX(Data[],MATCH($A305,Data[Dist],0),MATCH(B$6,Data[#Headers],0))</f>
        <v>Waterloo</v>
      </c>
      <c r="C305" s="21">
        <f>INDEX(Data[],MATCH($A305,Data[Dist],0),MATCH(C$6,Data[#Headers],0))</f>
        <v>9852057</v>
      </c>
      <c r="D305" s="21">
        <f>INDEX(Data[],MATCH($A305,Data[Dist],0),MATCH(D$6,Data[#Headers],0))</f>
        <v>9811767</v>
      </c>
      <c r="E305" s="21">
        <f>INDEX(Data[],MATCH($A305,Data[Dist],0),MATCH(E$6,Data[#Headers],0))</f>
        <v>9811767</v>
      </c>
      <c r="F305" s="21">
        <f>INDEX(Data[],MATCH($A305,Data[Dist],0),MATCH(F$6,Data[#Headers],0))</f>
        <v>9811768</v>
      </c>
      <c r="G305" s="21">
        <f>INDEX(Data[],MATCH($A305,Data[Dist],0),MATCH(G$6,Data[#Headers],0))</f>
        <v>49219995</v>
      </c>
      <c r="H305" s="21">
        <f>INDEX(Data[],MATCH($A305,Data[Dist],0),MATCH(H$6,Data[#Headers],0))-G305</f>
        <v>49058836</v>
      </c>
      <c r="I305" s="24"/>
      <c r="J305" s="21">
        <f>INDEX(Notes!$I$2:$N$11,MATCH(Notes!$B$2,Notes!$I$2:$I$11,0),4)*$C305</f>
        <v>39408228</v>
      </c>
      <c r="K305" s="21">
        <f>INDEX(Notes!$I$2:$N$11,MATCH(Notes!$B$2,Notes!$I$2:$I$11,0),5)*$D305</f>
        <v>9811767</v>
      </c>
      <c r="L305" s="21">
        <f>INDEX(Notes!$I$2:$N$11,MATCH(Notes!$B$2,Notes!$I$2:$I$11,0),6)*$E305</f>
        <v>0</v>
      </c>
      <c r="M305" s="21">
        <f>IF(Notes!$B$2="June",'Payment Total'!$F305,0)</f>
        <v>0</v>
      </c>
      <c r="N305" s="21">
        <f t="shared" si="16"/>
        <v>0</v>
      </c>
      <c r="P305" s="25" t="s">
        <v>1128</v>
      </c>
      <c r="Q305" s="25">
        <v>9811767</v>
      </c>
      <c r="R305" s="20" t="str">
        <f t="shared" si="17"/>
        <v>6795</v>
      </c>
      <c r="S305" s="20" t="str">
        <f t="shared" si="18"/>
        <v>6795</v>
      </c>
      <c r="T305" s="41">
        <f t="shared" si="19"/>
        <v>0</v>
      </c>
      <c r="V305" s="41"/>
    </row>
    <row r="306" spans="1:22" s="25" customFormat="1" ht="12.75" x14ac:dyDescent="0.2">
      <c r="A306" s="19" t="str">
        <f>Data!B301</f>
        <v>6822</v>
      </c>
      <c r="B306" s="20" t="str">
        <f>INDEX(Data[],MATCH($A306,Data[Dist],0),MATCH(B$6,Data[#Headers],0))</f>
        <v>Waukee</v>
      </c>
      <c r="C306" s="21">
        <f>INDEX(Data[],MATCH($A306,Data[Dist],0),MATCH(C$6,Data[#Headers],0))</f>
        <v>9260356</v>
      </c>
      <c r="D306" s="21">
        <f>INDEX(Data[],MATCH($A306,Data[Dist],0),MATCH(D$6,Data[#Headers],0))</f>
        <v>9209019</v>
      </c>
      <c r="E306" s="21">
        <f>INDEX(Data[],MATCH($A306,Data[Dist],0),MATCH(E$6,Data[#Headers],0))</f>
        <v>9209020</v>
      </c>
      <c r="F306" s="21">
        <f>INDEX(Data[],MATCH($A306,Data[Dist],0),MATCH(F$6,Data[#Headers],0))</f>
        <v>9209018</v>
      </c>
      <c r="G306" s="21">
        <f>INDEX(Data[],MATCH($A306,Data[Dist],0),MATCH(G$6,Data[#Headers],0))</f>
        <v>46250443</v>
      </c>
      <c r="H306" s="21">
        <f>INDEX(Data[],MATCH($A306,Data[Dist],0),MATCH(H$6,Data[#Headers],0))-G306</f>
        <v>46045097</v>
      </c>
      <c r="I306" s="24"/>
      <c r="J306" s="21">
        <f>INDEX(Notes!$I$2:$N$11,MATCH(Notes!$B$2,Notes!$I$2:$I$11,0),4)*$C306</f>
        <v>37041424</v>
      </c>
      <c r="K306" s="21">
        <f>INDEX(Notes!$I$2:$N$11,MATCH(Notes!$B$2,Notes!$I$2:$I$11,0),5)*$D306</f>
        <v>9209019</v>
      </c>
      <c r="L306" s="21">
        <f>INDEX(Notes!$I$2:$N$11,MATCH(Notes!$B$2,Notes!$I$2:$I$11,0),6)*$E306</f>
        <v>0</v>
      </c>
      <c r="M306" s="21">
        <f>IF(Notes!$B$2="June",'Payment Total'!$F306,0)</f>
        <v>0</v>
      </c>
      <c r="N306" s="21">
        <f t="shared" si="16"/>
        <v>0</v>
      </c>
      <c r="P306" s="25" t="s">
        <v>1129</v>
      </c>
      <c r="Q306" s="25">
        <v>9209019</v>
      </c>
      <c r="R306" s="20" t="str">
        <f t="shared" si="17"/>
        <v>6822</v>
      </c>
      <c r="S306" s="20" t="str">
        <f t="shared" si="18"/>
        <v>6822</v>
      </c>
      <c r="T306" s="41">
        <f t="shared" si="19"/>
        <v>0</v>
      </c>
      <c r="V306" s="41"/>
    </row>
    <row r="307" spans="1:22" s="25" customFormat="1" ht="12.75" x14ac:dyDescent="0.2">
      <c r="A307" s="19" t="str">
        <f>Data!B302</f>
        <v>6840</v>
      </c>
      <c r="B307" s="20" t="str">
        <f>INDEX(Data[],MATCH($A307,Data[Dist],0),MATCH(B$6,Data[#Headers],0))</f>
        <v>Waverly-Shell Rock</v>
      </c>
      <c r="C307" s="21">
        <f>INDEX(Data[],MATCH($A307,Data[Dist],0),MATCH(C$6,Data[#Headers],0))</f>
        <v>1650297</v>
      </c>
      <c r="D307" s="21">
        <f>INDEX(Data[],MATCH($A307,Data[Dist],0),MATCH(D$6,Data[#Headers],0))</f>
        <v>1642099</v>
      </c>
      <c r="E307" s="21">
        <f>INDEX(Data[],MATCH($A307,Data[Dist],0),MATCH(E$6,Data[#Headers],0))</f>
        <v>1642099</v>
      </c>
      <c r="F307" s="21">
        <f>INDEX(Data[],MATCH($A307,Data[Dist],0),MATCH(F$6,Data[#Headers],0))</f>
        <v>1642100</v>
      </c>
      <c r="G307" s="21">
        <f>INDEX(Data[],MATCH($A307,Data[Dist],0),MATCH(G$6,Data[#Headers],0))</f>
        <v>8243287</v>
      </c>
      <c r="H307" s="21">
        <f>INDEX(Data[],MATCH($A307,Data[Dist],0),MATCH(H$6,Data[#Headers],0))-G307</f>
        <v>8210496</v>
      </c>
      <c r="I307" s="24"/>
      <c r="J307" s="21">
        <f>INDEX(Notes!$I$2:$N$11,MATCH(Notes!$B$2,Notes!$I$2:$I$11,0),4)*$C307</f>
        <v>6601188</v>
      </c>
      <c r="K307" s="21">
        <f>INDEX(Notes!$I$2:$N$11,MATCH(Notes!$B$2,Notes!$I$2:$I$11,0),5)*$D307</f>
        <v>1642099</v>
      </c>
      <c r="L307" s="21">
        <f>INDEX(Notes!$I$2:$N$11,MATCH(Notes!$B$2,Notes!$I$2:$I$11,0),6)*$E307</f>
        <v>0</v>
      </c>
      <c r="M307" s="21">
        <f>IF(Notes!$B$2="June",'Payment Total'!$F307,0)</f>
        <v>0</v>
      </c>
      <c r="N307" s="21">
        <f t="shared" si="16"/>
        <v>0</v>
      </c>
      <c r="P307" s="25" t="s">
        <v>1130</v>
      </c>
      <c r="Q307" s="25">
        <v>1642099</v>
      </c>
      <c r="R307" s="20" t="str">
        <f t="shared" si="17"/>
        <v>6840</v>
      </c>
      <c r="S307" s="20" t="str">
        <f t="shared" si="18"/>
        <v>6840</v>
      </c>
      <c r="T307" s="41">
        <f t="shared" si="19"/>
        <v>0</v>
      </c>
      <c r="V307" s="41"/>
    </row>
    <row r="308" spans="1:22" s="25" customFormat="1" ht="12.75" x14ac:dyDescent="0.2">
      <c r="A308" s="19" t="str">
        <f>Data!B303</f>
        <v>6854</v>
      </c>
      <c r="B308" s="20" t="str">
        <f>INDEX(Data[],MATCH($A308,Data[Dist],0),MATCH(B$6,Data[#Headers],0))</f>
        <v>Wayne</v>
      </c>
      <c r="C308" s="21">
        <f>INDEX(Data[],MATCH($A308,Data[Dist],0),MATCH(C$6,Data[#Headers],0))</f>
        <v>418654</v>
      </c>
      <c r="D308" s="21">
        <f>INDEX(Data[],MATCH($A308,Data[Dist],0),MATCH(D$6,Data[#Headers],0))</f>
        <v>416512</v>
      </c>
      <c r="E308" s="21">
        <f>INDEX(Data[],MATCH($A308,Data[Dist],0),MATCH(E$6,Data[#Headers],0))</f>
        <v>416511</v>
      </c>
      <c r="F308" s="21">
        <f>INDEX(Data[],MATCH($A308,Data[Dist],0),MATCH(F$6,Data[#Headers],0))</f>
        <v>416512</v>
      </c>
      <c r="G308" s="21">
        <f>INDEX(Data[],MATCH($A308,Data[Dist],0),MATCH(G$6,Data[#Headers],0))</f>
        <v>2091128</v>
      </c>
      <c r="H308" s="21">
        <f>INDEX(Data[],MATCH($A308,Data[Dist],0),MATCH(H$6,Data[#Headers],0))-G308</f>
        <v>2082557</v>
      </c>
      <c r="I308" s="24"/>
      <c r="J308" s="21">
        <f>INDEX(Notes!$I$2:$N$11,MATCH(Notes!$B$2,Notes!$I$2:$I$11,0),4)*$C308</f>
        <v>1674616</v>
      </c>
      <c r="K308" s="21">
        <f>INDEX(Notes!$I$2:$N$11,MATCH(Notes!$B$2,Notes!$I$2:$I$11,0),5)*$D308</f>
        <v>416512</v>
      </c>
      <c r="L308" s="21">
        <f>INDEX(Notes!$I$2:$N$11,MATCH(Notes!$B$2,Notes!$I$2:$I$11,0),6)*$E308</f>
        <v>0</v>
      </c>
      <c r="M308" s="21">
        <f>IF(Notes!$B$2="June",'Payment Total'!$F308,0)</f>
        <v>0</v>
      </c>
      <c r="N308" s="21">
        <f t="shared" si="16"/>
        <v>0</v>
      </c>
      <c r="P308" s="25" t="s">
        <v>1131</v>
      </c>
      <c r="Q308" s="25">
        <v>416512</v>
      </c>
      <c r="R308" s="20" t="str">
        <f t="shared" si="17"/>
        <v>6854</v>
      </c>
      <c r="S308" s="20" t="str">
        <f t="shared" si="18"/>
        <v>6854</v>
      </c>
      <c r="T308" s="41">
        <f t="shared" si="19"/>
        <v>0</v>
      </c>
      <c r="V308" s="41"/>
    </row>
    <row r="309" spans="1:22" s="25" customFormat="1" ht="12.75" x14ac:dyDescent="0.2">
      <c r="A309" s="19" t="str">
        <f>Data!B304</f>
        <v>6867</v>
      </c>
      <c r="B309" s="20" t="str">
        <f>INDEX(Data[],MATCH($A309,Data[Dist],0),MATCH(B$6,Data[#Headers],0))</f>
        <v>Webster City</v>
      </c>
      <c r="C309" s="21">
        <f>INDEX(Data[],MATCH($A309,Data[Dist],0),MATCH(C$6,Data[#Headers],0))</f>
        <v>1266028</v>
      </c>
      <c r="D309" s="21">
        <f>INDEX(Data[],MATCH($A309,Data[Dist],0),MATCH(D$6,Data[#Headers],0))</f>
        <v>1259433</v>
      </c>
      <c r="E309" s="21">
        <f>INDEX(Data[],MATCH($A309,Data[Dist],0),MATCH(E$6,Data[#Headers],0))</f>
        <v>1259434</v>
      </c>
      <c r="F309" s="21">
        <f>INDEX(Data[],MATCH($A309,Data[Dist],0),MATCH(F$6,Data[#Headers],0))</f>
        <v>1259432</v>
      </c>
      <c r="G309" s="21">
        <f>INDEX(Data[],MATCH($A309,Data[Dist],0),MATCH(G$6,Data[#Headers],0))</f>
        <v>6323545</v>
      </c>
      <c r="H309" s="21">
        <f>INDEX(Data[],MATCH($A309,Data[Dist],0),MATCH(H$6,Data[#Headers],0))-G309</f>
        <v>6297167</v>
      </c>
      <c r="I309" s="24"/>
      <c r="J309" s="21">
        <f>INDEX(Notes!$I$2:$N$11,MATCH(Notes!$B$2,Notes!$I$2:$I$11,0),4)*$C309</f>
        <v>5064112</v>
      </c>
      <c r="K309" s="21">
        <f>INDEX(Notes!$I$2:$N$11,MATCH(Notes!$B$2,Notes!$I$2:$I$11,0),5)*$D309</f>
        <v>1259433</v>
      </c>
      <c r="L309" s="21">
        <f>INDEX(Notes!$I$2:$N$11,MATCH(Notes!$B$2,Notes!$I$2:$I$11,0),6)*$E309</f>
        <v>0</v>
      </c>
      <c r="M309" s="21">
        <f>IF(Notes!$B$2="June",'Payment Total'!$F309,0)</f>
        <v>0</v>
      </c>
      <c r="N309" s="21">
        <f t="shared" si="16"/>
        <v>0</v>
      </c>
      <c r="P309" s="25" t="s">
        <v>1132</v>
      </c>
      <c r="Q309" s="25">
        <v>1259433</v>
      </c>
      <c r="R309" s="20" t="str">
        <f t="shared" si="17"/>
        <v>6867</v>
      </c>
      <c r="S309" s="20" t="str">
        <f t="shared" si="18"/>
        <v>6867</v>
      </c>
      <c r="T309" s="41">
        <f t="shared" si="19"/>
        <v>0</v>
      </c>
      <c r="V309" s="41"/>
    </row>
    <row r="310" spans="1:22" s="25" customFormat="1" ht="12.75" x14ac:dyDescent="0.2">
      <c r="A310" s="19" t="str">
        <f>Data!B305</f>
        <v>6921</v>
      </c>
      <c r="B310" s="20" t="str">
        <f>INDEX(Data[],MATCH($A310,Data[Dist],0),MATCH(B$6,Data[#Headers],0))</f>
        <v>West Bend-Mallard</v>
      </c>
      <c r="C310" s="21">
        <f>INDEX(Data[],MATCH($A310,Data[Dist],0),MATCH(C$6,Data[#Headers],0))</f>
        <v>215165</v>
      </c>
      <c r="D310" s="21">
        <f>INDEX(Data[],MATCH($A310,Data[Dist],0),MATCH(D$6,Data[#Headers],0))</f>
        <v>213888</v>
      </c>
      <c r="E310" s="21">
        <f>INDEX(Data[],MATCH($A310,Data[Dist],0),MATCH(E$6,Data[#Headers],0))</f>
        <v>213888</v>
      </c>
      <c r="F310" s="21">
        <f>INDEX(Data[],MATCH($A310,Data[Dist],0),MATCH(F$6,Data[#Headers],0))</f>
        <v>213886</v>
      </c>
      <c r="G310" s="21">
        <f>INDEX(Data[],MATCH($A310,Data[Dist],0),MATCH(G$6,Data[#Headers],0))</f>
        <v>1074548</v>
      </c>
      <c r="H310" s="21">
        <f>INDEX(Data[],MATCH($A310,Data[Dist],0),MATCH(H$6,Data[#Headers],0))-G310</f>
        <v>1069438</v>
      </c>
      <c r="I310" s="24"/>
      <c r="J310" s="21">
        <f>INDEX(Notes!$I$2:$N$11,MATCH(Notes!$B$2,Notes!$I$2:$I$11,0),4)*$C310</f>
        <v>860660</v>
      </c>
      <c r="K310" s="21">
        <f>INDEX(Notes!$I$2:$N$11,MATCH(Notes!$B$2,Notes!$I$2:$I$11,0),5)*$D310</f>
        <v>213888</v>
      </c>
      <c r="L310" s="21">
        <f>INDEX(Notes!$I$2:$N$11,MATCH(Notes!$B$2,Notes!$I$2:$I$11,0),6)*$E310</f>
        <v>0</v>
      </c>
      <c r="M310" s="21">
        <f>IF(Notes!$B$2="June",'Payment Total'!$F310,0)</f>
        <v>0</v>
      </c>
      <c r="N310" s="21">
        <f t="shared" si="16"/>
        <v>0</v>
      </c>
      <c r="P310" s="25" t="s">
        <v>1133</v>
      </c>
      <c r="Q310" s="25">
        <v>213888</v>
      </c>
      <c r="R310" s="20" t="str">
        <f t="shared" si="17"/>
        <v>6921</v>
      </c>
      <c r="S310" s="20" t="str">
        <f t="shared" si="18"/>
        <v>6921</v>
      </c>
      <c r="T310" s="41">
        <f t="shared" si="19"/>
        <v>0</v>
      </c>
      <c r="V310" s="41"/>
    </row>
    <row r="311" spans="1:22" s="25" customFormat="1" ht="12.75" x14ac:dyDescent="0.2">
      <c r="A311" s="19" t="str">
        <f>Data!B306</f>
        <v>6930</v>
      </c>
      <c r="B311" s="20" t="str">
        <f>INDEX(Data[],MATCH($A311,Data[Dist],0),MATCH(B$6,Data[#Headers],0))</f>
        <v>West Branch</v>
      </c>
      <c r="C311" s="21">
        <f>INDEX(Data[],MATCH($A311,Data[Dist],0),MATCH(C$6,Data[#Headers],0))</f>
        <v>505733</v>
      </c>
      <c r="D311" s="21">
        <f>INDEX(Data[],MATCH($A311,Data[Dist],0),MATCH(D$6,Data[#Headers],0))</f>
        <v>502807</v>
      </c>
      <c r="E311" s="21">
        <f>INDEX(Data[],MATCH($A311,Data[Dist],0),MATCH(E$6,Data[#Headers],0))</f>
        <v>502807</v>
      </c>
      <c r="F311" s="21">
        <f>INDEX(Data[],MATCH($A311,Data[Dist],0),MATCH(F$6,Data[#Headers],0))</f>
        <v>502806</v>
      </c>
      <c r="G311" s="21">
        <f>INDEX(Data[],MATCH($A311,Data[Dist],0),MATCH(G$6,Data[#Headers],0))</f>
        <v>2525739</v>
      </c>
      <c r="H311" s="21">
        <f>INDEX(Data[],MATCH($A311,Data[Dist],0),MATCH(H$6,Data[#Headers],0))-G311</f>
        <v>2514034</v>
      </c>
      <c r="I311" s="24"/>
      <c r="J311" s="21">
        <f>INDEX(Notes!$I$2:$N$11,MATCH(Notes!$B$2,Notes!$I$2:$I$11,0),4)*$C311</f>
        <v>2022932</v>
      </c>
      <c r="K311" s="21">
        <f>INDEX(Notes!$I$2:$N$11,MATCH(Notes!$B$2,Notes!$I$2:$I$11,0),5)*$D311</f>
        <v>502807</v>
      </c>
      <c r="L311" s="21">
        <f>INDEX(Notes!$I$2:$N$11,MATCH(Notes!$B$2,Notes!$I$2:$I$11,0),6)*$E311</f>
        <v>0</v>
      </c>
      <c r="M311" s="21">
        <f>IF(Notes!$B$2="June",'Payment Total'!$F311,0)</f>
        <v>0</v>
      </c>
      <c r="N311" s="21">
        <f t="shared" si="16"/>
        <v>0</v>
      </c>
      <c r="P311" s="25" t="s">
        <v>1134</v>
      </c>
      <c r="Q311" s="25">
        <v>502807</v>
      </c>
      <c r="R311" s="20" t="str">
        <f t="shared" si="17"/>
        <v>6930</v>
      </c>
      <c r="S311" s="20" t="str">
        <f t="shared" si="18"/>
        <v>6930</v>
      </c>
      <c r="T311" s="41">
        <f t="shared" si="19"/>
        <v>0</v>
      </c>
      <c r="V311" s="41"/>
    </row>
    <row r="312" spans="1:22" s="25" customFormat="1" ht="12.75" x14ac:dyDescent="0.2">
      <c r="A312" s="19" t="str">
        <f>Data!B307</f>
        <v>6937</v>
      </c>
      <c r="B312" s="20" t="str">
        <f>INDEX(Data[],MATCH($A312,Data[Dist],0),MATCH(B$6,Data[#Headers],0))</f>
        <v>West Burlington</v>
      </c>
      <c r="C312" s="21">
        <f>INDEX(Data[],MATCH($A312,Data[Dist],0),MATCH(C$6,Data[#Headers],0))</f>
        <v>278087</v>
      </c>
      <c r="D312" s="21">
        <f>INDEX(Data[],MATCH($A312,Data[Dist],0),MATCH(D$6,Data[#Headers],0))</f>
        <v>276646</v>
      </c>
      <c r="E312" s="21">
        <f>INDEX(Data[],MATCH($A312,Data[Dist],0),MATCH(E$6,Data[#Headers],0))</f>
        <v>276646</v>
      </c>
      <c r="F312" s="21">
        <f>INDEX(Data[],MATCH($A312,Data[Dist],0),MATCH(F$6,Data[#Headers],0))</f>
        <v>276644</v>
      </c>
      <c r="G312" s="21">
        <f>INDEX(Data[],MATCH($A312,Data[Dist],0),MATCH(G$6,Data[#Headers],0))</f>
        <v>1388994</v>
      </c>
      <c r="H312" s="21">
        <f>INDEX(Data[],MATCH($A312,Data[Dist],0),MATCH(H$6,Data[#Headers],0))-G312</f>
        <v>1383228</v>
      </c>
      <c r="I312" s="24"/>
      <c r="J312" s="21">
        <f>INDEX(Notes!$I$2:$N$11,MATCH(Notes!$B$2,Notes!$I$2:$I$11,0),4)*$C312</f>
        <v>1112348</v>
      </c>
      <c r="K312" s="21">
        <f>INDEX(Notes!$I$2:$N$11,MATCH(Notes!$B$2,Notes!$I$2:$I$11,0),5)*$D312</f>
        <v>276646</v>
      </c>
      <c r="L312" s="21">
        <f>INDEX(Notes!$I$2:$N$11,MATCH(Notes!$B$2,Notes!$I$2:$I$11,0),6)*$E312</f>
        <v>0</v>
      </c>
      <c r="M312" s="21">
        <f>IF(Notes!$B$2="June",'Payment Total'!$F312,0)</f>
        <v>0</v>
      </c>
      <c r="N312" s="21">
        <f t="shared" si="16"/>
        <v>0</v>
      </c>
      <c r="P312" s="25" t="s">
        <v>1135</v>
      </c>
      <c r="Q312" s="25">
        <v>276646</v>
      </c>
      <c r="R312" s="20" t="str">
        <f t="shared" si="17"/>
        <v>6937</v>
      </c>
      <c r="S312" s="20" t="str">
        <f t="shared" si="18"/>
        <v>6937</v>
      </c>
      <c r="T312" s="41">
        <f t="shared" si="19"/>
        <v>0</v>
      </c>
      <c r="V312" s="41"/>
    </row>
    <row r="313" spans="1:22" s="25" customFormat="1" ht="12.75" x14ac:dyDescent="0.2">
      <c r="A313" s="19" t="str">
        <f>Data!B308</f>
        <v>6943</v>
      </c>
      <c r="B313" s="20" t="str">
        <f>INDEX(Data[],MATCH($A313,Data[Dist],0),MATCH(B$6,Data[#Headers],0))</f>
        <v>West Central</v>
      </c>
      <c r="C313" s="21">
        <f>INDEX(Data[],MATCH($A313,Data[Dist],0),MATCH(C$6,Data[#Headers],0))</f>
        <v>187690</v>
      </c>
      <c r="D313" s="21">
        <f>INDEX(Data[],MATCH($A313,Data[Dist],0),MATCH(D$6,Data[#Headers],0))</f>
        <v>186736</v>
      </c>
      <c r="E313" s="21">
        <f>INDEX(Data[],MATCH($A313,Data[Dist],0),MATCH(E$6,Data[#Headers],0))</f>
        <v>186736</v>
      </c>
      <c r="F313" s="21">
        <f>INDEX(Data[],MATCH($A313,Data[Dist],0),MATCH(F$6,Data[#Headers],0))</f>
        <v>186734</v>
      </c>
      <c r="G313" s="21">
        <f>INDEX(Data[],MATCH($A313,Data[Dist],0),MATCH(G$6,Data[#Headers],0))</f>
        <v>937496</v>
      </c>
      <c r="H313" s="21">
        <f>INDEX(Data[],MATCH($A313,Data[Dist],0),MATCH(H$6,Data[#Headers],0))-G313</f>
        <v>933678</v>
      </c>
      <c r="I313" s="24"/>
      <c r="J313" s="21">
        <f>INDEX(Notes!$I$2:$N$11,MATCH(Notes!$B$2,Notes!$I$2:$I$11,0),4)*$C313</f>
        <v>750760</v>
      </c>
      <c r="K313" s="21">
        <f>INDEX(Notes!$I$2:$N$11,MATCH(Notes!$B$2,Notes!$I$2:$I$11,0),5)*$D313</f>
        <v>186736</v>
      </c>
      <c r="L313" s="21">
        <f>INDEX(Notes!$I$2:$N$11,MATCH(Notes!$B$2,Notes!$I$2:$I$11,0),6)*$E313</f>
        <v>0</v>
      </c>
      <c r="M313" s="21">
        <f>IF(Notes!$B$2="June",'Payment Total'!$F313,0)</f>
        <v>0</v>
      </c>
      <c r="N313" s="21">
        <f t="shared" si="16"/>
        <v>0</v>
      </c>
      <c r="P313" s="25" t="s">
        <v>1136</v>
      </c>
      <c r="Q313" s="25">
        <v>186736</v>
      </c>
      <c r="R313" s="20" t="str">
        <f t="shared" si="17"/>
        <v>6943</v>
      </c>
      <c r="S313" s="20" t="str">
        <f t="shared" si="18"/>
        <v>6943</v>
      </c>
      <c r="T313" s="41">
        <f t="shared" si="19"/>
        <v>0</v>
      </c>
      <c r="V313" s="41"/>
    </row>
    <row r="314" spans="1:22" s="25" customFormat="1" ht="12.75" x14ac:dyDescent="0.2">
      <c r="A314" s="19" t="str">
        <f>Data!B309</f>
        <v>6950</v>
      </c>
      <c r="B314" s="20" t="str">
        <f>INDEX(Data[],MATCH($A314,Data[Dist],0),MATCH(B$6,Data[#Headers],0))</f>
        <v>West Delaware Co</v>
      </c>
      <c r="C314" s="21">
        <f>INDEX(Data[],MATCH($A314,Data[Dist],0),MATCH(C$6,Data[#Headers],0))</f>
        <v>897070</v>
      </c>
      <c r="D314" s="21">
        <f>INDEX(Data[],MATCH($A314,Data[Dist],0),MATCH(D$6,Data[#Headers],0))</f>
        <v>892087</v>
      </c>
      <c r="E314" s="21">
        <f>INDEX(Data[],MATCH($A314,Data[Dist],0),MATCH(E$6,Data[#Headers],0))</f>
        <v>892087</v>
      </c>
      <c r="F314" s="21">
        <f>INDEX(Data[],MATCH($A314,Data[Dist],0),MATCH(F$6,Data[#Headers],0))</f>
        <v>892086</v>
      </c>
      <c r="G314" s="21">
        <f>INDEX(Data[],MATCH($A314,Data[Dist],0),MATCH(G$6,Data[#Headers],0))</f>
        <v>4480367</v>
      </c>
      <c r="H314" s="21">
        <f>INDEX(Data[],MATCH($A314,Data[Dist],0),MATCH(H$6,Data[#Headers],0))-G314</f>
        <v>4460434</v>
      </c>
      <c r="I314" s="24"/>
      <c r="J314" s="21">
        <f>INDEX(Notes!$I$2:$N$11,MATCH(Notes!$B$2,Notes!$I$2:$I$11,0),4)*$C314</f>
        <v>3588280</v>
      </c>
      <c r="K314" s="21">
        <f>INDEX(Notes!$I$2:$N$11,MATCH(Notes!$B$2,Notes!$I$2:$I$11,0),5)*$D314</f>
        <v>892087</v>
      </c>
      <c r="L314" s="21">
        <f>INDEX(Notes!$I$2:$N$11,MATCH(Notes!$B$2,Notes!$I$2:$I$11,0),6)*$E314</f>
        <v>0</v>
      </c>
      <c r="M314" s="21">
        <f>IF(Notes!$B$2="June",'Payment Total'!$F314,0)</f>
        <v>0</v>
      </c>
      <c r="N314" s="21">
        <f t="shared" si="16"/>
        <v>0</v>
      </c>
      <c r="P314" s="25" t="s">
        <v>1137</v>
      </c>
      <c r="Q314" s="25">
        <v>892087</v>
      </c>
      <c r="R314" s="20" t="str">
        <f t="shared" si="17"/>
        <v>6950</v>
      </c>
      <c r="S314" s="20" t="str">
        <f t="shared" si="18"/>
        <v>6950</v>
      </c>
      <c r="T314" s="41">
        <f t="shared" si="19"/>
        <v>0</v>
      </c>
      <c r="V314" s="41"/>
    </row>
    <row r="315" spans="1:22" s="25" customFormat="1" ht="12.75" x14ac:dyDescent="0.2">
      <c r="A315" s="19" t="str">
        <f>Data!B310</f>
        <v>6957</v>
      </c>
      <c r="B315" s="20" t="str">
        <f>INDEX(Data[],MATCH($A315,Data[Dist],0),MATCH(B$6,Data[#Headers],0))</f>
        <v>West Des Moines</v>
      </c>
      <c r="C315" s="21">
        <f>INDEX(Data[],MATCH($A315,Data[Dist],0),MATCH(C$6,Data[#Headers],0))</f>
        <v>5258403</v>
      </c>
      <c r="D315" s="21">
        <f>INDEX(Data[],MATCH($A315,Data[Dist],0),MATCH(D$6,Data[#Headers],0))</f>
        <v>5226063</v>
      </c>
      <c r="E315" s="21">
        <f>INDEX(Data[],MATCH($A315,Data[Dist],0),MATCH(E$6,Data[#Headers],0))</f>
        <v>5226063</v>
      </c>
      <c r="F315" s="21">
        <f>INDEX(Data[],MATCH($A315,Data[Dist],0),MATCH(F$6,Data[#Headers],0))</f>
        <v>5226061</v>
      </c>
      <c r="G315" s="21">
        <f>INDEX(Data[],MATCH($A315,Data[Dist],0),MATCH(G$6,Data[#Headers],0))</f>
        <v>26259675</v>
      </c>
      <c r="H315" s="21">
        <f>INDEX(Data[],MATCH($A315,Data[Dist],0),MATCH(H$6,Data[#Headers],0))-G315</f>
        <v>26130313</v>
      </c>
      <c r="I315" s="24"/>
      <c r="J315" s="21">
        <f>INDEX(Notes!$I$2:$N$11,MATCH(Notes!$B$2,Notes!$I$2:$I$11,0),4)*$C315</f>
        <v>21033612</v>
      </c>
      <c r="K315" s="21">
        <f>INDEX(Notes!$I$2:$N$11,MATCH(Notes!$B$2,Notes!$I$2:$I$11,0),5)*$D315</f>
        <v>5226063</v>
      </c>
      <c r="L315" s="21">
        <f>INDEX(Notes!$I$2:$N$11,MATCH(Notes!$B$2,Notes!$I$2:$I$11,0),6)*$E315</f>
        <v>0</v>
      </c>
      <c r="M315" s="21">
        <f>IF(Notes!$B$2="June",'Payment Total'!$F315,0)</f>
        <v>0</v>
      </c>
      <c r="N315" s="21">
        <f t="shared" si="16"/>
        <v>0</v>
      </c>
      <c r="P315" s="25" t="s">
        <v>1138</v>
      </c>
      <c r="Q315" s="25">
        <v>5226063</v>
      </c>
      <c r="R315" s="20" t="str">
        <f t="shared" si="17"/>
        <v>6957</v>
      </c>
      <c r="S315" s="20" t="str">
        <f t="shared" si="18"/>
        <v>6957</v>
      </c>
      <c r="T315" s="41">
        <f t="shared" si="19"/>
        <v>0</v>
      </c>
      <c r="V315" s="41"/>
    </row>
    <row r="316" spans="1:22" s="25" customFormat="1" ht="12.75" x14ac:dyDescent="0.2">
      <c r="A316" s="19" t="str">
        <f>Data!B311</f>
        <v>6961</v>
      </c>
      <c r="B316" s="20" t="str">
        <f>INDEX(Data[],MATCH($A316,Data[Dist],0),MATCH(B$6,Data[#Headers],0))</f>
        <v>Western Dubuque Co</v>
      </c>
      <c r="C316" s="21">
        <f>INDEX(Data[],MATCH($A316,Data[Dist],0),MATCH(C$6,Data[#Headers],0))</f>
        <v>2164987</v>
      </c>
      <c r="D316" s="21">
        <f>INDEX(Data[],MATCH($A316,Data[Dist],0),MATCH(D$6,Data[#Headers],0))</f>
        <v>2153012</v>
      </c>
      <c r="E316" s="21">
        <f>INDEX(Data[],MATCH($A316,Data[Dist],0),MATCH(E$6,Data[#Headers],0))</f>
        <v>2153011</v>
      </c>
      <c r="F316" s="21">
        <f>INDEX(Data[],MATCH($A316,Data[Dist],0),MATCH(F$6,Data[#Headers],0))</f>
        <v>2153012</v>
      </c>
      <c r="G316" s="21">
        <f>INDEX(Data[],MATCH($A316,Data[Dist],0),MATCH(G$6,Data[#Headers],0))</f>
        <v>10812960</v>
      </c>
      <c r="H316" s="21">
        <f>INDEX(Data[],MATCH($A316,Data[Dist],0),MATCH(H$6,Data[#Headers],0))-G316</f>
        <v>10765057</v>
      </c>
      <c r="I316" s="24"/>
      <c r="J316" s="21">
        <f>INDEX(Notes!$I$2:$N$11,MATCH(Notes!$B$2,Notes!$I$2:$I$11,0),4)*$C316</f>
        <v>8659948</v>
      </c>
      <c r="K316" s="21">
        <f>INDEX(Notes!$I$2:$N$11,MATCH(Notes!$B$2,Notes!$I$2:$I$11,0),5)*$D316</f>
        <v>2153012</v>
      </c>
      <c r="L316" s="21">
        <f>INDEX(Notes!$I$2:$N$11,MATCH(Notes!$B$2,Notes!$I$2:$I$11,0),6)*$E316</f>
        <v>0</v>
      </c>
      <c r="M316" s="21">
        <f>IF(Notes!$B$2="June",'Payment Total'!$F316,0)</f>
        <v>0</v>
      </c>
      <c r="N316" s="21">
        <f t="shared" si="16"/>
        <v>0</v>
      </c>
      <c r="P316" s="25" t="s">
        <v>1139</v>
      </c>
      <c r="Q316" s="25">
        <v>2153012</v>
      </c>
      <c r="R316" s="20" t="str">
        <f t="shared" si="17"/>
        <v>6961</v>
      </c>
      <c r="S316" s="20" t="str">
        <f t="shared" si="18"/>
        <v>6961</v>
      </c>
      <c r="T316" s="41">
        <f t="shared" si="19"/>
        <v>0</v>
      </c>
      <c r="V316" s="41"/>
    </row>
    <row r="317" spans="1:22" s="25" customFormat="1" ht="12.75" x14ac:dyDescent="0.2">
      <c r="A317" s="19" t="str">
        <f>Data!B312</f>
        <v>6969</v>
      </c>
      <c r="B317" s="20" t="str">
        <f>INDEX(Data[],MATCH($A317,Data[Dist],0),MATCH(B$6,Data[#Headers],0))</f>
        <v>West Harrison</v>
      </c>
      <c r="C317" s="21">
        <f>INDEX(Data[],MATCH($A317,Data[Dist],0),MATCH(C$6,Data[#Headers],0))</f>
        <v>205688</v>
      </c>
      <c r="D317" s="21">
        <f>INDEX(Data[],MATCH($A317,Data[Dist],0),MATCH(D$6,Data[#Headers],0))</f>
        <v>204372</v>
      </c>
      <c r="E317" s="21">
        <f>INDEX(Data[],MATCH($A317,Data[Dist],0),MATCH(E$6,Data[#Headers],0))</f>
        <v>204371</v>
      </c>
      <c r="F317" s="21">
        <f>INDEX(Data[],MATCH($A317,Data[Dist],0),MATCH(F$6,Data[#Headers],0))</f>
        <v>204372</v>
      </c>
      <c r="G317" s="21">
        <f>INDEX(Data[],MATCH($A317,Data[Dist],0),MATCH(G$6,Data[#Headers],0))</f>
        <v>1027124</v>
      </c>
      <c r="H317" s="21">
        <f>INDEX(Data[],MATCH($A317,Data[Dist],0),MATCH(H$6,Data[#Headers],0))-G317</f>
        <v>1021857</v>
      </c>
      <c r="I317" s="24"/>
      <c r="J317" s="21">
        <f>INDEX(Notes!$I$2:$N$11,MATCH(Notes!$B$2,Notes!$I$2:$I$11,0),4)*$C317</f>
        <v>822752</v>
      </c>
      <c r="K317" s="21">
        <f>INDEX(Notes!$I$2:$N$11,MATCH(Notes!$B$2,Notes!$I$2:$I$11,0),5)*$D317</f>
        <v>204372</v>
      </c>
      <c r="L317" s="21">
        <f>INDEX(Notes!$I$2:$N$11,MATCH(Notes!$B$2,Notes!$I$2:$I$11,0),6)*$E317</f>
        <v>0</v>
      </c>
      <c r="M317" s="21">
        <f>IF(Notes!$B$2="June",'Payment Total'!$F317,0)</f>
        <v>0</v>
      </c>
      <c r="N317" s="21">
        <f>SUM(J317:M317)-G317</f>
        <v>0</v>
      </c>
      <c r="P317" s="25" t="s">
        <v>1140</v>
      </c>
      <c r="Q317" s="25">
        <v>204372</v>
      </c>
      <c r="R317" s="20" t="str">
        <f t="shared" si="17"/>
        <v>6969</v>
      </c>
      <c r="S317" s="20" t="str">
        <f t="shared" si="18"/>
        <v>6969</v>
      </c>
      <c r="T317" s="41">
        <f t="shared" si="19"/>
        <v>0</v>
      </c>
      <c r="V317" s="41"/>
    </row>
    <row r="318" spans="1:22" s="25" customFormat="1" ht="12.75" x14ac:dyDescent="0.2">
      <c r="A318" s="19" t="str">
        <f>Data!B313</f>
        <v>6975</v>
      </c>
      <c r="B318" s="20" t="str">
        <f>INDEX(Data[],MATCH($A318,Data[Dist],0),MATCH(B$6,Data[#Headers],0))</f>
        <v>West Liberty</v>
      </c>
      <c r="C318" s="21">
        <f>INDEX(Data[],MATCH($A318,Data[Dist],0),MATCH(C$6,Data[#Headers],0))</f>
        <v>1076348</v>
      </c>
      <c r="D318" s="21">
        <f>INDEX(Data[],MATCH($A318,Data[Dist],0),MATCH(D$6,Data[#Headers],0))</f>
        <v>1071653</v>
      </c>
      <c r="E318" s="21">
        <f>INDEX(Data[],MATCH($A318,Data[Dist],0),MATCH(E$6,Data[#Headers],0))</f>
        <v>1071653</v>
      </c>
      <c r="F318" s="21">
        <f>INDEX(Data[],MATCH($A318,Data[Dist],0),MATCH(F$6,Data[#Headers],0))</f>
        <v>1071653</v>
      </c>
      <c r="G318" s="21">
        <f>INDEX(Data[],MATCH($A318,Data[Dist],0),MATCH(G$6,Data[#Headers],0))</f>
        <v>5377045</v>
      </c>
      <c r="H318" s="21">
        <f>INDEX(Data[],MATCH($A318,Data[Dist],0),MATCH(H$6,Data[#Headers],0))-G318</f>
        <v>5358265</v>
      </c>
      <c r="I318" s="24"/>
      <c r="J318" s="21">
        <f>INDEX(Notes!$I$2:$N$11,MATCH(Notes!$B$2,Notes!$I$2:$I$11,0),4)*$C318</f>
        <v>4305392</v>
      </c>
      <c r="K318" s="21">
        <f>INDEX(Notes!$I$2:$N$11,MATCH(Notes!$B$2,Notes!$I$2:$I$11,0),5)*$D318</f>
        <v>1071653</v>
      </c>
      <c r="L318" s="21">
        <f>INDEX(Notes!$I$2:$N$11,MATCH(Notes!$B$2,Notes!$I$2:$I$11,0),6)*$E318</f>
        <v>0</v>
      </c>
      <c r="M318" s="21">
        <f>IF(Notes!$B$2="June",'Payment Total'!$F318,0)</f>
        <v>0</v>
      </c>
      <c r="N318" s="21">
        <f t="shared" si="16"/>
        <v>0</v>
      </c>
      <c r="P318" s="25" t="s">
        <v>1141</v>
      </c>
      <c r="Q318" s="25">
        <v>1071653</v>
      </c>
      <c r="R318" s="20" t="str">
        <f t="shared" si="17"/>
        <v>6975</v>
      </c>
      <c r="S318" s="20" t="str">
        <f t="shared" si="18"/>
        <v>6975</v>
      </c>
      <c r="T318" s="41">
        <f t="shared" si="19"/>
        <v>0</v>
      </c>
      <c r="V318" s="41"/>
    </row>
    <row r="319" spans="1:22" s="25" customFormat="1" ht="12.75" x14ac:dyDescent="0.2">
      <c r="A319" s="19" t="str">
        <f>Data!B314</f>
        <v>6983</v>
      </c>
      <c r="B319" s="20" t="str">
        <f>INDEX(Data[],MATCH($A319,Data[Dist],0),MATCH(B$6,Data[#Headers],0))</f>
        <v>West Lyon</v>
      </c>
      <c r="C319" s="21">
        <f>INDEX(Data[],MATCH($A319,Data[Dist],0),MATCH(C$6,Data[#Headers],0))</f>
        <v>586680</v>
      </c>
      <c r="D319" s="21">
        <f>INDEX(Data[],MATCH($A319,Data[Dist],0),MATCH(D$6,Data[#Headers],0))</f>
        <v>583116</v>
      </c>
      <c r="E319" s="21">
        <f>INDEX(Data[],MATCH($A319,Data[Dist],0),MATCH(E$6,Data[#Headers],0))</f>
        <v>583116</v>
      </c>
      <c r="F319" s="21">
        <f>INDEX(Data[],MATCH($A319,Data[Dist],0),MATCH(F$6,Data[#Headers],0))</f>
        <v>583114</v>
      </c>
      <c r="G319" s="21">
        <f>INDEX(Data[],MATCH($A319,Data[Dist],0),MATCH(G$6,Data[#Headers],0))</f>
        <v>2929836</v>
      </c>
      <c r="H319" s="21">
        <f>INDEX(Data[],MATCH($A319,Data[Dist],0),MATCH(H$6,Data[#Headers],0))-G319</f>
        <v>2915578</v>
      </c>
      <c r="I319" s="24"/>
      <c r="J319" s="21">
        <f>INDEX(Notes!$I$2:$N$11,MATCH(Notes!$B$2,Notes!$I$2:$I$11,0),4)*$C319</f>
        <v>2346720</v>
      </c>
      <c r="K319" s="21">
        <f>INDEX(Notes!$I$2:$N$11,MATCH(Notes!$B$2,Notes!$I$2:$I$11,0),5)*$D319</f>
        <v>583116</v>
      </c>
      <c r="L319" s="21">
        <f>INDEX(Notes!$I$2:$N$11,MATCH(Notes!$B$2,Notes!$I$2:$I$11,0),6)*$E319</f>
        <v>0</v>
      </c>
      <c r="M319" s="21">
        <f>IF(Notes!$B$2="June",'Payment Total'!$F319,0)</f>
        <v>0</v>
      </c>
      <c r="N319" s="21">
        <f t="shared" si="16"/>
        <v>0</v>
      </c>
      <c r="P319" s="25" t="s">
        <v>1142</v>
      </c>
      <c r="Q319" s="25">
        <v>583116</v>
      </c>
      <c r="R319" s="20" t="str">
        <f t="shared" si="17"/>
        <v>6983</v>
      </c>
      <c r="S319" s="20" t="str">
        <f t="shared" si="18"/>
        <v>6983</v>
      </c>
      <c r="T319" s="41">
        <f t="shared" si="19"/>
        <v>0</v>
      </c>
      <c r="V319" s="41"/>
    </row>
    <row r="320" spans="1:22" s="25" customFormat="1" ht="12.75" x14ac:dyDescent="0.2">
      <c r="A320" s="19" t="str">
        <f>Data!B315</f>
        <v>6985</v>
      </c>
      <c r="B320" s="20" t="str">
        <f>INDEX(Data[],MATCH($A320,Data[Dist],0),MATCH(B$6,Data[#Headers],0))</f>
        <v>West Marshall</v>
      </c>
      <c r="C320" s="21">
        <f>INDEX(Data[],MATCH($A320,Data[Dist],0),MATCH(C$6,Data[#Headers],0))</f>
        <v>517303</v>
      </c>
      <c r="D320" s="21">
        <f>INDEX(Data[],MATCH($A320,Data[Dist],0),MATCH(D$6,Data[#Headers],0))</f>
        <v>514459</v>
      </c>
      <c r="E320" s="21">
        <f>INDEX(Data[],MATCH($A320,Data[Dist],0),MATCH(E$6,Data[#Headers],0))</f>
        <v>514459</v>
      </c>
      <c r="F320" s="21">
        <f>INDEX(Data[],MATCH($A320,Data[Dist],0),MATCH(F$6,Data[#Headers],0))</f>
        <v>514460</v>
      </c>
      <c r="G320" s="21">
        <f>INDEX(Data[],MATCH($A320,Data[Dist],0),MATCH(G$6,Data[#Headers],0))</f>
        <v>2583671</v>
      </c>
      <c r="H320" s="21">
        <f>INDEX(Data[],MATCH($A320,Data[Dist],0),MATCH(H$6,Data[#Headers],0))-G320</f>
        <v>2572296</v>
      </c>
      <c r="I320" s="24"/>
      <c r="J320" s="21">
        <f>INDEX(Notes!$I$2:$N$11,MATCH(Notes!$B$2,Notes!$I$2:$I$11,0),4)*$C320</f>
        <v>2069212</v>
      </c>
      <c r="K320" s="21">
        <f>INDEX(Notes!$I$2:$N$11,MATCH(Notes!$B$2,Notes!$I$2:$I$11,0),5)*$D320</f>
        <v>514459</v>
      </c>
      <c r="L320" s="21">
        <f>INDEX(Notes!$I$2:$N$11,MATCH(Notes!$B$2,Notes!$I$2:$I$11,0),6)*$E320</f>
        <v>0</v>
      </c>
      <c r="M320" s="21">
        <f>IF(Notes!$B$2="June",'Payment Total'!$F320,0)</f>
        <v>0</v>
      </c>
      <c r="N320" s="21">
        <f t="shared" si="16"/>
        <v>0</v>
      </c>
      <c r="P320" s="25" t="s">
        <v>1143</v>
      </c>
      <c r="Q320" s="25">
        <v>514459</v>
      </c>
      <c r="R320" s="20" t="str">
        <f t="shared" si="17"/>
        <v>6985</v>
      </c>
      <c r="S320" s="20" t="str">
        <f t="shared" si="18"/>
        <v>6985</v>
      </c>
      <c r="T320" s="41">
        <f t="shared" si="19"/>
        <v>0</v>
      </c>
      <c r="V320" s="41"/>
    </row>
    <row r="321" spans="1:22" s="25" customFormat="1" ht="12.75" x14ac:dyDescent="0.2">
      <c r="A321" s="19" t="str">
        <f>Data!B316</f>
        <v>6987</v>
      </c>
      <c r="B321" s="20" t="str">
        <f>INDEX(Data[],MATCH($A321,Data[Dist],0),MATCH(B$6,Data[#Headers],0))</f>
        <v>West Monona</v>
      </c>
      <c r="C321" s="21">
        <f>INDEX(Data[],MATCH($A321,Data[Dist],0),MATCH(C$6,Data[#Headers],0))</f>
        <v>403181</v>
      </c>
      <c r="D321" s="21">
        <f>INDEX(Data[],MATCH($A321,Data[Dist],0),MATCH(D$6,Data[#Headers],0))</f>
        <v>401008</v>
      </c>
      <c r="E321" s="21">
        <f>INDEX(Data[],MATCH($A321,Data[Dist],0),MATCH(E$6,Data[#Headers],0))</f>
        <v>401008</v>
      </c>
      <c r="F321" s="21">
        <f>INDEX(Data[],MATCH($A321,Data[Dist],0),MATCH(F$6,Data[#Headers],0))</f>
        <v>401006</v>
      </c>
      <c r="G321" s="21">
        <f>INDEX(Data[],MATCH($A321,Data[Dist],0),MATCH(G$6,Data[#Headers],0))</f>
        <v>2013732</v>
      </c>
      <c r="H321" s="21">
        <f>INDEX(Data[],MATCH($A321,Data[Dist],0),MATCH(H$6,Data[#Headers],0))-G321</f>
        <v>2005038</v>
      </c>
      <c r="I321" s="24"/>
      <c r="J321" s="21">
        <f>INDEX(Notes!$I$2:$N$11,MATCH(Notes!$B$2,Notes!$I$2:$I$11,0),4)*$C321</f>
        <v>1612724</v>
      </c>
      <c r="K321" s="21">
        <f>INDEX(Notes!$I$2:$N$11,MATCH(Notes!$B$2,Notes!$I$2:$I$11,0),5)*$D321</f>
        <v>401008</v>
      </c>
      <c r="L321" s="21">
        <f>INDEX(Notes!$I$2:$N$11,MATCH(Notes!$B$2,Notes!$I$2:$I$11,0),6)*$E321</f>
        <v>0</v>
      </c>
      <c r="M321" s="21">
        <f>IF(Notes!$B$2="June",'Payment Total'!$F321,0)</f>
        <v>0</v>
      </c>
      <c r="N321" s="21">
        <f t="shared" si="16"/>
        <v>0</v>
      </c>
      <c r="P321" s="25" t="s">
        <v>1144</v>
      </c>
      <c r="Q321" s="25">
        <v>401008</v>
      </c>
      <c r="R321" s="20" t="str">
        <f t="shared" si="17"/>
        <v>6987</v>
      </c>
      <c r="S321" s="20" t="str">
        <f t="shared" si="18"/>
        <v>6987</v>
      </c>
      <c r="T321" s="41">
        <f t="shared" si="19"/>
        <v>0</v>
      </c>
      <c r="V321" s="41"/>
    </row>
    <row r="322" spans="1:22" s="25" customFormat="1" ht="12.75" x14ac:dyDescent="0.2">
      <c r="A322" s="19" t="str">
        <f>Data!B317</f>
        <v>6990</v>
      </c>
      <c r="B322" s="20" t="str">
        <f>INDEX(Data[],MATCH($A322,Data[Dist],0),MATCH(B$6,Data[#Headers],0))</f>
        <v>West Sioux</v>
      </c>
      <c r="C322" s="21">
        <f>INDEX(Data[],MATCH($A322,Data[Dist],0),MATCH(C$6,Data[#Headers],0))</f>
        <v>628986</v>
      </c>
      <c r="D322" s="21">
        <f>INDEX(Data[],MATCH($A322,Data[Dist],0),MATCH(D$6,Data[#Headers],0))</f>
        <v>626142</v>
      </c>
      <c r="E322" s="21">
        <f>INDEX(Data[],MATCH($A322,Data[Dist],0),MATCH(E$6,Data[#Headers],0))</f>
        <v>626142</v>
      </c>
      <c r="F322" s="21">
        <f>INDEX(Data[],MATCH($A322,Data[Dist],0),MATCH(F$6,Data[#Headers],0))</f>
        <v>626142</v>
      </c>
      <c r="G322" s="21">
        <f>INDEX(Data[],MATCH($A322,Data[Dist],0),MATCH(G$6,Data[#Headers],0))</f>
        <v>3142086</v>
      </c>
      <c r="H322" s="21">
        <f>INDEX(Data[],MATCH($A322,Data[Dist],0),MATCH(H$6,Data[#Headers],0))-G322</f>
        <v>3130710</v>
      </c>
      <c r="I322" s="24"/>
      <c r="J322" s="21">
        <f>INDEX(Notes!$I$2:$N$11,MATCH(Notes!$B$2,Notes!$I$2:$I$11,0),4)*$C322</f>
        <v>2515944</v>
      </c>
      <c r="K322" s="21">
        <f>INDEX(Notes!$I$2:$N$11,MATCH(Notes!$B$2,Notes!$I$2:$I$11,0),5)*$D322</f>
        <v>626142</v>
      </c>
      <c r="L322" s="21">
        <f>INDEX(Notes!$I$2:$N$11,MATCH(Notes!$B$2,Notes!$I$2:$I$11,0),6)*$E322</f>
        <v>0</v>
      </c>
      <c r="M322" s="21">
        <f>IF(Notes!$B$2="June",'Payment Total'!$F322,0)</f>
        <v>0</v>
      </c>
      <c r="N322" s="21">
        <f t="shared" si="16"/>
        <v>0</v>
      </c>
      <c r="P322" s="25" t="s">
        <v>1145</v>
      </c>
      <c r="Q322" s="25">
        <v>626142</v>
      </c>
      <c r="R322" s="20" t="str">
        <f t="shared" si="17"/>
        <v>6990</v>
      </c>
      <c r="S322" s="20" t="str">
        <f t="shared" si="18"/>
        <v>6990</v>
      </c>
      <c r="T322" s="41">
        <f t="shared" si="19"/>
        <v>0</v>
      </c>
      <c r="V322" s="41"/>
    </row>
    <row r="323" spans="1:22" s="25" customFormat="1" ht="12.75" x14ac:dyDescent="0.2">
      <c r="A323" s="19" t="str">
        <f>Data!B318</f>
        <v>6992</v>
      </c>
      <c r="B323" s="20" t="str">
        <f>INDEX(Data[],MATCH($A323,Data[Dist],0),MATCH(B$6,Data[#Headers],0))</f>
        <v>Westwood</v>
      </c>
      <c r="C323" s="21">
        <f>INDEX(Data[],MATCH($A323,Data[Dist],0),MATCH(C$6,Data[#Headers],0))</f>
        <v>303942</v>
      </c>
      <c r="D323" s="21">
        <f>INDEX(Data[],MATCH($A323,Data[Dist],0),MATCH(D$6,Data[#Headers],0))</f>
        <v>301942</v>
      </c>
      <c r="E323" s="21">
        <f>INDEX(Data[],MATCH($A323,Data[Dist],0),MATCH(E$6,Data[#Headers],0))</f>
        <v>301942</v>
      </c>
      <c r="F323" s="21">
        <f>INDEX(Data[],MATCH($A323,Data[Dist],0),MATCH(F$6,Data[#Headers],0))</f>
        <v>301941</v>
      </c>
      <c r="G323" s="21">
        <f>INDEX(Data[],MATCH($A323,Data[Dist],0),MATCH(G$6,Data[#Headers],0))</f>
        <v>1517710</v>
      </c>
      <c r="H323" s="21">
        <f>INDEX(Data[],MATCH($A323,Data[Dist],0),MATCH(H$6,Data[#Headers],0))-G323</f>
        <v>1509709</v>
      </c>
      <c r="I323" s="24"/>
      <c r="J323" s="21">
        <f>INDEX(Notes!$I$2:$N$11,MATCH(Notes!$B$2,Notes!$I$2:$I$11,0),4)*$C323</f>
        <v>1215768</v>
      </c>
      <c r="K323" s="21">
        <f>INDEX(Notes!$I$2:$N$11,MATCH(Notes!$B$2,Notes!$I$2:$I$11,0),5)*$D323</f>
        <v>301942</v>
      </c>
      <c r="L323" s="21">
        <f>INDEX(Notes!$I$2:$N$11,MATCH(Notes!$B$2,Notes!$I$2:$I$11,0),6)*$E323</f>
        <v>0</v>
      </c>
      <c r="M323" s="21">
        <f>IF(Notes!$B$2="June",'Payment Total'!$F323,0)</f>
        <v>0</v>
      </c>
      <c r="N323" s="21">
        <f t="shared" si="16"/>
        <v>0</v>
      </c>
      <c r="P323" s="25" t="s">
        <v>1146</v>
      </c>
      <c r="Q323" s="25">
        <v>301942</v>
      </c>
      <c r="R323" s="20" t="str">
        <f t="shared" si="17"/>
        <v>6992</v>
      </c>
      <c r="S323" s="20" t="str">
        <f t="shared" si="18"/>
        <v>6992</v>
      </c>
      <c r="T323" s="41">
        <f t="shared" si="19"/>
        <v>0</v>
      </c>
      <c r="V323" s="41"/>
    </row>
    <row r="324" spans="1:22" s="25" customFormat="1" ht="12.75" x14ac:dyDescent="0.2">
      <c r="A324" s="19" t="str">
        <f>Data!B319</f>
        <v>7002</v>
      </c>
      <c r="B324" s="20" t="str">
        <f>INDEX(Data[],MATCH($A324,Data[Dist],0),MATCH(B$6,Data[#Headers],0))</f>
        <v>Whiting</v>
      </c>
      <c r="C324" s="21">
        <f>INDEX(Data[],MATCH($A324,Data[Dist],0),MATCH(C$6,Data[#Headers],0))</f>
        <v>124414</v>
      </c>
      <c r="D324" s="21">
        <f>INDEX(Data[],MATCH($A324,Data[Dist],0),MATCH(D$6,Data[#Headers],0))</f>
        <v>123691</v>
      </c>
      <c r="E324" s="21">
        <f>INDEX(Data[],MATCH($A324,Data[Dist],0),MATCH(E$6,Data[#Headers],0))</f>
        <v>123691</v>
      </c>
      <c r="F324" s="21">
        <f>INDEX(Data[],MATCH($A324,Data[Dist],0),MATCH(F$6,Data[#Headers],0))</f>
        <v>123691</v>
      </c>
      <c r="G324" s="21">
        <f>INDEX(Data[],MATCH($A324,Data[Dist],0),MATCH(G$6,Data[#Headers],0))</f>
        <v>621347</v>
      </c>
      <c r="H324" s="21">
        <f>INDEX(Data[],MATCH($A324,Data[Dist],0),MATCH(H$6,Data[#Headers],0))-G324</f>
        <v>618455</v>
      </c>
      <c r="I324" s="24"/>
      <c r="J324" s="21">
        <f>INDEX(Notes!$I$2:$N$11,MATCH(Notes!$B$2,Notes!$I$2:$I$11,0),4)*$C324</f>
        <v>497656</v>
      </c>
      <c r="K324" s="21">
        <f>INDEX(Notes!$I$2:$N$11,MATCH(Notes!$B$2,Notes!$I$2:$I$11,0),5)*$D324</f>
        <v>123691</v>
      </c>
      <c r="L324" s="21">
        <f>INDEX(Notes!$I$2:$N$11,MATCH(Notes!$B$2,Notes!$I$2:$I$11,0),6)*$E324</f>
        <v>0</v>
      </c>
      <c r="M324" s="21">
        <f>IF(Notes!$B$2="June",'Payment Total'!$F324,0)</f>
        <v>0</v>
      </c>
      <c r="N324" s="21">
        <f t="shared" si="16"/>
        <v>0</v>
      </c>
      <c r="P324" s="25" t="s">
        <v>1147</v>
      </c>
      <c r="Q324" s="25">
        <v>123691</v>
      </c>
      <c r="R324" s="20" t="str">
        <f t="shared" si="17"/>
        <v>7002</v>
      </c>
      <c r="S324" s="20" t="str">
        <f t="shared" si="18"/>
        <v>7002</v>
      </c>
      <c r="T324" s="41">
        <f t="shared" si="19"/>
        <v>0</v>
      </c>
      <c r="V324" s="41"/>
    </row>
    <row r="325" spans="1:22" s="25" customFormat="1" ht="12.75" x14ac:dyDescent="0.2">
      <c r="A325" s="19" t="str">
        <f>Data!B320</f>
        <v>7029</v>
      </c>
      <c r="B325" s="20" t="str">
        <f>INDEX(Data[],MATCH($A325,Data[Dist],0),MATCH(B$6,Data[#Headers],0))</f>
        <v>Williamsburg</v>
      </c>
      <c r="C325" s="21">
        <f>INDEX(Data[],MATCH($A325,Data[Dist],0),MATCH(C$6,Data[#Headers],0))</f>
        <v>824892</v>
      </c>
      <c r="D325" s="21">
        <f>INDEX(Data[],MATCH($A325,Data[Dist],0),MATCH(D$6,Data[#Headers],0))</f>
        <v>820571</v>
      </c>
      <c r="E325" s="21">
        <f>INDEX(Data[],MATCH($A325,Data[Dist],0),MATCH(E$6,Data[#Headers],0))</f>
        <v>820570</v>
      </c>
      <c r="F325" s="21">
        <f>INDEX(Data[],MATCH($A325,Data[Dist],0),MATCH(F$6,Data[#Headers],0))</f>
        <v>820571</v>
      </c>
      <c r="G325" s="21">
        <f>INDEX(Data[],MATCH($A325,Data[Dist],0),MATCH(G$6,Data[#Headers],0))</f>
        <v>4120139</v>
      </c>
      <c r="H325" s="21">
        <f>INDEX(Data[],MATCH($A325,Data[Dist],0),MATCH(H$6,Data[#Headers],0))-G325</f>
        <v>4102852</v>
      </c>
      <c r="I325" s="24"/>
      <c r="J325" s="21">
        <f>INDEX(Notes!$I$2:$N$11,MATCH(Notes!$B$2,Notes!$I$2:$I$11,0),4)*$C325</f>
        <v>3299568</v>
      </c>
      <c r="K325" s="21">
        <f>INDEX(Notes!$I$2:$N$11,MATCH(Notes!$B$2,Notes!$I$2:$I$11,0),5)*$D325</f>
        <v>820571</v>
      </c>
      <c r="L325" s="21">
        <f>INDEX(Notes!$I$2:$N$11,MATCH(Notes!$B$2,Notes!$I$2:$I$11,0),6)*$E325</f>
        <v>0</v>
      </c>
      <c r="M325" s="21">
        <f>IF(Notes!$B$2="June",'Payment Total'!$F325,0)</f>
        <v>0</v>
      </c>
      <c r="N325" s="21">
        <f t="shared" si="16"/>
        <v>0</v>
      </c>
      <c r="P325" s="25" t="s">
        <v>1148</v>
      </c>
      <c r="Q325" s="25">
        <v>820571</v>
      </c>
      <c r="R325" s="20" t="str">
        <f t="shared" si="17"/>
        <v>7029</v>
      </c>
      <c r="S325" s="20" t="str">
        <f t="shared" si="18"/>
        <v>7029</v>
      </c>
      <c r="T325" s="41">
        <f t="shared" si="19"/>
        <v>0</v>
      </c>
      <c r="V325" s="41"/>
    </row>
    <row r="326" spans="1:22" s="25" customFormat="1" ht="12.75" x14ac:dyDescent="0.2">
      <c r="A326" s="19" t="str">
        <f>Data!B321</f>
        <v>7038</v>
      </c>
      <c r="B326" s="20" t="str">
        <f>INDEX(Data[],MATCH($A326,Data[Dist],0),MATCH(B$6,Data[#Headers],0))</f>
        <v>Wilton</v>
      </c>
      <c r="C326" s="21">
        <f>INDEX(Data[],MATCH($A326,Data[Dist],0),MATCH(C$6,Data[#Headers],0))</f>
        <v>672116</v>
      </c>
      <c r="D326" s="21">
        <f>INDEX(Data[],MATCH($A326,Data[Dist],0),MATCH(D$6,Data[#Headers],0))</f>
        <v>668920</v>
      </c>
      <c r="E326" s="21">
        <f>INDEX(Data[],MATCH($A326,Data[Dist],0),MATCH(E$6,Data[#Headers],0))</f>
        <v>668920</v>
      </c>
      <c r="F326" s="21">
        <f>INDEX(Data[],MATCH($A326,Data[Dist],0),MATCH(F$6,Data[#Headers],0))</f>
        <v>668918</v>
      </c>
      <c r="G326" s="21">
        <f>INDEX(Data[],MATCH($A326,Data[Dist],0),MATCH(G$6,Data[#Headers],0))</f>
        <v>3357384</v>
      </c>
      <c r="H326" s="21">
        <f>INDEX(Data[],MATCH($A326,Data[Dist],0),MATCH(H$6,Data[#Headers],0))-G326</f>
        <v>3344598</v>
      </c>
      <c r="I326" s="24"/>
      <c r="J326" s="21">
        <f>INDEX(Notes!$I$2:$N$11,MATCH(Notes!$B$2,Notes!$I$2:$I$11,0),4)*$C326</f>
        <v>2688464</v>
      </c>
      <c r="K326" s="21">
        <f>INDEX(Notes!$I$2:$N$11,MATCH(Notes!$B$2,Notes!$I$2:$I$11,0),5)*$D326</f>
        <v>668920</v>
      </c>
      <c r="L326" s="21">
        <f>INDEX(Notes!$I$2:$N$11,MATCH(Notes!$B$2,Notes!$I$2:$I$11,0),6)*$E326</f>
        <v>0</v>
      </c>
      <c r="M326" s="21">
        <f>IF(Notes!$B$2="June",'Payment Total'!$F326,0)</f>
        <v>0</v>
      </c>
      <c r="N326" s="21">
        <f t="shared" si="16"/>
        <v>0</v>
      </c>
      <c r="P326" s="25" t="s">
        <v>1149</v>
      </c>
      <c r="Q326" s="25">
        <v>668920</v>
      </c>
      <c r="R326" s="20" t="str">
        <f t="shared" si="17"/>
        <v>7038</v>
      </c>
      <c r="S326" s="20" t="str">
        <f t="shared" si="18"/>
        <v>7038</v>
      </c>
      <c r="T326" s="41">
        <f t="shared" si="19"/>
        <v>0</v>
      </c>
      <c r="V326" s="41"/>
    </row>
    <row r="327" spans="1:22" s="25" customFormat="1" ht="12.75" x14ac:dyDescent="0.2">
      <c r="A327" s="19" t="str">
        <f>Data!B322</f>
        <v>7047</v>
      </c>
      <c r="B327" s="20" t="str">
        <f>INDEX(Data[],MATCH($A327,Data[Dist],0),MATCH(B$6,Data[#Headers],0))</f>
        <v>Winfield-Mt Union</v>
      </c>
      <c r="C327" s="21">
        <f>INDEX(Data[],MATCH($A327,Data[Dist],0),MATCH(C$6,Data[#Headers],0))</f>
        <v>255050</v>
      </c>
      <c r="D327" s="21">
        <f>INDEX(Data[],MATCH($A327,Data[Dist],0),MATCH(D$6,Data[#Headers],0))</f>
        <v>253862</v>
      </c>
      <c r="E327" s="21">
        <f>INDEX(Data[],MATCH($A327,Data[Dist],0),MATCH(E$6,Data[#Headers],0))</f>
        <v>253862</v>
      </c>
      <c r="F327" s="21">
        <f>INDEX(Data[],MATCH($A327,Data[Dist],0),MATCH(F$6,Data[#Headers],0))</f>
        <v>253861</v>
      </c>
      <c r="G327" s="21">
        <f>INDEX(Data[],MATCH($A327,Data[Dist],0),MATCH(G$6,Data[#Headers],0))</f>
        <v>1274062</v>
      </c>
      <c r="H327" s="21">
        <f>INDEX(Data[],MATCH($A327,Data[Dist],0),MATCH(H$6,Data[#Headers],0))-G327</f>
        <v>1269309</v>
      </c>
      <c r="I327" s="24"/>
      <c r="J327" s="21">
        <f>INDEX(Notes!$I$2:$N$11,MATCH(Notes!$B$2,Notes!$I$2:$I$11,0),4)*$C327</f>
        <v>1020200</v>
      </c>
      <c r="K327" s="21">
        <f>INDEX(Notes!$I$2:$N$11,MATCH(Notes!$B$2,Notes!$I$2:$I$11,0),5)*$D327</f>
        <v>253862</v>
      </c>
      <c r="L327" s="21">
        <f>INDEX(Notes!$I$2:$N$11,MATCH(Notes!$B$2,Notes!$I$2:$I$11,0),6)*$E327</f>
        <v>0</v>
      </c>
      <c r="M327" s="21">
        <f>IF(Notes!$B$2="June",'Payment Total'!$F327,0)</f>
        <v>0</v>
      </c>
      <c r="N327" s="21">
        <f t="shared" si="16"/>
        <v>0</v>
      </c>
      <c r="P327" s="25" t="s">
        <v>1150</v>
      </c>
      <c r="Q327" s="25">
        <v>253862</v>
      </c>
      <c r="R327" s="20" t="str">
        <f t="shared" si="17"/>
        <v>7047</v>
      </c>
      <c r="S327" s="20" t="str">
        <f t="shared" si="18"/>
        <v>7047</v>
      </c>
      <c r="T327" s="41">
        <f t="shared" si="19"/>
        <v>0</v>
      </c>
      <c r="V327" s="41"/>
    </row>
    <row r="328" spans="1:22" s="25" customFormat="1" ht="12.75" x14ac:dyDescent="0.2">
      <c r="A328" s="19" t="str">
        <f>Data!B323</f>
        <v>7056</v>
      </c>
      <c r="B328" s="20" t="str">
        <f>INDEX(Data[],MATCH($A328,Data[Dist],0),MATCH(B$6,Data[#Headers],0))</f>
        <v>Winterset</v>
      </c>
      <c r="C328" s="21">
        <f>INDEX(Data[],MATCH($A328,Data[Dist],0),MATCH(C$6,Data[#Headers],0))</f>
        <v>1234742</v>
      </c>
      <c r="D328" s="21">
        <f>INDEX(Data[],MATCH($A328,Data[Dist],0),MATCH(D$6,Data[#Headers],0))</f>
        <v>1228481</v>
      </c>
      <c r="E328" s="21">
        <f>INDEX(Data[],MATCH($A328,Data[Dist],0),MATCH(E$6,Data[#Headers],0))</f>
        <v>1228480</v>
      </c>
      <c r="F328" s="21">
        <f>INDEX(Data[],MATCH($A328,Data[Dist],0),MATCH(F$6,Data[#Headers],0))</f>
        <v>1228481</v>
      </c>
      <c r="G328" s="21">
        <f>INDEX(Data[],MATCH($A328,Data[Dist],0),MATCH(G$6,Data[#Headers],0))</f>
        <v>6167449</v>
      </c>
      <c r="H328" s="21">
        <f>INDEX(Data[],MATCH($A328,Data[Dist],0),MATCH(H$6,Data[#Headers],0))-G328</f>
        <v>6142402</v>
      </c>
      <c r="I328" s="24"/>
      <c r="J328" s="21">
        <f>INDEX(Notes!$I$2:$N$11,MATCH(Notes!$B$2,Notes!$I$2:$I$11,0),4)*$C328</f>
        <v>4938968</v>
      </c>
      <c r="K328" s="21">
        <f>INDEX(Notes!$I$2:$N$11,MATCH(Notes!$B$2,Notes!$I$2:$I$11,0),5)*$D328</f>
        <v>1228481</v>
      </c>
      <c r="L328" s="21">
        <f>INDEX(Notes!$I$2:$N$11,MATCH(Notes!$B$2,Notes!$I$2:$I$11,0),6)*$E328</f>
        <v>0</v>
      </c>
      <c r="M328" s="21">
        <f>IF(Notes!$B$2="June",'Payment Total'!$F328,0)</f>
        <v>0</v>
      </c>
      <c r="N328" s="21">
        <f t="shared" ref="N328:N331" si="20">SUM(J328:M328)-G328</f>
        <v>0</v>
      </c>
      <c r="P328" s="25" t="s">
        <v>1151</v>
      </c>
      <c r="Q328" s="25">
        <v>1228481</v>
      </c>
      <c r="R328" s="20" t="str">
        <f t="shared" ref="R328:R331" si="21">TEXT(P328/10000,"0000")</f>
        <v>7056</v>
      </c>
      <c r="S328" s="20" t="str">
        <f t="shared" ref="S328:S331" si="22">IF(R328="1968","3582",IF(R328="5160","5319",IF(R328="5510","4824",IF(R328="6536","1935",IF(R328="6035","6048",IF(R328="5325","5323",IF(R328="6099","5157",R328)))))))</f>
        <v>7056</v>
      </c>
      <c r="T328" s="41">
        <f t="shared" ref="T328:T331" si="23">INDEX($A$7:$H$331,MATCH($S328,$A$7:$A$331,0),4)-Q328</f>
        <v>0</v>
      </c>
      <c r="V328" s="41"/>
    </row>
    <row r="329" spans="1:22" s="25" customFormat="1" ht="12.75" x14ac:dyDescent="0.2">
      <c r="A329" s="19" t="str">
        <f>Data!B324</f>
        <v>7092</v>
      </c>
      <c r="B329" s="20" t="str">
        <f>INDEX(Data[],MATCH($A329,Data[Dist],0),MATCH(B$6,Data[#Headers],0))</f>
        <v>Woodbine</v>
      </c>
      <c r="C329" s="21">
        <f>INDEX(Data[],MATCH($A329,Data[Dist],0),MATCH(C$6,Data[#Headers],0))</f>
        <v>384544</v>
      </c>
      <c r="D329" s="21">
        <f>INDEX(Data[],MATCH($A329,Data[Dist],0),MATCH(D$6,Data[#Headers],0))</f>
        <v>382641</v>
      </c>
      <c r="E329" s="21">
        <f>INDEX(Data[],MATCH($A329,Data[Dist],0),MATCH(E$6,Data[#Headers],0))</f>
        <v>382641</v>
      </c>
      <c r="F329" s="21">
        <f>INDEX(Data[],MATCH($A329,Data[Dist],0),MATCH(F$6,Data[#Headers],0))</f>
        <v>382640</v>
      </c>
      <c r="G329" s="21">
        <f>INDEX(Data[],MATCH($A329,Data[Dist],0),MATCH(G$6,Data[#Headers],0))</f>
        <v>1920817</v>
      </c>
      <c r="H329" s="21">
        <f>INDEX(Data[],MATCH($A329,Data[Dist],0),MATCH(H$6,Data[#Headers],0))-G329</f>
        <v>1913204</v>
      </c>
      <c r="I329" s="24"/>
      <c r="J329" s="21">
        <f>INDEX(Notes!$I$2:$N$11,MATCH(Notes!$B$2,Notes!$I$2:$I$11,0),4)*$C329</f>
        <v>1538176</v>
      </c>
      <c r="K329" s="21">
        <f>INDEX(Notes!$I$2:$N$11,MATCH(Notes!$B$2,Notes!$I$2:$I$11,0),5)*$D329</f>
        <v>382641</v>
      </c>
      <c r="L329" s="21">
        <f>INDEX(Notes!$I$2:$N$11,MATCH(Notes!$B$2,Notes!$I$2:$I$11,0),6)*$E329</f>
        <v>0</v>
      </c>
      <c r="M329" s="21">
        <f>IF(Notes!$B$2="June",'Payment Total'!$F329,0)</f>
        <v>0</v>
      </c>
      <c r="N329" s="21">
        <f t="shared" si="20"/>
        <v>0</v>
      </c>
      <c r="P329" s="25" t="s">
        <v>1152</v>
      </c>
      <c r="Q329" s="25">
        <v>382641</v>
      </c>
      <c r="R329" s="20" t="str">
        <f t="shared" si="21"/>
        <v>7092</v>
      </c>
      <c r="S329" s="20" t="str">
        <f t="shared" si="22"/>
        <v>7092</v>
      </c>
      <c r="T329" s="41">
        <f t="shared" si="23"/>
        <v>0</v>
      </c>
      <c r="V329" s="41"/>
    </row>
    <row r="330" spans="1:22" s="25" customFormat="1" ht="12.75" x14ac:dyDescent="0.2">
      <c r="A330" s="19" t="str">
        <f>Data!B325</f>
        <v>7098</v>
      </c>
      <c r="B330" s="20" t="str">
        <f>INDEX(Data[],MATCH($A330,Data[Dist],0),MATCH(B$6,Data[#Headers],0))</f>
        <v>Woodbury Central</v>
      </c>
      <c r="C330" s="21">
        <f>INDEX(Data[],MATCH($A330,Data[Dist],0),MATCH(C$6,Data[#Headers],0))</f>
        <v>387257</v>
      </c>
      <c r="D330" s="21">
        <f>INDEX(Data[],MATCH($A330,Data[Dist],0),MATCH(D$6,Data[#Headers],0))</f>
        <v>385346</v>
      </c>
      <c r="E330" s="21">
        <f>INDEX(Data[],MATCH($A330,Data[Dist],0),MATCH(E$6,Data[#Headers],0))</f>
        <v>385345</v>
      </c>
      <c r="F330" s="21">
        <f>INDEX(Data[],MATCH($A330,Data[Dist],0),MATCH(F$6,Data[#Headers],0))</f>
        <v>385346</v>
      </c>
      <c r="G330" s="21">
        <f>INDEX(Data[],MATCH($A330,Data[Dist],0),MATCH(G$6,Data[#Headers],0))</f>
        <v>1934374</v>
      </c>
      <c r="H330" s="21">
        <f>INDEX(Data[],MATCH($A330,Data[Dist],0),MATCH(H$6,Data[#Headers],0))-G330</f>
        <v>1926727</v>
      </c>
      <c r="I330" s="24"/>
      <c r="J330" s="21">
        <f>INDEX(Notes!$I$2:$N$11,MATCH(Notes!$B$2,Notes!$I$2:$I$11,0),4)*$C330</f>
        <v>1549028</v>
      </c>
      <c r="K330" s="21">
        <f>INDEX(Notes!$I$2:$N$11,MATCH(Notes!$B$2,Notes!$I$2:$I$11,0),5)*$D330</f>
        <v>385346</v>
      </c>
      <c r="L330" s="21">
        <f>INDEX(Notes!$I$2:$N$11,MATCH(Notes!$B$2,Notes!$I$2:$I$11,0),6)*$E330</f>
        <v>0</v>
      </c>
      <c r="M330" s="21">
        <f>IF(Notes!$B$2="June",'Payment Total'!$F330,0)</f>
        <v>0</v>
      </c>
      <c r="N330" s="21">
        <f t="shared" si="20"/>
        <v>0</v>
      </c>
      <c r="P330" s="25" t="s">
        <v>1153</v>
      </c>
      <c r="Q330" s="25">
        <v>385346</v>
      </c>
      <c r="R330" s="20" t="str">
        <f t="shared" si="21"/>
        <v>7098</v>
      </c>
      <c r="S330" s="20" t="str">
        <f t="shared" si="22"/>
        <v>7098</v>
      </c>
      <c r="T330" s="41">
        <f t="shared" si="23"/>
        <v>0</v>
      </c>
      <c r="V330" s="41"/>
    </row>
    <row r="331" spans="1:22" s="25" customFormat="1" ht="12.75" x14ac:dyDescent="0.2">
      <c r="A331" s="19" t="str">
        <f>Data!B326</f>
        <v>7110</v>
      </c>
      <c r="B331" s="20" t="str">
        <f>INDEX(Data[],MATCH($A331,Data[Dist],0),MATCH(B$6,Data[#Headers],0))</f>
        <v>Woodward-Granger</v>
      </c>
      <c r="C331" s="21">
        <f>INDEX(Data[],MATCH($A331,Data[Dist],0),MATCH(C$6,Data[#Headers],0))</f>
        <v>787506</v>
      </c>
      <c r="D331" s="21">
        <f>INDEX(Data[],MATCH($A331,Data[Dist],0),MATCH(D$6,Data[#Headers],0))</f>
        <v>783457</v>
      </c>
      <c r="E331" s="21">
        <f>INDEX(Data[],MATCH($A331,Data[Dist],0),MATCH(E$6,Data[#Headers],0))</f>
        <v>783457</v>
      </c>
      <c r="F331" s="21">
        <f>INDEX(Data[],MATCH($A331,Data[Dist],0),MATCH(F$6,Data[#Headers],0))</f>
        <v>783456</v>
      </c>
      <c r="G331" s="21">
        <f>INDEX(Data[],MATCH($A331,Data[Dist],0),MATCH(G$6,Data[#Headers],0))</f>
        <v>3933481</v>
      </c>
      <c r="H331" s="21">
        <f>INDEX(Data[],MATCH($A331,Data[Dist],0),MATCH(H$6,Data[#Headers],0))-G331</f>
        <v>3917284</v>
      </c>
      <c r="I331" s="24"/>
      <c r="J331" s="21">
        <f>INDEX(Notes!$I$2:$N$11,MATCH(Notes!$B$2,Notes!$I$2:$I$11,0),4)*$C331</f>
        <v>3150024</v>
      </c>
      <c r="K331" s="21">
        <f>INDEX(Notes!$I$2:$N$11,MATCH(Notes!$B$2,Notes!$I$2:$I$11,0),5)*$D331</f>
        <v>783457</v>
      </c>
      <c r="L331" s="21">
        <f>INDEX(Notes!$I$2:$N$11,MATCH(Notes!$B$2,Notes!$I$2:$I$11,0),6)*$E331</f>
        <v>0</v>
      </c>
      <c r="M331" s="21">
        <f>IF(Notes!$B$2="June",'Payment Total'!$F331,0)</f>
        <v>0</v>
      </c>
      <c r="N331" s="21">
        <f t="shared" si="20"/>
        <v>0</v>
      </c>
      <c r="P331" s="25" t="s">
        <v>1154</v>
      </c>
      <c r="Q331" s="25">
        <v>783457</v>
      </c>
      <c r="R331" s="20" t="str">
        <f t="shared" si="21"/>
        <v>7110</v>
      </c>
      <c r="S331" s="20" t="str">
        <f t="shared" si="22"/>
        <v>7110</v>
      </c>
      <c r="T331" s="41">
        <f t="shared" si="23"/>
        <v>0</v>
      </c>
      <c r="V331" s="41"/>
    </row>
    <row r="332" spans="1:22" s="20" customFormat="1" ht="13.5" thickBot="1" x14ac:dyDescent="0.25">
      <c r="A332" s="22"/>
      <c r="C332" s="23">
        <f t="shared" ref="C332:H332" si="24">SUM(C7:C331)</f>
        <v>364199459</v>
      </c>
      <c r="D332" s="23">
        <f t="shared" si="24"/>
        <v>362383500</v>
      </c>
      <c r="E332" s="23">
        <f t="shared" si="24"/>
        <v>362383491</v>
      </c>
      <c r="F332" s="23">
        <f t="shared" si="24"/>
        <v>362383329</v>
      </c>
      <c r="G332" s="23">
        <f t="shared" si="24"/>
        <v>1819181336</v>
      </c>
      <c r="H332" s="23">
        <f t="shared" si="24"/>
        <v>1811917302</v>
      </c>
      <c r="Q332" s="20">
        <f>SUM(Q7:Q331)</f>
        <v>362383500</v>
      </c>
    </row>
    <row r="333" spans="1:22" s="20" customFormat="1" ht="13.5" thickTop="1" x14ac:dyDescent="0.2">
      <c r="A333" s="22"/>
      <c r="C333" s="21"/>
      <c r="D333" s="21"/>
      <c r="E333" s="21"/>
      <c r="F333" s="21"/>
      <c r="G333" s="21"/>
      <c r="H333" s="21"/>
    </row>
    <row r="334" spans="1:22" s="25" customFormat="1" x14ac:dyDescent="0.2">
      <c r="A334" s="24"/>
      <c r="C334" s="26"/>
      <c r="D334" s="26"/>
      <c r="E334" s="26"/>
      <c r="F334" s="26"/>
      <c r="G334" s="26"/>
      <c r="H334" s="26"/>
    </row>
    <row r="335" spans="1:22" s="25" customFormat="1" x14ac:dyDescent="0.2">
      <c r="A335" s="24"/>
      <c r="C335" s="26"/>
      <c r="D335" s="26"/>
      <c r="E335" s="26"/>
      <c r="F335" s="26"/>
      <c r="G335" s="26"/>
      <c r="H335" s="26"/>
    </row>
    <row r="336" spans="1:22" s="25" customFormat="1" x14ac:dyDescent="0.2">
      <c r="A336" s="24"/>
      <c r="C336" s="26"/>
      <c r="D336" s="26"/>
      <c r="E336" s="26"/>
      <c r="F336" s="26"/>
      <c r="G336" s="26"/>
      <c r="H336" s="26"/>
    </row>
    <row r="337" spans="1:8" s="25" customFormat="1" x14ac:dyDescent="0.2">
      <c r="A337" s="24"/>
      <c r="C337" s="26"/>
      <c r="D337" s="26"/>
      <c r="E337" s="26"/>
      <c r="F337" s="26"/>
      <c r="G337" s="26"/>
      <c r="H337" s="26"/>
    </row>
    <row r="338" spans="1:8" s="25" customFormat="1" x14ac:dyDescent="0.2">
      <c r="A338" s="24"/>
      <c r="C338" s="26"/>
      <c r="D338" s="26"/>
      <c r="E338" s="26"/>
      <c r="F338" s="26"/>
      <c r="G338" s="26"/>
      <c r="H338" s="26"/>
    </row>
    <row r="339" spans="1:8" s="25" customFormat="1" x14ac:dyDescent="0.2">
      <c r="A339" s="24"/>
      <c r="C339" s="26"/>
      <c r="D339" s="26"/>
      <c r="E339" s="26"/>
      <c r="F339" s="26"/>
      <c r="G339" s="26"/>
      <c r="H339" s="26"/>
    </row>
    <row r="340" spans="1:8" s="25" customFormat="1" x14ac:dyDescent="0.2">
      <c r="A340" s="24"/>
      <c r="C340" s="26"/>
      <c r="D340" s="26"/>
      <c r="E340" s="26"/>
      <c r="F340" s="26"/>
      <c r="G340" s="26"/>
      <c r="H340" s="26"/>
    </row>
    <row r="341" spans="1:8" s="25" customFormat="1" x14ac:dyDescent="0.2">
      <c r="A341" s="24"/>
      <c r="C341" s="26"/>
      <c r="D341" s="26"/>
      <c r="E341" s="26"/>
      <c r="F341" s="26"/>
      <c r="G341" s="26"/>
      <c r="H341" s="26"/>
    </row>
    <row r="342" spans="1:8" s="25" customFormat="1" x14ac:dyDescent="0.2">
      <c r="A342" s="24"/>
      <c r="C342" s="26"/>
      <c r="D342" s="26"/>
      <c r="E342" s="26"/>
      <c r="F342" s="26"/>
      <c r="G342" s="26"/>
      <c r="H342" s="26"/>
    </row>
    <row r="343" spans="1:8" s="25" customFormat="1" x14ac:dyDescent="0.2">
      <c r="A343" s="24"/>
      <c r="C343" s="26"/>
      <c r="D343" s="26"/>
      <c r="E343" s="26"/>
      <c r="F343" s="26"/>
      <c r="G343" s="26"/>
      <c r="H343" s="26"/>
    </row>
  </sheetData>
  <sheetProtection sheet="1" formatCells="0" formatColumns="0" formatRows="0"/>
  <mergeCells count="13">
    <mergeCell ref="V2:Y5"/>
    <mergeCell ref="A3:B3"/>
    <mergeCell ref="C3:H3"/>
    <mergeCell ref="A1:H1"/>
    <mergeCell ref="A2:H2"/>
    <mergeCell ref="S2:S5"/>
    <mergeCell ref="J2:J5"/>
    <mergeCell ref="K2:K5"/>
    <mergeCell ref="L2:L5"/>
    <mergeCell ref="N2:N5"/>
    <mergeCell ref="J1:N1"/>
    <mergeCell ref="T1:T5"/>
    <mergeCell ref="M2:M5"/>
  </mergeCells>
  <pageMargins left="1" right="0.45" top="0.7" bottom="0.5" header="0.3" footer="0.3"/>
  <pageSetup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39997558519241921"/>
  </sheetPr>
  <dimension ref="A1:X332"/>
  <sheetViews>
    <sheetView tabSelected="1" workbookViewId="0">
      <pane xSplit="2" ySplit="4" topLeftCell="C298" activePane="bottomRight" state="frozen"/>
      <selection pane="topRight" activeCell="C1" sqref="C1"/>
      <selection pane="bottomLeft" activeCell="A7" sqref="A7"/>
      <selection pane="bottomRight" sqref="A1:I1"/>
    </sheetView>
  </sheetViews>
  <sheetFormatPr defaultRowHeight="12.75" x14ac:dyDescent="0.2"/>
  <cols>
    <col min="1" max="1" width="9.140625" style="22" customWidth="1"/>
    <col min="2" max="2" width="24.5703125" style="20" bestFit="1" customWidth="1"/>
    <col min="3" max="8" width="15.140625" style="21" customWidth="1"/>
    <col min="9" max="9" width="16" style="53" bestFit="1" customWidth="1"/>
    <col min="10" max="10" width="9.140625" style="20" customWidth="1"/>
    <col min="11" max="11" width="20.5703125" style="59" hidden="1" customWidth="1"/>
    <col min="12" max="15" width="9.140625" style="52" hidden="1" customWidth="1"/>
    <col min="16" max="20" width="9.140625" style="140" hidden="1" customWidth="1"/>
    <col min="21" max="21" width="15.140625" style="140" hidden="1" customWidth="1"/>
    <col min="22" max="23" width="9.140625" style="140" hidden="1" customWidth="1"/>
    <col min="24" max="24" width="9.140625" style="20" customWidth="1"/>
    <col min="25" max="16384" width="9.140625" style="20"/>
  </cols>
  <sheetData>
    <row r="1" spans="1:24" s="14" customFormat="1" ht="17.25" customHeight="1" x14ac:dyDescent="0.3">
      <c r="A1" s="202" t="str">
        <f>CONCATENATE("FY ",Notes!$B$1," Budget for State Payments to School Districts (",Notes!$B$2," by Source)")</f>
        <v>FY 2025 Budget for State Payments to School Districts (January by Source)</v>
      </c>
      <c r="B1" s="202"/>
      <c r="C1" s="202"/>
      <c r="D1" s="202"/>
      <c r="E1" s="202"/>
      <c r="F1" s="202"/>
      <c r="G1" s="202"/>
      <c r="H1" s="202"/>
      <c r="I1" s="202"/>
      <c r="K1" s="57"/>
      <c r="L1" s="199" t="s">
        <v>792</v>
      </c>
      <c r="M1" s="199"/>
      <c r="N1" s="199"/>
      <c r="O1" s="199"/>
      <c r="P1" s="137"/>
      <c r="Q1" s="137"/>
      <c r="R1" s="137"/>
      <c r="S1" s="137"/>
      <c r="T1" s="137"/>
      <c r="U1" s="137"/>
      <c r="V1" s="137"/>
      <c r="W1" s="137"/>
    </row>
    <row r="2" spans="1:24" s="14" customFormat="1" x14ac:dyDescent="0.2">
      <c r="A2" s="13"/>
      <c r="B2" s="13"/>
      <c r="C2" s="45" t="s">
        <v>7</v>
      </c>
      <c r="D2" s="46" t="s">
        <v>8</v>
      </c>
      <c r="E2" s="46" t="s">
        <v>9</v>
      </c>
      <c r="F2" s="46" t="s">
        <v>10</v>
      </c>
      <c r="G2" s="46" t="s">
        <v>13</v>
      </c>
      <c r="H2" s="46" t="s">
        <v>14</v>
      </c>
      <c r="I2" s="47" t="s">
        <v>15</v>
      </c>
      <c r="K2" s="57"/>
      <c r="L2" s="199"/>
      <c r="M2" s="199"/>
      <c r="N2" s="199"/>
      <c r="O2" s="199"/>
      <c r="P2" s="137"/>
      <c r="Q2" s="137"/>
      <c r="R2" s="137"/>
      <c r="S2" s="137"/>
      <c r="T2" s="137"/>
      <c r="U2" s="137"/>
      <c r="V2" s="137"/>
      <c r="W2" s="137"/>
    </row>
    <row r="3" spans="1:24" s="14" customFormat="1" x14ac:dyDescent="0.2">
      <c r="A3" s="13"/>
      <c r="C3" s="48"/>
      <c r="D3" s="48"/>
      <c r="E3" s="48"/>
      <c r="F3" s="48"/>
      <c r="G3" s="48"/>
      <c r="H3" s="48"/>
      <c r="I3" s="49" t="s">
        <v>16</v>
      </c>
      <c r="K3" s="57"/>
      <c r="L3" s="199"/>
      <c r="M3" s="199"/>
      <c r="N3" s="199"/>
      <c r="O3" s="199"/>
      <c r="P3" s="137" t="s">
        <v>746</v>
      </c>
      <c r="Q3" s="137" t="s">
        <v>698</v>
      </c>
      <c r="R3" s="137" t="s">
        <v>356</v>
      </c>
      <c r="S3" s="137" t="s">
        <v>357</v>
      </c>
      <c r="T3" s="137" t="s">
        <v>745</v>
      </c>
      <c r="U3" s="137" t="s">
        <v>747</v>
      </c>
      <c r="V3" s="137"/>
      <c r="W3" s="137"/>
    </row>
    <row r="4" spans="1:24" s="14" customFormat="1" ht="38.25" x14ac:dyDescent="0.2">
      <c r="A4" s="13"/>
      <c r="C4" s="31" t="s">
        <v>746</v>
      </c>
      <c r="D4" s="31" t="s">
        <v>698</v>
      </c>
      <c r="E4" s="31" t="s">
        <v>356</v>
      </c>
      <c r="F4" s="31" t="s">
        <v>357</v>
      </c>
      <c r="G4" s="31" t="s">
        <v>745</v>
      </c>
      <c r="H4" s="31" t="s">
        <v>747</v>
      </c>
      <c r="I4" s="31" t="s">
        <v>354</v>
      </c>
      <c r="K4" s="58" t="s">
        <v>734</v>
      </c>
      <c r="L4" s="199"/>
      <c r="M4" s="199"/>
      <c r="N4" s="199"/>
      <c r="O4" s="199"/>
      <c r="P4" s="137" t="s">
        <v>762</v>
      </c>
      <c r="Q4" s="137"/>
      <c r="R4" s="137"/>
      <c r="S4" s="137"/>
      <c r="T4" s="137"/>
      <c r="U4" s="137"/>
      <c r="V4" s="137"/>
      <c r="W4" s="137"/>
    </row>
    <row r="5" spans="1:24" s="14" customFormat="1" hidden="1" x14ac:dyDescent="0.2">
      <c r="A5" s="16"/>
      <c r="B5" s="17" t="str">
        <f>Data[[#Headers],[Label]]</f>
        <v>Label</v>
      </c>
      <c r="C5" s="50"/>
      <c r="D5" s="50"/>
      <c r="E5" s="50"/>
      <c r="F5" s="50"/>
      <c r="G5" s="50"/>
      <c r="H5" s="50"/>
      <c r="I5" s="51" t="str">
        <f>CONCATENATE(Notes!$B$2," Payment")</f>
        <v>January Payment</v>
      </c>
      <c r="K5" s="57" t="s">
        <v>735</v>
      </c>
      <c r="L5" s="35"/>
      <c r="M5" s="35"/>
      <c r="N5" s="35"/>
      <c r="O5" s="35"/>
      <c r="P5" s="137"/>
      <c r="Q5" s="137"/>
      <c r="R5" s="137"/>
      <c r="S5" s="137"/>
      <c r="T5" s="137"/>
      <c r="U5" s="137"/>
      <c r="V5" s="137"/>
      <c r="W5" s="137"/>
    </row>
    <row r="6" spans="1:24" x14ac:dyDescent="0.2">
      <c r="A6" s="22" t="str">
        <f>Data!B2</f>
        <v>0009</v>
      </c>
      <c r="B6" s="20" t="str">
        <f>INDEX(Data[],MATCH($A6,Data[Dist],0),MATCH(B$5,Data[#Headers],0))</f>
        <v>AGWSR</v>
      </c>
      <c r="C6" s="21">
        <f>IF(Notes!$B$2="June",ROUND('Budget by Source'!C6/10,0)+P6,ROUND('Budget by Source'!C6/10,0))</f>
        <v>12469</v>
      </c>
      <c r="D6" s="21">
        <f>IF(Notes!$B$2="June",ROUND('Budget by Source'!D6/10,0)+Q6,ROUND('Budget by Source'!D6/10,0))</f>
        <v>64200</v>
      </c>
      <c r="E6" s="21">
        <f>IF(Notes!$B$2="June",ROUND('Budget by Source'!E6/10,0)+R6,ROUND('Budget by Source'!E6/10,0))</f>
        <v>4962</v>
      </c>
      <c r="F6" s="21">
        <f>IF(Notes!$B$2="June",ROUND('Budget by Source'!F6/10,0)+S6,ROUND('Budget by Source'!F6/10,0))</f>
        <v>5488</v>
      </c>
      <c r="G6" s="21">
        <f>IF(Notes!$B$2="June",ROUND('Budget by Source'!G6/10,0)+T6,ROUND('Budget by Source'!G6/10,0))</f>
        <v>27318</v>
      </c>
      <c r="H6" s="21">
        <f>I6-SUM(C6:G6)</f>
        <v>316943</v>
      </c>
      <c r="I6" s="21">
        <f>INDEX(Data[],MATCH($A6,Data[Dist],0),MATCH(I$5,Data[#Headers],0))</f>
        <v>431380</v>
      </c>
      <c r="K6" s="59">
        <f>INDEX('Payment Total'!$A$7:$H$331,MATCH('Payment by Source'!$A6,'Payment Total'!$A$7:$A$331,0),4)-I6</f>
        <v>0</v>
      </c>
      <c r="P6" s="138">
        <f>INDEX('Budget by Source'!$A$6:$I$330,MATCH('Payment by Source'!$A6,'Budget by Source'!$A$6:$A$330,0),MATCH(P$3,'Budget by Source'!$A$5:$I$5,0))-(ROUND(INDEX('Budget by Source'!$A$6:$I$330,MATCH('Payment by Source'!$A6,'Budget by Source'!$A$6:$A$330,0),MATCH(P$3,'Budget by Source'!$A$5:$I$5,0))/10,0)*10)</f>
        <v>-5</v>
      </c>
      <c r="Q6" s="138">
        <f>INDEX('Budget by Source'!$A$6:$I$330,MATCH('Payment by Source'!$A6,'Budget by Source'!$A$6:$A$330,0),MATCH(Q$3,'Budget by Source'!$A$5:$I$5,0))-(ROUND(INDEX('Budget by Source'!$A$6:$I$330,MATCH('Payment by Source'!$A6,'Budget by Source'!$A$6:$A$330,0),MATCH(Q$3,'Budget by Source'!$A$5:$I$5,0))/10,0)*10)</f>
        <v>-1</v>
      </c>
      <c r="R6" s="138">
        <f>INDEX('Budget by Source'!$A$6:$I$330,MATCH('Payment by Source'!$A6,'Budget by Source'!$A$6:$A$330,0),MATCH(R$3,'Budget by Source'!$A$5:$I$5,0))-(ROUND(INDEX('Budget by Source'!$A$6:$I$330,MATCH('Payment by Source'!$A6,'Budget by Source'!$A$6:$A$330,0),MATCH(R$3,'Budget by Source'!$A$5:$I$5,0))/10,0)*10)</f>
        <v>-1</v>
      </c>
      <c r="S6" s="138">
        <f>INDEX('Budget by Source'!$A$6:$I$330,MATCH('Payment by Source'!$A6,'Budget by Source'!$A$6:$A$330,0),MATCH(S$3,'Budget by Source'!$A$5:$I$5,0))-(ROUND(INDEX('Budget by Source'!$A$6:$I$330,MATCH('Payment by Source'!$A6,'Budget by Source'!$A$6:$A$330,0),MATCH(S$3,'Budget by Source'!$A$5:$I$5,0))/10,0)*10)</f>
        <v>-4</v>
      </c>
      <c r="T6" s="138">
        <f>INDEX('Budget by Source'!$A$6:$I$330,MATCH('Payment by Source'!$A6,'Budget by Source'!$A$6:$A$330,0),MATCH(T$3,'Budget by Source'!$A$5:$I$5,0))-(ROUND(INDEX('Budget by Source'!$A$6:$I$330,MATCH('Payment by Source'!$A6,'Budget by Source'!$A$6:$A$330,0),MATCH(T$3,'Budget by Source'!$A$5:$I$5,0))/10,0)*10)</f>
        <v>2</v>
      </c>
      <c r="U6" s="139">
        <f>INDEX('Budget by Source'!$A$6:$I$330,MATCH('Payment by Source'!$A6,'Budget by Source'!$A$6:$A$330,0),MATCH(U$3,'Budget by Source'!$A$5:$I$5,0))</f>
        <v>3180091</v>
      </c>
      <c r="V6" s="136">
        <f>ROUND(U6/10,0)</f>
        <v>318009</v>
      </c>
      <c r="W6" s="136">
        <f>V6*10</f>
        <v>3180090</v>
      </c>
      <c r="X6" s="21"/>
    </row>
    <row r="7" spans="1:24" x14ac:dyDescent="0.2">
      <c r="A7" s="22" t="str">
        <f>Data!B3</f>
        <v>0018</v>
      </c>
      <c r="B7" s="20" t="str">
        <f>INDEX(Data[],MATCH($A7,Data[Dist],0),MATCH(B$5,Data[#Headers],0))</f>
        <v>Adair-Casey</v>
      </c>
      <c r="C7" s="21">
        <f>IF(Notes!$B$2="June",ROUND('Budget by Source'!C7/10,0)+P7,ROUND('Budget by Source'!C7/10,0))</f>
        <v>5455</v>
      </c>
      <c r="D7" s="21">
        <f>IF(Notes!$B$2="June",ROUND('Budget by Source'!D7/10,0)+Q7,ROUND('Budget by Source'!D7/10,0))</f>
        <v>34249</v>
      </c>
      <c r="E7" s="21">
        <f>IF(Notes!$B$2="June",ROUND('Budget by Source'!E7/10,0)+R7,ROUND('Budget by Source'!E7/10,0))</f>
        <v>2416</v>
      </c>
      <c r="F7" s="21">
        <f>IF(Notes!$B$2="June",ROUND('Budget by Source'!F7/10,0)+S7,ROUND('Budget by Source'!F7/10,0))</f>
        <v>2191</v>
      </c>
      <c r="G7" s="21">
        <f>IF(Notes!$B$2="June",ROUND('Budget by Source'!G7/10,0)+T7,ROUND('Budget by Source'!G7/10,0))</f>
        <v>11288</v>
      </c>
      <c r="H7" s="21">
        <f t="shared" ref="H7:H70" si="0">I7-SUM(C7:G7)</f>
        <v>143006</v>
      </c>
      <c r="I7" s="21">
        <f>INDEX(Data[],MATCH($A7,Data[Dist],0),MATCH(I$5,Data[#Headers],0))</f>
        <v>198605</v>
      </c>
      <c r="K7" s="59">
        <f>INDEX('Payment Total'!$A$7:$H$331,MATCH('Payment by Source'!$A7,'Payment Total'!$A$7:$A$331,0),4)-I7</f>
        <v>0</v>
      </c>
      <c r="P7" s="138">
        <f>INDEX('Budget by Source'!$A$6:$I$330,MATCH('Payment by Source'!$A7,'Budget by Source'!$A$6:$A$330,0),MATCH(P$3,'Budget by Source'!$A$5:$I$5,0))-(ROUND(INDEX('Budget by Source'!$A$6:$I$330,MATCH('Payment by Source'!$A7,'Budget by Source'!$A$6:$A$330,0),MATCH(P$3,'Budget by Source'!$A$5:$I$5,0))/10,0)*10)</f>
        <v>0</v>
      </c>
      <c r="Q7" s="138">
        <f>INDEX('Budget by Source'!$A$6:$I$330,MATCH('Payment by Source'!$A7,'Budget by Source'!$A$6:$A$330,0),MATCH(Q$3,'Budget by Source'!$A$5:$I$5,0))-(ROUND(INDEX('Budget by Source'!$A$6:$I$330,MATCH('Payment by Source'!$A7,'Budget by Source'!$A$6:$A$330,0),MATCH(Q$3,'Budget by Source'!$A$5:$I$5,0))/10,0)*10)</f>
        <v>-4</v>
      </c>
      <c r="R7" s="138">
        <f>INDEX('Budget by Source'!$A$6:$I$330,MATCH('Payment by Source'!$A7,'Budget by Source'!$A$6:$A$330,0),MATCH(R$3,'Budget by Source'!$A$5:$I$5,0))-(ROUND(INDEX('Budget by Source'!$A$6:$I$330,MATCH('Payment by Source'!$A7,'Budget by Source'!$A$6:$A$330,0),MATCH(R$3,'Budget by Source'!$A$5:$I$5,0))/10,0)*10)</f>
        <v>-5</v>
      </c>
      <c r="S7" s="138">
        <f>INDEX('Budget by Source'!$A$6:$I$330,MATCH('Payment by Source'!$A7,'Budget by Source'!$A$6:$A$330,0),MATCH(S$3,'Budget by Source'!$A$5:$I$5,0))-(ROUND(INDEX('Budget by Source'!$A$6:$I$330,MATCH('Payment by Source'!$A7,'Budget by Source'!$A$6:$A$330,0),MATCH(S$3,'Budget by Source'!$A$5:$I$5,0))/10,0)*10)</f>
        <v>-3</v>
      </c>
      <c r="T7" s="138">
        <f>INDEX('Budget by Source'!$A$6:$I$330,MATCH('Payment by Source'!$A7,'Budget by Source'!$A$6:$A$330,0),MATCH(T$3,'Budget by Source'!$A$5:$I$5,0))-(ROUND(INDEX('Budget by Source'!$A$6:$I$330,MATCH('Payment by Source'!$A7,'Budget by Source'!$A$6:$A$330,0),MATCH(T$3,'Budget by Source'!$A$5:$I$5,0))/10,0)*10)</f>
        <v>1</v>
      </c>
      <c r="U7" s="139">
        <f>INDEX('Budget by Source'!$A$6:$I$330,MATCH('Payment by Source'!$A7,'Budget by Source'!$A$6:$A$330,0),MATCH(U$3,'Budget by Source'!$A$5:$I$5,0))</f>
        <v>1434337</v>
      </c>
      <c r="V7" s="136">
        <f t="shared" ref="V7:V70" si="1">ROUND(U7/10,0)</f>
        <v>143434</v>
      </c>
      <c r="W7" s="136">
        <f t="shared" ref="W7:W70" si="2">V7*10</f>
        <v>1434340</v>
      </c>
    </row>
    <row r="8" spans="1:24" x14ac:dyDescent="0.2">
      <c r="A8" s="22" t="str">
        <f>Data!B4</f>
        <v>0027</v>
      </c>
      <c r="B8" s="20" t="str">
        <f>INDEX(Data[],MATCH($A8,Data[Dist],0),MATCH(B$5,Data[#Headers],0))</f>
        <v>Adel-Desoto-Minburn</v>
      </c>
      <c r="C8" s="21">
        <f>IF(Notes!$B$2="June",ROUND('Budget by Source'!C8/10,0)+P8,ROUND('Budget by Source'!C8/10,0))</f>
        <v>21820</v>
      </c>
      <c r="D8" s="21">
        <f>IF(Notes!$B$2="June",ROUND('Budget by Source'!D8/10,0)+Q8,ROUND('Budget by Source'!D8/10,0))</f>
        <v>172994</v>
      </c>
      <c r="E8" s="21">
        <f>IF(Notes!$B$2="June",ROUND('Budget by Source'!E8/10,0)+R8,ROUND('Budget by Source'!E8/10,0))</f>
        <v>16932</v>
      </c>
      <c r="F8" s="21">
        <f>IF(Notes!$B$2="June",ROUND('Budget by Source'!F8/10,0)+S8,ROUND('Budget by Source'!F8/10,0))</f>
        <v>16177</v>
      </c>
      <c r="G8" s="21">
        <f>IF(Notes!$B$2="June",ROUND('Budget by Source'!G8/10,0)+T8,ROUND('Budget by Source'!G8/10,0))</f>
        <v>82253</v>
      </c>
      <c r="H8" s="21">
        <f t="shared" si="0"/>
        <v>1354713</v>
      </c>
      <c r="I8" s="21">
        <f>INDEX(Data[],MATCH($A8,Data[Dist],0),MATCH(I$5,Data[#Headers],0))</f>
        <v>1664889</v>
      </c>
      <c r="K8" s="59">
        <f>INDEX('Payment Total'!$A$7:$H$331,MATCH('Payment by Source'!$A8,'Payment Total'!$A$7:$A$331,0),4)-I8</f>
        <v>0</v>
      </c>
      <c r="P8" s="138">
        <f>INDEX('Budget by Source'!$A$6:$I$330,MATCH('Payment by Source'!$A8,'Budget by Source'!$A$6:$A$330,0),MATCH(P$3,'Budget by Source'!$A$5:$I$5,0))-(ROUND(INDEX('Budget by Source'!$A$6:$I$330,MATCH('Payment by Source'!$A8,'Budget by Source'!$A$6:$A$330,0),MATCH(P$3,'Budget by Source'!$A$5:$I$5,0))/10,0)*10)</f>
        <v>-1</v>
      </c>
      <c r="Q8" s="138">
        <f>INDEX('Budget by Source'!$A$6:$I$330,MATCH('Payment by Source'!$A8,'Budget by Source'!$A$6:$A$330,0),MATCH(Q$3,'Budget by Source'!$A$5:$I$5,0))-(ROUND(INDEX('Budget by Source'!$A$6:$I$330,MATCH('Payment by Source'!$A8,'Budget by Source'!$A$6:$A$330,0),MATCH(Q$3,'Budget by Source'!$A$5:$I$5,0))/10,0)*10)</f>
        <v>-3</v>
      </c>
      <c r="R8" s="138">
        <f>INDEX('Budget by Source'!$A$6:$I$330,MATCH('Payment by Source'!$A8,'Budget by Source'!$A$6:$A$330,0),MATCH(R$3,'Budget by Source'!$A$5:$I$5,0))-(ROUND(INDEX('Budget by Source'!$A$6:$I$330,MATCH('Payment by Source'!$A8,'Budget by Source'!$A$6:$A$330,0),MATCH(R$3,'Budget by Source'!$A$5:$I$5,0))/10,0)*10)</f>
        <v>2</v>
      </c>
      <c r="S8" s="138">
        <f>INDEX('Budget by Source'!$A$6:$I$330,MATCH('Payment by Source'!$A8,'Budget by Source'!$A$6:$A$330,0),MATCH(S$3,'Budget by Source'!$A$5:$I$5,0))-(ROUND(INDEX('Budget by Source'!$A$6:$I$330,MATCH('Payment by Source'!$A8,'Budget by Source'!$A$6:$A$330,0),MATCH(S$3,'Budget by Source'!$A$5:$I$5,0))/10,0)*10)</f>
        <v>-4</v>
      </c>
      <c r="T8" s="138">
        <f>INDEX('Budget by Source'!$A$6:$I$330,MATCH('Payment by Source'!$A8,'Budget by Source'!$A$6:$A$330,0),MATCH(T$3,'Budget by Source'!$A$5:$I$5,0))-(ROUND(INDEX('Budget by Source'!$A$6:$I$330,MATCH('Payment by Source'!$A8,'Budget by Source'!$A$6:$A$330,0),MATCH(T$3,'Budget by Source'!$A$5:$I$5,0))/10,0)*10)</f>
        <v>-1</v>
      </c>
      <c r="U8" s="139">
        <f>INDEX('Budget by Source'!$A$6:$I$330,MATCH('Payment by Source'!$A8,'Budget by Source'!$A$6:$A$330,0),MATCH(U$3,'Budget by Source'!$A$5:$I$5,0))</f>
        <v>13579656</v>
      </c>
      <c r="V8" s="136">
        <f t="shared" si="1"/>
        <v>1357966</v>
      </c>
      <c r="W8" s="136">
        <f t="shared" si="2"/>
        <v>13579660</v>
      </c>
    </row>
    <row r="9" spans="1:24" x14ac:dyDescent="0.2">
      <c r="A9" s="22" t="str">
        <f>Data!B5</f>
        <v>0063</v>
      </c>
      <c r="B9" s="20" t="str">
        <f>INDEX(Data[],MATCH($A9,Data[Dist],0),MATCH(B$5,Data[#Headers],0))</f>
        <v>Akron-Westfield</v>
      </c>
      <c r="C9" s="21">
        <f>IF(Notes!$B$2="June",ROUND('Budget by Source'!C9/10,0)+P9,ROUND('Budget by Source'!C9/10,0))</f>
        <v>9741</v>
      </c>
      <c r="D9" s="21">
        <f>IF(Notes!$B$2="June",ROUND('Budget by Source'!D9/10,0)+Q9,ROUND('Budget by Source'!D9/10,0))</f>
        <v>49791</v>
      </c>
      <c r="E9" s="21">
        <f>IF(Notes!$B$2="June",ROUND('Budget by Source'!E9/10,0)+R9,ROUND('Budget by Source'!E9/10,0))</f>
        <v>4335</v>
      </c>
      <c r="F9" s="21">
        <f>IF(Notes!$B$2="June",ROUND('Budget by Source'!F9/10,0)+S9,ROUND('Budget by Source'!F9/10,0))</f>
        <v>4423</v>
      </c>
      <c r="G9" s="21">
        <f>IF(Notes!$B$2="June",ROUND('Budget by Source'!G9/10,0)+T9,ROUND('Budget by Source'!G9/10,0))</f>
        <v>20492</v>
      </c>
      <c r="H9" s="21">
        <f t="shared" si="0"/>
        <v>312482</v>
      </c>
      <c r="I9" s="21">
        <f>INDEX(Data[],MATCH($A9,Data[Dist],0),MATCH(I$5,Data[#Headers],0))</f>
        <v>401264</v>
      </c>
      <c r="K9" s="59">
        <f>INDEX('Payment Total'!$A$7:$H$331,MATCH('Payment by Source'!$A9,'Payment Total'!$A$7:$A$331,0),4)-I9</f>
        <v>0</v>
      </c>
      <c r="P9" s="138">
        <f>INDEX('Budget by Source'!$A$6:$I$330,MATCH('Payment by Source'!$A9,'Budget by Source'!$A$6:$A$330,0),MATCH(P$3,'Budget by Source'!$A$5:$I$5,0))-(ROUND(INDEX('Budget by Source'!$A$6:$I$330,MATCH('Payment by Source'!$A9,'Budget by Source'!$A$6:$A$330,0),MATCH(P$3,'Budget by Source'!$A$5:$I$5,0))/10,0)*10)</f>
        <v>0</v>
      </c>
      <c r="Q9" s="138">
        <f>INDEX('Budget by Source'!$A$6:$I$330,MATCH('Payment by Source'!$A9,'Budget by Source'!$A$6:$A$330,0),MATCH(Q$3,'Budget by Source'!$A$5:$I$5,0))-(ROUND(INDEX('Budget by Source'!$A$6:$I$330,MATCH('Payment by Source'!$A9,'Budget by Source'!$A$6:$A$330,0),MATCH(Q$3,'Budget by Source'!$A$5:$I$5,0))/10,0)*10)</f>
        <v>-3</v>
      </c>
      <c r="R9" s="138">
        <f>INDEX('Budget by Source'!$A$6:$I$330,MATCH('Payment by Source'!$A9,'Budget by Source'!$A$6:$A$330,0),MATCH(R$3,'Budget by Source'!$A$5:$I$5,0))-(ROUND(INDEX('Budget by Source'!$A$6:$I$330,MATCH('Payment by Source'!$A9,'Budget by Source'!$A$6:$A$330,0),MATCH(R$3,'Budget by Source'!$A$5:$I$5,0))/10,0)*10)</f>
        <v>1</v>
      </c>
      <c r="S9" s="138">
        <f>INDEX('Budget by Source'!$A$6:$I$330,MATCH('Payment by Source'!$A9,'Budget by Source'!$A$6:$A$330,0),MATCH(S$3,'Budget by Source'!$A$5:$I$5,0))-(ROUND(INDEX('Budget by Source'!$A$6:$I$330,MATCH('Payment by Source'!$A9,'Budget by Source'!$A$6:$A$330,0),MATCH(S$3,'Budget by Source'!$A$5:$I$5,0))/10,0)*10)</f>
        <v>-3</v>
      </c>
      <c r="T9" s="138">
        <f>INDEX('Budget by Source'!$A$6:$I$330,MATCH('Payment by Source'!$A9,'Budget by Source'!$A$6:$A$330,0),MATCH(T$3,'Budget by Source'!$A$5:$I$5,0))-(ROUND(INDEX('Budget by Source'!$A$6:$I$330,MATCH('Payment by Source'!$A9,'Budget by Source'!$A$6:$A$330,0),MATCH(T$3,'Budget by Source'!$A$5:$I$5,0))/10,0)*10)</f>
        <v>4</v>
      </c>
      <c r="U9" s="139">
        <f>INDEX('Budget by Source'!$A$6:$I$330,MATCH('Payment by Source'!$A9,'Budget by Source'!$A$6:$A$330,0),MATCH(U$3,'Budget by Source'!$A$5:$I$5,0))</f>
        <v>3132891</v>
      </c>
      <c r="V9" s="136">
        <f t="shared" si="1"/>
        <v>313289</v>
      </c>
      <c r="W9" s="136">
        <f t="shared" si="2"/>
        <v>3132890</v>
      </c>
    </row>
    <row r="10" spans="1:24" x14ac:dyDescent="0.2">
      <c r="A10" s="22" t="str">
        <f>Data!B6</f>
        <v>0072</v>
      </c>
      <c r="B10" s="20" t="str">
        <f>INDEX(Data[],MATCH($A10,Data[Dist],0),MATCH(B$5,Data[#Headers],0))</f>
        <v>Albert City-Truesdale</v>
      </c>
      <c r="C10" s="21">
        <f>IF(Notes!$B$2="June",ROUND('Budget by Source'!C10/10,0)+P10,ROUND('Budget by Source'!C10/10,0))</f>
        <v>3896</v>
      </c>
      <c r="D10" s="21">
        <f>IF(Notes!$B$2="June",ROUND('Budget by Source'!D10/10,0)+Q10,ROUND('Budget by Source'!D10/10,0))</f>
        <v>24723</v>
      </c>
      <c r="E10" s="21">
        <f>IF(Notes!$B$2="June",ROUND('Budget by Source'!E10/10,0)+R10,ROUND('Budget by Source'!E10/10,0))</f>
        <v>1133</v>
      </c>
      <c r="F10" s="21">
        <f>IF(Notes!$B$2="June",ROUND('Budget by Source'!F10/10,0)+S10,ROUND('Budget by Source'!F10/10,0))</f>
        <v>1081</v>
      </c>
      <c r="G10" s="21">
        <f>IF(Notes!$B$2="June",ROUND('Budget by Source'!G10/10,0)+T10,ROUND('Budget by Source'!G10/10,0))</f>
        <v>7755</v>
      </c>
      <c r="H10" s="21">
        <f t="shared" si="0"/>
        <v>62678</v>
      </c>
      <c r="I10" s="21">
        <f>INDEX(Data[],MATCH($A10,Data[Dist],0),MATCH(I$5,Data[#Headers],0))</f>
        <v>101266</v>
      </c>
      <c r="K10" s="59">
        <f>INDEX('Payment Total'!$A$7:$H$331,MATCH('Payment by Source'!$A10,'Payment Total'!$A$7:$A$331,0),4)-I10</f>
        <v>0</v>
      </c>
      <c r="P10" s="138">
        <f>INDEX('Budget by Source'!$A$6:$I$330,MATCH('Payment by Source'!$A10,'Budget by Source'!$A$6:$A$330,0),MATCH(P$3,'Budget by Source'!$A$5:$I$5,0))-(ROUND(INDEX('Budget by Source'!$A$6:$I$330,MATCH('Payment by Source'!$A10,'Budget by Source'!$A$6:$A$330,0),MATCH(P$3,'Budget by Source'!$A$5:$I$5,0))/10,0)*10)</f>
        <v>4</v>
      </c>
      <c r="Q10" s="138">
        <f>INDEX('Budget by Source'!$A$6:$I$330,MATCH('Payment by Source'!$A10,'Budget by Source'!$A$6:$A$330,0),MATCH(Q$3,'Budget by Source'!$A$5:$I$5,0))-(ROUND(INDEX('Budget by Source'!$A$6:$I$330,MATCH('Payment by Source'!$A10,'Budget by Source'!$A$6:$A$330,0),MATCH(Q$3,'Budget by Source'!$A$5:$I$5,0))/10,0)*10)</f>
        <v>0</v>
      </c>
      <c r="R10" s="138">
        <f>INDEX('Budget by Source'!$A$6:$I$330,MATCH('Payment by Source'!$A10,'Budget by Source'!$A$6:$A$330,0),MATCH(R$3,'Budget by Source'!$A$5:$I$5,0))-(ROUND(INDEX('Budget by Source'!$A$6:$I$330,MATCH('Payment by Source'!$A10,'Budget by Source'!$A$6:$A$330,0),MATCH(R$3,'Budget by Source'!$A$5:$I$5,0))/10,0)*10)</f>
        <v>-2</v>
      </c>
      <c r="S10" s="138">
        <f>INDEX('Budget by Source'!$A$6:$I$330,MATCH('Payment by Source'!$A10,'Budget by Source'!$A$6:$A$330,0),MATCH(S$3,'Budget by Source'!$A$5:$I$5,0))-(ROUND(INDEX('Budget by Source'!$A$6:$I$330,MATCH('Payment by Source'!$A10,'Budget by Source'!$A$6:$A$330,0),MATCH(S$3,'Budget by Source'!$A$5:$I$5,0))/10,0)*10)</f>
        <v>3</v>
      </c>
      <c r="T10" s="138">
        <f>INDEX('Budget by Source'!$A$6:$I$330,MATCH('Payment by Source'!$A10,'Budget by Source'!$A$6:$A$330,0),MATCH(T$3,'Budget by Source'!$A$5:$I$5,0))-(ROUND(INDEX('Budget by Source'!$A$6:$I$330,MATCH('Payment by Source'!$A10,'Budget by Source'!$A$6:$A$330,0),MATCH(T$3,'Budget by Source'!$A$5:$I$5,0))/10,0)*10)</f>
        <v>0</v>
      </c>
      <c r="U10" s="139">
        <f>INDEX('Budget by Source'!$A$6:$I$330,MATCH('Payment by Source'!$A10,'Budget by Source'!$A$6:$A$330,0),MATCH(U$3,'Budget by Source'!$A$5:$I$5,0))</f>
        <v>629753</v>
      </c>
      <c r="V10" s="136">
        <f t="shared" si="1"/>
        <v>62975</v>
      </c>
      <c r="W10" s="136">
        <f t="shared" si="2"/>
        <v>629750</v>
      </c>
    </row>
    <row r="11" spans="1:24" x14ac:dyDescent="0.2">
      <c r="A11" s="22" t="str">
        <f>Data!B7</f>
        <v>0081</v>
      </c>
      <c r="B11" s="20" t="str">
        <f>INDEX(Data[],MATCH($A11,Data[Dist],0),MATCH(B$5,Data[#Headers],0))</f>
        <v>Albia</v>
      </c>
      <c r="C11" s="21">
        <f>IF(Notes!$B$2="June",ROUND('Budget by Source'!C11/10,0)+P11,ROUND('Budget by Source'!C11/10,0))</f>
        <v>22989</v>
      </c>
      <c r="D11" s="21">
        <f>IF(Notes!$B$2="June",ROUND('Budget by Source'!D11/10,0)+Q11,ROUND('Budget by Source'!D11/10,0))</f>
        <v>86858</v>
      </c>
      <c r="E11" s="21">
        <f>IF(Notes!$B$2="June",ROUND('Budget by Source'!E11/10,0)+R11,ROUND('Budget by Source'!E11/10,0))</f>
        <v>8108</v>
      </c>
      <c r="F11" s="21">
        <f>IF(Notes!$B$2="June",ROUND('Budget by Source'!F11/10,0)+S11,ROUND('Budget by Source'!F11/10,0))</f>
        <v>8232</v>
      </c>
      <c r="G11" s="21">
        <f>IF(Notes!$B$2="June",ROUND('Budget by Source'!G11/10,0)+T11,ROUND('Budget by Source'!G11/10,0))</f>
        <v>40989</v>
      </c>
      <c r="H11" s="21">
        <f t="shared" si="0"/>
        <v>687894</v>
      </c>
      <c r="I11" s="21">
        <f>INDEX(Data[],MATCH($A11,Data[Dist],0),MATCH(I$5,Data[#Headers],0))</f>
        <v>855070</v>
      </c>
      <c r="K11" s="59">
        <f>INDEX('Payment Total'!$A$7:$H$331,MATCH('Payment by Source'!$A11,'Payment Total'!$A$7:$A$331,0),4)-I11</f>
        <v>0</v>
      </c>
      <c r="P11" s="138">
        <f>INDEX('Budget by Source'!$A$6:$I$330,MATCH('Payment by Source'!$A11,'Budget by Source'!$A$6:$A$330,0),MATCH(P$3,'Budget by Source'!$A$5:$I$5,0))-(ROUND(INDEX('Budget by Source'!$A$6:$I$330,MATCH('Payment by Source'!$A11,'Budget by Source'!$A$6:$A$330,0),MATCH(P$3,'Budget by Source'!$A$5:$I$5,0))/10,0)*10)</f>
        <v>-2</v>
      </c>
      <c r="Q11" s="138">
        <f>INDEX('Budget by Source'!$A$6:$I$330,MATCH('Payment by Source'!$A11,'Budget by Source'!$A$6:$A$330,0),MATCH(Q$3,'Budget by Source'!$A$5:$I$5,0))-(ROUND(INDEX('Budget by Source'!$A$6:$I$330,MATCH('Payment by Source'!$A11,'Budget by Source'!$A$6:$A$330,0),MATCH(Q$3,'Budget by Source'!$A$5:$I$5,0))/10,0)*10)</f>
        <v>-1</v>
      </c>
      <c r="R11" s="138">
        <f>INDEX('Budget by Source'!$A$6:$I$330,MATCH('Payment by Source'!$A11,'Budget by Source'!$A$6:$A$330,0),MATCH(R$3,'Budget by Source'!$A$5:$I$5,0))-(ROUND(INDEX('Budget by Source'!$A$6:$I$330,MATCH('Payment by Source'!$A11,'Budget by Source'!$A$6:$A$330,0),MATCH(R$3,'Budget by Source'!$A$5:$I$5,0))/10,0)*10)</f>
        <v>-1</v>
      </c>
      <c r="S11" s="138">
        <f>INDEX('Budget by Source'!$A$6:$I$330,MATCH('Payment by Source'!$A11,'Budget by Source'!$A$6:$A$330,0),MATCH(S$3,'Budget by Source'!$A$5:$I$5,0))-(ROUND(INDEX('Budget by Source'!$A$6:$I$330,MATCH('Payment by Source'!$A11,'Budget by Source'!$A$6:$A$330,0),MATCH(S$3,'Budget by Source'!$A$5:$I$5,0))/10,0)*10)</f>
        <v>-4</v>
      </c>
      <c r="T11" s="138">
        <f>INDEX('Budget by Source'!$A$6:$I$330,MATCH('Payment by Source'!$A11,'Budget by Source'!$A$6:$A$330,0),MATCH(T$3,'Budget by Source'!$A$5:$I$5,0))-(ROUND(INDEX('Budget by Source'!$A$6:$I$330,MATCH('Payment by Source'!$A11,'Budget by Source'!$A$6:$A$330,0),MATCH(T$3,'Budget by Source'!$A$5:$I$5,0))/10,0)*10)</f>
        <v>-4</v>
      </c>
      <c r="U11" s="139">
        <f>INDEX('Budget by Source'!$A$6:$I$330,MATCH('Payment by Source'!$A11,'Budget by Source'!$A$6:$A$330,0),MATCH(U$3,'Budget by Source'!$A$5:$I$5,0))</f>
        <v>6895185</v>
      </c>
      <c r="V11" s="136">
        <f t="shared" si="1"/>
        <v>689519</v>
      </c>
      <c r="W11" s="136">
        <f t="shared" si="2"/>
        <v>6895190</v>
      </c>
    </row>
    <row r="12" spans="1:24" x14ac:dyDescent="0.2">
      <c r="A12" s="22" t="str">
        <f>Data!B8</f>
        <v>0099</v>
      </c>
      <c r="B12" s="20" t="str">
        <f>INDEX(Data[],MATCH($A12,Data[Dist],0),MATCH(B$5,Data[#Headers],0))</f>
        <v>Alburnett</v>
      </c>
      <c r="C12" s="21">
        <f>IF(Notes!$B$2="June",ROUND('Budget by Source'!C12/10,0)+P12,ROUND('Budget by Source'!C12/10,0))</f>
        <v>13248</v>
      </c>
      <c r="D12" s="21">
        <f>IF(Notes!$B$2="June",ROUND('Budget by Source'!D12/10,0)+Q12,ROUND('Budget by Source'!D12/10,0))</f>
        <v>52463</v>
      </c>
      <c r="E12" s="21">
        <f>IF(Notes!$B$2="June",ROUND('Budget by Source'!E12/10,0)+R12,ROUND('Budget by Source'!E12/10,0))</f>
        <v>3776</v>
      </c>
      <c r="F12" s="21">
        <f>IF(Notes!$B$2="June",ROUND('Budget by Source'!F12/10,0)+S12,ROUND('Budget by Source'!F12/10,0))</f>
        <v>4351</v>
      </c>
      <c r="G12" s="21">
        <f>IF(Notes!$B$2="June",ROUND('Budget by Source'!G12/10,0)+T12,ROUND('Budget by Source'!G12/10,0))</f>
        <v>21044</v>
      </c>
      <c r="H12" s="21">
        <f t="shared" si="0"/>
        <v>274254</v>
      </c>
      <c r="I12" s="21">
        <f>INDEX(Data[],MATCH($A12,Data[Dist],0),MATCH(I$5,Data[#Headers],0))</f>
        <v>369136</v>
      </c>
      <c r="K12" s="59">
        <f>INDEX('Payment Total'!$A$7:$H$331,MATCH('Payment by Source'!$A12,'Payment Total'!$A$7:$A$331,0),4)-I12</f>
        <v>0</v>
      </c>
      <c r="P12" s="138">
        <f>INDEX('Budget by Source'!$A$6:$I$330,MATCH('Payment by Source'!$A12,'Budget by Source'!$A$6:$A$330,0),MATCH(P$3,'Budget by Source'!$A$5:$I$5,0))-(ROUND(INDEX('Budget by Source'!$A$6:$I$330,MATCH('Payment by Source'!$A12,'Budget by Source'!$A$6:$A$330,0),MATCH(P$3,'Budget by Source'!$A$5:$I$5,0))/10,0)*10)</f>
        <v>-2</v>
      </c>
      <c r="Q12" s="138">
        <f>INDEX('Budget by Source'!$A$6:$I$330,MATCH('Payment by Source'!$A12,'Budget by Source'!$A$6:$A$330,0),MATCH(Q$3,'Budget by Source'!$A$5:$I$5,0))-(ROUND(INDEX('Budget by Source'!$A$6:$I$330,MATCH('Payment by Source'!$A12,'Budget by Source'!$A$6:$A$330,0),MATCH(Q$3,'Budget by Source'!$A$5:$I$5,0))/10,0)*10)</f>
        <v>-3</v>
      </c>
      <c r="R12" s="138">
        <f>INDEX('Budget by Source'!$A$6:$I$330,MATCH('Payment by Source'!$A12,'Budget by Source'!$A$6:$A$330,0),MATCH(R$3,'Budget by Source'!$A$5:$I$5,0))-(ROUND(INDEX('Budget by Source'!$A$6:$I$330,MATCH('Payment by Source'!$A12,'Budget by Source'!$A$6:$A$330,0),MATCH(R$3,'Budget by Source'!$A$5:$I$5,0))/10,0)*10)</f>
        <v>0</v>
      </c>
      <c r="S12" s="138">
        <f>INDEX('Budget by Source'!$A$6:$I$330,MATCH('Payment by Source'!$A12,'Budget by Source'!$A$6:$A$330,0),MATCH(S$3,'Budget by Source'!$A$5:$I$5,0))-(ROUND(INDEX('Budget by Source'!$A$6:$I$330,MATCH('Payment by Source'!$A12,'Budget by Source'!$A$6:$A$330,0),MATCH(S$3,'Budget by Source'!$A$5:$I$5,0))/10,0)*10)</f>
        <v>0</v>
      </c>
      <c r="T12" s="138">
        <f>INDEX('Budget by Source'!$A$6:$I$330,MATCH('Payment by Source'!$A12,'Budget by Source'!$A$6:$A$330,0),MATCH(T$3,'Budget by Source'!$A$5:$I$5,0))-(ROUND(INDEX('Budget by Source'!$A$6:$I$330,MATCH('Payment by Source'!$A12,'Budget by Source'!$A$6:$A$330,0),MATCH(T$3,'Budget by Source'!$A$5:$I$5,0))/10,0)*10)</f>
        <v>-1</v>
      </c>
      <c r="U12" s="139">
        <f>INDEX('Budget by Source'!$A$6:$I$330,MATCH('Payment by Source'!$A12,'Budget by Source'!$A$6:$A$330,0),MATCH(U$3,'Budget by Source'!$A$5:$I$5,0))</f>
        <v>2750683</v>
      </c>
      <c r="V12" s="136">
        <f t="shared" si="1"/>
        <v>275068</v>
      </c>
      <c r="W12" s="136">
        <f t="shared" si="2"/>
        <v>2750680</v>
      </c>
    </row>
    <row r="13" spans="1:24" x14ac:dyDescent="0.2">
      <c r="A13" s="22" t="str">
        <f>Data!B9</f>
        <v>0108</v>
      </c>
      <c r="B13" s="20" t="str">
        <f>INDEX(Data[],MATCH($A13,Data[Dist],0),MATCH(B$5,Data[#Headers],0))</f>
        <v>Alden</v>
      </c>
      <c r="C13" s="21">
        <f>IF(Notes!$B$2="June",ROUND('Budget by Source'!C13/10,0)+P13,ROUND('Budget by Source'!C13/10,0))</f>
        <v>8183</v>
      </c>
      <c r="D13" s="21">
        <f>IF(Notes!$B$2="June",ROUND('Budget by Source'!D13/10,0)+Q13,ROUND('Budget by Source'!D13/10,0))</f>
        <v>32189</v>
      </c>
      <c r="E13" s="21">
        <f>IF(Notes!$B$2="June",ROUND('Budget by Source'!E13/10,0)+R13,ROUND('Budget by Source'!E13/10,0))</f>
        <v>2369</v>
      </c>
      <c r="F13" s="21">
        <f>IF(Notes!$B$2="June",ROUND('Budget by Source'!F13/10,0)+S13,ROUND('Budget by Source'!F13/10,0))</f>
        <v>1859</v>
      </c>
      <c r="G13" s="21">
        <f>IF(Notes!$B$2="June",ROUND('Budget by Source'!G13/10,0)+T13,ROUND('Budget by Source'!G13/10,0))</f>
        <v>10097</v>
      </c>
      <c r="H13" s="21">
        <f t="shared" si="0"/>
        <v>129211</v>
      </c>
      <c r="I13" s="21">
        <f>INDEX(Data[],MATCH($A13,Data[Dist],0),MATCH(I$5,Data[#Headers],0))</f>
        <v>183908</v>
      </c>
      <c r="K13" s="59">
        <f>INDEX('Payment Total'!$A$7:$H$331,MATCH('Payment by Source'!$A13,'Payment Total'!$A$7:$A$331,0),4)-I13</f>
        <v>0</v>
      </c>
      <c r="P13" s="138">
        <f>INDEX('Budget by Source'!$A$6:$I$330,MATCH('Payment by Source'!$A13,'Budget by Source'!$A$6:$A$330,0),MATCH(P$3,'Budget by Source'!$A$5:$I$5,0))-(ROUND(INDEX('Budget by Source'!$A$6:$I$330,MATCH('Payment by Source'!$A13,'Budget by Source'!$A$6:$A$330,0),MATCH(P$3,'Budget by Source'!$A$5:$I$5,0))/10,0)*10)</f>
        <v>-5</v>
      </c>
      <c r="Q13" s="138">
        <f>INDEX('Budget by Source'!$A$6:$I$330,MATCH('Payment by Source'!$A13,'Budget by Source'!$A$6:$A$330,0),MATCH(Q$3,'Budget by Source'!$A$5:$I$5,0))-(ROUND(INDEX('Budget by Source'!$A$6:$I$330,MATCH('Payment by Source'!$A13,'Budget by Source'!$A$6:$A$330,0),MATCH(Q$3,'Budget by Source'!$A$5:$I$5,0))/10,0)*10)</f>
        <v>3</v>
      </c>
      <c r="R13" s="138">
        <f>INDEX('Budget by Source'!$A$6:$I$330,MATCH('Payment by Source'!$A13,'Budget by Source'!$A$6:$A$330,0),MATCH(R$3,'Budget by Source'!$A$5:$I$5,0))-(ROUND(INDEX('Budget by Source'!$A$6:$I$330,MATCH('Payment by Source'!$A13,'Budget by Source'!$A$6:$A$330,0),MATCH(R$3,'Budget by Source'!$A$5:$I$5,0))/10,0)*10)</f>
        <v>4</v>
      </c>
      <c r="S13" s="138">
        <f>INDEX('Budget by Source'!$A$6:$I$330,MATCH('Payment by Source'!$A13,'Budget by Source'!$A$6:$A$330,0),MATCH(S$3,'Budget by Source'!$A$5:$I$5,0))-(ROUND(INDEX('Budget by Source'!$A$6:$I$330,MATCH('Payment by Source'!$A13,'Budget by Source'!$A$6:$A$330,0),MATCH(S$3,'Budget by Source'!$A$5:$I$5,0))/10,0)*10)</f>
        <v>3</v>
      </c>
      <c r="T13" s="138">
        <f>INDEX('Budget by Source'!$A$6:$I$330,MATCH('Payment by Source'!$A13,'Budget by Source'!$A$6:$A$330,0),MATCH(T$3,'Budget by Source'!$A$5:$I$5,0))-(ROUND(INDEX('Budget by Source'!$A$6:$I$330,MATCH('Payment by Source'!$A13,'Budget by Source'!$A$6:$A$330,0),MATCH(T$3,'Budget by Source'!$A$5:$I$5,0))/10,0)*10)</f>
        <v>0</v>
      </c>
      <c r="U13" s="139">
        <f>INDEX('Budget by Source'!$A$6:$I$330,MATCH('Payment by Source'!$A13,'Budget by Source'!$A$6:$A$330,0),MATCH(U$3,'Budget by Source'!$A$5:$I$5,0))</f>
        <v>1296121</v>
      </c>
      <c r="V13" s="136">
        <f t="shared" si="1"/>
        <v>129612</v>
      </c>
      <c r="W13" s="136">
        <f t="shared" si="2"/>
        <v>1296120</v>
      </c>
    </row>
    <row r="14" spans="1:24" x14ac:dyDescent="0.2">
      <c r="A14" s="22" t="str">
        <f>Data!B10</f>
        <v>0126</v>
      </c>
      <c r="B14" s="20" t="str">
        <f>INDEX(Data[],MATCH($A14,Data[Dist],0),MATCH(B$5,Data[#Headers],0))</f>
        <v>Algona</v>
      </c>
      <c r="C14" s="21">
        <f>IF(Notes!$B$2="June",ROUND('Budget by Source'!C14/10,0)+P14,ROUND('Budget by Source'!C14/10,0))</f>
        <v>46781</v>
      </c>
      <c r="D14" s="21">
        <f>IF(Notes!$B$2="June",ROUND('Budget by Source'!D14/10,0)+Q14,ROUND('Budget by Source'!D14/10,0))</f>
        <v>118411</v>
      </c>
      <c r="E14" s="21">
        <f>IF(Notes!$B$2="June",ROUND('Budget by Source'!E14/10,0)+R14,ROUND('Budget by Source'!E14/10,0))</f>
        <v>10627</v>
      </c>
      <c r="F14" s="21">
        <f>IF(Notes!$B$2="June",ROUND('Budget by Source'!F14/10,0)+S14,ROUND('Budget by Source'!F14/10,0))</f>
        <v>12672</v>
      </c>
      <c r="G14" s="21">
        <f>IF(Notes!$B$2="June",ROUND('Budget by Source'!G14/10,0)+T14,ROUND('Budget by Source'!G14/10,0))</f>
        <v>58833</v>
      </c>
      <c r="H14" s="21">
        <f t="shared" si="0"/>
        <v>619735</v>
      </c>
      <c r="I14" s="21">
        <f>INDEX(Data[],MATCH($A14,Data[Dist],0),MATCH(I$5,Data[#Headers],0))</f>
        <v>867059</v>
      </c>
      <c r="K14" s="59">
        <f>INDEX('Payment Total'!$A$7:$H$331,MATCH('Payment by Source'!$A14,'Payment Total'!$A$7:$A$331,0),4)-I14</f>
        <v>0</v>
      </c>
      <c r="P14" s="138">
        <f>INDEX('Budget by Source'!$A$6:$I$330,MATCH('Payment by Source'!$A14,'Budget by Source'!$A$6:$A$330,0),MATCH(P$3,'Budget by Source'!$A$5:$I$5,0))-(ROUND(INDEX('Budget by Source'!$A$6:$I$330,MATCH('Payment by Source'!$A14,'Budget by Source'!$A$6:$A$330,0),MATCH(P$3,'Budget by Source'!$A$5:$I$5,0))/10,0)*10)</f>
        <v>-4</v>
      </c>
      <c r="Q14" s="138">
        <f>INDEX('Budget by Source'!$A$6:$I$330,MATCH('Payment by Source'!$A14,'Budget by Source'!$A$6:$A$330,0),MATCH(Q$3,'Budget by Source'!$A$5:$I$5,0))-(ROUND(INDEX('Budget by Source'!$A$6:$I$330,MATCH('Payment by Source'!$A14,'Budget by Source'!$A$6:$A$330,0),MATCH(Q$3,'Budget by Source'!$A$5:$I$5,0))/10,0)*10)</f>
        <v>-5</v>
      </c>
      <c r="R14" s="138">
        <f>INDEX('Budget by Source'!$A$6:$I$330,MATCH('Payment by Source'!$A14,'Budget by Source'!$A$6:$A$330,0),MATCH(R$3,'Budget by Source'!$A$5:$I$5,0))-(ROUND(INDEX('Budget by Source'!$A$6:$I$330,MATCH('Payment by Source'!$A14,'Budget by Source'!$A$6:$A$330,0),MATCH(R$3,'Budget by Source'!$A$5:$I$5,0))/10,0)*10)</f>
        <v>-2</v>
      </c>
      <c r="S14" s="138">
        <f>INDEX('Budget by Source'!$A$6:$I$330,MATCH('Payment by Source'!$A14,'Budget by Source'!$A$6:$A$330,0),MATCH(S$3,'Budget by Source'!$A$5:$I$5,0))-(ROUND(INDEX('Budget by Source'!$A$6:$I$330,MATCH('Payment by Source'!$A14,'Budget by Source'!$A$6:$A$330,0),MATCH(S$3,'Budget by Source'!$A$5:$I$5,0))/10,0)*10)</f>
        <v>-2</v>
      </c>
      <c r="T14" s="138">
        <f>INDEX('Budget by Source'!$A$6:$I$330,MATCH('Payment by Source'!$A14,'Budget by Source'!$A$6:$A$330,0),MATCH(T$3,'Budget by Source'!$A$5:$I$5,0))-(ROUND(INDEX('Budget by Source'!$A$6:$I$330,MATCH('Payment by Source'!$A14,'Budget by Source'!$A$6:$A$330,0),MATCH(T$3,'Budget by Source'!$A$5:$I$5,0))/10,0)*10)</f>
        <v>0</v>
      </c>
      <c r="U14" s="139">
        <f>INDEX('Budget by Source'!$A$6:$I$330,MATCH('Payment by Source'!$A14,'Budget by Source'!$A$6:$A$330,0),MATCH(U$3,'Budget by Source'!$A$5:$I$5,0))</f>
        <v>6218560</v>
      </c>
      <c r="V14" s="136">
        <f t="shared" si="1"/>
        <v>621856</v>
      </c>
      <c r="W14" s="136">
        <f t="shared" si="2"/>
        <v>6218560</v>
      </c>
    </row>
    <row r="15" spans="1:24" x14ac:dyDescent="0.2">
      <c r="A15" s="22" t="str">
        <f>Data!B11</f>
        <v>0135</v>
      </c>
      <c r="B15" s="20" t="str">
        <f>INDEX(Data[],MATCH($A15,Data[Dist],0),MATCH(B$5,Data[#Headers],0))</f>
        <v>Allamakee</v>
      </c>
      <c r="C15" s="21">
        <f>IF(Notes!$B$2="June",ROUND('Budget by Source'!C15/10,0)+P15,ROUND('Budget by Source'!C15/10,0))</f>
        <v>27665</v>
      </c>
      <c r="D15" s="21">
        <f>IF(Notes!$B$2="June",ROUND('Budget by Source'!D15/10,0)+Q15,ROUND('Budget by Source'!D15/10,0))</f>
        <v>102785</v>
      </c>
      <c r="E15" s="21">
        <f>IF(Notes!$B$2="June",ROUND('Budget by Source'!E15/10,0)+R15,ROUND('Budget by Source'!E15/10,0))</f>
        <v>9345</v>
      </c>
      <c r="F15" s="21">
        <f>IF(Notes!$B$2="June",ROUND('Budget by Source'!F15/10,0)+S15,ROUND('Budget by Source'!F15/10,0))</f>
        <v>8516</v>
      </c>
      <c r="G15" s="21">
        <f>IF(Notes!$B$2="June",ROUND('Budget by Source'!G15/10,0)+T15,ROUND('Budget by Source'!G15/10,0))</f>
        <v>45472</v>
      </c>
      <c r="H15" s="21">
        <f t="shared" si="0"/>
        <v>581578</v>
      </c>
      <c r="I15" s="21">
        <f>INDEX(Data[],MATCH($A15,Data[Dist],0),MATCH(I$5,Data[#Headers],0))</f>
        <v>775361</v>
      </c>
      <c r="K15" s="59">
        <f>INDEX('Payment Total'!$A$7:$H$331,MATCH('Payment by Source'!$A15,'Payment Total'!$A$7:$A$331,0),4)-I15</f>
        <v>0</v>
      </c>
      <c r="P15" s="138">
        <f>INDEX('Budget by Source'!$A$6:$I$330,MATCH('Payment by Source'!$A15,'Budget by Source'!$A$6:$A$330,0),MATCH(P$3,'Budget by Source'!$A$5:$I$5,0))-(ROUND(INDEX('Budget by Source'!$A$6:$I$330,MATCH('Payment by Source'!$A15,'Budget by Source'!$A$6:$A$330,0),MATCH(P$3,'Budget by Source'!$A$5:$I$5,0))/10,0)*10)</f>
        <v>-5</v>
      </c>
      <c r="Q15" s="138">
        <f>INDEX('Budget by Source'!$A$6:$I$330,MATCH('Payment by Source'!$A15,'Budget by Source'!$A$6:$A$330,0),MATCH(Q$3,'Budget by Source'!$A$5:$I$5,0))-(ROUND(INDEX('Budget by Source'!$A$6:$I$330,MATCH('Payment by Source'!$A15,'Budget by Source'!$A$6:$A$330,0),MATCH(Q$3,'Budget by Source'!$A$5:$I$5,0))/10,0)*10)</f>
        <v>3</v>
      </c>
      <c r="R15" s="138">
        <f>INDEX('Budget by Source'!$A$6:$I$330,MATCH('Payment by Source'!$A15,'Budget by Source'!$A$6:$A$330,0),MATCH(R$3,'Budget by Source'!$A$5:$I$5,0))-(ROUND(INDEX('Budget by Source'!$A$6:$I$330,MATCH('Payment by Source'!$A15,'Budget by Source'!$A$6:$A$330,0),MATCH(R$3,'Budget by Source'!$A$5:$I$5,0))/10,0)*10)</f>
        <v>1</v>
      </c>
      <c r="S15" s="138">
        <f>INDEX('Budget by Source'!$A$6:$I$330,MATCH('Payment by Source'!$A15,'Budget by Source'!$A$6:$A$330,0),MATCH(S$3,'Budget by Source'!$A$5:$I$5,0))-(ROUND(INDEX('Budget by Source'!$A$6:$I$330,MATCH('Payment by Source'!$A15,'Budget by Source'!$A$6:$A$330,0),MATCH(S$3,'Budget by Source'!$A$5:$I$5,0))/10,0)*10)</f>
        <v>-3</v>
      </c>
      <c r="T15" s="138">
        <f>INDEX('Budget by Source'!$A$6:$I$330,MATCH('Payment by Source'!$A15,'Budget by Source'!$A$6:$A$330,0),MATCH(T$3,'Budget by Source'!$A$5:$I$5,0))-(ROUND(INDEX('Budget by Source'!$A$6:$I$330,MATCH('Payment by Source'!$A15,'Budget by Source'!$A$6:$A$330,0),MATCH(T$3,'Budget by Source'!$A$5:$I$5,0))/10,0)*10)</f>
        <v>3</v>
      </c>
      <c r="U15" s="139">
        <f>INDEX('Budget by Source'!$A$6:$I$330,MATCH('Payment by Source'!$A15,'Budget by Source'!$A$6:$A$330,0),MATCH(U$3,'Budget by Source'!$A$5:$I$5,0))</f>
        <v>5832450</v>
      </c>
      <c r="V15" s="136">
        <f t="shared" si="1"/>
        <v>583245</v>
      </c>
      <c r="W15" s="136">
        <f t="shared" si="2"/>
        <v>5832450</v>
      </c>
    </row>
    <row r="16" spans="1:24" x14ac:dyDescent="0.2">
      <c r="A16" s="22" t="str">
        <f>Data!B12</f>
        <v>0153</v>
      </c>
      <c r="B16" s="20" t="str">
        <f>INDEX(Data[],MATCH($A16,Data[Dist],0),MATCH(B$5,Data[#Headers],0))</f>
        <v>North Butler</v>
      </c>
      <c r="C16" s="21">
        <f>IF(Notes!$B$2="June",ROUND('Budget by Source'!C16/10,0)+P16,ROUND('Budget by Source'!C16/10,0))</f>
        <v>9741</v>
      </c>
      <c r="D16" s="21">
        <f>IF(Notes!$B$2="June",ROUND('Budget by Source'!D16/10,0)+Q16,ROUND('Budget by Source'!D16/10,0))</f>
        <v>50790</v>
      </c>
      <c r="E16" s="21">
        <f>IF(Notes!$B$2="June",ROUND('Budget by Source'!E16/10,0)+R16,ROUND('Budget by Source'!E16/10,0))</f>
        <v>3834</v>
      </c>
      <c r="F16" s="21">
        <f>IF(Notes!$B$2="June",ROUND('Budget by Source'!F16/10,0)+S16,ROUND('Budget by Source'!F16/10,0))</f>
        <v>4427</v>
      </c>
      <c r="G16" s="21">
        <f>IF(Notes!$B$2="June",ROUND('Budget by Source'!G16/10,0)+T16,ROUND('Budget by Source'!G16/10,0))</f>
        <v>19775</v>
      </c>
      <c r="H16" s="21">
        <f t="shared" si="0"/>
        <v>267874</v>
      </c>
      <c r="I16" s="21">
        <f>INDEX(Data[],MATCH($A16,Data[Dist],0),MATCH(I$5,Data[#Headers],0))</f>
        <v>356441</v>
      </c>
      <c r="K16" s="59">
        <f>INDEX('Payment Total'!$A$7:$H$331,MATCH('Payment by Source'!$A16,'Payment Total'!$A$7:$A$331,0),4)-I16</f>
        <v>0</v>
      </c>
      <c r="P16" s="138">
        <f>INDEX('Budget by Source'!$A$6:$I$330,MATCH('Payment by Source'!$A16,'Budget by Source'!$A$6:$A$330,0),MATCH(P$3,'Budget by Source'!$A$5:$I$5,0))-(ROUND(INDEX('Budget by Source'!$A$6:$I$330,MATCH('Payment by Source'!$A16,'Budget by Source'!$A$6:$A$330,0),MATCH(P$3,'Budget by Source'!$A$5:$I$5,0))/10,0)*10)</f>
        <v>0</v>
      </c>
      <c r="Q16" s="138">
        <f>INDEX('Budget by Source'!$A$6:$I$330,MATCH('Payment by Source'!$A16,'Budget by Source'!$A$6:$A$330,0),MATCH(Q$3,'Budget by Source'!$A$5:$I$5,0))-(ROUND(INDEX('Budget by Source'!$A$6:$I$330,MATCH('Payment by Source'!$A16,'Budget by Source'!$A$6:$A$330,0),MATCH(Q$3,'Budget by Source'!$A$5:$I$5,0))/10,0)*10)</f>
        <v>3</v>
      </c>
      <c r="R16" s="138">
        <f>INDEX('Budget by Source'!$A$6:$I$330,MATCH('Payment by Source'!$A16,'Budget by Source'!$A$6:$A$330,0),MATCH(R$3,'Budget by Source'!$A$5:$I$5,0))-(ROUND(INDEX('Budget by Source'!$A$6:$I$330,MATCH('Payment by Source'!$A16,'Budget by Source'!$A$6:$A$330,0),MATCH(R$3,'Budget by Source'!$A$5:$I$5,0))/10,0)*10)</f>
        <v>-5</v>
      </c>
      <c r="S16" s="138">
        <f>INDEX('Budget by Source'!$A$6:$I$330,MATCH('Payment by Source'!$A16,'Budget by Source'!$A$6:$A$330,0),MATCH(S$3,'Budget by Source'!$A$5:$I$5,0))-(ROUND(INDEX('Budget by Source'!$A$6:$I$330,MATCH('Payment by Source'!$A16,'Budget by Source'!$A$6:$A$330,0),MATCH(S$3,'Budget by Source'!$A$5:$I$5,0))/10,0)*10)</f>
        <v>0</v>
      </c>
      <c r="T16" s="138">
        <f>INDEX('Budget by Source'!$A$6:$I$330,MATCH('Payment by Source'!$A16,'Budget by Source'!$A$6:$A$330,0),MATCH(T$3,'Budget by Source'!$A$5:$I$5,0))-(ROUND(INDEX('Budget by Source'!$A$6:$I$330,MATCH('Payment by Source'!$A16,'Budget by Source'!$A$6:$A$330,0),MATCH(T$3,'Budget by Source'!$A$5:$I$5,0))/10,0)*10)</f>
        <v>3</v>
      </c>
      <c r="U16" s="139">
        <f>INDEX('Budget by Source'!$A$6:$I$330,MATCH('Payment by Source'!$A16,'Budget by Source'!$A$6:$A$330,0),MATCH(U$3,'Budget by Source'!$A$5:$I$5,0))</f>
        <v>2686472</v>
      </c>
      <c r="V16" s="136">
        <f t="shared" si="1"/>
        <v>268647</v>
      </c>
      <c r="W16" s="136">
        <f t="shared" si="2"/>
        <v>2686470</v>
      </c>
    </row>
    <row r="17" spans="1:23" x14ac:dyDescent="0.2">
      <c r="A17" s="22" t="str">
        <f>Data!B13</f>
        <v>0171</v>
      </c>
      <c r="B17" s="20" t="str">
        <f>INDEX(Data[],MATCH($A17,Data[Dist],0),MATCH(B$5,Data[#Headers],0))</f>
        <v>Alta-Aurelia</v>
      </c>
      <c r="C17" s="21">
        <f>IF(Notes!$B$2="June",ROUND('Budget by Source'!C17/10,0)+P17,ROUND('Budget by Source'!C17/10,0))</f>
        <v>19872</v>
      </c>
      <c r="D17" s="21">
        <f>IF(Notes!$B$2="June",ROUND('Budget by Source'!D17/10,0)+Q17,ROUND('Budget by Source'!D17/10,0))</f>
        <v>82787</v>
      </c>
      <c r="E17" s="21">
        <f>IF(Notes!$B$2="June",ROUND('Budget by Source'!E17/10,0)+R17,ROUND('Budget by Source'!E17/10,0))</f>
        <v>7580</v>
      </c>
      <c r="F17" s="21">
        <f>IF(Notes!$B$2="June",ROUND('Budget by Source'!F17/10,0)+S17,ROUND('Budget by Source'!F17/10,0))</f>
        <v>7105</v>
      </c>
      <c r="G17" s="21">
        <f>IF(Notes!$B$2="June",ROUND('Budget by Source'!G17/10,0)+T17,ROUND('Budget by Source'!G17/10,0))</f>
        <v>32165</v>
      </c>
      <c r="H17" s="21">
        <f t="shared" si="0"/>
        <v>371754</v>
      </c>
      <c r="I17" s="21">
        <f>INDEX(Data[],MATCH($A17,Data[Dist],0),MATCH(I$5,Data[#Headers],0))</f>
        <v>521263</v>
      </c>
      <c r="K17" s="59">
        <f>INDEX('Payment Total'!$A$7:$H$331,MATCH('Payment by Source'!$A17,'Payment Total'!$A$7:$A$331,0),4)-I17</f>
        <v>0</v>
      </c>
      <c r="P17" s="138">
        <f>INDEX('Budget by Source'!$A$6:$I$330,MATCH('Payment by Source'!$A17,'Budget by Source'!$A$6:$A$330,0),MATCH(P$3,'Budget by Source'!$A$5:$I$5,0))-(ROUND(INDEX('Budget by Source'!$A$6:$I$330,MATCH('Payment by Source'!$A17,'Budget by Source'!$A$6:$A$330,0),MATCH(P$3,'Budget by Source'!$A$5:$I$5,0))/10,0)*10)</f>
        <v>-3</v>
      </c>
      <c r="Q17" s="138">
        <f>INDEX('Budget by Source'!$A$6:$I$330,MATCH('Payment by Source'!$A17,'Budget by Source'!$A$6:$A$330,0),MATCH(Q$3,'Budget by Source'!$A$5:$I$5,0))-(ROUND(INDEX('Budget by Source'!$A$6:$I$330,MATCH('Payment by Source'!$A17,'Budget by Source'!$A$6:$A$330,0),MATCH(Q$3,'Budget by Source'!$A$5:$I$5,0))/10,0)*10)</f>
        <v>3</v>
      </c>
      <c r="R17" s="138">
        <f>INDEX('Budget by Source'!$A$6:$I$330,MATCH('Payment by Source'!$A17,'Budget by Source'!$A$6:$A$330,0),MATCH(R$3,'Budget by Source'!$A$5:$I$5,0))-(ROUND(INDEX('Budget by Source'!$A$6:$I$330,MATCH('Payment by Source'!$A17,'Budget by Source'!$A$6:$A$330,0),MATCH(R$3,'Budget by Source'!$A$5:$I$5,0))/10,0)*10)</f>
        <v>3</v>
      </c>
      <c r="S17" s="138">
        <f>INDEX('Budget by Source'!$A$6:$I$330,MATCH('Payment by Source'!$A17,'Budget by Source'!$A$6:$A$330,0),MATCH(S$3,'Budget by Source'!$A$5:$I$5,0))-(ROUND(INDEX('Budget by Source'!$A$6:$I$330,MATCH('Payment by Source'!$A17,'Budget by Source'!$A$6:$A$330,0),MATCH(S$3,'Budget by Source'!$A$5:$I$5,0))/10,0)*10)</f>
        <v>-4</v>
      </c>
      <c r="T17" s="138">
        <f>INDEX('Budget by Source'!$A$6:$I$330,MATCH('Payment by Source'!$A17,'Budget by Source'!$A$6:$A$330,0),MATCH(T$3,'Budget by Source'!$A$5:$I$5,0))-(ROUND(INDEX('Budget by Source'!$A$6:$I$330,MATCH('Payment by Source'!$A17,'Budget by Source'!$A$6:$A$330,0),MATCH(T$3,'Budget by Source'!$A$5:$I$5,0))/10,0)*10)</f>
        <v>3</v>
      </c>
      <c r="U17" s="139">
        <f>INDEX('Budget by Source'!$A$6:$I$330,MATCH('Payment by Source'!$A17,'Budget by Source'!$A$6:$A$330,0),MATCH(U$3,'Budget by Source'!$A$5:$I$5,0))</f>
        <v>3730162</v>
      </c>
      <c r="V17" s="136">
        <f t="shared" si="1"/>
        <v>373016</v>
      </c>
      <c r="W17" s="136">
        <f t="shared" si="2"/>
        <v>3730160</v>
      </c>
    </row>
    <row r="18" spans="1:23" x14ac:dyDescent="0.2">
      <c r="A18" s="22" t="str">
        <f>Data!B14</f>
        <v>0225</v>
      </c>
      <c r="B18" s="20" t="str">
        <f>INDEX(Data[],MATCH($A18,Data[Dist],0),MATCH(B$5,Data[#Headers],0))</f>
        <v>Ames</v>
      </c>
      <c r="C18" s="21">
        <f>IF(Notes!$B$2="June",ROUND('Budget by Source'!C18/10,0)+P18,ROUND('Budget by Source'!C18/10,0))</f>
        <v>91582</v>
      </c>
      <c r="D18" s="21">
        <f>IF(Notes!$B$2="June",ROUND('Budget by Source'!D18/10,0)+Q18,ROUND('Budget by Source'!D18/10,0))</f>
        <v>337982</v>
      </c>
      <c r="E18" s="21">
        <f>IF(Notes!$B$2="June",ROUND('Budget by Source'!E18/10,0)+R18,ROUND('Budget by Source'!E18/10,0))</f>
        <v>35098</v>
      </c>
      <c r="F18" s="21">
        <f>IF(Notes!$B$2="June",ROUND('Budget by Source'!F18/10,0)+S18,ROUND('Budget by Source'!F18/10,0))</f>
        <v>37778</v>
      </c>
      <c r="G18" s="21">
        <f>IF(Notes!$B$2="June",ROUND('Budget by Source'!G18/10,0)+T18,ROUND('Budget by Source'!G18/10,0))</f>
        <v>175139</v>
      </c>
      <c r="H18" s="21">
        <f t="shared" si="0"/>
        <v>1954347</v>
      </c>
      <c r="I18" s="21">
        <f>INDEX(Data[],MATCH($A18,Data[Dist],0),MATCH(I$5,Data[#Headers],0))</f>
        <v>2631926</v>
      </c>
      <c r="K18" s="59">
        <f>INDEX('Payment Total'!$A$7:$H$331,MATCH('Payment by Source'!$A18,'Payment Total'!$A$7:$A$331,0),4)-I18</f>
        <v>0</v>
      </c>
      <c r="P18" s="138">
        <f>INDEX('Budget by Source'!$A$6:$I$330,MATCH('Payment by Source'!$A18,'Budget by Source'!$A$6:$A$330,0),MATCH(P$3,'Budget by Source'!$A$5:$I$5,0))-(ROUND(INDEX('Budget by Source'!$A$6:$I$330,MATCH('Payment by Source'!$A18,'Budget by Source'!$A$6:$A$330,0),MATCH(P$3,'Budget by Source'!$A$5:$I$5,0))/10,0)*10)</f>
        <v>-5</v>
      </c>
      <c r="Q18" s="138">
        <f>INDEX('Budget by Source'!$A$6:$I$330,MATCH('Payment by Source'!$A18,'Budget by Source'!$A$6:$A$330,0),MATCH(Q$3,'Budget by Source'!$A$5:$I$5,0))-(ROUND(INDEX('Budget by Source'!$A$6:$I$330,MATCH('Payment by Source'!$A18,'Budget by Source'!$A$6:$A$330,0),MATCH(Q$3,'Budget by Source'!$A$5:$I$5,0))/10,0)*10)</f>
        <v>3</v>
      </c>
      <c r="R18" s="138">
        <f>INDEX('Budget by Source'!$A$6:$I$330,MATCH('Payment by Source'!$A18,'Budget by Source'!$A$6:$A$330,0),MATCH(R$3,'Budget by Source'!$A$5:$I$5,0))-(ROUND(INDEX('Budget by Source'!$A$6:$I$330,MATCH('Payment by Source'!$A18,'Budget by Source'!$A$6:$A$330,0),MATCH(R$3,'Budget by Source'!$A$5:$I$5,0))/10,0)*10)</f>
        <v>3</v>
      </c>
      <c r="S18" s="138">
        <f>INDEX('Budget by Source'!$A$6:$I$330,MATCH('Payment by Source'!$A18,'Budget by Source'!$A$6:$A$330,0),MATCH(S$3,'Budget by Source'!$A$5:$I$5,0))-(ROUND(INDEX('Budget by Source'!$A$6:$I$330,MATCH('Payment by Source'!$A18,'Budget by Source'!$A$6:$A$330,0),MATCH(S$3,'Budget by Source'!$A$5:$I$5,0))/10,0)*10)</f>
        <v>2</v>
      </c>
      <c r="T18" s="138">
        <f>INDEX('Budget by Source'!$A$6:$I$330,MATCH('Payment by Source'!$A18,'Budget by Source'!$A$6:$A$330,0),MATCH(T$3,'Budget by Source'!$A$5:$I$5,0))-(ROUND(INDEX('Budget by Source'!$A$6:$I$330,MATCH('Payment by Source'!$A18,'Budget by Source'!$A$6:$A$330,0),MATCH(T$3,'Budget by Source'!$A$5:$I$5,0))/10,0)*10)</f>
        <v>2</v>
      </c>
      <c r="U18" s="139">
        <f>INDEX('Budget by Source'!$A$6:$I$330,MATCH('Payment by Source'!$A18,'Budget by Source'!$A$6:$A$330,0),MATCH(U$3,'Budget by Source'!$A$5:$I$5,0))</f>
        <v>19611741</v>
      </c>
      <c r="V18" s="136">
        <f t="shared" si="1"/>
        <v>1961174</v>
      </c>
      <c r="W18" s="136">
        <f t="shared" si="2"/>
        <v>19611740</v>
      </c>
    </row>
    <row r="19" spans="1:23" x14ac:dyDescent="0.2">
      <c r="A19" s="22" t="str">
        <f>Data!B15</f>
        <v>0234</v>
      </c>
      <c r="B19" s="20" t="str">
        <f>INDEX(Data[],MATCH($A19,Data[Dist],0),MATCH(B$5,Data[#Headers],0))</f>
        <v>Anamosa</v>
      </c>
      <c r="C19" s="21">
        <f>IF(Notes!$B$2="June",ROUND('Budget by Source'!C19/10,0)+P19,ROUND('Budget by Source'!C19/10,0))</f>
        <v>25716</v>
      </c>
      <c r="D19" s="21">
        <f>IF(Notes!$B$2="June",ROUND('Budget by Source'!D19/10,0)+Q19,ROUND('Budget by Source'!D19/10,0))</f>
        <v>117564</v>
      </c>
      <c r="E19" s="21">
        <f>IF(Notes!$B$2="June",ROUND('Budget by Source'!E19/10,0)+R19,ROUND('Budget by Source'!E19/10,0))</f>
        <v>9618</v>
      </c>
      <c r="F19" s="21">
        <f>IF(Notes!$B$2="June",ROUND('Budget by Source'!F19/10,0)+S19,ROUND('Budget by Source'!F19/10,0))</f>
        <v>10608</v>
      </c>
      <c r="G19" s="21">
        <f>IF(Notes!$B$2="June",ROUND('Budget by Source'!G19/10,0)+T19,ROUND('Budget by Source'!G19/10,0))</f>
        <v>48494</v>
      </c>
      <c r="H19" s="21">
        <f t="shared" si="0"/>
        <v>733531</v>
      </c>
      <c r="I19" s="21">
        <f>INDEX(Data[],MATCH($A19,Data[Dist],0),MATCH(I$5,Data[#Headers],0))</f>
        <v>945531</v>
      </c>
      <c r="K19" s="59">
        <f>INDEX('Payment Total'!$A$7:$H$331,MATCH('Payment by Source'!$A19,'Payment Total'!$A$7:$A$331,0),4)-I19</f>
        <v>0</v>
      </c>
      <c r="P19" s="138">
        <f>INDEX('Budget by Source'!$A$6:$I$330,MATCH('Payment by Source'!$A19,'Budget by Source'!$A$6:$A$330,0),MATCH(P$3,'Budget by Source'!$A$5:$I$5,0))-(ROUND(INDEX('Budget by Source'!$A$6:$I$330,MATCH('Payment by Source'!$A19,'Budget by Source'!$A$6:$A$330,0),MATCH(P$3,'Budget by Source'!$A$5:$I$5,0))/10,0)*10)</f>
        <v>3</v>
      </c>
      <c r="Q19" s="138">
        <f>INDEX('Budget by Source'!$A$6:$I$330,MATCH('Payment by Source'!$A19,'Budget by Source'!$A$6:$A$330,0),MATCH(Q$3,'Budget by Source'!$A$5:$I$5,0))-(ROUND(INDEX('Budget by Source'!$A$6:$I$330,MATCH('Payment by Source'!$A19,'Budget by Source'!$A$6:$A$330,0),MATCH(Q$3,'Budget by Source'!$A$5:$I$5,0))/10,0)*10)</f>
        <v>0</v>
      </c>
      <c r="R19" s="138">
        <f>INDEX('Budget by Source'!$A$6:$I$330,MATCH('Payment by Source'!$A19,'Budget by Source'!$A$6:$A$330,0),MATCH(R$3,'Budget by Source'!$A$5:$I$5,0))-(ROUND(INDEX('Budget by Source'!$A$6:$I$330,MATCH('Payment by Source'!$A19,'Budget by Source'!$A$6:$A$330,0),MATCH(R$3,'Budget by Source'!$A$5:$I$5,0))/10,0)*10)</f>
        <v>2</v>
      </c>
      <c r="S19" s="138">
        <f>INDEX('Budget by Source'!$A$6:$I$330,MATCH('Payment by Source'!$A19,'Budget by Source'!$A$6:$A$330,0),MATCH(S$3,'Budget by Source'!$A$5:$I$5,0))-(ROUND(INDEX('Budget by Source'!$A$6:$I$330,MATCH('Payment by Source'!$A19,'Budget by Source'!$A$6:$A$330,0),MATCH(S$3,'Budget by Source'!$A$5:$I$5,0))/10,0)*10)</f>
        <v>0</v>
      </c>
      <c r="T19" s="138">
        <f>INDEX('Budget by Source'!$A$6:$I$330,MATCH('Payment by Source'!$A19,'Budget by Source'!$A$6:$A$330,0),MATCH(T$3,'Budget by Source'!$A$5:$I$5,0))-(ROUND(INDEX('Budget by Source'!$A$6:$I$330,MATCH('Payment by Source'!$A19,'Budget by Source'!$A$6:$A$330,0),MATCH(T$3,'Budget by Source'!$A$5:$I$5,0))/10,0)*10)</f>
        <v>3</v>
      </c>
      <c r="U19" s="139">
        <f>INDEX('Budget by Source'!$A$6:$I$330,MATCH('Payment by Source'!$A19,'Budget by Source'!$A$6:$A$330,0),MATCH(U$3,'Budget by Source'!$A$5:$I$5,0))</f>
        <v>7354176</v>
      </c>
      <c r="V19" s="136">
        <f t="shared" si="1"/>
        <v>735418</v>
      </c>
      <c r="W19" s="136">
        <f t="shared" si="2"/>
        <v>7354180</v>
      </c>
    </row>
    <row r="20" spans="1:23" x14ac:dyDescent="0.2">
      <c r="A20" s="22" t="str">
        <f>Data!B16</f>
        <v>0243</v>
      </c>
      <c r="B20" s="20" t="str">
        <f>INDEX(Data[],MATCH($A20,Data[Dist],0),MATCH(B$5,Data[#Headers],0))</f>
        <v>Andrew</v>
      </c>
      <c r="C20" s="21">
        <f>IF(Notes!$B$2="June",ROUND('Budget by Source'!C20/10,0)+P20,ROUND('Budget by Source'!C20/10,0))</f>
        <v>7793</v>
      </c>
      <c r="D20" s="21">
        <f>IF(Notes!$B$2="June",ROUND('Budget by Source'!D20/10,0)+Q20,ROUND('Budget by Source'!D20/10,0))</f>
        <v>28179</v>
      </c>
      <c r="E20" s="21">
        <f>IF(Notes!$B$2="June",ROUND('Budget by Source'!E20/10,0)+R20,ROUND('Budget by Source'!E20/10,0))</f>
        <v>2107</v>
      </c>
      <c r="F20" s="21">
        <f>IF(Notes!$B$2="June",ROUND('Budget by Source'!F20/10,0)+S20,ROUND('Budget by Source'!F20/10,0))</f>
        <v>1851</v>
      </c>
      <c r="G20" s="21">
        <f>IF(Notes!$B$2="June",ROUND('Budget by Source'!G20/10,0)+T20,ROUND('Budget by Source'!G20/10,0))</f>
        <v>8839</v>
      </c>
      <c r="H20" s="21">
        <f t="shared" si="0"/>
        <v>118349</v>
      </c>
      <c r="I20" s="21">
        <f>INDEX(Data[],MATCH($A20,Data[Dist],0),MATCH(I$5,Data[#Headers],0))</f>
        <v>167118</v>
      </c>
      <c r="K20" s="59">
        <f>INDEX('Payment Total'!$A$7:$H$331,MATCH('Payment by Source'!$A20,'Payment Total'!$A$7:$A$331,0),4)-I20</f>
        <v>0</v>
      </c>
      <c r="P20" s="138">
        <f>INDEX('Budget by Source'!$A$6:$I$330,MATCH('Payment by Source'!$A20,'Budget by Source'!$A$6:$A$330,0),MATCH(P$3,'Budget by Source'!$A$5:$I$5,0))-(ROUND(INDEX('Budget by Source'!$A$6:$I$330,MATCH('Payment by Source'!$A20,'Budget by Source'!$A$6:$A$330,0),MATCH(P$3,'Budget by Source'!$A$5:$I$5,0))/10,0)*10)</f>
        <v>-2</v>
      </c>
      <c r="Q20" s="138">
        <f>INDEX('Budget by Source'!$A$6:$I$330,MATCH('Payment by Source'!$A20,'Budget by Source'!$A$6:$A$330,0),MATCH(Q$3,'Budget by Source'!$A$5:$I$5,0))-(ROUND(INDEX('Budget by Source'!$A$6:$I$330,MATCH('Payment by Source'!$A20,'Budget by Source'!$A$6:$A$330,0),MATCH(Q$3,'Budget by Source'!$A$5:$I$5,0))/10,0)*10)</f>
        <v>2</v>
      </c>
      <c r="R20" s="138">
        <f>INDEX('Budget by Source'!$A$6:$I$330,MATCH('Payment by Source'!$A20,'Budget by Source'!$A$6:$A$330,0),MATCH(R$3,'Budget by Source'!$A$5:$I$5,0))-(ROUND(INDEX('Budget by Source'!$A$6:$I$330,MATCH('Payment by Source'!$A20,'Budget by Source'!$A$6:$A$330,0),MATCH(R$3,'Budget by Source'!$A$5:$I$5,0))/10,0)*10)</f>
        <v>-1</v>
      </c>
      <c r="S20" s="138">
        <f>INDEX('Budget by Source'!$A$6:$I$330,MATCH('Payment by Source'!$A20,'Budget by Source'!$A$6:$A$330,0),MATCH(S$3,'Budget by Source'!$A$5:$I$5,0))-(ROUND(INDEX('Budget by Source'!$A$6:$I$330,MATCH('Payment by Source'!$A20,'Budget by Source'!$A$6:$A$330,0),MATCH(S$3,'Budget by Source'!$A$5:$I$5,0))/10,0)*10)</f>
        <v>-1</v>
      </c>
      <c r="T20" s="138">
        <f>INDEX('Budget by Source'!$A$6:$I$330,MATCH('Payment by Source'!$A20,'Budget by Source'!$A$6:$A$330,0),MATCH(T$3,'Budget by Source'!$A$5:$I$5,0))-(ROUND(INDEX('Budget by Source'!$A$6:$I$330,MATCH('Payment by Source'!$A20,'Budget by Source'!$A$6:$A$330,0),MATCH(T$3,'Budget by Source'!$A$5:$I$5,0))/10,0)*10)</f>
        <v>1</v>
      </c>
      <c r="U20" s="139">
        <f>INDEX('Budget by Source'!$A$6:$I$330,MATCH('Payment by Source'!$A20,'Budget by Source'!$A$6:$A$330,0),MATCH(U$3,'Budget by Source'!$A$5:$I$5,0))</f>
        <v>1186820</v>
      </c>
      <c r="V20" s="136">
        <f t="shared" si="1"/>
        <v>118682</v>
      </c>
      <c r="W20" s="136">
        <f t="shared" si="2"/>
        <v>1186820</v>
      </c>
    </row>
    <row r="21" spans="1:23" x14ac:dyDescent="0.2">
      <c r="A21" s="22" t="str">
        <f>Data!B17</f>
        <v>0261</v>
      </c>
      <c r="B21" s="20" t="str">
        <f>INDEX(Data[],MATCH($A21,Data[Dist],0),MATCH(B$5,Data[#Headers],0))</f>
        <v>Ankeny</v>
      </c>
      <c r="C21" s="21">
        <f>IF(Notes!$B$2="June",ROUND('Budget by Source'!C21/10,0)+P21,ROUND('Budget by Source'!C21/10,0))</f>
        <v>101696</v>
      </c>
      <c r="D21" s="21">
        <f>IF(Notes!$B$2="June",ROUND('Budget by Source'!D21/10,0)+Q21,ROUND('Budget by Source'!D21/10,0))</f>
        <v>913506</v>
      </c>
      <c r="E21" s="21">
        <f>IF(Notes!$B$2="June",ROUND('Budget by Source'!E21/10,0)+R21,ROUND('Budget by Source'!E21/10,0))</f>
        <v>94435</v>
      </c>
      <c r="F21" s="21">
        <f>IF(Notes!$B$2="June",ROUND('Budget by Source'!F21/10,0)+S21,ROUND('Budget by Source'!F21/10,0))</f>
        <v>89549</v>
      </c>
      <c r="G21" s="21">
        <f>IF(Notes!$B$2="June",ROUND('Budget by Source'!G21/10,0)+T21,ROUND('Budget by Source'!G21/10,0))</f>
        <v>493525</v>
      </c>
      <c r="H21" s="21">
        <f t="shared" si="0"/>
        <v>7030150</v>
      </c>
      <c r="I21" s="21">
        <f>INDEX(Data[],MATCH($A21,Data[Dist],0),MATCH(I$5,Data[#Headers],0))</f>
        <v>8722861</v>
      </c>
      <c r="K21" s="59">
        <f>INDEX('Payment Total'!$A$7:$H$331,MATCH('Payment by Source'!$A21,'Payment Total'!$A$7:$A$331,0),4)-I21</f>
        <v>0</v>
      </c>
      <c r="P21" s="138">
        <f>INDEX('Budget by Source'!$A$6:$I$330,MATCH('Payment by Source'!$A21,'Budget by Source'!$A$6:$A$330,0),MATCH(P$3,'Budget by Source'!$A$5:$I$5,0))-(ROUND(INDEX('Budget by Source'!$A$6:$I$330,MATCH('Payment by Source'!$A21,'Budget by Source'!$A$6:$A$330,0),MATCH(P$3,'Budget by Source'!$A$5:$I$5,0))/10,0)*10)</f>
        <v>4</v>
      </c>
      <c r="Q21" s="138">
        <f>INDEX('Budget by Source'!$A$6:$I$330,MATCH('Payment by Source'!$A21,'Budget by Source'!$A$6:$A$330,0),MATCH(Q$3,'Budget by Source'!$A$5:$I$5,0))-(ROUND(INDEX('Budget by Source'!$A$6:$I$330,MATCH('Payment by Source'!$A21,'Budget by Source'!$A$6:$A$330,0),MATCH(Q$3,'Budget by Source'!$A$5:$I$5,0))/10,0)*10)</f>
        <v>-3</v>
      </c>
      <c r="R21" s="138">
        <f>INDEX('Budget by Source'!$A$6:$I$330,MATCH('Payment by Source'!$A21,'Budget by Source'!$A$6:$A$330,0),MATCH(R$3,'Budget by Source'!$A$5:$I$5,0))-(ROUND(INDEX('Budget by Source'!$A$6:$I$330,MATCH('Payment by Source'!$A21,'Budget by Source'!$A$6:$A$330,0),MATCH(R$3,'Budget by Source'!$A$5:$I$5,0))/10,0)*10)</f>
        <v>3</v>
      </c>
      <c r="S21" s="138">
        <f>INDEX('Budget by Source'!$A$6:$I$330,MATCH('Payment by Source'!$A21,'Budget by Source'!$A$6:$A$330,0),MATCH(S$3,'Budget by Source'!$A$5:$I$5,0))-(ROUND(INDEX('Budget by Source'!$A$6:$I$330,MATCH('Payment by Source'!$A21,'Budget by Source'!$A$6:$A$330,0),MATCH(S$3,'Budget by Source'!$A$5:$I$5,0))/10,0)*10)</f>
        <v>-1</v>
      </c>
      <c r="T21" s="138">
        <f>INDEX('Budget by Source'!$A$6:$I$330,MATCH('Payment by Source'!$A21,'Budget by Source'!$A$6:$A$330,0),MATCH(T$3,'Budget by Source'!$A$5:$I$5,0))-(ROUND(INDEX('Budget by Source'!$A$6:$I$330,MATCH('Payment by Source'!$A21,'Budget by Source'!$A$6:$A$330,0),MATCH(T$3,'Budget by Source'!$A$5:$I$5,0))/10,0)*10)</f>
        <v>-1</v>
      </c>
      <c r="U21" s="139">
        <f>INDEX('Budget by Source'!$A$6:$I$330,MATCH('Payment by Source'!$A21,'Budget by Source'!$A$6:$A$330,0),MATCH(U$3,'Budget by Source'!$A$5:$I$5,0))</f>
        <v>70491274</v>
      </c>
      <c r="V21" s="136">
        <f t="shared" si="1"/>
        <v>7049127</v>
      </c>
      <c r="W21" s="136">
        <f t="shared" si="2"/>
        <v>70491270</v>
      </c>
    </row>
    <row r="22" spans="1:23" x14ac:dyDescent="0.2">
      <c r="A22" s="22" t="str">
        <f>Data!B18</f>
        <v>0279</v>
      </c>
      <c r="B22" s="20" t="str">
        <f>INDEX(Data[],MATCH($A22,Data[Dist],0),MATCH(B$5,Data[#Headers],0))</f>
        <v>Aplington-Parkersburg</v>
      </c>
      <c r="C22" s="21">
        <f>IF(Notes!$B$2="June",ROUND('Budget by Source'!C22/10,0)+P22,ROUND('Budget by Source'!C22/10,0))</f>
        <v>15975</v>
      </c>
      <c r="D22" s="21">
        <f>IF(Notes!$B$2="June",ROUND('Budget by Source'!D22/10,0)+Q22,ROUND('Budget by Source'!D22/10,0))</f>
        <v>72277</v>
      </c>
      <c r="E22" s="21">
        <f>IF(Notes!$B$2="June",ROUND('Budget by Source'!E22/10,0)+R22,ROUND('Budget by Source'!E22/10,0))</f>
        <v>7347</v>
      </c>
      <c r="F22" s="21">
        <f>IF(Notes!$B$2="June",ROUND('Budget by Source'!F22/10,0)+S22,ROUND('Budget by Source'!F22/10,0))</f>
        <v>6314</v>
      </c>
      <c r="G22" s="21">
        <f>IF(Notes!$B$2="June",ROUND('Budget by Source'!G22/10,0)+T22,ROUND('Budget by Source'!G22/10,0))</f>
        <v>30593</v>
      </c>
      <c r="H22" s="21">
        <f t="shared" si="0"/>
        <v>474711</v>
      </c>
      <c r="I22" s="21">
        <f>INDEX(Data[],MATCH($A22,Data[Dist],0),MATCH(I$5,Data[#Headers],0))</f>
        <v>607217</v>
      </c>
      <c r="K22" s="59">
        <f>INDEX('Payment Total'!$A$7:$H$331,MATCH('Payment by Source'!$A22,'Payment Total'!$A$7:$A$331,0),4)-I22</f>
        <v>0</v>
      </c>
      <c r="P22" s="138">
        <f>INDEX('Budget by Source'!$A$6:$I$330,MATCH('Payment by Source'!$A22,'Budget by Source'!$A$6:$A$330,0),MATCH(P$3,'Budget by Source'!$A$5:$I$5,0))-(ROUND(INDEX('Budget by Source'!$A$6:$I$330,MATCH('Payment by Source'!$A22,'Budget by Source'!$A$6:$A$330,0),MATCH(P$3,'Budget by Source'!$A$5:$I$5,0))/10,0)*10)</f>
        <v>3</v>
      </c>
      <c r="Q22" s="138">
        <f>INDEX('Budget by Source'!$A$6:$I$330,MATCH('Payment by Source'!$A22,'Budget by Source'!$A$6:$A$330,0),MATCH(Q$3,'Budget by Source'!$A$5:$I$5,0))-(ROUND(INDEX('Budget by Source'!$A$6:$I$330,MATCH('Payment by Source'!$A22,'Budget by Source'!$A$6:$A$330,0),MATCH(Q$3,'Budget by Source'!$A$5:$I$5,0))/10,0)*10)</f>
        <v>1</v>
      </c>
      <c r="R22" s="138">
        <f>INDEX('Budget by Source'!$A$6:$I$330,MATCH('Payment by Source'!$A22,'Budget by Source'!$A$6:$A$330,0),MATCH(R$3,'Budget by Source'!$A$5:$I$5,0))-(ROUND(INDEX('Budget by Source'!$A$6:$I$330,MATCH('Payment by Source'!$A22,'Budget by Source'!$A$6:$A$330,0),MATCH(R$3,'Budget by Source'!$A$5:$I$5,0))/10,0)*10)</f>
        <v>-4</v>
      </c>
      <c r="S22" s="138">
        <f>INDEX('Budget by Source'!$A$6:$I$330,MATCH('Payment by Source'!$A22,'Budget by Source'!$A$6:$A$330,0),MATCH(S$3,'Budget by Source'!$A$5:$I$5,0))-(ROUND(INDEX('Budget by Source'!$A$6:$I$330,MATCH('Payment by Source'!$A22,'Budget by Source'!$A$6:$A$330,0),MATCH(S$3,'Budget by Source'!$A$5:$I$5,0))/10,0)*10)</f>
        <v>0</v>
      </c>
      <c r="T22" s="138">
        <f>INDEX('Budget by Source'!$A$6:$I$330,MATCH('Payment by Source'!$A22,'Budget by Source'!$A$6:$A$330,0),MATCH(T$3,'Budget by Source'!$A$5:$I$5,0))-(ROUND(INDEX('Budget by Source'!$A$6:$I$330,MATCH('Payment by Source'!$A22,'Budget by Source'!$A$6:$A$330,0),MATCH(T$3,'Budget by Source'!$A$5:$I$5,0))/10,0)*10)</f>
        <v>2</v>
      </c>
      <c r="U22" s="139">
        <f>INDEX('Budget by Source'!$A$6:$I$330,MATCH('Payment by Source'!$A22,'Budget by Source'!$A$6:$A$330,0),MATCH(U$3,'Budget by Source'!$A$5:$I$5,0))</f>
        <v>4759031</v>
      </c>
      <c r="V22" s="136">
        <f t="shared" si="1"/>
        <v>475903</v>
      </c>
      <c r="W22" s="136">
        <f t="shared" si="2"/>
        <v>4759030</v>
      </c>
    </row>
    <row r="23" spans="1:23" x14ac:dyDescent="0.2">
      <c r="A23" s="22" t="str">
        <f>Data!B19</f>
        <v>0333</v>
      </c>
      <c r="B23" s="20" t="str">
        <f>INDEX(Data[],MATCH($A23,Data[Dist],0),MATCH(B$5,Data[#Headers],0))</f>
        <v>North Union</v>
      </c>
      <c r="C23" s="21">
        <f>IF(Notes!$B$2="June",ROUND('Budget by Source'!C23/10,0)+P23,ROUND('Budget by Source'!C23/10,0))</f>
        <v>5845</v>
      </c>
      <c r="D23" s="21">
        <f>IF(Notes!$B$2="June",ROUND('Budget by Source'!D23/10,0)+Q23,ROUND('Budget by Source'!D23/10,0))</f>
        <v>46543</v>
      </c>
      <c r="E23" s="21">
        <f>IF(Notes!$B$2="June",ROUND('Budget by Source'!E23/10,0)+R23,ROUND('Budget by Source'!E23/10,0))</f>
        <v>3800</v>
      </c>
      <c r="F23" s="21">
        <f>IF(Notes!$B$2="June",ROUND('Budget by Source'!F23/10,0)+S23,ROUND('Budget by Source'!F23/10,0))</f>
        <v>3523</v>
      </c>
      <c r="G23" s="21">
        <f>IF(Notes!$B$2="June",ROUND('Budget by Source'!G23/10,0)+T23,ROUND('Budget by Source'!G23/10,0))</f>
        <v>15374</v>
      </c>
      <c r="H23" s="21">
        <f t="shared" si="0"/>
        <v>106830</v>
      </c>
      <c r="I23" s="21">
        <f>INDEX(Data[],MATCH($A23,Data[Dist],0),MATCH(I$5,Data[#Headers],0))</f>
        <v>181915</v>
      </c>
      <c r="K23" s="59">
        <f>INDEX('Payment Total'!$A$7:$H$331,MATCH('Payment by Source'!$A23,'Payment Total'!$A$7:$A$331,0),4)-I23</f>
        <v>0</v>
      </c>
      <c r="P23" s="138">
        <f>INDEX('Budget by Source'!$A$6:$I$330,MATCH('Payment by Source'!$A23,'Budget by Source'!$A$6:$A$330,0),MATCH(P$3,'Budget by Source'!$A$5:$I$5,0))-(ROUND(INDEX('Budget by Source'!$A$6:$I$330,MATCH('Payment by Source'!$A23,'Budget by Source'!$A$6:$A$330,0),MATCH(P$3,'Budget by Source'!$A$5:$I$5,0))/10,0)*10)</f>
        <v>-4</v>
      </c>
      <c r="Q23" s="138">
        <f>INDEX('Budget by Source'!$A$6:$I$330,MATCH('Payment by Source'!$A23,'Budget by Source'!$A$6:$A$330,0),MATCH(Q$3,'Budget by Source'!$A$5:$I$5,0))-(ROUND(INDEX('Budget by Source'!$A$6:$I$330,MATCH('Payment by Source'!$A23,'Budget by Source'!$A$6:$A$330,0),MATCH(Q$3,'Budget by Source'!$A$5:$I$5,0))/10,0)*10)</f>
        <v>-5</v>
      </c>
      <c r="R23" s="138">
        <f>INDEX('Budget by Source'!$A$6:$I$330,MATCH('Payment by Source'!$A23,'Budget by Source'!$A$6:$A$330,0),MATCH(R$3,'Budget by Source'!$A$5:$I$5,0))-(ROUND(INDEX('Budget by Source'!$A$6:$I$330,MATCH('Payment by Source'!$A23,'Budget by Source'!$A$6:$A$330,0),MATCH(R$3,'Budget by Source'!$A$5:$I$5,0))/10,0)*10)</f>
        <v>2</v>
      </c>
      <c r="S23" s="138">
        <f>INDEX('Budget by Source'!$A$6:$I$330,MATCH('Payment by Source'!$A23,'Budget by Source'!$A$6:$A$330,0),MATCH(S$3,'Budget by Source'!$A$5:$I$5,0))-(ROUND(INDEX('Budget by Source'!$A$6:$I$330,MATCH('Payment by Source'!$A23,'Budget by Source'!$A$6:$A$330,0),MATCH(S$3,'Budget by Source'!$A$5:$I$5,0))/10,0)*10)</f>
        <v>-4</v>
      </c>
      <c r="T23" s="138">
        <f>INDEX('Budget by Source'!$A$6:$I$330,MATCH('Payment by Source'!$A23,'Budget by Source'!$A$6:$A$330,0),MATCH(T$3,'Budget by Source'!$A$5:$I$5,0))-(ROUND(INDEX('Budget by Source'!$A$6:$I$330,MATCH('Payment by Source'!$A23,'Budget by Source'!$A$6:$A$330,0),MATCH(T$3,'Budget by Source'!$A$5:$I$5,0))/10,0)*10)</f>
        <v>0</v>
      </c>
      <c r="U23" s="139">
        <f>INDEX('Budget by Source'!$A$6:$I$330,MATCH('Payment by Source'!$A23,'Budget by Source'!$A$6:$A$330,0),MATCH(U$3,'Budget by Source'!$A$5:$I$5,0))</f>
        <v>1074269</v>
      </c>
      <c r="V23" s="136">
        <f t="shared" si="1"/>
        <v>107427</v>
      </c>
      <c r="W23" s="136">
        <f t="shared" si="2"/>
        <v>1074270</v>
      </c>
    </row>
    <row r="24" spans="1:23" x14ac:dyDescent="0.2">
      <c r="A24" s="22" t="str">
        <f>Data!B20</f>
        <v>0355</v>
      </c>
      <c r="B24" s="20" t="str">
        <f>INDEX(Data[],MATCH($A24,Data[Dist],0),MATCH(B$5,Data[#Headers],0))</f>
        <v>Ar-We-Va</v>
      </c>
      <c r="C24" s="21">
        <f>IF(Notes!$B$2="June",ROUND('Budget by Source'!C24/10,0)+P24,ROUND('Budget by Source'!C24/10,0))</f>
        <v>4286</v>
      </c>
      <c r="D24" s="21">
        <f>IF(Notes!$B$2="June",ROUND('Budget by Source'!D24/10,0)+Q24,ROUND('Budget by Source'!D24/10,0))</f>
        <v>39343</v>
      </c>
      <c r="E24" s="21">
        <f>IF(Notes!$B$2="June",ROUND('Budget by Source'!E24/10,0)+R24,ROUND('Budget by Source'!E24/10,0))</f>
        <v>2362</v>
      </c>
      <c r="F24" s="21">
        <f>IF(Notes!$B$2="June",ROUND('Budget by Source'!F24/10,0)+S24,ROUND('Budget by Source'!F24/10,0))</f>
        <v>2287</v>
      </c>
      <c r="G24" s="21">
        <f>IF(Notes!$B$2="June",ROUND('Budget by Source'!G24/10,0)+T24,ROUND('Budget by Source'!G24/10,0))</f>
        <v>12341</v>
      </c>
      <c r="H24" s="21">
        <f t="shared" si="0"/>
        <v>92712</v>
      </c>
      <c r="I24" s="21">
        <f>INDEX(Data[],MATCH($A24,Data[Dist],0),MATCH(I$5,Data[#Headers],0))</f>
        <v>153331</v>
      </c>
      <c r="K24" s="59">
        <f>INDEX('Payment Total'!$A$7:$H$331,MATCH('Payment by Source'!$A24,'Payment Total'!$A$7:$A$331,0),4)-I24</f>
        <v>0</v>
      </c>
      <c r="P24" s="138">
        <f>INDEX('Budget by Source'!$A$6:$I$330,MATCH('Payment by Source'!$A24,'Budget by Source'!$A$6:$A$330,0),MATCH(P$3,'Budget by Source'!$A$5:$I$5,0))-(ROUND(INDEX('Budget by Source'!$A$6:$I$330,MATCH('Payment by Source'!$A24,'Budget by Source'!$A$6:$A$330,0),MATCH(P$3,'Budget by Source'!$A$5:$I$5,0))/10,0)*10)</f>
        <v>1</v>
      </c>
      <c r="Q24" s="138">
        <f>INDEX('Budget by Source'!$A$6:$I$330,MATCH('Payment by Source'!$A24,'Budget by Source'!$A$6:$A$330,0),MATCH(Q$3,'Budget by Source'!$A$5:$I$5,0))-(ROUND(INDEX('Budget by Source'!$A$6:$I$330,MATCH('Payment by Source'!$A24,'Budget by Source'!$A$6:$A$330,0),MATCH(Q$3,'Budget by Source'!$A$5:$I$5,0))/10,0)*10)</f>
        <v>-5</v>
      </c>
      <c r="R24" s="138">
        <f>INDEX('Budget by Source'!$A$6:$I$330,MATCH('Payment by Source'!$A24,'Budget by Source'!$A$6:$A$330,0),MATCH(R$3,'Budget by Source'!$A$5:$I$5,0))-(ROUND(INDEX('Budget by Source'!$A$6:$I$330,MATCH('Payment by Source'!$A24,'Budget by Source'!$A$6:$A$330,0),MATCH(R$3,'Budget by Source'!$A$5:$I$5,0))/10,0)*10)</f>
        <v>4</v>
      </c>
      <c r="S24" s="138">
        <f>INDEX('Budget by Source'!$A$6:$I$330,MATCH('Payment by Source'!$A24,'Budget by Source'!$A$6:$A$330,0),MATCH(S$3,'Budget by Source'!$A$5:$I$5,0))-(ROUND(INDEX('Budget by Source'!$A$6:$I$330,MATCH('Payment by Source'!$A24,'Budget by Source'!$A$6:$A$330,0),MATCH(S$3,'Budget by Source'!$A$5:$I$5,0))/10,0)*10)</f>
        <v>2</v>
      </c>
      <c r="T24" s="138">
        <f>INDEX('Budget by Source'!$A$6:$I$330,MATCH('Payment by Source'!$A24,'Budget by Source'!$A$6:$A$330,0),MATCH(T$3,'Budget by Source'!$A$5:$I$5,0))-(ROUND(INDEX('Budget by Source'!$A$6:$I$330,MATCH('Payment by Source'!$A24,'Budget by Source'!$A$6:$A$330,0),MATCH(T$3,'Budget by Source'!$A$5:$I$5,0))/10,0)*10)</f>
        <v>-2</v>
      </c>
      <c r="U24" s="139">
        <f>INDEX('Budget by Source'!$A$6:$I$330,MATCH('Payment by Source'!$A24,'Budget by Source'!$A$6:$A$330,0),MATCH(U$3,'Budget by Source'!$A$5:$I$5,0))</f>
        <v>931510</v>
      </c>
      <c r="V24" s="136">
        <f t="shared" si="1"/>
        <v>93151</v>
      </c>
      <c r="W24" s="136">
        <f t="shared" si="2"/>
        <v>931510</v>
      </c>
    </row>
    <row r="25" spans="1:23" x14ac:dyDescent="0.2">
      <c r="A25" s="22" t="str">
        <f>Data!B21</f>
        <v>0387</v>
      </c>
      <c r="B25" s="20" t="str">
        <f>INDEX(Data[],MATCH($A25,Data[Dist],0),MATCH(B$5,Data[#Headers],0))</f>
        <v>Atlantic</v>
      </c>
      <c r="C25" s="21">
        <f>IF(Notes!$B$2="June",ROUND('Budget by Source'!C25/10,0)+P25,ROUND('Budget by Source'!C25/10,0))</f>
        <v>34296</v>
      </c>
      <c r="D25" s="21">
        <f>IF(Notes!$B$2="June",ROUND('Budget by Source'!D25/10,0)+Q25,ROUND('Budget by Source'!D25/10,0))</f>
        <v>106921</v>
      </c>
      <c r="E25" s="21">
        <f>IF(Notes!$B$2="June",ROUND('Budget by Source'!E25/10,0)+R25,ROUND('Budget by Source'!E25/10,0))</f>
        <v>12660</v>
      </c>
      <c r="F25" s="21">
        <f>IF(Notes!$B$2="June",ROUND('Budget by Source'!F25/10,0)+S25,ROUND('Budget by Source'!F25/10,0))</f>
        <v>11343</v>
      </c>
      <c r="G25" s="21">
        <f>IF(Notes!$B$2="June",ROUND('Budget by Source'!G25/10,0)+T25,ROUND('Budget by Source'!G25/10,0))</f>
        <v>53458</v>
      </c>
      <c r="H25" s="21">
        <f t="shared" si="0"/>
        <v>903283</v>
      </c>
      <c r="I25" s="21">
        <f>INDEX(Data[],MATCH($A25,Data[Dist],0),MATCH(I$5,Data[#Headers],0))</f>
        <v>1121961</v>
      </c>
      <c r="K25" s="59">
        <f>INDEX('Payment Total'!$A$7:$H$331,MATCH('Payment by Source'!$A25,'Payment Total'!$A$7:$A$331,0),4)-I25</f>
        <v>0</v>
      </c>
      <c r="P25" s="138">
        <f>INDEX('Budget by Source'!$A$6:$I$330,MATCH('Payment by Source'!$A25,'Budget by Source'!$A$6:$A$330,0),MATCH(P$3,'Budget by Source'!$A$5:$I$5,0))-(ROUND(INDEX('Budget by Source'!$A$6:$I$330,MATCH('Payment by Source'!$A25,'Budget by Source'!$A$6:$A$330,0),MATCH(P$3,'Budget by Source'!$A$5:$I$5,0))/10,0)*10)</f>
        <v>3</v>
      </c>
      <c r="Q25" s="138">
        <f>INDEX('Budget by Source'!$A$6:$I$330,MATCH('Payment by Source'!$A25,'Budget by Source'!$A$6:$A$330,0),MATCH(Q$3,'Budget by Source'!$A$5:$I$5,0))-(ROUND(INDEX('Budget by Source'!$A$6:$I$330,MATCH('Payment by Source'!$A25,'Budget by Source'!$A$6:$A$330,0),MATCH(Q$3,'Budget by Source'!$A$5:$I$5,0))/10,0)*10)</f>
        <v>2</v>
      </c>
      <c r="R25" s="138">
        <f>INDEX('Budget by Source'!$A$6:$I$330,MATCH('Payment by Source'!$A25,'Budget by Source'!$A$6:$A$330,0),MATCH(R$3,'Budget by Source'!$A$5:$I$5,0))-(ROUND(INDEX('Budget by Source'!$A$6:$I$330,MATCH('Payment by Source'!$A25,'Budget by Source'!$A$6:$A$330,0),MATCH(R$3,'Budget by Source'!$A$5:$I$5,0))/10,0)*10)</f>
        <v>4</v>
      </c>
      <c r="S25" s="138">
        <f>INDEX('Budget by Source'!$A$6:$I$330,MATCH('Payment by Source'!$A25,'Budget by Source'!$A$6:$A$330,0),MATCH(S$3,'Budget by Source'!$A$5:$I$5,0))-(ROUND(INDEX('Budget by Source'!$A$6:$I$330,MATCH('Payment by Source'!$A25,'Budget by Source'!$A$6:$A$330,0),MATCH(S$3,'Budget by Source'!$A$5:$I$5,0))/10,0)*10)</f>
        <v>-2</v>
      </c>
      <c r="T25" s="138">
        <f>INDEX('Budget by Source'!$A$6:$I$330,MATCH('Payment by Source'!$A25,'Budget by Source'!$A$6:$A$330,0),MATCH(T$3,'Budget by Source'!$A$5:$I$5,0))-(ROUND(INDEX('Budget by Source'!$A$6:$I$330,MATCH('Payment by Source'!$A25,'Budget by Source'!$A$6:$A$330,0),MATCH(T$3,'Budget by Source'!$A$5:$I$5,0))/10,0)*10)</f>
        <v>-2</v>
      </c>
      <c r="U25" s="139">
        <f>INDEX('Budget by Source'!$A$6:$I$330,MATCH('Payment by Source'!$A25,'Budget by Source'!$A$6:$A$330,0),MATCH(U$3,'Budget by Source'!$A$5:$I$5,0))</f>
        <v>9054060</v>
      </c>
      <c r="V25" s="136">
        <f t="shared" si="1"/>
        <v>905406</v>
      </c>
      <c r="W25" s="136">
        <f t="shared" si="2"/>
        <v>9054060</v>
      </c>
    </row>
    <row r="26" spans="1:23" x14ac:dyDescent="0.2">
      <c r="A26" s="22" t="str">
        <f>Data!B22</f>
        <v>0414</v>
      </c>
      <c r="B26" s="20" t="str">
        <f>INDEX(Data[],MATCH($A26,Data[Dist],0),MATCH(B$5,Data[#Headers],0))</f>
        <v>Audubon</v>
      </c>
      <c r="C26" s="21">
        <f>IF(Notes!$B$2="June",ROUND('Budget by Source'!C26/10,0)+P26,ROUND('Budget by Source'!C26/10,0))</f>
        <v>14806</v>
      </c>
      <c r="D26" s="21">
        <f>IF(Notes!$B$2="June",ROUND('Budget by Source'!D26/10,0)+Q26,ROUND('Budget by Source'!D26/10,0))</f>
        <v>49552</v>
      </c>
      <c r="E26" s="21">
        <f>IF(Notes!$B$2="June",ROUND('Budget by Source'!E26/10,0)+R26,ROUND('Budget by Source'!E26/10,0))</f>
        <v>3781</v>
      </c>
      <c r="F26" s="21">
        <f>IF(Notes!$B$2="June",ROUND('Budget by Source'!F26/10,0)+S26,ROUND('Budget by Source'!F26/10,0))</f>
        <v>4106</v>
      </c>
      <c r="G26" s="21">
        <f>IF(Notes!$B$2="June",ROUND('Budget by Source'!G26/10,0)+T26,ROUND('Budget by Source'!G26/10,0))</f>
        <v>19510</v>
      </c>
      <c r="H26" s="21">
        <f t="shared" si="0"/>
        <v>233918</v>
      </c>
      <c r="I26" s="21">
        <f>INDEX(Data[],MATCH($A26,Data[Dist],0),MATCH(I$5,Data[#Headers],0))</f>
        <v>325673</v>
      </c>
      <c r="K26" s="59">
        <f>INDEX('Payment Total'!$A$7:$H$331,MATCH('Payment by Source'!$A26,'Payment Total'!$A$7:$A$331,0),4)-I26</f>
        <v>0</v>
      </c>
      <c r="P26" s="138">
        <f>INDEX('Budget by Source'!$A$6:$I$330,MATCH('Payment by Source'!$A26,'Budget by Source'!$A$6:$A$330,0),MATCH(P$3,'Budget by Source'!$A$5:$I$5,0))-(ROUND(INDEX('Budget by Source'!$A$6:$I$330,MATCH('Payment by Source'!$A26,'Budget by Source'!$A$6:$A$330,0),MATCH(P$3,'Budget by Source'!$A$5:$I$5,0))/10,0)*10)</f>
        <v>4</v>
      </c>
      <c r="Q26" s="138">
        <f>INDEX('Budget by Source'!$A$6:$I$330,MATCH('Payment by Source'!$A26,'Budget by Source'!$A$6:$A$330,0),MATCH(Q$3,'Budget by Source'!$A$5:$I$5,0))-(ROUND(INDEX('Budget by Source'!$A$6:$I$330,MATCH('Payment by Source'!$A26,'Budget by Source'!$A$6:$A$330,0),MATCH(Q$3,'Budget by Source'!$A$5:$I$5,0))/10,0)*10)</f>
        <v>0</v>
      </c>
      <c r="R26" s="138">
        <f>INDEX('Budget by Source'!$A$6:$I$330,MATCH('Payment by Source'!$A26,'Budget by Source'!$A$6:$A$330,0),MATCH(R$3,'Budget by Source'!$A$5:$I$5,0))-(ROUND(INDEX('Budget by Source'!$A$6:$I$330,MATCH('Payment by Source'!$A26,'Budget by Source'!$A$6:$A$330,0),MATCH(R$3,'Budget by Source'!$A$5:$I$5,0))/10,0)*10)</f>
        <v>-2</v>
      </c>
      <c r="S26" s="138">
        <f>INDEX('Budget by Source'!$A$6:$I$330,MATCH('Payment by Source'!$A26,'Budget by Source'!$A$6:$A$330,0),MATCH(S$3,'Budget by Source'!$A$5:$I$5,0))-(ROUND(INDEX('Budget by Source'!$A$6:$I$330,MATCH('Payment by Source'!$A26,'Budget by Source'!$A$6:$A$330,0),MATCH(S$3,'Budget by Source'!$A$5:$I$5,0))/10,0)*10)</f>
        <v>-3</v>
      </c>
      <c r="T26" s="138">
        <f>INDEX('Budget by Source'!$A$6:$I$330,MATCH('Payment by Source'!$A26,'Budget by Source'!$A$6:$A$330,0),MATCH(T$3,'Budget by Source'!$A$5:$I$5,0))-(ROUND(INDEX('Budget by Source'!$A$6:$I$330,MATCH('Payment by Source'!$A26,'Budget by Source'!$A$6:$A$330,0),MATCH(T$3,'Budget by Source'!$A$5:$I$5,0))/10,0)*10)</f>
        <v>3</v>
      </c>
      <c r="U26" s="139">
        <f>INDEX('Budget by Source'!$A$6:$I$330,MATCH('Payment by Source'!$A26,'Budget by Source'!$A$6:$A$330,0),MATCH(U$3,'Budget by Source'!$A$5:$I$5,0))</f>
        <v>2346847</v>
      </c>
      <c r="V26" s="136">
        <f t="shared" si="1"/>
        <v>234685</v>
      </c>
      <c r="W26" s="136">
        <f t="shared" si="2"/>
        <v>2346850</v>
      </c>
    </row>
    <row r="27" spans="1:23" x14ac:dyDescent="0.2">
      <c r="A27" s="22" t="str">
        <f>Data!B23</f>
        <v>0441</v>
      </c>
      <c r="B27" s="20" t="str">
        <f>INDEX(Data[],MATCH($A27,Data[Dist],0),MATCH(B$5,Data[#Headers],0))</f>
        <v>AHSTW</v>
      </c>
      <c r="C27" s="21">
        <f>IF(Notes!$B$2="June",ROUND('Budget by Source'!C27/10,0)+P27,ROUND('Budget by Source'!C27/10,0))</f>
        <v>16755</v>
      </c>
      <c r="D27" s="21">
        <f>IF(Notes!$B$2="June",ROUND('Budget by Source'!D27/10,0)+Q27,ROUND('Budget by Source'!D27/10,0))</f>
        <v>69393</v>
      </c>
      <c r="E27" s="21">
        <f>IF(Notes!$B$2="June",ROUND('Budget by Source'!E27/10,0)+R27,ROUND('Budget by Source'!E27/10,0))</f>
        <v>5628</v>
      </c>
      <c r="F27" s="21">
        <f>IF(Notes!$B$2="June",ROUND('Budget by Source'!F27/10,0)+S27,ROUND('Budget by Source'!F27/10,0))</f>
        <v>5073</v>
      </c>
      <c r="G27" s="21">
        <f>IF(Notes!$B$2="June",ROUND('Budget by Source'!G27/10,0)+T27,ROUND('Budget by Source'!G27/10,0))</f>
        <v>29528</v>
      </c>
      <c r="H27" s="21">
        <f t="shared" si="0"/>
        <v>303922</v>
      </c>
      <c r="I27" s="21">
        <f>INDEX(Data[],MATCH($A27,Data[Dist],0),MATCH(I$5,Data[#Headers],0))</f>
        <v>430299</v>
      </c>
      <c r="K27" s="59">
        <f>INDEX('Payment Total'!$A$7:$H$331,MATCH('Payment by Source'!$A27,'Payment Total'!$A$7:$A$331,0),4)-I27</f>
        <v>0</v>
      </c>
      <c r="P27" s="138">
        <f>INDEX('Budget by Source'!$A$6:$I$330,MATCH('Payment by Source'!$A27,'Budget by Source'!$A$6:$A$330,0),MATCH(P$3,'Budget by Source'!$A$5:$I$5,0))-(ROUND(INDEX('Budget by Source'!$A$6:$I$330,MATCH('Payment by Source'!$A27,'Budget by Source'!$A$6:$A$330,0),MATCH(P$3,'Budget by Source'!$A$5:$I$5,0))/10,0)*10)</f>
        <v>-4</v>
      </c>
      <c r="Q27" s="138">
        <f>INDEX('Budget by Source'!$A$6:$I$330,MATCH('Payment by Source'!$A27,'Budget by Source'!$A$6:$A$330,0),MATCH(Q$3,'Budget by Source'!$A$5:$I$5,0))-(ROUND(INDEX('Budget by Source'!$A$6:$I$330,MATCH('Payment by Source'!$A27,'Budget by Source'!$A$6:$A$330,0),MATCH(Q$3,'Budget by Source'!$A$5:$I$5,0))/10,0)*10)</f>
        <v>1</v>
      </c>
      <c r="R27" s="138">
        <f>INDEX('Budget by Source'!$A$6:$I$330,MATCH('Payment by Source'!$A27,'Budget by Source'!$A$6:$A$330,0),MATCH(R$3,'Budget by Source'!$A$5:$I$5,0))-(ROUND(INDEX('Budget by Source'!$A$6:$I$330,MATCH('Payment by Source'!$A27,'Budget by Source'!$A$6:$A$330,0),MATCH(R$3,'Budget by Source'!$A$5:$I$5,0))/10,0)*10)</f>
        <v>2</v>
      </c>
      <c r="S27" s="138">
        <f>INDEX('Budget by Source'!$A$6:$I$330,MATCH('Payment by Source'!$A27,'Budget by Source'!$A$6:$A$330,0),MATCH(S$3,'Budget by Source'!$A$5:$I$5,0))-(ROUND(INDEX('Budget by Source'!$A$6:$I$330,MATCH('Payment by Source'!$A27,'Budget by Source'!$A$6:$A$330,0),MATCH(S$3,'Budget by Source'!$A$5:$I$5,0))/10,0)*10)</f>
        <v>2</v>
      </c>
      <c r="T27" s="138">
        <f>INDEX('Budget by Source'!$A$6:$I$330,MATCH('Payment by Source'!$A27,'Budget by Source'!$A$6:$A$330,0),MATCH(T$3,'Budget by Source'!$A$5:$I$5,0))-(ROUND(INDEX('Budget by Source'!$A$6:$I$330,MATCH('Payment by Source'!$A27,'Budget by Source'!$A$6:$A$330,0),MATCH(T$3,'Budget by Source'!$A$5:$I$5,0))/10,0)*10)</f>
        <v>-1</v>
      </c>
      <c r="U27" s="139">
        <f>INDEX('Budget by Source'!$A$6:$I$330,MATCH('Payment by Source'!$A27,'Budget by Source'!$A$6:$A$330,0),MATCH(U$3,'Budget by Source'!$A$5:$I$5,0))</f>
        <v>3050946</v>
      </c>
      <c r="V27" s="136">
        <f t="shared" si="1"/>
        <v>305095</v>
      </c>
      <c r="W27" s="136">
        <f t="shared" si="2"/>
        <v>3050950</v>
      </c>
    </row>
    <row r="28" spans="1:23" x14ac:dyDescent="0.2">
      <c r="A28" s="22" t="str">
        <f>Data!B24</f>
        <v>0472</v>
      </c>
      <c r="B28" s="20" t="str">
        <f>INDEX(Data[],MATCH($A28,Data[Dist],0),MATCH(B$5,Data[#Headers],0))</f>
        <v>Ballard</v>
      </c>
      <c r="C28" s="21">
        <f>IF(Notes!$B$2="June",ROUND('Budget by Source'!C28/10,0)+P28,ROUND('Budget by Source'!C28/10,0))</f>
        <v>51449</v>
      </c>
      <c r="D28" s="21">
        <f>IF(Notes!$B$2="June",ROUND('Budget by Source'!D28/10,0)+Q28,ROUND('Budget by Source'!D28/10,0))</f>
        <v>127714</v>
      </c>
      <c r="E28" s="21">
        <f>IF(Notes!$B$2="June",ROUND('Budget by Source'!E28/10,0)+R28,ROUND('Budget by Source'!E28/10,0))</f>
        <v>13754</v>
      </c>
      <c r="F28" s="21">
        <f>IF(Notes!$B$2="June",ROUND('Budget by Source'!F28/10,0)+S28,ROUND('Budget by Source'!F28/10,0))</f>
        <v>11795</v>
      </c>
      <c r="G28" s="21">
        <f>IF(Notes!$B$2="June",ROUND('Budget by Source'!G28/10,0)+T28,ROUND('Budget by Source'!G28/10,0))</f>
        <v>66074</v>
      </c>
      <c r="H28" s="21">
        <f t="shared" si="0"/>
        <v>1076919</v>
      </c>
      <c r="I28" s="21">
        <f>INDEX(Data[],MATCH($A28,Data[Dist],0),MATCH(I$5,Data[#Headers],0))</f>
        <v>1347705</v>
      </c>
      <c r="K28" s="59">
        <f>INDEX('Payment Total'!$A$7:$H$331,MATCH('Payment by Source'!$A28,'Payment Total'!$A$7:$A$331,0),4)-I28</f>
        <v>0</v>
      </c>
      <c r="P28" s="138">
        <f>INDEX('Budget by Source'!$A$6:$I$330,MATCH('Payment by Source'!$A28,'Budget by Source'!$A$6:$A$330,0),MATCH(P$3,'Budget by Source'!$A$5:$I$5,0))-(ROUND(INDEX('Budget by Source'!$A$6:$I$330,MATCH('Payment by Source'!$A28,'Budget by Source'!$A$6:$A$330,0),MATCH(P$3,'Budget by Source'!$A$5:$I$5,0))/10,0)*10)</f>
        <v>-5</v>
      </c>
      <c r="Q28" s="138">
        <f>INDEX('Budget by Source'!$A$6:$I$330,MATCH('Payment by Source'!$A28,'Budget by Source'!$A$6:$A$330,0),MATCH(Q$3,'Budget by Source'!$A$5:$I$5,0))-(ROUND(INDEX('Budget by Source'!$A$6:$I$330,MATCH('Payment by Source'!$A28,'Budget by Source'!$A$6:$A$330,0),MATCH(Q$3,'Budget by Source'!$A$5:$I$5,0))/10,0)*10)</f>
        <v>3</v>
      </c>
      <c r="R28" s="138">
        <f>INDEX('Budget by Source'!$A$6:$I$330,MATCH('Payment by Source'!$A28,'Budget by Source'!$A$6:$A$330,0),MATCH(R$3,'Budget by Source'!$A$5:$I$5,0))-(ROUND(INDEX('Budget by Source'!$A$6:$I$330,MATCH('Payment by Source'!$A28,'Budget by Source'!$A$6:$A$330,0),MATCH(R$3,'Budget by Source'!$A$5:$I$5,0))/10,0)*10)</f>
        <v>0</v>
      </c>
      <c r="S28" s="138">
        <f>INDEX('Budget by Source'!$A$6:$I$330,MATCH('Payment by Source'!$A28,'Budget by Source'!$A$6:$A$330,0),MATCH(S$3,'Budget by Source'!$A$5:$I$5,0))-(ROUND(INDEX('Budget by Source'!$A$6:$I$330,MATCH('Payment by Source'!$A28,'Budget by Source'!$A$6:$A$330,0),MATCH(S$3,'Budget by Source'!$A$5:$I$5,0))/10,0)*10)</f>
        <v>-1</v>
      </c>
      <c r="T28" s="138">
        <f>INDEX('Budget by Source'!$A$6:$I$330,MATCH('Payment by Source'!$A28,'Budget by Source'!$A$6:$A$330,0),MATCH(T$3,'Budget by Source'!$A$5:$I$5,0))-(ROUND(INDEX('Budget by Source'!$A$6:$I$330,MATCH('Payment by Source'!$A28,'Budget by Source'!$A$6:$A$330,0),MATCH(T$3,'Budget by Source'!$A$5:$I$5,0))/10,0)*10)</f>
        <v>3</v>
      </c>
      <c r="U28" s="139">
        <f>INDEX('Budget by Source'!$A$6:$I$330,MATCH('Payment by Source'!$A28,'Budget by Source'!$A$6:$A$330,0),MATCH(U$3,'Budget by Source'!$A$5:$I$5,0))</f>
        <v>10795219</v>
      </c>
      <c r="V28" s="136">
        <f t="shared" si="1"/>
        <v>1079522</v>
      </c>
      <c r="W28" s="136">
        <f t="shared" si="2"/>
        <v>10795220</v>
      </c>
    </row>
    <row r="29" spans="1:23" x14ac:dyDescent="0.2">
      <c r="A29" s="22" t="str">
        <f>Data!B25</f>
        <v>0513</v>
      </c>
      <c r="B29" s="20" t="str">
        <f>INDEX(Data[],MATCH($A29,Data[Dist],0),MATCH(B$5,Data[#Headers],0))</f>
        <v>Baxter</v>
      </c>
      <c r="C29" s="21">
        <f>IF(Notes!$B$2="June",ROUND('Budget by Source'!C29/10,0)+P29,ROUND('Budget by Source'!C29/10,0))</f>
        <v>11300</v>
      </c>
      <c r="D29" s="21">
        <f>IF(Notes!$B$2="June",ROUND('Budget by Source'!D29/10,0)+Q29,ROUND('Budget by Source'!D29/10,0))</f>
        <v>44720</v>
      </c>
      <c r="E29" s="21">
        <f>IF(Notes!$B$2="June",ROUND('Budget by Source'!E29/10,0)+R29,ROUND('Budget by Source'!E29/10,0))</f>
        <v>2730</v>
      </c>
      <c r="F29" s="21">
        <f>IF(Notes!$B$2="June",ROUND('Budget by Source'!F29/10,0)+S29,ROUND('Budget by Source'!F29/10,0))</f>
        <v>2542</v>
      </c>
      <c r="G29" s="21">
        <f>IF(Notes!$B$2="June",ROUND('Budget by Source'!G29/10,0)+T29,ROUND('Budget by Source'!G29/10,0))</f>
        <v>13293</v>
      </c>
      <c r="H29" s="21">
        <f t="shared" si="0"/>
        <v>206798</v>
      </c>
      <c r="I29" s="21">
        <f>INDEX(Data[],MATCH($A29,Data[Dist],0),MATCH(I$5,Data[#Headers],0))</f>
        <v>281383</v>
      </c>
      <c r="K29" s="59">
        <f>INDEX('Payment Total'!$A$7:$H$331,MATCH('Payment by Source'!$A29,'Payment Total'!$A$7:$A$331,0),4)-I29</f>
        <v>0</v>
      </c>
      <c r="P29" s="138">
        <f>INDEX('Budget by Source'!$A$6:$I$330,MATCH('Payment by Source'!$A29,'Budget by Source'!$A$6:$A$330,0),MATCH(P$3,'Budget by Source'!$A$5:$I$5,0))-(ROUND(INDEX('Budget by Source'!$A$6:$I$330,MATCH('Payment by Source'!$A29,'Budget by Source'!$A$6:$A$330,0),MATCH(P$3,'Budget by Source'!$A$5:$I$5,0))/10,0)*10)</f>
        <v>-4</v>
      </c>
      <c r="Q29" s="138">
        <f>INDEX('Budget by Source'!$A$6:$I$330,MATCH('Payment by Source'!$A29,'Budget by Source'!$A$6:$A$330,0),MATCH(Q$3,'Budget by Source'!$A$5:$I$5,0))-(ROUND(INDEX('Budget by Source'!$A$6:$I$330,MATCH('Payment by Source'!$A29,'Budget by Source'!$A$6:$A$330,0),MATCH(Q$3,'Budget by Source'!$A$5:$I$5,0))/10,0)*10)</f>
        <v>-1</v>
      </c>
      <c r="R29" s="138">
        <f>INDEX('Budget by Source'!$A$6:$I$330,MATCH('Payment by Source'!$A29,'Budget by Source'!$A$6:$A$330,0),MATCH(R$3,'Budget by Source'!$A$5:$I$5,0))-(ROUND(INDEX('Budget by Source'!$A$6:$I$330,MATCH('Payment by Source'!$A29,'Budget by Source'!$A$6:$A$330,0),MATCH(R$3,'Budget by Source'!$A$5:$I$5,0))/10,0)*10)</f>
        <v>-2</v>
      </c>
      <c r="S29" s="138">
        <f>INDEX('Budget by Source'!$A$6:$I$330,MATCH('Payment by Source'!$A29,'Budget by Source'!$A$6:$A$330,0),MATCH(S$3,'Budget by Source'!$A$5:$I$5,0))-(ROUND(INDEX('Budget by Source'!$A$6:$I$330,MATCH('Payment by Source'!$A29,'Budget by Source'!$A$6:$A$330,0),MATCH(S$3,'Budget by Source'!$A$5:$I$5,0))/10,0)*10)</f>
        <v>-5</v>
      </c>
      <c r="T29" s="138">
        <f>INDEX('Budget by Source'!$A$6:$I$330,MATCH('Payment by Source'!$A29,'Budget by Source'!$A$6:$A$330,0),MATCH(T$3,'Budget by Source'!$A$5:$I$5,0))-(ROUND(INDEX('Budget by Source'!$A$6:$I$330,MATCH('Payment by Source'!$A29,'Budget by Source'!$A$6:$A$330,0),MATCH(T$3,'Budget by Source'!$A$5:$I$5,0))/10,0)*10)</f>
        <v>-1</v>
      </c>
      <c r="U29" s="139">
        <f>INDEX('Budget by Source'!$A$6:$I$330,MATCH('Payment by Source'!$A29,'Budget by Source'!$A$6:$A$330,0),MATCH(U$3,'Budget by Source'!$A$5:$I$5,0))</f>
        <v>2073077</v>
      </c>
      <c r="V29" s="136">
        <f t="shared" si="1"/>
        <v>207308</v>
      </c>
      <c r="W29" s="136">
        <f t="shared" si="2"/>
        <v>2073080</v>
      </c>
    </row>
    <row r="30" spans="1:23" x14ac:dyDescent="0.2">
      <c r="A30" s="22" t="str">
        <f>Data!B26</f>
        <v>0540</v>
      </c>
      <c r="B30" s="20" t="str">
        <f>INDEX(Data[],MATCH($A30,Data[Dist],0),MATCH(B$5,Data[#Headers],0))</f>
        <v>BCLUW</v>
      </c>
      <c r="C30" s="21">
        <f>IF(Notes!$B$2="June",ROUND('Budget by Source'!C30/10,0)+P30,ROUND('Budget by Source'!C30/10,0))</f>
        <v>8962</v>
      </c>
      <c r="D30" s="21">
        <f>IF(Notes!$B$2="June",ROUND('Budget by Source'!D30/10,0)+Q30,ROUND('Budget by Source'!D30/10,0))</f>
        <v>51659</v>
      </c>
      <c r="E30" s="21">
        <f>IF(Notes!$B$2="June",ROUND('Budget by Source'!E30/10,0)+R30,ROUND('Budget by Source'!E30/10,0))</f>
        <v>3315</v>
      </c>
      <c r="F30" s="21">
        <f>IF(Notes!$B$2="June",ROUND('Budget by Source'!F30/10,0)+S30,ROUND('Budget by Source'!F30/10,0))</f>
        <v>3411</v>
      </c>
      <c r="G30" s="21">
        <f>IF(Notes!$B$2="June",ROUND('Budget by Source'!G30/10,0)+T30,ROUND('Budget by Source'!G30/10,0))</f>
        <v>17025</v>
      </c>
      <c r="H30" s="21">
        <f t="shared" si="0"/>
        <v>187734</v>
      </c>
      <c r="I30" s="21">
        <f>INDEX(Data[],MATCH($A30,Data[Dist],0),MATCH(I$5,Data[#Headers],0))</f>
        <v>272106</v>
      </c>
      <c r="K30" s="59">
        <f>INDEX('Payment Total'!$A$7:$H$331,MATCH('Payment by Source'!$A30,'Payment Total'!$A$7:$A$331,0),4)-I30</f>
        <v>0</v>
      </c>
      <c r="P30" s="138">
        <f>INDEX('Budget by Source'!$A$6:$I$330,MATCH('Payment by Source'!$A30,'Budget by Source'!$A$6:$A$330,0),MATCH(P$3,'Budget by Source'!$A$5:$I$5,0))-(ROUND(INDEX('Budget by Source'!$A$6:$I$330,MATCH('Payment by Source'!$A30,'Budget by Source'!$A$6:$A$330,0),MATCH(P$3,'Budget by Source'!$A$5:$I$5,0))/10,0)*10)</f>
        <v>-2</v>
      </c>
      <c r="Q30" s="138">
        <f>INDEX('Budget by Source'!$A$6:$I$330,MATCH('Payment by Source'!$A30,'Budget by Source'!$A$6:$A$330,0),MATCH(Q$3,'Budget by Source'!$A$5:$I$5,0))-(ROUND(INDEX('Budget by Source'!$A$6:$I$330,MATCH('Payment by Source'!$A30,'Budget by Source'!$A$6:$A$330,0),MATCH(Q$3,'Budget by Source'!$A$5:$I$5,0))/10,0)*10)</f>
        <v>-2</v>
      </c>
      <c r="R30" s="138">
        <f>INDEX('Budget by Source'!$A$6:$I$330,MATCH('Payment by Source'!$A30,'Budget by Source'!$A$6:$A$330,0),MATCH(R$3,'Budget by Source'!$A$5:$I$5,0))-(ROUND(INDEX('Budget by Source'!$A$6:$I$330,MATCH('Payment by Source'!$A30,'Budget by Source'!$A$6:$A$330,0),MATCH(R$3,'Budget by Source'!$A$5:$I$5,0))/10,0)*10)</f>
        <v>-1</v>
      </c>
      <c r="S30" s="138">
        <f>INDEX('Budget by Source'!$A$6:$I$330,MATCH('Payment by Source'!$A30,'Budget by Source'!$A$6:$A$330,0),MATCH(S$3,'Budget by Source'!$A$5:$I$5,0))-(ROUND(INDEX('Budget by Source'!$A$6:$I$330,MATCH('Payment by Source'!$A30,'Budget by Source'!$A$6:$A$330,0),MATCH(S$3,'Budget by Source'!$A$5:$I$5,0))/10,0)*10)</f>
        <v>3</v>
      </c>
      <c r="T30" s="138">
        <f>INDEX('Budget by Source'!$A$6:$I$330,MATCH('Payment by Source'!$A30,'Budget by Source'!$A$6:$A$330,0),MATCH(T$3,'Budget by Source'!$A$5:$I$5,0))-(ROUND(INDEX('Budget by Source'!$A$6:$I$330,MATCH('Payment by Source'!$A30,'Budget by Source'!$A$6:$A$330,0),MATCH(T$3,'Budget by Source'!$A$5:$I$5,0))/10,0)*10)</f>
        <v>-3</v>
      </c>
      <c r="U30" s="139">
        <f>INDEX('Budget by Source'!$A$6:$I$330,MATCH('Payment by Source'!$A30,'Budget by Source'!$A$6:$A$330,0),MATCH(U$3,'Budget by Source'!$A$5:$I$5,0))</f>
        <v>1884039</v>
      </c>
      <c r="V30" s="136">
        <f t="shared" si="1"/>
        <v>188404</v>
      </c>
      <c r="W30" s="136">
        <f t="shared" si="2"/>
        <v>1884040</v>
      </c>
    </row>
    <row r="31" spans="1:23" x14ac:dyDescent="0.2">
      <c r="A31" s="22" t="str">
        <f>Data!B27</f>
        <v>0549</v>
      </c>
      <c r="B31" s="20" t="str">
        <f>INDEX(Data[],MATCH($A31,Data[Dist],0),MATCH(B$5,Data[#Headers],0))</f>
        <v>Bedford</v>
      </c>
      <c r="C31" s="21">
        <f>IF(Notes!$B$2="June",ROUND('Budget by Source'!C31/10,0)+P31,ROUND('Budget by Source'!C31/10,0))</f>
        <v>12079</v>
      </c>
      <c r="D31" s="21">
        <f>IF(Notes!$B$2="June",ROUND('Budget by Source'!D31/10,0)+Q31,ROUND('Budget by Source'!D31/10,0))</f>
        <v>47083</v>
      </c>
      <c r="E31" s="21">
        <f>IF(Notes!$B$2="June",ROUND('Budget by Source'!E31/10,0)+R31,ROUND('Budget by Source'!E31/10,0))</f>
        <v>4290</v>
      </c>
      <c r="F31" s="21">
        <f>IF(Notes!$B$2="June",ROUND('Budget by Source'!F31/10,0)+S31,ROUND('Budget by Source'!F31/10,0))</f>
        <v>3908</v>
      </c>
      <c r="G31" s="21">
        <f>IF(Notes!$B$2="June",ROUND('Budget by Source'!G31/10,0)+T31,ROUND('Budget by Source'!G31/10,0))</f>
        <v>19378</v>
      </c>
      <c r="H31" s="21">
        <f t="shared" si="0"/>
        <v>264472</v>
      </c>
      <c r="I31" s="21">
        <f>INDEX(Data[],MATCH($A31,Data[Dist],0),MATCH(I$5,Data[#Headers],0))</f>
        <v>351210</v>
      </c>
      <c r="K31" s="59">
        <f>INDEX('Payment Total'!$A$7:$H$331,MATCH('Payment by Source'!$A31,'Payment Total'!$A$7:$A$331,0),4)-I31</f>
        <v>0</v>
      </c>
      <c r="P31" s="138">
        <f>INDEX('Budget by Source'!$A$6:$I$330,MATCH('Payment by Source'!$A31,'Budget by Source'!$A$6:$A$330,0),MATCH(P$3,'Budget by Source'!$A$5:$I$5,0))-(ROUND(INDEX('Budget by Source'!$A$6:$I$330,MATCH('Payment by Source'!$A31,'Budget by Source'!$A$6:$A$330,0),MATCH(P$3,'Budget by Source'!$A$5:$I$5,0))/10,0)*10)</f>
        <v>-1</v>
      </c>
      <c r="Q31" s="138">
        <f>INDEX('Budget by Source'!$A$6:$I$330,MATCH('Payment by Source'!$A31,'Budget by Source'!$A$6:$A$330,0),MATCH(Q$3,'Budget by Source'!$A$5:$I$5,0))-(ROUND(INDEX('Budget by Source'!$A$6:$I$330,MATCH('Payment by Source'!$A31,'Budget by Source'!$A$6:$A$330,0),MATCH(Q$3,'Budget by Source'!$A$5:$I$5,0))/10,0)*10)</f>
        <v>1</v>
      </c>
      <c r="R31" s="138">
        <f>INDEX('Budget by Source'!$A$6:$I$330,MATCH('Payment by Source'!$A31,'Budget by Source'!$A$6:$A$330,0),MATCH(R$3,'Budget by Source'!$A$5:$I$5,0))-(ROUND(INDEX('Budget by Source'!$A$6:$I$330,MATCH('Payment by Source'!$A31,'Budget by Source'!$A$6:$A$330,0),MATCH(R$3,'Budget by Source'!$A$5:$I$5,0))/10,0)*10)</f>
        <v>2</v>
      </c>
      <c r="S31" s="138">
        <f>INDEX('Budget by Source'!$A$6:$I$330,MATCH('Payment by Source'!$A31,'Budget by Source'!$A$6:$A$330,0),MATCH(S$3,'Budget by Source'!$A$5:$I$5,0))-(ROUND(INDEX('Budget by Source'!$A$6:$I$330,MATCH('Payment by Source'!$A31,'Budget by Source'!$A$6:$A$330,0),MATCH(S$3,'Budget by Source'!$A$5:$I$5,0))/10,0)*10)</f>
        <v>0</v>
      </c>
      <c r="T31" s="138">
        <f>INDEX('Budget by Source'!$A$6:$I$330,MATCH('Payment by Source'!$A31,'Budget by Source'!$A$6:$A$330,0),MATCH(T$3,'Budget by Source'!$A$5:$I$5,0))-(ROUND(INDEX('Budget by Source'!$A$6:$I$330,MATCH('Payment by Source'!$A31,'Budget by Source'!$A$6:$A$330,0),MATCH(T$3,'Budget by Source'!$A$5:$I$5,0))/10,0)*10)</f>
        <v>1</v>
      </c>
      <c r="U31" s="139">
        <f>INDEX('Budget by Source'!$A$6:$I$330,MATCH('Payment by Source'!$A31,'Budget by Source'!$A$6:$A$330,0),MATCH(U$3,'Budget by Source'!$A$5:$I$5,0))</f>
        <v>2652388</v>
      </c>
      <c r="V31" s="136">
        <f t="shared" si="1"/>
        <v>265239</v>
      </c>
      <c r="W31" s="136">
        <f t="shared" si="2"/>
        <v>2652390</v>
      </c>
    </row>
    <row r="32" spans="1:23" x14ac:dyDescent="0.2">
      <c r="A32" s="22" t="str">
        <f>Data!B28</f>
        <v>0576</v>
      </c>
      <c r="B32" s="20" t="str">
        <f>INDEX(Data[],MATCH($A32,Data[Dist],0),MATCH(B$5,Data[#Headers],0))</f>
        <v>Belle Plaine</v>
      </c>
      <c r="C32" s="21">
        <f>IF(Notes!$B$2="June",ROUND('Budget by Source'!C32/10,0)+P32,ROUND('Budget by Source'!C32/10,0))</f>
        <v>9741</v>
      </c>
      <c r="D32" s="21">
        <f>IF(Notes!$B$2="June",ROUND('Budget by Source'!D32/10,0)+Q32,ROUND('Budget by Source'!D32/10,0))</f>
        <v>54694</v>
      </c>
      <c r="E32" s="21">
        <f>IF(Notes!$B$2="June",ROUND('Budget by Source'!E32/10,0)+R32,ROUND('Budget by Source'!E32/10,0))</f>
        <v>3264</v>
      </c>
      <c r="F32" s="21">
        <f>IF(Notes!$B$2="June",ROUND('Budget by Source'!F32/10,0)+S32,ROUND('Budget by Source'!F32/10,0))</f>
        <v>3184</v>
      </c>
      <c r="G32" s="21">
        <f>IF(Notes!$B$2="June",ROUND('Budget by Source'!G32/10,0)+T32,ROUND('Budget by Source'!G32/10,0))</f>
        <v>17943</v>
      </c>
      <c r="H32" s="21">
        <f t="shared" si="0"/>
        <v>284595</v>
      </c>
      <c r="I32" s="21">
        <f>INDEX(Data[],MATCH($A32,Data[Dist],0),MATCH(I$5,Data[#Headers],0))</f>
        <v>373421</v>
      </c>
      <c r="K32" s="59">
        <f>INDEX('Payment Total'!$A$7:$H$331,MATCH('Payment by Source'!$A32,'Payment Total'!$A$7:$A$331,0),4)-I32</f>
        <v>0</v>
      </c>
      <c r="P32" s="138">
        <f>INDEX('Budget by Source'!$A$6:$I$330,MATCH('Payment by Source'!$A32,'Budget by Source'!$A$6:$A$330,0),MATCH(P$3,'Budget by Source'!$A$5:$I$5,0))-(ROUND(INDEX('Budget by Source'!$A$6:$I$330,MATCH('Payment by Source'!$A32,'Budget by Source'!$A$6:$A$330,0),MATCH(P$3,'Budget by Source'!$A$5:$I$5,0))/10,0)*10)</f>
        <v>0</v>
      </c>
      <c r="Q32" s="138">
        <f>INDEX('Budget by Source'!$A$6:$I$330,MATCH('Payment by Source'!$A32,'Budget by Source'!$A$6:$A$330,0),MATCH(Q$3,'Budget by Source'!$A$5:$I$5,0))-(ROUND(INDEX('Budget by Source'!$A$6:$I$330,MATCH('Payment by Source'!$A32,'Budget by Source'!$A$6:$A$330,0),MATCH(Q$3,'Budget by Source'!$A$5:$I$5,0))/10,0)*10)</f>
        <v>4</v>
      </c>
      <c r="R32" s="138">
        <f>INDEX('Budget by Source'!$A$6:$I$330,MATCH('Payment by Source'!$A32,'Budget by Source'!$A$6:$A$330,0),MATCH(R$3,'Budget by Source'!$A$5:$I$5,0))-(ROUND(INDEX('Budget by Source'!$A$6:$I$330,MATCH('Payment by Source'!$A32,'Budget by Source'!$A$6:$A$330,0),MATCH(R$3,'Budget by Source'!$A$5:$I$5,0))/10,0)*10)</f>
        <v>-3</v>
      </c>
      <c r="S32" s="138">
        <f>INDEX('Budget by Source'!$A$6:$I$330,MATCH('Payment by Source'!$A32,'Budget by Source'!$A$6:$A$330,0),MATCH(S$3,'Budget by Source'!$A$5:$I$5,0))-(ROUND(INDEX('Budget by Source'!$A$6:$I$330,MATCH('Payment by Source'!$A32,'Budget by Source'!$A$6:$A$330,0),MATCH(S$3,'Budget by Source'!$A$5:$I$5,0))/10,0)*10)</f>
        <v>-5</v>
      </c>
      <c r="T32" s="138">
        <f>INDEX('Budget by Source'!$A$6:$I$330,MATCH('Payment by Source'!$A32,'Budget by Source'!$A$6:$A$330,0),MATCH(T$3,'Budget by Source'!$A$5:$I$5,0))-(ROUND(INDEX('Budget by Source'!$A$6:$I$330,MATCH('Payment by Source'!$A32,'Budget by Source'!$A$6:$A$330,0),MATCH(T$3,'Budget by Source'!$A$5:$I$5,0))/10,0)*10)</f>
        <v>-3</v>
      </c>
      <c r="U32" s="139">
        <f>INDEX('Budget by Source'!$A$6:$I$330,MATCH('Payment by Source'!$A32,'Budget by Source'!$A$6:$A$330,0),MATCH(U$3,'Budget by Source'!$A$5:$I$5,0))</f>
        <v>2853071</v>
      </c>
      <c r="V32" s="136">
        <f t="shared" si="1"/>
        <v>285307</v>
      </c>
      <c r="W32" s="136">
        <f t="shared" si="2"/>
        <v>2853070</v>
      </c>
    </row>
    <row r="33" spans="1:23" x14ac:dyDescent="0.2">
      <c r="A33" s="22" t="str">
        <f>Data!B29</f>
        <v>0585</v>
      </c>
      <c r="B33" s="20" t="str">
        <f>INDEX(Data[],MATCH($A33,Data[Dist],0),MATCH(B$5,Data[#Headers],0))</f>
        <v>Bellevue</v>
      </c>
      <c r="C33" s="21">
        <f>IF(Notes!$B$2="June",ROUND('Budget by Source'!C33/10,0)+P33,ROUND('Budget by Source'!C33/10,0))</f>
        <v>22210</v>
      </c>
      <c r="D33" s="21">
        <f>IF(Notes!$B$2="June",ROUND('Budget by Source'!D33/10,0)+Q33,ROUND('Budget by Source'!D33/10,0))</f>
        <v>62438</v>
      </c>
      <c r="E33" s="21">
        <f>IF(Notes!$B$2="June",ROUND('Budget by Source'!E33/10,0)+R33,ROUND('Budget by Source'!E33/10,0))</f>
        <v>4917</v>
      </c>
      <c r="F33" s="21">
        <f>IF(Notes!$B$2="June",ROUND('Budget by Source'!F33/10,0)+S33,ROUND('Budget by Source'!F33/10,0))</f>
        <v>5211</v>
      </c>
      <c r="G33" s="21">
        <f>IF(Notes!$B$2="June",ROUND('Budget by Source'!G33/10,0)+T33,ROUND('Budget by Source'!G33/10,0))</f>
        <v>25698</v>
      </c>
      <c r="H33" s="21">
        <f t="shared" si="0"/>
        <v>301306</v>
      </c>
      <c r="I33" s="21">
        <f>INDEX(Data[],MATCH($A33,Data[Dist],0),MATCH(I$5,Data[#Headers],0))</f>
        <v>421780</v>
      </c>
      <c r="K33" s="59">
        <f>INDEX('Payment Total'!$A$7:$H$331,MATCH('Payment by Source'!$A33,'Payment Total'!$A$7:$A$331,0),4)-I33</f>
        <v>0</v>
      </c>
      <c r="P33" s="138">
        <f>INDEX('Budget by Source'!$A$6:$I$330,MATCH('Payment by Source'!$A33,'Budget by Source'!$A$6:$A$330,0),MATCH(P$3,'Budget by Source'!$A$5:$I$5,0))-(ROUND(INDEX('Budget by Source'!$A$6:$I$330,MATCH('Payment by Source'!$A33,'Budget by Source'!$A$6:$A$330,0),MATCH(P$3,'Budget by Source'!$A$5:$I$5,0))/10,0)*10)</f>
        <v>-4</v>
      </c>
      <c r="Q33" s="138">
        <f>INDEX('Budget by Source'!$A$6:$I$330,MATCH('Payment by Source'!$A33,'Budget by Source'!$A$6:$A$330,0),MATCH(Q$3,'Budget by Source'!$A$5:$I$5,0))-(ROUND(INDEX('Budget by Source'!$A$6:$I$330,MATCH('Payment by Source'!$A33,'Budget by Source'!$A$6:$A$330,0),MATCH(Q$3,'Budget by Source'!$A$5:$I$5,0))/10,0)*10)</f>
        <v>-1</v>
      </c>
      <c r="R33" s="138">
        <f>INDEX('Budget by Source'!$A$6:$I$330,MATCH('Payment by Source'!$A33,'Budget by Source'!$A$6:$A$330,0),MATCH(R$3,'Budget by Source'!$A$5:$I$5,0))-(ROUND(INDEX('Budget by Source'!$A$6:$I$330,MATCH('Payment by Source'!$A33,'Budget by Source'!$A$6:$A$330,0),MATCH(R$3,'Budget by Source'!$A$5:$I$5,0))/10,0)*10)</f>
        <v>2</v>
      </c>
      <c r="S33" s="138">
        <f>INDEX('Budget by Source'!$A$6:$I$330,MATCH('Payment by Source'!$A33,'Budget by Source'!$A$6:$A$330,0),MATCH(S$3,'Budget by Source'!$A$5:$I$5,0))-(ROUND(INDEX('Budget by Source'!$A$6:$I$330,MATCH('Payment by Source'!$A33,'Budget by Source'!$A$6:$A$330,0),MATCH(S$3,'Budget by Source'!$A$5:$I$5,0))/10,0)*10)</f>
        <v>1</v>
      </c>
      <c r="T33" s="138">
        <f>INDEX('Budget by Source'!$A$6:$I$330,MATCH('Payment by Source'!$A33,'Budget by Source'!$A$6:$A$330,0),MATCH(T$3,'Budget by Source'!$A$5:$I$5,0))-(ROUND(INDEX('Budget by Source'!$A$6:$I$330,MATCH('Payment by Source'!$A33,'Budget by Source'!$A$6:$A$330,0),MATCH(T$3,'Budget by Source'!$A$5:$I$5,0))/10,0)*10)</f>
        <v>-3</v>
      </c>
      <c r="U33" s="139">
        <f>INDEX('Budget by Source'!$A$6:$I$330,MATCH('Payment by Source'!$A33,'Budget by Source'!$A$6:$A$330,0),MATCH(U$3,'Budget by Source'!$A$5:$I$5,0))</f>
        <v>3022395</v>
      </c>
      <c r="V33" s="136">
        <f t="shared" si="1"/>
        <v>302240</v>
      </c>
      <c r="W33" s="136">
        <f t="shared" si="2"/>
        <v>3022400</v>
      </c>
    </row>
    <row r="34" spans="1:23" x14ac:dyDescent="0.2">
      <c r="A34" s="22" t="str">
        <f>Data!B30</f>
        <v>0594</v>
      </c>
      <c r="B34" s="20" t="str">
        <f>INDEX(Data[],MATCH($A34,Data[Dist],0),MATCH(B$5,Data[#Headers],0))</f>
        <v>Belmond-Klemme</v>
      </c>
      <c r="C34" s="21">
        <f>IF(Notes!$B$2="June",ROUND('Budget by Source'!C34/10,0)+P34,ROUND('Budget by Source'!C34/10,0))</f>
        <v>8580</v>
      </c>
      <c r="D34" s="21">
        <f>IF(Notes!$B$2="June",ROUND('Budget by Source'!D34/10,0)+Q34,ROUND('Budget by Source'!D34/10,0))</f>
        <v>66322</v>
      </c>
      <c r="E34" s="21">
        <f>IF(Notes!$B$2="June",ROUND('Budget by Source'!E34/10,0)+R34,ROUND('Budget by Source'!E34/10,0))</f>
        <v>6176</v>
      </c>
      <c r="F34" s="21">
        <f>IF(Notes!$B$2="June",ROUND('Budget by Source'!F34/10,0)+S34,ROUND('Budget by Source'!F34/10,0))</f>
        <v>5334</v>
      </c>
      <c r="G34" s="21">
        <f>IF(Notes!$B$2="June",ROUND('Budget by Source'!G34/10,0)+T34,ROUND('Budget by Source'!G34/10,0))</f>
        <v>28221</v>
      </c>
      <c r="H34" s="21">
        <f t="shared" si="0"/>
        <v>412861</v>
      </c>
      <c r="I34" s="21">
        <f>INDEX(Data[],MATCH($A34,Data[Dist],0),MATCH(I$5,Data[#Headers],0))</f>
        <v>527494</v>
      </c>
      <c r="K34" s="59">
        <f>INDEX('Payment Total'!$A$7:$H$331,MATCH('Payment by Source'!$A34,'Payment Total'!$A$7:$A$331,0),4)-I34</f>
        <v>0</v>
      </c>
      <c r="P34" s="138">
        <f>INDEX('Budget by Source'!$A$6:$I$330,MATCH('Payment by Source'!$A34,'Budget by Source'!$A$6:$A$330,0),MATCH(P$3,'Budget by Source'!$A$5:$I$5,0))-(ROUND(INDEX('Budget by Source'!$A$6:$I$330,MATCH('Payment by Source'!$A34,'Budget by Source'!$A$6:$A$330,0),MATCH(P$3,'Budget by Source'!$A$5:$I$5,0))/10,0)*10)</f>
        <v>0</v>
      </c>
      <c r="Q34" s="138">
        <f>INDEX('Budget by Source'!$A$6:$I$330,MATCH('Payment by Source'!$A34,'Budget by Source'!$A$6:$A$330,0),MATCH(Q$3,'Budget by Source'!$A$5:$I$5,0))-(ROUND(INDEX('Budget by Source'!$A$6:$I$330,MATCH('Payment by Source'!$A34,'Budget by Source'!$A$6:$A$330,0),MATCH(Q$3,'Budget by Source'!$A$5:$I$5,0))/10,0)*10)</f>
        <v>-4</v>
      </c>
      <c r="R34" s="138">
        <f>INDEX('Budget by Source'!$A$6:$I$330,MATCH('Payment by Source'!$A34,'Budget by Source'!$A$6:$A$330,0),MATCH(R$3,'Budget by Source'!$A$5:$I$5,0))-(ROUND(INDEX('Budget by Source'!$A$6:$I$330,MATCH('Payment by Source'!$A34,'Budget by Source'!$A$6:$A$330,0),MATCH(R$3,'Budget by Source'!$A$5:$I$5,0))/10,0)*10)</f>
        <v>3</v>
      </c>
      <c r="S34" s="138">
        <f>INDEX('Budget by Source'!$A$6:$I$330,MATCH('Payment by Source'!$A34,'Budget by Source'!$A$6:$A$330,0),MATCH(S$3,'Budget by Source'!$A$5:$I$5,0))-(ROUND(INDEX('Budget by Source'!$A$6:$I$330,MATCH('Payment by Source'!$A34,'Budget by Source'!$A$6:$A$330,0),MATCH(S$3,'Budget by Source'!$A$5:$I$5,0))/10,0)*10)</f>
        <v>3</v>
      </c>
      <c r="T34" s="138">
        <f>INDEX('Budget by Source'!$A$6:$I$330,MATCH('Payment by Source'!$A34,'Budget by Source'!$A$6:$A$330,0),MATCH(T$3,'Budget by Source'!$A$5:$I$5,0))-(ROUND(INDEX('Budget by Source'!$A$6:$I$330,MATCH('Payment by Source'!$A34,'Budget by Source'!$A$6:$A$330,0),MATCH(T$3,'Budget by Source'!$A$5:$I$5,0))/10,0)*10)</f>
        <v>0</v>
      </c>
      <c r="U34" s="139">
        <f>INDEX('Budget by Source'!$A$6:$I$330,MATCH('Payment by Source'!$A34,'Budget by Source'!$A$6:$A$330,0),MATCH(U$3,'Budget by Source'!$A$5:$I$5,0))</f>
        <v>4139823</v>
      </c>
      <c r="V34" s="136">
        <f t="shared" si="1"/>
        <v>413982</v>
      </c>
      <c r="W34" s="136">
        <f t="shared" si="2"/>
        <v>4139820</v>
      </c>
    </row>
    <row r="35" spans="1:23" x14ac:dyDescent="0.2">
      <c r="A35" s="22" t="str">
        <f>Data!B31</f>
        <v>0603</v>
      </c>
      <c r="B35" s="20" t="str">
        <f>INDEX(Data[],MATCH($A35,Data[Dist],0),MATCH(B$5,Data[#Headers],0))</f>
        <v>Bennett</v>
      </c>
      <c r="C35" s="21">
        <f>IF(Notes!$B$2="June",ROUND('Budget by Source'!C35/10,0)+P35,ROUND('Budget by Source'!C35/10,0))</f>
        <v>3117</v>
      </c>
      <c r="D35" s="21">
        <f>IF(Notes!$B$2="June",ROUND('Budget by Source'!D35/10,0)+Q35,ROUND('Budget by Source'!D35/10,0))</f>
        <v>19304</v>
      </c>
      <c r="E35" s="21">
        <f>IF(Notes!$B$2="June",ROUND('Budget by Source'!E35/10,0)+R35,ROUND('Budget by Source'!E35/10,0))</f>
        <v>1319</v>
      </c>
      <c r="F35" s="21">
        <f>IF(Notes!$B$2="June",ROUND('Budget by Source'!F35/10,0)+S35,ROUND('Budget by Source'!F35/10,0))</f>
        <v>843</v>
      </c>
      <c r="G35" s="21">
        <f>IF(Notes!$B$2="June",ROUND('Budget by Source'!G35/10,0)+T35,ROUND('Budget by Source'!G35/10,0))</f>
        <v>6457</v>
      </c>
      <c r="H35" s="21">
        <f t="shared" si="0"/>
        <v>69566</v>
      </c>
      <c r="I35" s="21">
        <f>INDEX(Data[],MATCH($A35,Data[Dist],0),MATCH(I$5,Data[#Headers],0))</f>
        <v>100606</v>
      </c>
      <c r="K35" s="59">
        <f>INDEX('Payment Total'!$A$7:$H$331,MATCH('Payment by Source'!$A35,'Payment Total'!$A$7:$A$331,0),4)-I35</f>
        <v>0</v>
      </c>
      <c r="P35" s="138">
        <f>INDEX('Budget by Source'!$A$6:$I$330,MATCH('Payment by Source'!$A35,'Budget by Source'!$A$6:$A$330,0),MATCH(P$3,'Budget by Source'!$A$5:$I$5,0))-(ROUND(INDEX('Budget by Source'!$A$6:$I$330,MATCH('Payment by Source'!$A35,'Budget by Source'!$A$6:$A$330,0),MATCH(P$3,'Budget by Source'!$A$5:$I$5,0))/10,0)*10)</f>
        <v>1</v>
      </c>
      <c r="Q35" s="138">
        <f>INDEX('Budget by Source'!$A$6:$I$330,MATCH('Payment by Source'!$A35,'Budget by Source'!$A$6:$A$330,0),MATCH(Q$3,'Budget by Source'!$A$5:$I$5,0))-(ROUND(INDEX('Budget by Source'!$A$6:$I$330,MATCH('Payment by Source'!$A35,'Budget by Source'!$A$6:$A$330,0),MATCH(Q$3,'Budget by Source'!$A$5:$I$5,0))/10,0)*10)</f>
        <v>0</v>
      </c>
      <c r="R35" s="138">
        <f>INDEX('Budget by Source'!$A$6:$I$330,MATCH('Payment by Source'!$A35,'Budget by Source'!$A$6:$A$330,0),MATCH(R$3,'Budget by Source'!$A$5:$I$5,0))-(ROUND(INDEX('Budget by Source'!$A$6:$I$330,MATCH('Payment by Source'!$A35,'Budget by Source'!$A$6:$A$330,0),MATCH(R$3,'Budget by Source'!$A$5:$I$5,0))/10,0)*10)</f>
        <v>-1</v>
      </c>
      <c r="S35" s="138">
        <f>INDEX('Budget by Source'!$A$6:$I$330,MATCH('Payment by Source'!$A35,'Budget by Source'!$A$6:$A$330,0),MATCH(S$3,'Budget by Source'!$A$5:$I$5,0))-(ROUND(INDEX('Budget by Source'!$A$6:$I$330,MATCH('Payment by Source'!$A35,'Budget by Source'!$A$6:$A$330,0),MATCH(S$3,'Budget by Source'!$A$5:$I$5,0))/10,0)*10)</f>
        <v>-3</v>
      </c>
      <c r="T35" s="138">
        <f>INDEX('Budget by Source'!$A$6:$I$330,MATCH('Payment by Source'!$A35,'Budget by Source'!$A$6:$A$330,0),MATCH(T$3,'Budget by Source'!$A$5:$I$5,0))-(ROUND(INDEX('Budget by Source'!$A$6:$I$330,MATCH('Payment by Source'!$A35,'Budget by Source'!$A$6:$A$330,0),MATCH(T$3,'Budget by Source'!$A$5:$I$5,0))/10,0)*10)</f>
        <v>-4</v>
      </c>
      <c r="U35" s="139">
        <f>INDEX('Budget by Source'!$A$6:$I$330,MATCH('Payment by Source'!$A35,'Budget by Source'!$A$6:$A$330,0),MATCH(U$3,'Budget by Source'!$A$5:$I$5,0))</f>
        <v>698070</v>
      </c>
      <c r="V35" s="136">
        <f t="shared" si="1"/>
        <v>69807</v>
      </c>
      <c r="W35" s="136">
        <f t="shared" si="2"/>
        <v>698070</v>
      </c>
    </row>
    <row r="36" spans="1:23" x14ac:dyDescent="0.2">
      <c r="A36" s="22" t="str">
        <f>Data!B32</f>
        <v>0609</v>
      </c>
      <c r="B36" s="20" t="str">
        <f>INDEX(Data[],MATCH($A36,Data[Dist],0),MATCH(B$5,Data[#Headers],0))</f>
        <v>Benton</v>
      </c>
      <c r="C36" s="21">
        <f>IF(Notes!$B$2="June",ROUND('Budget by Source'!C36/10,0)+P36,ROUND('Budget by Source'!C36/10,0))</f>
        <v>45198</v>
      </c>
      <c r="D36" s="21">
        <f>IF(Notes!$B$2="June",ROUND('Budget by Source'!D36/10,0)+Q36,ROUND('Budget by Source'!D36/10,0))</f>
        <v>116149</v>
      </c>
      <c r="E36" s="21">
        <f>IF(Notes!$B$2="June",ROUND('Budget by Source'!E36/10,0)+R36,ROUND('Budget by Source'!E36/10,0))</f>
        <v>10823</v>
      </c>
      <c r="F36" s="21">
        <f>IF(Notes!$B$2="June",ROUND('Budget by Source'!F36/10,0)+S36,ROUND('Budget by Source'!F36/10,0))</f>
        <v>11308</v>
      </c>
      <c r="G36" s="21">
        <f>IF(Notes!$B$2="June",ROUND('Budget by Source'!G36/10,0)+T36,ROUND('Budget by Source'!G36/10,0))</f>
        <v>58323</v>
      </c>
      <c r="H36" s="21">
        <f t="shared" si="0"/>
        <v>711165</v>
      </c>
      <c r="I36" s="21">
        <f>INDEX(Data[],MATCH($A36,Data[Dist],0),MATCH(I$5,Data[#Headers],0))</f>
        <v>952966</v>
      </c>
      <c r="K36" s="59">
        <f>INDEX('Payment Total'!$A$7:$H$331,MATCH('Payment by Source'!$A36,'Payment Total'!$A$7:$A$331,0),4)-I36</f>
        <v>0</v>
      </c>
      <c r="P36" s="138">
        <f>INDEX('Budget by Source'!$A$6:$I$330,MATCH('Payment by Source'!$A36,'Budget by Source'!$A$6:$A$330,0),MATCH(P$3,'Budget by Source'!$A$5:$I$5,0))-(ROUND(INDEX('Budget by Source'!$A$6:$I$330,MATCH('Payment by Source'!$A36,'Budget by Source'!$A$6:$A$330,0),MATCH(P$3,'Budget by Source'!$A$5:$I$5,0))/10,0)*10)</f>
        <v>4</v>
      </c>
      <c r="Q36" s="138">
        <f>INDEX('Budget by Source'!$A$6:$I$330,MATCH('Payment by Source'!$A36,'Budget by Source'!$A$6:$A$330,0),MATCH(Q$3,'Budget by Source'!$A$5:$I$5,0))-(ROUND(INDEX('Budget by Source'!$A$6:$I$330,MATCH('Payment by Source'!$A36,'Budget by Source'!$A$6:$A$330,0),MATCH(Q$3,'Budget by Source'!$A$5:$I$5,0))/10,0)*10)</f>
        <v>-1</v>
      </c>
      <c r="R36" s="138">
        <f>INDEX('Budget by Source'!$A$6:$I$330,MATCH('Payment by Source'!$A36,'Budget by Source'!$A$6:$A$330,0),MATCH(R$3,'Budget by Source'!$A$5:$I$5,0))-(ROUND(INDEX('Budget by Source'!$A$6:$I$330,MATCH('Payment by Source'!$A36,'Budget by Source'!$A$6:$A$330,0),MATCH(R$3,'Budget by Source'!$A$5:$I$5,0))/10,0)*10)</f>
        <v>4</v>
      </c>
      <c r="S36" s="138">
        <f>INDEX('Budget by Source'!$A$6:$I$330,MATCH('Payment by Source'!$A36,'Budget by Source'!$A$6:$A$330,0),MATCH(S$3,'Budget by Source'!$A$5:$I$5,0))-(ROUND(INDEX('Budget by Source'!$A$6:$I$330,MATCH('Payment by Source'!$A36,'Budget by Source'!$A$6:$A$330,0),MATCH(S$3,'Budget by Source'!$A$5:$I$5,0))/10,0)*10)</f>
        <v>3</v>
      </c>
      <c r="T36" s="138">
        <f>INDEX('Budget by Source'!$A$6:$I$330,MATCH('Payment by Source'!$A36,'Budget by Source'!$A$6:$A$330,0),MATCH(T$3,'Budget by Source'!$A$5:$I$5,0))-(ROUND(INDEX('Budget by Source'!$A$6:$I$330,MATCH('Payment by Source'!$A36,'Budget by Source'!$A$6:$A$330,0),MATCH(T$3,'Budget by Source'!$A$5:$I$5,0))/10,0)*10)</f>
        <v>1</v>
      </c>
      <c r="U36" s="139">
        <f>INDEX('Budget by Source'!$A$6:$I$330,MATCH('Payment by Source'!$A36,'Budget by Source'!$A$6:$A$330,0),MATCH(U$3,'Budget by Source'!$A$5:$I$5,0))</f>
        <v>7133897</v>
      </c>
      <c r="V36" s="136">
        <f t="shared" si="1"/>
        <v>713390</v>
      </c>
      <c r="W36" s="136">
        <f t="shared" si="2"/>
        <v>7133900</v>
      </c>
    </row>
    <row r="37" spans="1:23" x14ac:dyDescent="0.2">
      <c r="A37" s="22" t="str">
        <f>Data!B33</f>
        <v>0621</v>
      </c>
      <c r="B37" s="20" t="str">
        <f>INDEX(Data[],MATCH($A37,Data[Dist],0),MATCH(B$5,Data[#Headers],0))</f>
        <v>Bettendorf</v>
      </c>
      <c r="C37" s="21">
        <f>IF(Notes!$B$2="June",ROUND('Budget by Source'!C37/10,0)+P37,ROUND('Budget by Source'!C37/10,0))</f>
        <v>90787</v>
      </c>
      <c r="D37" s="21">
        <f>IF(Notes!$B$2="June",ROUND('Budget by Source'!D37/10,0)+Q37,ROUND('Budget by Source'!D37/10,0))</f>
        <v>286213</v>
      </c>
      <c r="E37" s="21">
        <f>IF(Notes!$B$2="June",ROUND('Budget by Source'!E37/10,0)+R37,ROUND('Budget by Source'!E37/10,0))</f>
        <v>31143</v>
      </c>
      <c r="F37" s="21">
        <f>IF(Notes!$B$2="June",ROUND('Budget by Source'!F37/10,0)+S37,ROUND('Budget by Source'!F37/10,0))</f>
        <v>30660</v>
      </c>
      <c r="G37" s="21">
        <f>IF(Notes!$B$2="June",ROUND('Budget by Source'!G37/10,0)+T37,ROUND('Budget by Source'!G37/10,0))</f>
        <v>154628</v>
      </c>
      <c r="H37" s="21">
        <f t="shared" si="0"/>
        <v>2203889</v>
      </c>
      <c r="I37" s="21">
        <f>INDEX(Data[],MATCH($A37,Data[Dist],0),MATCH(I$5,Data[#Headers],0))</f>
        <v>2797320</v>
      </c>
      <c r="K37" s="59">
        <f>INDEX('Payment Total'!$A$7:$H$331,MATCH('Payment by Source'!$A37,'Payment Total'!$A$7:$A$331,0),4)-I37</f>
        <v>0</v>
      </c>
      <c r="P37" s="138">
        <f>INDEX('Budget by Source'!$A$6:$I$330,MATCH('Payment by Source'!$A37,'Budget by Source'!$A$6:$A$330,0),MATCH(P$3,'Budget by Source'!$A$5:$I$5,0))-(ROUND(INDEX('Budget by Source'!$A$6:$I$330,MATCH('Payment by Source'!$A37,'Budget by Source'!$A$6:$A$330,0),MATCH(P$3,'Budget by Source'!$A$5:$I$5,0))/10,0)*10)</f>
        <v>-5</v>
      </c>
      <c r="Q37" s="138">
        <f>INDEX('Budget by Source'!$A$6:$I$330,MATCH('Payment by Source'!$A37,'Budget by Source'!$A$6:$A$330,0),MATCH(Q$3,'Budget by Source'!$A$5:$I$5,0))-(ROUND(INDEX('Budget by Source'!$A$6:$I$330,MATCH('Payment by Source'!$A37,'Budget by Source'!$A$6:$A$330,0),MATCH(Q$3,'Budget by Source'!$A$5:$I$5,0))/10,0)*10)</f>
        <v>4</v>
      </c>
      <c r="R37" s="138">
        <f>INDEX('Budget by Source'!$A$6:$I$330,MATCH('Payment by Source'!$A37,'Budget by Source'!$A$6:$A$330,0),MATCH(R$3,'Budget by Source'!$A$5:$I$5,0))-(ROUND(INDEX('Budget by Source'!$A$6:$I$330,MATCH('Payment by Source'!$A37,'Budget by Source'!$A$6:$A$330,0),MATCH(R$3,'Budget by Source'!$A$5:$I$5,0))/10,0)*10)</f>
        <v>3</v>
      </c>
      <c r="S37" s="138">
        <f>INDEX('Budget by Source'!$A$6:$I$330,MATCH('Payment by Source'!$A37,'Budget by Source'!$A$6:$A$330,0),MATCH(S$3,'Budget by Source'!$A$5:$I$5,0))-(ROUND(INDEX('Budget by Source'!$A$6:$I$330,MATCH('Payment by Source'!$A37,'Budget by Source'!$A$6:$A$330,0),MATCH(S$3,'Budget by Source'!$A$5:$I$5,0))/10,0)*10)</f>
        <v>3</v>
      </c>
      <c r="T37" s="138">
        <f>INDEX('Budget by Source'!$A$6:$I$330,MATCH('Payment by Source'!$A37,'Budget by Source'!$A$6:$A$330,0),MATCH(T$3,'Budget by Source'!$A$5:$I$5,0))-(ROUND(INDEX('Budget by Source'!$A$6:$I$330,MATCH('Payment by Source'!$A37,'Budget by Source'!$A$6:$A$330,0),MATCH(T$3,'Budget by Source'!$A$5:$I$5,0))/10,0)*10)</f>
        <v>-1</v>
      </c>
      <c r="U37" s="139">
        <f>INDEX('Budget by Source'!$A$6:$I$330,MATCH('Payment by Source'!$A37,'Budget by Source'!$A$6:$A$330,0),MATCH(U$3,'Budget by Source'!$A$5:$I$5,0))</f>
        <v>22098235</v>
      </c>
      <c r="V37" s="136">
        <f t="shared" si="1"/>
        <v>2209824</v>
      </c>
      <c r="W37" s="136">
        <f t="shared" si="2"/>
        <v>22098240</v>
      </c>
    </row>
    <row r="38" spans="1:23" x14ac:dyDescent="0.2">
      <c r="A38" s="22" t="str">
        <f>Data!B34</f>
        <v>0657</v>
      </c>
      <c r="B38" s="20" t="str">
        <f>INDEX(Data[],MATCH($A38,Data[Dist],0),MATCH(B$5,Data[#Headers],0))</f>
        <v>Eddyville-Blakesburg-Fremont</v>
      </c>
      <c r="C38" s="21">
        <f>IF(Notes!$B$2="June",ROUND('Budget by Source'!C38/10,0)+P38,ROUND('Budget by Source'!C38/10,0))</f>
        <v>15983</v>
      </c>
      <c r="D38" s="21">
        <f>IF(Notes!$B$2="June",ROUND('Budget by Source'!D38/10,0)+Q38,ROUND('Budget by Source'!D38/10,0))</f>
        <v>93365</v>
      </c>
      <c r="E38" s="21">
        <f>IF(Notes!$B$2="June",ROUND('Budget by Source'!E38/10,0)+R38,ROUND('Budget by Source'!E38/10,0))</f>
        <v>7173</v>
      </c>
      <c r="F38" s="21">
        <f>IF(Notes!$B$2="June",ROUND('Budget by Source'!F38/10,0)+S38,ROUND('Budget by Source'!F38/10,0))</f>
        <v>5960</v>
      </c>
      <c r="G38" s="21">
        <f>IF(Notes!$B$2="June",ROUND('Budget by Source'!G38/10,0)+T38,ROUND('Budget by Source'!G38/10,0))</f>
        <v>30794</v>
      </c>
      <c r="H38" s="21">
        <f t="shared" si="0"/>
        <v>314509</v>
      </c>
      <c r="I38" s="21">
        <f>INDEX(Data[],MATCH($A38,Data[Dist],0),MATCH(I$5,Data[#Headers],0))</f>
        <v>467784</v>
      </c>
      <c r="K38" s="59">
        <f>INDEX('Payment Total'!$A$7:$H$331,MATCH('Payment by Source'!$A38,'Payment Total'!$A$7:$A$331,0),4)-I38</f>
        <v>0</v>
      </c>
      <c r="P38" s="138">
        <f>INDEX('Budget by Source'!$A$6:$I$330,MATCH('Payment by Source'!$A38,'Budget by Source'!$A$6:$A$330,0),MATCH(P$3,'Budget by Source'!$A$5:$I$5,0))-(ROUND(INDEX('Budget by Source'!$A$6:$I$330,MATCH('Payment by Source'!$A38,'Budget by Source'!$A$6:$A$330,0),MATCH(P$3,'Budget by Source'!$A$5:$I$5,0))/10,0)*10)</f>
        <v>1</v>
      </c>
      <c r="Q38" s="138">
        <f>INDEX('Budget by Source'!$A$6:$I$330,MATCH('Payment by Source'!$A38,'Budget by Source'!$A$6:$A$330,0),MATCH(Q$3,'Budget by Source'!$A$5:$I$5,0))-(ROUND(INDEX('Budget by Source'!$A$6:$I$330,MATCH('Payment by Source'!$A38,'Budget by Source'!$A$6:$A$330,0),MATCH(Q$3,'Budget by Source'!$A$5:$I$5,0))/10,0)*10)</f>
        <v>-2</v>
      </c>
      <c r="R38" s="138">
        <f>INDEX('Budget by Source'!$A$6:$I$330,MATCH('Payment by Source'!$A38,'Budget by Source'!$A$6:$A$330,0),MATCH(R$3,'Budget by Source'!$A$5:$I$5,0))-(ROUND(INDEX('Budget by Source'!$A$6:$I$330,MATCH('Payment by Source'!$A38,'Budget by Source'!$A$6:$A$330,0),MATCH(R$3,'Budget by Source'!$A$5:$I$5,0))/10,0)*10)</f>
        <v>-2</v>
      </c>
      <c r="S38" s="138">
        <f>INDEX('Budget by Source'!$A$6:$I$330,MATCH('Payment by Source'!$A38,'Budget by Source'!$A$6:$A$330,0),MATCH(S$3,'Budget by Source'!$A$5:$I$5,0))-(ROUND(INDEX('Budget by Source'!$A$6:$I$330,MATCH('Payment by Source'!$A38,'Budget by Source'!$A$6:$A$330,0),MATCH(S$3,'Budget by Source'!$A$5:$I$5,0))/10,0)*10)</f>
        <v>-5</v>
      </c>
      <c r="T38" s="138">
        <f>INDEX('Budget by Source'!$A$6:$I$330,MATCH('Payment by Source'!$A38,'Budget by Source'!$A$6:$A$330,0),MATCH(T$3,'Budget by Source'!$A$5:$I$5,0))-(ROUND(INDEX('Budget by Source'!$A$6:$I$330,MATCH('Payment by Source'!$A38,'Budget by Source'!$A$6:$A$330,0),MATCH(T$3,'Budget by Source'!$A$5:$I$5,0))/10,0)*10)</f>
        <v>4</v>
      </c>
      <c r="U38" s="139">
        <f>INDEX('Budget by Source'!$A$6:$I$330,MATCH('Payment by Source'!$A38,'Budget by Source'!$A$6:$A$330,0),MATCH(U$3,'Budget by Source'!$A$5:$I$5,0))</f>
        <v>3157033</v>
      </c>
      <c r="V38" s="136">
        <f t="shared" si="1"/>
        <v>315703</v>
      </c>
      <c r="W38" s="136">
        <f t="shared" si="2"/>
        <v>3157030</v>
      </c>
    </row>
    <row r="39" spans="1:23" x14ac:dyDescent="0.2">
      <c r="A39" s="22" t="str">
        <f>Data!B35</f>
        <v>0720</v>
      </c>
      <c r="B39" s="20" t="str">
        <f>INDEX(Data[],MATCH($A39,Data[Dist],0),MATCH(B$5,Data[#Headers],0))</f>
        <v>Bondurant-Farrar</v>
      </c>
      <c r="C39" s="21">
        <f>IF(Notes!$B$2="June",ROUND('Budget by Source'!C39/10,0)+P39,ROUND('Budget by Source'!C39/10,0))</f>
        <v>40133</v>
      </c>
      <c r="D39" s="21">
        <f>IF(Notes!$B$2="June",ROUND('Budget by Source'!D39/10,0)+Q39,ROUND('Budget by Source'!D39/10,0))</f>
        <v>188658</v>
      </c>
      <c r="E39" s="21">
        <f>IF(Notes!$B$2="June",ROUND('Budget by Source'!E39/10,0)+R39,ROUND('Budget by Source'!E39/10,0))</f>
        <v>20185</v>
      </c>
      <c r="F39" s="21">
        <f>IF(Notes!$B$2="June",ROUND('Budget by Source'!F39/10,0)+S39,ROUND('Budget by Source'!F39/10,0))</f>
        <v>17418</v>
      </c>
      <c r="G39" s="21">
        <f>IF(Notes!$B$2="June",ROUND('Budget by Source'!G39/10,0)+T39,ROUND('Budget by Source'!G39/10,0))</f>
        <v>97604</v>
      </c>
      <c r="H39" s="21">
        <f t="shared" si="0"/>
        <v>1554219</v>
      </c>
      <c r="I39" s="21">
        <f>INDEX(Data[],MATCH($A39,Data[Dist],0),MATCH(I$5,Data[#Headers],0))</f>
        <v>1918217</v>
      </c>
      <c r="K39" s="59">
        <f>INDEX('Payment Total'!$A$7:$H$331,MATCH('Payment by Source'!$A39,'Payment Total'!$A$7:$A$331,0),4)-I39</f>
        <v>0</v>
      </c>
      <c r="P39" s="138">
        <f>INDEX('Budget by Source'!$A$6:$I$330,MATCH('Payment by Source'!$A39,'Budget by Source'!$A$6:$A$330,0),MATCH(P$3,'Budget by Source'!$A$5:$I$5,0))-(ROUND(INDEX('Budget by Source'!$A$6:$I$330,MATCH('Payment by Source'!$A39,'Budget by Source'!$A$6:$A$330,0),MATCH(P$3,'Budget by Source'!$A$5:$I$5,0))/10,0)*10)</f>
        <v>1</v>
      </c>
      <c r="Q39" s="138">
        <f>INDEX('Budget by Source'!$A$6:$I$330,MATCH('Payment by Source'!$A39,'Budget by Source'!$A$6:$A$330,0),MATCH(Q$3,'Budget by Source'!$A$5:$I$5,0))-(ROUND(INDEX('Budget by Source'!$A$6:$I$330,MATCH('Payment by Source'!$A39,'Budget by Source'!$A$6:$A$330,0),MATCH(Q$3,'Budget by Source'!$A$5:$I$5,0))/10,0)*10)</f>
        <v>3</v>
      </c>
      <c r="R39" s="138">
        <f>INDEX('Budget by Source'!$A$6:$I$330,MATCH('Payment by Source'!$A39,'Budget by Source'!$A$6:$A$330,0),MATCH(R$3,'Budget by Source'!$A$5:$I$5,0))-(ROUND(INDEX('Budget by Source'!$A$6:$I$330,MATCH('Payment by Source'!$A39,'Budget by Source'!$A$6:$A$330,0),MATCH(R$3,'Budget by Source'!$A$5:$I$5,0))/10,0)*10)</f>
        <v>4</v>
      </c>
      <c r="S39" s="138">
        <f>INDEX('Budget by Source'!$A$6:$I$330,MATCH('Payment by Source'!$A39,'Budget by Source'!$A$6:$A$330,0),MATCH(S$3,'Budget by Source'!$A$5:$I$5,0))-(ROUND(INDEX('Budget by Source'!$A$6:$I$330,MATCH('Payment by Source'!$A39,'Budget by Source'!$A$6:$A$330,0),MATCH(S$3,'Budget by Source'!$A$5:$I$5,0))/10,0)*10)</f>
        <v>1</v>
      </c>
      <c r="T39" s="138">
        <f>INDEX('Budget by Source'!$A$6:$I$330,MATCH('Payment by Source'!$A39,'Budget by Source'!$A$6:$A$330,0),MATCH(T$3,'Budget by Source'!$A$5:$I$5,0))-(ROUND(INDEX('Budget by Source'!$A$6:$I$330,MATCH('Payment by Source'!$A39,'Budget by Source'!$A$6:$A$330,0),MATCH(T$3,'Budget by Source'!$A$5:$I$5,0))/10,0)*10)</f>
        <v>2</v>
      </c>
      <c r="U39" s="139">
        <f>INDEX('Budget by Source'!$A$6:$I$330,MATCH('Payment by Source'!$A39,'Budget by Source'!$A$6:$A$330,0),MATCH(U$3,'Budget by Source'!$A$5:$I$5,0))</f>
        <v>15580619</v>
      </c>
      <c r="V39" s="136">
        <f t="shared" si="1"/>
        <v>1558062</v>
      </c>
      <c r="W39" s="136">
        <f t="shared" si="2"/>
        <v>15580620</v>
      </c>
    </row>
    <row r="40" spans="1:23" x14ac:dyDescent="0.2">
      <c r="A40" s="22" t="str">
        <f>Data!B36</f>
        <v>0729</v>
      </c>
      <c r="B40" s="20" t="str">
        <f>INDEX(Data[],MATCH($A40,Data[Dist],0),MATCH(B$5,Data[#Headers],0))</f>
        <v>Boone</v>
      </c>
      <c r="C40" s="21">
        <f>IF(Notes!$B$2="June",ROUND('Budget by Source'!C40/10,0)+P40,ROUND('Budget by Source'!C40/10,0))</f>
        <v>33899</v>
      </c>
      <c r="D40" s="21">
        <f>IF(Notes!$B$2="June",ROUND('Budget by Source'!D40/10,0)+Q40,ROUND('Budget by Source'!D40/10,0))</f>
        <v>152685</v>
      </c>
      <c r="E40" s="21">
        <f>IF(Notes!$B$2="June",ROUND('Budget by Source'!E40/10,0)+R40,ROUND('Budget by Source'!E40/10,0))</f>
        <v>16439</v>
      </c>
      <c r="F40" s="21">
        <f>IF(Notes!$B$2="June",ROUND('Budget by Source'!F40/10,0)+S40,ROUND('Budget by Source'!F40/10,0))</f>
        <v>17514</v>
      </c>
      <c r="G40" s="21">
        <f>IF(Notes!$B$2="June",ROUND('Budget by Source'!G40/10,0)+T40,ROUND('Budget by Source'!G40/10,0))</f>
        <v>78993</v>
      </c>
      <c r="H40" s="21">
        <f t="shared" si="0"/>
        <v>1344876</v>
      </c>
      <c r="I40" s="21">
        <f>INDEX(Data[],MATCH($A40,Data[Dist],0),MATCH(I$5,Data[#Headers],0))</f>
        <v>1644406</v>
      </c>
      <c r="K40" s="59">
        <f>INDEX('Payment Total'!$A$7:$H$331,MATCH('Payment by Source'!$A40,'Payment Total'!$A$7:$A$331,0),4)-I40</f>
        <v>0</v>
      </c>
      <c r="P40" s="138">
        <f>INDEX('Budget by Source'!$A$6:$I$330,MATCH('Payment by Source'!$A40,'Budget by Source'!$A$6:$A$330,0),MATCH(P$3,'Budget by Source'!$A$5:$I$5,0))-(ROUND(INDEX('Budget by Source'!$A$6:$I$330,MATCH('Payment by Source'!$A40,'Budget by Source'!$A$6:$A$330,0),MATCH(P$3,'Budget by Source'!$A$5:$I$5,0))/10,0)*10)</f>
        <v>-2</v>
      </c>
      <c r="Q40" s="138">
        <f>INDEX('Budget by Source'!$A$6:$I$330,MATCH('Payment by Source'!$A40,'Budget by Source'!$A$6:$A$330,0),MATCH(Q$3,'Budget by Source'!$A$5:$I$5,0))-(ROUND(INDEX('Budget by Source'!$A$6:$I$330,MATCH('Payment by Source'!$A40,'Budget by Source'!$A$6:$A$330,0),MATCH(Q$3,'Budget by Source'!$A$5:$I$5,0))/10,0)*10)</f>
        <v>-2</v>
      </c>
      <c r="R40" s="138">
        <f>INDEX('Budget by Source'!$A$6:$I$330,MATCH('Payment by Source'!$A40,'Budget by Source'!$A$6:$A$330,0),MATCH(R$3,'Budget by Source'!$A$5:$I$5,0))-(ROUND(INDEX('Budget by Source'!$A$6:$I$330,MATCH('Payment by Source'!$A40,'Budget by Source'!$A$6:$A$330,0),MATCH(R$3,'Budget by Source'!$A$5:$I$5,0))/10,0)*10)</f>
        <v>-1</v>
      </c>
      <c r="S40" s="138">
        <f>INDEX('Budget by Source'!$A$6:$I$330,MATCH('Payment by Source'!$A40,'Budget by Source'!$A$6:$A$330,0),MATCH(S$3,'Budget by Source'!$A$5:$I$5,0))-(ROUND(INDEX('Budget by Source'!$A$6:$I$330,MATCH('Payment by Source'!$A40,'Budget by Source'!$A$6:$A$330,0),MATCH(S$3,'Budget by Source'!$A$5:$I$5,0))/10,0)*10)</f>
        <v>-2</v>
      </c>
      <c r="T40" s="138">
        <f>INDEX('Budget by Source'!$A$6:$I$330,MATCH('Payment by Source'!$A40,'Budget by Source'!$A$6:$A$330,0),MATCH(T$3,'Budget by Source'!$A$5:$I$5,0))-(ROUND(INDEX('Budget by Source'!$A$6:$I$330,MATCH('Payment by Source'!$A40,'Budget by Source'!$A$6:$A$330,0),MATCH(T$3,'Budget by Source'!$A$5:$I$5,0))/10,0)*10)</f>
        <v>0</v>
      </c>
      <c r="U40" s="139">
        <f>INDEX('Budget by Source'!$A$6:$I$330,MATCH('Payment by Source'!$A40,'Budget by Source'!$A$6:$A$330,0),MATCH(U$3,'Budget by Source'!$A$5:$I$5,0))</f>
        <v>13478743</v>
      </c>
      <c r="V40" s="136">
        <f t="shared" si="1"/>
        <v>1347874</v>
      </c>
      <c r="W40" s="136">
        <f t="shared" si="2"/>
        <v>13478740</v>
      </c>
    </row>
    <row r="41" spans="1:23" x14ac:dyDescent="0.2">
      <c r="A41" s="22" t="str">
        <f>Data!B37</f>
        <v>0747</v>
      </c>
      <c r="B41" s="20" t="str">
        <f>INDEX(Data[],MATCH($A41,Data[Dist],0),MATCH(B$5,Data[#Headers],0))</f>
        <v>Boyden-Hull</v>
      </c>
      <c r="C41" s="21">
        <f>IF(Notes!$B$2="June",ROUND('Budget by Source'!C41/10,0)+P41,ROUND('Budget by Source'!C41/10,0))</f>
        <v>24158</v>
      </c>
      <c r="D41" s="21">
        <f>IF(Notes!$B$2="June",ROUND('Budget by Source'!D41/10,0)+Q41,ROUND('Budget by Source'!D41/10,0))</f>
        <v>72561</v>
      </c>
      <c r="E41" s="21">
        <f>IF(Notes!$B$2="June",ROUND('Budget by Source'!E41/10,0)+R41,ROUND('Budget by Source'!E41/10,0))</f>
        <v>6957</v>
      </c>
      <c r="F41" s="21">
        <f>IF(Notes!$B$2="June",ROUND('Budget by Source'!F41/10,0)+S41,ROUND('Budget by Source'!F41/10,0))</f>
        <v>5794</v>
      </c>
      <c r="G41" s="21">
        <f>IF(Notes!$B$2="June",ROUND('Budget by Source'!G41/10,0)+T41,ROUND('Budget by Source'!G41/10,0))</f>
        <v>29864</v>
      </c>
      <c r="H41" s="21">
        <f t="shared" si="0"/>
        <v>302472</v>
      </c>
      <c r="I41" s="21">
        <f>INDEX(Data[],MATCH($A41,Data[Dist],0),MATCH(I$5,Data[#Headers],0))</f>
        <v>441806</v>
      </c>
      <c r="K41" s="59">
        <f>INDEX('Payment Total'!$A$7:$H$331,MATCH('Payment by Source'!$A41,'Payment Total'!$A$7:$A$331,0),4)-I41</f>
        <v>0</v>
      </c>
      <c r="P41" s="138">
        <f>INDEX('Budget by Source'!$A$6:$I$330,MATCH('Payment by Source'!$A41,'Budget by Source'!$A$6:$A$330,0),MATCH(P$3,'Budget by Source'!$A$5:$I$5,0))-(ROUND(INDEX('Budget by Source'!$A$6:$I$330,MATCH('Payment by Source'!$A41,'Budget by Source'!$A$6:$A$330,0),MATCH(P$3,'Budget by Source'!$A$5:$I$5,0))/10,0)*10)</f>
        <v>-2</v>
      </c>
      <c r="Q41" s="138">
        <f>INDEX('Budget by Source'!$A$6:$I$330,MATCH('Payment by Source'!$A41,'Budget by Source'!$A$6:$A$330,0),MATCH(Q$3,'Budget by Source'!$A$5:$I$5,0))-(ROUND(INDEX('Budget by Source'!$A$6:$I$330,MATCH('Payment by Source'!$A41,'Budget by Source'!$A$6:$A$330,0),MATCH(Q$3,'Budget by Source'!$A$5:$I$5,0))/10,0)*10)</f>
        <v>3</v>
      </c>
      <c r="R41" s="138">
        <f>INDEX('Budget by Source'!$A$6:$I$330,MATCH('Payment by Source'!$A41,'Budget by Source'!$A$6:$A$330,0),MATCH(R$3,'Budget by Source'!$A$5:$I$5,0))-(ROUND(INDEX('Budget by Source'!$A$6:$I$330,MATCH('Payment by Source'!$A41,'Budget by Source'!$A$6:$A$330,0),MATCH(R$3,'Budget by Source'!$A$5:$I$5,0))/10,0)*10)</f>
        <v>-5</v>
      </c>
      <c r="S41" s="138">
        <f>INDEX('Budget by Source'!$A$6:$I$330,MATCH('Payment by Source'!$A41,'Budget by Source'!$A$6:$A$330,0),MATCH(S$3,'Budget by Source'!$A$5:$I$5,0))-(ROUND(INDEX('Budget by Source'!$A$6:$I$330,MATCH('Payment by Source'!$A41,'Budget by Source'!$A$6:$A$330,0),MATCH(S$3,'Budget by Source'!$A$5:$I$5,0))/10,0)*10)</f>
        <v>3</v>
      </c>
      <c r="T41" s="138">
        <f>INDEX('Budget by Source'!$A$6:$I$330,MATCH('Payment by Source'!$A41,'Budget by Source'!$A$6:$A$330,0),MATCH(T$3,'Budget by Source'!$A$5:$I$5,0))-(ROUND(INDEX('Budget by Source'!$A$6:$I$330,MATCH('Payment by Source'!$A41,'Budget by Source'!$A$6:$A$330,0),MATCH(T$3,'Budget by Source'!$A$5:$I$5,0))/10,0)*10)</f>
        <v>1</v>
      </c>
      <c r="U41" s="139">
        <f>INDEX('Budget by Source'!$A$6:$I$330,MATCH('Payment by Source'!$A41,'Budget by Source'!$A$6:$A$330,0),MATCH(U$3,'Budget by Source'!$A$5:$I$5,0))</f>
        <v>3033181</v>
      </c>
      <c r="V41" s="136">
        <f t="shared" si="1"/>
        <v>303318</v>
      </c>
      <c r="W41" s="136">
        <f t="shared" si="2"/>
        <v>3033180</v>
      </c>
    </row>
    <row r="42" spans="1:23" x14ac:dyDescent="0.2">
      <c r="A42" s="22" t="str">
        <f>Data!B38</f>
        <v>0819</v>
      </c>
      <c r="B42" s="20" t="str">
        <f>INDEX(Data[],MATCH($A42,Data[Dist],0),MATCH(B$5,Data[#Headers],0))</f>
        <v>West Hancock</v>
      </c>
      <c r="C42" s="21">
        <f>IF(Notes!$B$2="June",ROUND('Budget by Source'!C42/10,0)+P42,ROUND('Budget by Source'!C42/10,0))</f>
        <v>15196</v>
      </c>
      <c r="D42" s="21">
        <f>IF(Notes!$B$2="June",ROUND('Budget by Source'!D42/10,0)+Q42,ROUND('Budget by Source'!D42/10,0))</f>
        <v>53370</v>
      </c>
      <c r="E42" s="21">
        <f>IF(Notes!$B$2="June",ROUND('Budget by Source'!E42/10,0)+R42,ROUND('Budget by Source'!E42/10,0))</f>
        <v>4569</v>
      </c>
      <c r="F42" s="21">
        <f>IF(Notes!$B$2="June",ROUND('Budget by Source'!F42/10,0)+S42,ROUND('Budget by Source'!F42/10,0))</f>
        <v>4092</v>
      </c>
      <c r="G42" s="21">
        <f>IF(Notes!$B$2="June",ROUND('Budget by Source'!G42/10,0)+T42,ROUND('Budget by Source'!G42/10,0))</f>
        <v>21966</v>
      </c>
      <c r="H42" s="21">
        <f t="shared" si="0"/>
        <v>270404</v>
      </c>
      <c r="I42" s="21">
        <f>INDEX(Data[],MATCH($A42,Data[Dist],0),MATCH(I$5,Data[#Headers],0))</f>
        <v>369597</v>
      </c>
      <c r="K42" s="59">
        <f>INDEX('Payment Total'!$A$7:$H$331,MATCH('Payment by Source'!$A42,'Payment Total'!$A$7:$A$331,0),4)-I42</f>
        <v>0</v>
      </c>
      <c r="P42" s="138">
        <f>INDEX('Budget by Source'!$A$6:$I$330,MATCH('Payment by Source'!$A42,'Budget by Source'!$A$6:$A$330,0),MATCH(P$3,'Budget by Source'!$A$5:$I$5,0))-(ROUND(INDEX('Budget by Source'!$A$6:$I$330,MATCH('Payment by Source'!$A42,'Budget by Source'!$A$6:$A$330,0),MATCH(P$3,'Budget by Source'!$A$5:$I$5,0))/10,0)*10)</f>
        <v>0</v>
      </c>
      <c r="Q42" s="138">
        <f>INDEX('Budget by Source'!$A$6:$I$330,MATCH('Payment by Source'!$A42,'Budget by Source'!$A$6:$A$330,0),MATCH(Q$3,'Budget by Source'!$A$5:$I$5,0))-(ROUND(INDEX('Budget by Source'!$A$6:$I$330,MATCH('Payment by Source'!$A42,'Budget by Source'!$A$6:$A$330,0),MATCH(Q$3,'Budget by Source'!$A$5:$I$5,0))/10,0)*10)</f>
        <v>1</v>
      </c>
      <c r="R42" s="138">
        <f>INDEX('Budget by Source'!$A$6:$I$330,MATCH('Payment by Source'!$A42,'Budget by Source'!$A$6:$A$330,0),MATCH(R$3,'Budget by Source'!$A$5:$I$5,0))-(ROUND(INDEX('Budget by Source'!$A$6:$I$330,MATCH('Payment by Source'!$A42,'Budget by Source'!$A$6:$A$330,0),MATCH(R$3,'Budget by Source'!$A$5:$I$5,0))/10,0)*10)</f>
        <v>-2</v>
      </c>
      <c r="S42" s="138">
        <f>INDEX('Budget by Source'!$A$6:$I$330,MATCH('Payment by Source'!$A42,'Budget by Source'!$A$6:$A$330,0),MATCH(S$3,'Budget by Source'!$A$5:$I$5,0))-(ROUND(INDEX('Budget by Source'!$A$6:$I$330,MATCH('Payment by Source'!$A42,'Budget by Source'!$A$6:$A$330,0),MATCH(S$3,'Budget by Source'!$A$5:$I$5,0))/10,0)*10)</f>
        <v>0</v>
      </c>
      <c r="T42" s="138">
        <f>INDEX('Budget by Source'!$A$6:$I$330,MATCH('Payment by Source'!$A42,'Budget by Source'!$A$6:$A$330,0),MATCH(T$3,'Budget by Source'!$A$5:$I$5,0))-(ROUND(INDEX('Budget by Source'!$A$6:$I$330,MATCH('Payment by Source'!$A42,'Budget by Source'!$A$6:$A$330,0),MATCH(T$3,'Budget by Source'!$A$5:$I$5,0))/10,0)*10)</f>
        <v>-4</v>
      </c>
      <c r="U42" s="139">
        <f>INDEX('Budget by Source'!$A$6:$I$330,MATCH('Payment by Source'!$A42,'Budget by Source'!$A$6:$A$330,0),MATCH(U$3,'Budget by Source'!$A$5:$I$5,0))</f>
        <v>2712766</v>
      </c>
      <c r="V42" s="136">
        <f t="shared" si="1"/>
        <v>271277</v>
      </c>
      <c r="W42" s="136">
        <f t="shared" si="2"/>
        <v>2712770</v>
      </c>
    </row>
    <row r="43" spans="1:23" x14ac:dyDescent="0.2">
      <c r="A43" s="22" t="str">
        <f>Data!B39</f>
        <v>0846</v>
      </c>
      <c r="B43" s="20" t="str">
        <f>INDEX(Data[],MATCH($A43,Data[Dist],0),MATCH(B$5,Data[#Headers],0))</f>
        <v>Brooklyn-Guernsey-Malcom</v>
      </c>
      <c r="C43" s="21">
        <f>IF(Notes!$B$2="June",ROUND('Budget by Source'!C43/10,0)+P43,ROUND('Budget by Source'!C43/10,0))</f>
        <v>11300</v>
      </c>
      <c r="D43" s="21">
        <f>IF(Notes!$B$2="June",ROUND('Budget by Source'!D43/10,0)+Q43,ROUND('Budget by Source'!D43/10,0))</f>
        <v>47778</v>
      </c>
      <c r="E43" s="21">
        <f>IF(Notes!$B$2="June",ROUND('Budget by Source'!E43/10,0)+R43,ROUND('Budget by Source'!E43/10,0))</f>
        <v>3932</v>
      </c>
      <c r="F43" s="21">
        <f>IF(Notes!$B$2="June",ROUND('Budget by Source'!F43/10,0)+S43,ROUND('Budget by Source'!F43/10,0))</f>
        <v>3675</v>
      </c>
      <c r="G43" s="21">
        <f>IF(Notes!$B$2="June",ROUND('Budget by Source'!G43/10,0)+T43,ROUND('Budget by Source'!G43/10,0))</f>
        <v>19359</v>
      </c>
      <c r="H43" s="21">
        <f t="shared" si="0"/>
        <v>276373</v>
      </c>
      <c r="I43" s="21">
        <f>INDEX(Data[],MATCH($A43,Data[Dist],0),MATCH(I$5,Data[#Headers],0))</f>
        <v>362417</v>
      </c>
      <c r="K43" s="59">
        <f>INDEX('Payment Total'!$A$7:$H$331,MATCH('Payment by Source'!$A43,'Payment Total'!$A$7:$A$331,0),4)-I43</f>
        <v>0</v>
      </c>
      <c r="P43" s="138">
        <f>INDEX('Budget by Source'!$A$6:$I$330,MATCH('Payment by Source'!$A43,'Budget by Source'!$A$6:$A$330,0),MATCH(P$3,'Budget by Source'!$A$5:$I$5,0))-(ROUND(INDEX('Budget by Source'!$A$6:$I$330,MATCH('Payment by Source'!$A43,'Budget by Source'!$A$6:$A$330,0),MATCH(P$3,'Budget by Source'!$A$5:$I$5,0))/10,0)*10)</f>
        <v>-4</v>
      </c>
      <c r="Q43" s="138">
        <f>INDEX('Budget by Source'!$A$6:$I$330,MATCH('Payment by Source'!$A43,'Budget by Source'!$A$6:$A$330,0),MATCH(Q$3,'Budget by Source'!$A$5:$I$5,0))-(ROUND(INDEX('Budget by Source'!$A$6:$I$330,MATCH('Payment by Source'!$A43,'Budget by Source'!$A$6:$A$330,0),MATCH(Q$3,'Budget by Source'!$A$5:$I$5,0))/10,0)*10)</f>
        <v>3</v>
      </c>
      <c r="R43" s="138">
        <f>INDEX('Budget by Source'!$A$6:$I$330,MATCH('Payment by Source'!$A43,'Budget by Source'!$A$6:$A$330,0),MATCH(R$3,'Budget by Source'!$A$5:$I$5,0))-(ROUND(INDEX('Budget by Source'!$A$6:$I$330,MATCH('Payment by Source'!$A43,'Budget by Source'!$A$6:$A$330,0),MATCH(R$3,'Budget by Source'!$A$5:$I$5,0))/10,0)*10)</f>
        <v>-1</v>
      </c>
      <c r="S43" s="138">
        <f>INDEX('Budget by Source'!$A$6:$I$330,MATCH('Payment by Source'!$A43,'Budget by Source'!$A$6:$A$330,0),MATCH(S$3,'Budget by Source'!$A$5:$I$5,0))-(ROUND(INDEX('Budget by Source'!$A$6:$I$330,MATCH('Payment by Source'!$A43,'Budget by Source'!$A$6:$A$330,0),MATCH(S$3,'Budget by Source'!$A$5:$I$5,0))/10,0)*10)</f>
        <v>-4</v>
      </c>
      <c r="T43" s="138">
        <f>INDEX('Budget by Source'!$A$6:$I$330,MATCH('Payment by Source'!$A43,'Budget by Source'!$A$6:$A$330,0),MATCH(T$3,'Budget by Source'!$A$5:$I$5,0))-(ROUND(INDEX('Budget by Source'!$A$6:$I$330,MATCH('Payment by Source'!$A43,'Budget by Source'!$A$6:$A$330,0),MATCH(T$3,'Budget by Source'!$A$5:$I$5,0))/10,0)*10)</f>
        <v>2</v>
      </c>
      <c r="U43" s="139">
        <f>INDEX('Budget by Source'!$A$6:$I$330,MATCH('Payment by Source'!$A43,'Budget by Source'!$A$6:$A$330,0),MATCH(U$3,'Budget by Source'!$A$5:$I$5,0))</f>
        <v>2771428</v>
      </c>
      <c r="V43" s="136">
        <f t="shared" si="1"/>
        <v>277143</v>
      </c>
      <c r="W43" s="136">
        <f t="shared" si="2"/>
        <v>2771430</v>
      </c>
    </row>
    <row r="44" spans="1:23" x14ac:dyDescent="0.2">
      <c r="A44" s="22" t="str">
        <f>Data!B40</f>
        <v>0873</v>
      </c>
      <c r="B44" s="20" t="str">
        <f>INDEX(Data[],MATCH($A44,Data[Dist],0),MATCH(B$5,Data[#Headers],0))</f>
        <v>North Iowa</v>
      </c>
      <c r="C44" s="21">
        <f>IF(Notes!$B$2="June",ROUND('Budget by Source'!C44/10,0)+P44,ROUND('Budget by Source'!C44/10,0))</f>
        <v>5065</v>
      </c>
      <c r="D44" s="21">
        <f>IF(Notes!$B$2="June",ROUND('Budget by Source'!D44/10,0)+Q44,ROUND('Budget by Source'!D44/10,0))</f>
        <v>50471</v>
      </c>
      <c r="E44" s="21">
        <f>IF(Notes!$B$2="June",ROUND('Budget by Source'!E44/10,0)+R44,ROUND('Budget by Source'!E44/10,0))</f>
        <v>3537</v>
      </c>
      <c r="F44" s="21">
        <f>IF(Notes!$B$2="June",ROUND('Budget by Source'!F44/10,0)+S44,ROUND('Budget by Source'!F44/10,0))</f>
        <v>3662</v>
      </c>
      <c r="G44" s="21">
        <f>IF(Notes!$B$2="June",ROUND('Budget by Source'!G44/10,0)+T44,ROUND('Budget by Source'!G44/10,0))</f>
        <v>17826</v>
      </c>
      <c r="H44" s="21">
        <f t="shared" si="0"/>
        <v>161294</v>
      </c>
      <c r="I44" s="21">
        <f>INDEX(Data[],MATCH($A44,Data[Dist],0),MATCH(I$5,Data[#Headers],0))</f>
        <v>241855</v>
      </c>
      <c r="K44" s="59">
        <f>INDEX('Payment Total'!$A$7:$H$331,MATCH('Payment by Source'!$A44,'Payment Total'!$A$7:$A$331,0),4)-I44</f>
        <v>0</v>
      </c>
      <c r="P44" s="138">
        <f>INDEX('Budget by Source'!$A$6:$I$330,MATCH('Payment by Source'!$A44,'Budget by Source'!$A$6:$A$330,0),MATCH(P$3,'Budget by Source'!$A$5:$I$5,0))-(ROUND(INDEX('Budget by Source'!$A$6:$I$330,MATCH('Payment by Source'!$A44,'Budget by Source'!$A$6:$A$330,0),MATCH(P$3,'Budget by Source'!$A$5:$I$5,0))/10,0)*10)</f>
        <v>3</v>
      </c>
      <c r="Q44" s="138">
        <f>INDEX('Budget by Source'!$A$6:$I$330,MATCH('Payment by Source'!$A44,'Budget by Source'!$A$6:$A$330,0),MATCH(Q$3,'Budget by Source'!$A$5:$I$5,0))-(ROUND(INDEX('Budget by Source'!$A$6:$I$330,MATCH('Payment by Source'!$A44,'Budget by Source'!$A$6:$A$330,0),MATCH(Q$3,'Budget by Source'!$A$5:$I$5,0))/10,0)*10)</f>
        <v>1</v>
      </c>
      <c r="R44" s="138">
        <f>INDEX('Budget by Source'!$A$6:$I$330,MATCH('Payment by Source'!$A44,'Budget by Source'!$A$6:$A$330,0),MATCH(R$3,'Budget by Source'!$A$5:$I$5,0))-(ROUND(INDEX('Budget by Source'!$A$6:$I$330,MATCH('Payment by Source'!$A44,'Budget by Source'!$A$6:$A$330,0),MATCH(R$3,'Budget by Source'!$A$5:$I$5,0))/10,0)*10)</f>
        <v>-1</v>
      </c>
      <c r="S44" s="138">
        <f>INDEX('Budget by Source'!$A$6:$I$330,MATCH('Payment by Source'!$A44,'Budget by Source'!$A$6:$A$330,0),MATCH(S$3,'Budget by Source'!$A$5:$I$5,0))-(ROUND(INDEX('Budget by Source'!$A$6:$I$330,MATCH('Payment by Source'!$A44,'Budget by Source'!$A$6:$A$330,0),MATCH(S$3,'Budget by Source'!$A$5:$I$5,0))/10,0)*10)</f>
        <v>0</v>
      </c>
      <c r="T44" s="138">
        <f>INDEX('Budget by Source'!$A$6:$I$330,MATCH('Payment by Source'!$A44,'Budget by Source'!$A$6:$A$330,0),MATCH(T$3,'Budget by Source'!$A$5:$I$5,0))-(ROUND(INDEX('Budget by Source'!$A$6:$I$330,MATCH('Payment by Source'!$A44,'Budget by Source'!$A$6:$A$330,0),MATCH(T$3,'Budget by Source'!$A$5:$I$5,0))/10,0)*10)</f>
        <v>-4</v>
      </c>
      <c r="U44" s="139">
        <f>INDEX('Budget by Source'!$A$6:$I$330,MATCH('Payment by Source'!$A44,'Budget by Source'!$A$6:$A$330,0),MATCH(U$3,'Budget by Source'!$A$5:$I$5,0))</f>
        <v>1620026</v>
      </c>
      <c r="V44" s="136">
        <f t="shared" si="1"/>
        <v>162003</v>
      </c>
      <c r="W44" s="136">
        <f t="shared" si="2"/>
        <v>1620030</v>
      </c>
    </row>
    <row r="45" spans="1:23" x14ac:dyDescent="0.2">
      <c r="A45" s="22" t="str">
        <f>Data!B41</f>
        <v>0882</v>
      </c>
      <c r="B45" s="20" t="str">
        <f>INDEX(Data[],MATCH($A45,Data[Dist],0),MATCH(B$5,Data[#Headers],0))</f>
        <v>Burlington</v>
      </c>
      <c r="C45" s="21">
        <f>IF(Notes!$B$2="June",ROUND('Budget by Source'!C45/10,0)+P45,ROUND('Budget by Source'!C45/10,0))</f>
        <v>59226</v>
      </c>
      <c r="D45" s="21">
        <f>IF(Notes!$B$2="June",ROUND('Budget by Source'!D45/10,0)+Q45,ROUND('Budget by Source'!D45/10,0))</f>
        <v>299747</v>
      </c>
      <c r="E45" s="21">
        <f>IF(Notes!$B$2="June",ROUND('Budget by Source'!E45/10,0)+R45,ROUND('Budget by Source'!E45/10,0))</f>
        <v>35079</v>
      </c>
      <c r="F45" s="21">
        <f>IF(Notes!$B$2="June",ROUND('Budget by Source'!F45/10,0)+S45,ROUND('Budget by Source'!F45/10,0))</f>
        <v>28653</v>
      </c>
      <c r="G45" s="21">
        <f>IF(Notes!$B$2="June",ROUND('Budget by Source'!G45/10,0)+T45,ROUND('Budget by Source'!G45/10,0))</f>
        <v>148286</v>
      </c>
      <c r="H45" s="21">
        <f t="shared" si="0"/>
        <v>2635225</v>
      </c>
      <c r="I45" s="21">
        <f>INDEX(Data[],MATCH($A45,Data[Dist],0),MATCH(I$5,Data[#Headers],0))</f>
        <v>3206216</v>
      </c>
      <c r="K45" s="59">
        <f>INDEX('Payment Total'!$A$7:$H$331,MATCH('Payment by Source'!$A45,'Payment Total'!$A$7:$A$331,0),4)-I45</f>
        <v>0</v>
      </c>
      <c r="P45" s="138">
        <f>INDEX('Budget by Source'!$A$6:$I$330,MATCH('Payment by Source'!$A45,'Budget by Source'!$A$6:$A$330,0),MATCH(P$3,'Budget by Source'!$A$5:$I$5,0))-(ROUND(INDEX('Budget by Source'!$A$6:$I$330,MATCH('Payment by Source'!$A45,'Budget by Source'!$A$6:$A$330,0),MATCH(P$3,'Budget by Source'!$A$5:$I$5,0))/10,0)*10)</f>
        <v>-5</v>
      </c>
      <c r="Q45" s="138">
        <f>INDEX('Budget by Source'!$A$6:$I$330,MATCH('Payment by Source'!$A45,'Budget by Source'!$A$6:$A$330,0),MATCH(Q$3,'Budget by Source'!$A$5:$I$5,0))-(ROUND(INDEX('Budget by Source'!$A$6:$I$330,MATCH('Payment by Source'!$A45,'Budget by Source'!$A$6:$A$330,0),MATCH(Q$3,'Budget by Source'!$A$5:$I$5,0))/10,0)*10)</f>
        <v>0</v>
      </c>
      <c r="R45" s="138">
        <f>INDEX('Budget by Source'!$A$6:$I$330,MATCH('Payment by Source'!$A45,'Budget by Source'!$A$6:$A$330,0),MATCH(R$3,'Budget by Source'!$A$5:$I$5,0))-(ROUND(INDEX('Budget by Source'!$A$6:$I$330,MATCH('Payment by Source'!$A45,'Budget by Source'!$A$6:$A$330,0),MATCH(R$3,'Budget by Source'!$A$5:$I$5,0))/10,0)*10)</f>
        <v>2</v>
      </c>
      <c r="S45" s="138">
        <f>INDEX('Budget by Source'!$A$6:$I$330,MATCH('Payment by Source'!$A45,'Budget by Source'!$A$6:$A$330,0),MATCH(S$3,'Budget by Source'!$A$5:$I$5,0))-(ROUND(INDEX('Budget by Source'!$A$6:$I$330,MATCH('Payment by Source'!$A45,'Budget by Source'!$A$6:$A$330,0),MATCH(S$3,'Budget by Source'!$A$5:$I$5,0))/10,0)*10)</f>
        <v>0</v>
      </c>
      <c r="T45" s="138">
        <f>INDEX('Budget by Source'!$A$6:$I$330,MATCH('Payment by Source'!$A45,'Budget by Source'!$A$6:$A$330,0),MATCH(T$3,'Budget by Source'!$A$5:$I$5,0))-(ROUND(INDEX('Budget by Source'!$A$6:$I$330,MATCH('Payment by Source'!$A45,'Budget by Source'!$A$6:$A$330,0),MATCH(T$3,'Budget by Source'!$A$5:$I$5,0))/10,0)*10)</f>
        <v>-4</v>
      </c>
      <c r="U45" s="139">
        <f>INDEX('Budget by Source'!$A$6:$I$330,MATCH('Payment by Source'!$A45,'Budget by Source'!$A$6:$A$330,0),MATCH(U$3,'Budget by Source'!$A$5:$I$5,0))</f>
        <v>26409272</v>
      </c>
      <c r="V45" s="136">
        <f t="shared" si="1"/>
        <v>2640927</v>
      </c>
      <c r="W45" s="136">
        <f t="shared" si="2"/>
        <v>26409270</v>
      </c>
    </row>
    <row r="46" spans="1:23" x14ac:dyDescent="0.2">
      <c r="A46" s="22" t="str">
        <f>Data!B42</f>
        <v>0914</v>
      </c>
      <c r="B46" s="20" t="str">
        <f>INDEX(Data[],MATCH($A46,Data[Dist],0),MATCH(B$5,Data[#Headers],0))</f>
        <v>CAM</v>
      </c>
      <c r="C46" s="21">
        <f>IF(Notes!$B$2="June",ROUND('Budget by Source'!C46/10,0)+P46,ROUND('Budget by Source'!C46/10,0))</f>
        <v>8572</v>
      </c>
      <c r="D46" s="21">
        <f>IF(Notes!$B$2="June",ROUND('Budget by Source'!D46/10,0)+Q46,ROUND('Budget by Source'!D46/10,0))</f>
        <v>70163</v>
      </c>
      <c r="E46" s="21">
        <f>IF(Notes!$B$2="June",ROUND('Budget by Source'!E46/10,0)+R46,ROUND('Budget by Source'!E46/10,0))</f>
        <v>3436</v>
      </c>
      <c r="F46" s="21">
        <f>IF(Notes!$B$2="June",ROUND('Budget by Source'!F46/10,0)+S46,ROUND('Budget by Source'!F46/10,0))</f>
        <v>3334</v>
      </c>
      <c r="G46" s="21">
        <f>IF(Notes!$B$2="June",ROUND('Budget by Source'!G46/10,0)+T46,ROUND('Budget by Source'!G46/10,0))</f>
        <v>17096</v>
      </c>
      <c r="H46" s="21">
        <f t="shared" si="0"/>
        <v>110178</v>
      </c>
      <c r="I46" s="21">
        <f>INDEX(Data[],MATCH($A46,Data[Dist],0),MATCH(I$5,Data[#Headers],0))</f>
        <v>212779</v>
      </c>
      <c r="K46" s="59">
        <f>INDEX('Payment Total'!$A$7:$H$331,MATCH('Payment by Source'!$A46,'Payment Total'!$A$7:$A$331,0),4)-I46</f>
        <v>0</v>
      </c>
      <c r="P46" s="138">
        <f>INDEX('Budget by Source'!$A$6:$I$330,MATCH('Payment by Source'!$A46,'Budget by Source'!$A$6:$A$330,0),MATCH(P$3,'Budget by Source'!$A$5:$I$5,0))-(ROUND(INDEX('Budget by Source'!$A$6:$I$330,MATCH('Payment by Source'!$A46,'Budget by Source'!$A$6:$A$330,0),MATCH(P$3,'Budget by Source'!$A$5:$I$5,0))/10,0)*10)</f>
        <v>1</v>
      </c>
      <c r="Q46" s="138">
        <f>INDEX('Budget by Source'!$A$6:$I$330,MATCH('Payment by Source'!$A46,'Budget by Source'!$A$6:$A$330,0),MATCH(Q$3,'Budget by Source'!$A$5:$I$5,0))-(ROUND(INDEX('Budget by Source'!$A$6:$I$330,MATCH('Payment by Source'!$A46,'Budget by Source'!$A$6:$A$330,0),MATCH(Q$3,'Budget by Source'!$A$5:$I$5,0))/10,0)*10)</f>
        <v>1</v>
      </c>
      <c r="R46" s="138">
        <f>INDEX('Budget by Source'!$A$6:$I$330,MATCH('Payment by Source'!$A46,'Budget by Source'!$A$6:$A$330,0),MATCH(R$3,'Budget by Source'!$A$5:$I$5,0))-(ROUND(INDEX('Budget by Source'!$A$6:$I$330,MATCH('Payment by Source'!$A46,'Budget by Source'!$A$6:$A$330,0),MATCH(R$3,'Budget by Source'!$A$5:$I$5,0))/10,0)*10)</f>
        <v>1</v>
      </c>
      <c r="S46" s="138">
        <f>INDEX('Budget by Source'!$A$6:$I$330,MATCH('Payment by Source'!$A46,'Budget by Source'!$A$6:$A$330,0),MATCH(S$3,'Budget by Source'!$A$5:$I$5,0))-(ROUND(INDEX('Budget by Source'!$A$6:$I$330,MATCH('Payment by Source'!$A46,'Budget by Source'!$A$6:$A$330,0),MATCH(S$3,'Budget by Source'!$A$5:$I$5,0))/10,0)*10)</f>
        <v>-4</v>
      </c>
      <c r="T46" s="138">
        <f>INDEX('Budget by Source'!$A$6:$I$330,MATCH('Payment by Source'!$A46,'Budget by Source'!$A$6:$A$330,0),MATCH(T$3,'Budget by Source'!$A$5:$I$5,0))-(ROUND(INDEX('Budget by Source'!$A$6:$I$330,MATCH('Payment by Source'!$A46,'Budget by Source'!$A$6:$A$330,0),MATCH(T$3,'Budget by Source'!$A$5:$I$5,0))/10,0)*10)</f>
        <v>1</v>
      </c>
      <c r="U46" s="139">
        <f>INDEX('Budget by Source'!$A$6:$I$330,MATCH('Payment by Source'!$A46,'Budget by Source'!$A$6:$A$330,0),MATCH(U$3,'Budget by Source'!$A$5:$I$5,0))</f>
        <v>1108506</v>
      </c>
      <c r="V46" s="136">
        <f t="shared" si="1"/>
        <v>110851</v>
      </c>
      <c r="W46" s="136">
        <f t="shared" si="2"/>
        <v>1108510</v>
      </c>
    </row>
    <row r="47" spans="1:23" x14ac:dyDescent="0.2">
      <c r="A47" s="22" t="str">
        <f>Data!B43</f>
        <v>0916</v>
      </c>
      <c r="B47" s="20" t="str">
        <f>INDEX(Data[],MATCH($A47,Data[Dist],0),MATCH(B$5,Data[#Headers],0))</f>
        <v>CAL</v>
      </c>
      <c r="C47" s="21">
        <f>IF(Notes!$B$2="June",ROUND('Budget by Source'!C47/10,0)+P47,ROUND('Budget by Source'!C47/10,0))</f>
        <v>6234</v>
      </c>
      <c r="D47" s="21">
        <f>IF(Notes!$B$2="June",ROUND('Budget by Source'!D47/10,0)+Q47,ROUND('Budget by Source'!D47/10,0))</f>
        <v>35393</v>
      </c>
      <c r="E47" s="21">
        <f>IF(Notes!$B$2="June",ROUND('Budget by Source'!E47/10,0)+R47,ROUND('Budget by Source'!E47/10,0))</f>
        <v>2506</v>
      </c>
      <c r="F47" s="21">
        <f>IF(Notes!$B$2="June",ROUND('Budget by Source'!F47/10,0)+S47,ROUND('Budget by Source'!F47/10,0))</f>
        <v>2427</v>
      </c>
      <c r="G47" s="21">
        <f>IF(Notes!$B$2="June",ROUND('Budget by Source'!G47/10,0)+T47,ROUND('Budget by Source'!G47/10,0))</f>
        <v>11102</v>
      </c>
      <c r="H47" s="21">
        <f t="shared" si="0"/>
        <v>150580</v>
      </c>
      <c r="I47" s="21">
        <f>INDEX(Data[],MATCH($A47,Data[Dist],0),MATCH(I$5,Data[#Headers],0))</f>
        <v>208242</v>
      </c>
      <c r="K47" s="59">
        <f>INDEX('Payment Total'!$A$7:$H$331,MATCH('Payment by Source'!$A47,'Payment Total'!$A$7:$A$331,0),4)-I47</f>
        <v>0</v>
      </c>
      <c r="P47" s="138">
        <f>INDEX('Budget by Source'!$A$6:$I$330,MATCH('Payment by Source'!$A47,'Budget by Source'!$A$6:$A$330,0),MATCH(P$3,'Budget by Source'!$A$5:$I$5,0))-(ROUND(INDEX('Budget by Source'!$A$6:$I$330,MATCH('Payment by Source'!$A47,'Budget by Source'!$A$6:$A$330,0),MATCH(P$3,'Budget by Source'!$A$5:$I$5,0))/10,0)*10)</f>
        <v>3</v>
      </c>
      <c r="Q47" s="138">
        <f>INDEX('Budget by Source'!$A$6:$I$330,MATCH('Payment by Source'!$A47,'Budget by Source'!$A$6:$A$330,0),MATCH(Q$3,'Budget by Source'!$A$5:$I$5,0))-(ROUND(INDEX('Budget by Source'!$A$6:$I$330,MATCH('Payment by Source'!$A47,'Budget by Source'!$A$6:$A$330,0),MATCH(Q$3,'Budget by Source'!$A$5:$I$5,0))/10,0)*10)</f>
        <v>-4</v>
      </c>
      <c r="R47" s="138">
        <f>INDEX('Budget by Source'!$A$6:$I$330,MATCH('Payment by Source'!$A47,'Budget by Source'!$A$6:$A$330,0),MATCH(R$3,'Budget by Source'!$A$5:$I$5,0))-(ROUND(INDEX('Budget by Source'!$A$6:$I$330,MATCH('Payment by Source'!$A47,'Budget by Source'!$A$6:$A$330,0),MATCH(R$3,'Budget by Source'!$A$5:$I$5,0))/10,0)*10)</f>
        <v>-5</v>
      </c>
      <c r="S47" s="138">
        <f>INDEX('Budget by Source'!$A$6:$I$330,MATCH('Payment by Source'!$A47,'Budget by Source'!$A$6:$A$330,0),MATCH(S$3,'Budget by Source'!$A$5:$I$5,0))-(ROUND(INDEX('Budget by Source'!$A$6:$I$330,MATCH('Payment by Source'!$A47,'Budget by Source'!$A$6:$A$330,0),MATCH(S$3,'Budget by Source'!$A$5:$I$5,0))/10,0)*10)</f>
        <v>-3</v>
      </c>
      <c r="T47" s="138">
        <f>INDEX('Budget by Source'!$A$6:$I$330,MATCH('Payment by Source'!$A47,'Budget by Source'!$A$6:$A$330,0),MATCH(T$3,'Budget by Source'!$A$5:$I$5,0))-(ROUND(INDEX('Budget by Source'!$A$6:$I$330,MATCH('Payment by Source'!$A47,'Budget by Source'!$A$6:$A$330,0),MATCH(T$3,'Budget by Source'!$A$5:$I$5,0))/10,0)*10)</f>
        <v>-2</v>
      </c>
      <c r="U47" s="139">
        <f>INDEX('Budget by Source'!$A$6:$I$330,MATCH('Payment by Source'!$A47,'Budget by Source'!$A$6:$A$330,0),MATCH(U$3,'Budget by Source'!$A$5:$I$5,0))</f>
        <v>1510088</v>
      </c>
      <c r="V47" s="136">
        <f t="shared" si="1"/>
        <v>151009</v>
      </c>
      <c r="W47" s="136">
        <f t="shared" si="2"/>
        <v>1510090</v>
      </c>
    </row>
    <row r="48" spans="1:23" x14ac:dyDescent="0.2">
      <c r="A48" s="22" t="str">
        <f>Data!B44</f>
        <v>0918</v>
      </c>
      <c r="B48" s="20" t="str">
        <f>INDEX(Data[],MATCH($A48,Data[Dist],0),MATCH(B$5,Data[#Headers],0))</f>
        <v>Calamus-Wheatland</v>
      </c>
      <c r="C48" s="21">
        <f>IF(Notes!$B$2="June",ROUND('Budget by Source'!C48/10,0)+P48,ROUND('Budget by Source'!C48/10,0))</f>
        <v>8572</v>
      </c>
      <c r="D48" s="21">
        <f>IF(Notes!$B$2="June",ROUND('Budget by Source'!D48/10,0)+Q48,ROUND('Budget by Source'!D48/10,0))</f>
        <v>38749</v>
      </c>
      <c r="E48" s="21">
        <f>IF(Notes!$B$2="June",ROUND('Budget by Source'!E48/10,0)+R48,ROUND('Budget by Source'!E48/10,0))</f>
        <v>3160</v>
      </c>
      <c r="F48" s="21">
        <f>IF(Notes!$B$2="June",ROUND('Budget by Source'!F48/10,0)+S48,ROUND('Budget by Source'!F48/10,0))</f>
        <v>2996</v>
      </c>
      <c r="G48" s="21">
        <f>IF(Notes!$B$2="June",ROUND('Budget by Source'!G48/10,0)+T48,ROUND('Budget by Source'!G48/10,0))</f>
        <v>14052</v>
      </c>
      <c r="H48" s="21">
        <f t="shared" si="0"/>
        <v>186163</v>
      </c>
      <c r="I48" s="21">
        <f>INDEX(Data[],MATCH($A48,Data[Dist],0),MATCH(I$5,Data[#Headers],0))</f>
        <v>253692</v>
      </c>
      <c r="K48" s="59">
        <f>INDEX('Payment Total'!$A$7:$H$331,MATCH('Payment by Source'!$A48,'Payment Total'!$A$7:$A$331,0),4)-I48</f>
        <v>0</v>
      </c>
      <c r="P48" s="138">
        <f>INDEX('Budget by Source'!$A$6:$I$330,MATCH('Payment by Source'!$A48,'Budget by Source'!$A$6:$A$330,0),MATCH(P$3,'Budget by Source'!$A$5:$I$5,0))-(ROUND(INDEX('Budget by Source'!$A$6:$I$330,MATCH('Payment by Source'!$A48,'Budget by Source'!$A$6:$A$330,0),MATCH(P$3,'Budget by Source'!$A$5:$I$5,0))/10,0)*10)</f>
        <v>1</v>
      </c>
      <c r="Q48" s="138">
        <f>INDEX('Budget by Source'!$A$6:$I$330,MATCH('Payment by Source'!$A48,'Budget by Source'!$A$6:$A$330,0),MATCH(Q$3,'Budget by Source'!$A$5:$I$5,0))-(ROUND(INDEX('Budget by Source'!$A$6:$I$330,MATCH('Payment by Source'!$A48,'Budget by Source'!$A$6:$A$330,0),MATCH(Q$3,'Budget by Source'!$A$5:$I$5,0))/10,0)*10)</f>
        <v>1</v>
      </c>
      <c r="R48" s="138">
        <f>INDEX('Budget by Source'!$A$6:$I$330,MATCH('Payment by Source'!$A48,'Budget by Source'!$A$6:$A$330,0),MATCH(R$3,'Budget by Source'!$A$5:$I$5,0))-(ROUND(INDEX('Budget by Source'!$A$6:$I$330,MATCH('Payment by Source'!$A48,'Budget by Source'!$A$6:$A$330,0),MATCH(R$3,'Budget by Source'!$A$5:$I$5,0))/10,0)*10)</f>
        <v>-2</v>
      </c>
      <c r="S48" s="138">
        <f>INDEX('Budget by Source'!$A$6:$I$330,MATCH('Payment by Source'!$A48,'Budget by Source'!$A$6:$A$330,0),MATCH(S$3,'Budget by Source'!$A$5:$I$5,0))-(ROUND(INDEX('Budget by Source'!$A$6:$I$330,MATCH('Payment by Source'!$A48,'Budget by Source'!$A$6:$A$330,0),MATCH(S$3,'Budget by Source'!$A$5:$I$5,0))/10,0)*10)</f>
        <v>-5</v>
      </c>
      <c r="T48" s="138">
        <f>INDEX('Budget by Source'!$A$6:$I$330,MATCH('Payment by Source'!$A48,'Budget by Source'!$A$6:$A$330,0),MATCH(T$3,'Budget by Source'!$A$5:$I$5,0))-(ROUND(INDEX('Budget by Source'!$A$6:$I$330,MATCH('Payment by Source'!$A48,'Budget by Source'!$A$6:$A$330,0),MATCH(T$3,'Budget by Source'!$A$5:$I$5,0))/10,0)*10)</f>
        <v>0</v>
      </c>
      <c r="U48" s="139">
        <f>INDEX('Budget by Source'!$A$6:$I$330,MATCH('Payment by Source'!$A48,'Budget by Source'!$A$6:$A$330,0),MATCH(U$3,'Budget by Source'!$A$5:$I$5,0))</f>
        <v>1867075</v>
      </c>
      <c r="V48" s="136">
        <f t="shared" si="1"/>
        <v>186708</v>
      </c>
      <c r="W48" s="136">
        <f t="shared" si="2"/>
        <v>1867080</v>
      </c>
    </row>
    <row r="49" spans="1:23" x14ac:dyDescent="0.2">
      <c r="A49" s="22" t="str">
        <f>Data!B45</f>
        <v>0936</v>
      </c>
      <c r="B49" s="20" t="str">
        <f>INDEX(Data[],MATCH($A49,Data[Dist],0),MATCH(B$5,Data[#Headers],0))</f>
        <v>Camanche</v>
      </c>
      <c r="C49" s="21">
        <f>IF(Notes!$B$2="June",ROUND('Budget by Source'!C49/10,0)+P49,ROUND('Budget by Source'!C49/10,0))</f>
        <v>15196</v>
      </c>
      <c r="D49" s="21">
        <f>IF(Notes!$B$2="June",ROUND('Budget by Source'!D49/10,0)+Q49,ROUND('Budget by Source'!D49/10,0))</f>
        <v>96388</v>
      </c>
      <c r="E49" s="21">
        <f>IF(Notes!$B$2="June",ROUND('Budget by Source'!E49/10,0)+R49,ROUND('Budget by Source'!E49/10,0))</f>
        <v>7093</v>
      </c>
      <c r="F49" s="21">
        <f>IF(Notes!$B$2="June",ROUND('Budget by Source'!F49/10,0)+S49,ROUND('Budget by Source'!F49/10,0))</f>
        <v>6029</v>
      </c>
      <c r="G49" s="21">
        <f>IF(Notes!$B$2="June",ROUND('Budget by Source'!G49/10,0)+T49,ROUND('Budget by Source'!G49/10,0))</f>
        <v>31484</v>
      </c>
      <c r="H49" s="21">
        <f t="shared" si="0"/>
        <v>450214</v>
      </c>
      <c r="I49" s="21">
        <f>INDEX(Data[],MATCH($A49,Data[Dist],0),MATCH(I$5,Data[#Headers],0))</f>
        <v>606404</v>
      </c>
      <c r="K49" s="59">
        <f>INDEX('Payment Total'!$A$7:$H$331,MATCH('Payment by Source'!$A49,'Payment Total'!$A$7:$A$331,0),4)-I49</f>
        <v>0</v>
      </c>
      <c r="P49" s="138">
        <f>INDEX('Budget by Source'!$A$6:$I$330,MATCH('Payment by Source'!$A49,'Budget by Source'!$A$6:$A$330,0),MATCH(P$3,'Budget by Source'!$A$5:$I$5,0))-(ROUND(INDEX('Budget by Source'!$A$6:$I$330,MATCH('Payment by Source'!$A49,'Budget by Source'!$A$6:$A$330,0),MATCH(P$3,'Budget by Source'!$A$5:$I$5,0))/10,0)*10)</f>
        <v>0</v>
      </c>
      <c r="Q49" s="138">
        <f>INDEX('Budget by Source'!$A$6:$I$330,MATCH('Payment by Source'!$A49,'Budget by Source'!$A$6:$A$330,0),MATCH(Q$3,'Budget by Source'!$A$5:$I$5,0))-(ROUND(INDEX('Budget by Source'!$A$6:$I$330,MATCH('Payment by Source'!$A49,'Budget by Source'!$A$6:$A$330,0),MATCH(Q$3,'Budget by Source'!$A$5:$I$5,0))/10,0)*10)</f>
        <v>-4</v>
      </c>
      <c r="R49" s="138">
        <f>INDEX('Budget by Source'!$A$6:$I$330,MATCH('Payment by Source'!$A49,'Budget by Source'!$A$6:$A$330,0),MATCH(R$3,'Budget by Source'!$A$5:$I$5,0))-(ROUND(INDEX('Budget by Source'!$A$6:$I$330,MATCH('Payment by Source'!$A49,'Budget by Source'!$A$6:$A$330,0),MATCH(R$3,'Budget by Source'!$A$5:$I$5,0))/10,0)*10)</f>
        <v>3</v>
      </c>
      <c r="S49" s="138">
        <f>INDEX('Budget by Source'!$A$6:$I$330,MATCH('Payment by Source'!$A49,'Budget by Source'!$A$6:$A$330,0),MATCH(S$3,'Budget by Source'!$A$5:$I$5,0))-(ROUND(INDEX('Budget by Source'!$A$6:$I$330,MATCH('Payment by Source'!$A49,'Budget by Source'!$A$6:$A$330,0),MATCH(S$3,'Budget by Source'!$A$5:$I$5,0))/10,0)*10)</f>
        <v>-2</v>
      </c>
      <c r="T49" s="138">
        <f>INDEX('Budget by Source'!$A$6:$I$330,MATCH('Payment by Source'!$A49,'Budget by Source'!$A$6:$A$330,0),MATCH(T$3,'Budget by Source'!$A$5:$I$5,0))-(ROUND(INDEX('Budget by Source'!$A$6:$I$330,MATCH('Payment by Source'!$A49,'Budget by Source'!$A$6:$A$330,0),MATCH(T$3,'Budget by Source'!$A$5:$I$5,0))/10,0)*10)</f>
        <v>-5</v>
      </c>
      <c r="U49" s="139">
        <f>INDEX('Budget by Source'!$A$6:$I$330,MATCH('Payment by Source'!$A49,'Budget by Source'!$A$6:$A$330,0),MATCH(U$3,'Budget by Source'!$A$5:$I$5,0))</f>
        <v>4514489</v>
      </c>
      <c r="V49" s="136">
        <f t="shared" si="1"/>
        <v>451449</v>
      </c>
      <c r="W49" s="136">
        <f t="shared" si="2"/>
        <v>4514490</v>
      </c>
    </row>
    <row r="50" spans="1:23" x14ac:dyDescent="0.2">
      <c r="A50" s="22" t="str">
        <f>Data!B46</f>
        <v>0977</v>
      </c>
      <c r="B50" s="20" t="str">
        <f>INDEX(Data[],MATCH($A50,Data[Dist],0),MATCH(B$5,Data[#Headers],0))</f>
        <v>Cardinal</v>
      </c>
      <c r="C50" s="21">
        <f>IF(Notes!$B$2="June",ROUND('Budget by Source'!C50/10,0)+P50,ROUND('Budget by Source'!C50/10,0))</f>
        <v>26885</v>
      </c>
      <c r="D50" s="21">
        <f>IF(Notes!$B$2="June",ROUND('Budget by Source'!D50/10,0)+Q50,ROUND('Budget by Source'!D50/10,0))</f>
        <v>77481</v>
      </c>
      <c r="E50" s="21">
        <f>IF(Notes!$B$2="June",ROUND('Budget by Source'!E50/10,0)+R50,ROUND('Budget by Source'!E50/10,0))</f>
        <v>4870</v>
      </c>
      <c r="F50" s="21">
        <f>IF(Notes!$B$2="June",ROUND('Budget by Source'!F50/10,0)+S50,ROUND('Budget by Source'!F50/10,0))</f>
        <v>3740</v>
      </c>
      <c r="G50" s="21">
        <f>IF(Notes!$B$2="June",ROUND('Budget by Source'!G50/10,0)+T50,ROUND('Budget by Source'!G50/10,0))</f>
        <v>21135</v>
      </c>
      <c r="H50" s="21">
        <f t="shared" si="0"/>
        <v>343189</v>
      </c>
      <c r="I50" s="21">
        <f>INDEX(Data[],MATCH($A50,Data[Dist],0),MATCH(I$5,Data[#Headers],0))</f>
        <v>477300</v>
      </c>
      <c r="K50" s="59">
        <f>INDEX('Payment Total'!$A$7:$H$331,MATCH('Payment by Source'!$A50,'Payment Total'!$A$7:$A$331,0),4)-I50</f>
        <v>0</v>
      </c>
      <c r="P50" s="138">
        <f>INDEX('Budget by Source'!$A$6:$I$330,MATCH('Payment by Source'!$A50,'Budget by Source'!$A$6:$A$330,0),MATCH(P$3,'Budget by Source'!$A$5:$I$5,0))-(ROUND(INDEX('Budget by Source'!$A$6:$I$330,MATCH('Payment by Source'!$A50,'Budget by Source'!$A$6:$A$330,0),MATCH(P$3,'Budget by Source'!$A$5:$I$5,0))/10,0)*10)</f>
        <v>3</v>
      </c>
      <c r="Q50" s="138">
        <f>INDEX('Budget by Source'!$A$6:$I$330,MATCH('Payment by Source'!$A50,'Budget by Source'!$A$6:$A$330,0),MATCH(Q$3,'Budget by Source'!$A$5:$I$5,0))-(ROUND(INDEX('Budget by Source'!$A$6:$I$330,MATCH('Payment by Source'!$A50,'Budget by Source'!$A$6:$A$330,0),MATCH(Q$3,'Budget by Source'!$A$5:$I$5,0))/10,0)*10)</f>
        <v>2</v>
      </c>
      <c r="R50" s="138">
        <f>INDEX('Budget by Source'!$A$6:$I$330,MATCH('Payment by Source'!$A50,'Budget by Source'!$A$6:$A$330,0),MATCH(R$3,'Budget by Source'!$A$5:$I$5,0))-(ROUND(INDEX('Budget by Source'!$A$6:$I$330,MATCH('Payment by Source'!$A50,'Budget by Source'!$A$6:$A$330,0),MATCH(R$3,'Budget by Source'!$A$5:$I$5,0))/10,0)*10)</f>
        <v>2</v>
      </c>
      <c r="S50" s="138">
        <f>INDEX('Budget by Source'!$A$6:$I$330,MATCH('Payment by Source'!$A50,'Budget by Source'!$A$6:$A$330,0),MATCH(S$3,'Budget by Source'!$A$5:$I$5,0))-(ROUND(INDEX('Budget by Source'!$A$6:$I$330,MATCH('Payment by Source'!$A50,'Budget by Source'!$A$6:$A$330,0),MATCH(S$3,'Budget by Source'!$A$5:$I$5,0))/10,0)*10)</f>
        <v>4</v>
      </c>
      <c r="T50" s="138">
        <f>INDEX('Budget by Source'!$A$6:$I$330,MATCH('Payment by Source'!$A50,'Budget by Source'!$A$6:$A$330,0),MATCH(T$3,'Budget by Source'!$A$5:$I$5,0))-(ROUND(INDEX('Budget by Source'!$A$6:$I$330,MATCH('Payment by Source'!$A50,'Budget by Source'!$A$6:$A$330,0),MATCH(T$3,'Budget by Source'!$A$5:$I$5,0))/10,0)*10)</f>
        <v>2</v>
      </c>
      <c r="U50" s="139">
        <f>INDEX('Budget by Source'!$A$6:$I$330,MATCH('Payment by Source'!$A50,'Budget by Source'!$A$6:$A$330,0),MATCH(U$3,'Budget by Source'!$A$5:$I$5,0))</f>
        <v>3439992</v>
      </c>
      <c r="V50" s="136">
        <f t="shared" si="1"/>
        <v>343999</v>
      </c>
      <c r="W50" s="136">
        <f t="shared" si="2"/>
        <v>3439990</v>
      </c>
    </row>
    <row r="51" spans="1:23" x14ac:dyDescent="0.2">
      <c r="A51" s="22" t="str">
        <f>Data!B47</f>
        <v>0981</v>
      </c>
      <c r="B51" s="20" t="str">
        <f>INDEX(Data[],MATCH($A51,Data[Dist],0),MATCH(B$5,Data[#Headers],0))</f>
        <v>Carlisle</v>
      </c>
      <c r="C51" s="21">
        <f>IF(Notes!$B$2="June",ROUND('Budget by Source'!C51/10,0)+P51,ROUND('Budget by Source'!C51/10,0))</f>
        <v>36237</v>
      </c>
      <c r="D51" s="21">
        <f>IF(Notes!$B$2="June",ROUND('Budget by Source'!D51/10,0)+Q51,ROUND('Budget by Source'!D51/10,0))</f>
        <v>146888</v>
      </c>
      <c r="E51" s="21">
        <f>IF(Notes!$B$2="June",ROUND('Budget by Source'!E51/10,0)+R51,ROUND('Budget by Source'!E51/10,0))</f>
        <v>16056</v>
      </c>
      <c r="F51" s="21">
        <f>IF(Notes!$B$2="June",ROUND('Budget by Source'!F51/10,0)+S51,ROUND('Budget by Source'!F51/10,0))</f>
        <v>13634</v>
      </c>
      <c r="G51" s="21">
        <f>IF(Notes!$B$2="June",ROUND('Budget by Source'!G51/10,0)+T51,ROUND('Budget by Source'!G51/10,0))</f>
        <v>75994</v>
      </c>
      <c r="H51" s="21">
        <f t="shared" si="0"/>
        <v>1390527</v>
      </c>
      <c r="I51" s="21">
        <f>INDEX(Data[],MATCH($A51,Data[Dist],0),MATCH(I$5,Data[#Headers],0))</f>
        <v>1679336</v>
      </c>
      <c r="K51" s="59">
        <f>INDEX('Payment Total'!$A$7:$H$331,MATCH('Payment by Source'!$A51,'Payment Total'!$A$7:$A$331,0),4)-I51</f>
        <v>0</v>
      </c>
      <c r="P51" s="138">
        <f>INDEX('Budget by Source'!$A$6:$I$330,MATCH('Payment by Source'!$A51,'Budget by Source'!$A$6:$A$330,0),MATCH(P$3,'Budget by Source'!$A$5:$I$5,0))-(ROUND(INDEX('Budget by Source'!$A$6:$I$330,MATCH('Payment by Source'!$A51,'Budget by Source'!$A$6:$A$330,0),MATCH(P$3,'Budget by Source'!$A$5:$I$5,0))/10,0)*10)</f>
        <v>-3</v>
      </c>
      <c r="Q51" s="138">
        <f>INDEX('Budget by Source'!$A$6:$I$330,MATCH('Payment by Source'!$A51,'Budget by Source'!$A$6:$A$330,0),MATCH(Q$3,'Budget by Source'!$A$5:$I$5,0))-(ROUND(INDEX('Budget by Source'!$A$6:$I$330,MATCH('Payment by Source'!$A51,'Budget by Source'!$A$6:$A$330,0),MATCH(Q$3,'Budget by Source'!$A$5:$I$5,0))/10,0)*10)</f>
        <v>-4</v>
      </c>
      <c r="R51" s="138">
        <f>INDEX('Budget by Source'!$A$6:$I$330,MATCH('Payment by Source'!$A51,'Budget by Source'!$A$6:$A$330,0),MATCH(R$3,'Budget by Source'!$A$5:$I$5,0))-(ROUND(INDEX('Budget by Source'!$A$6:$I$330,MATCH('Payment by Source'!$A51,'Budget by Source'!$A$6:$A$330,0),MATCH(R$3,'Budget by Source'!$A$5:$I$5,0))/10,0)*10)</f>
        <v>2</v>
      </c>
      <c r="S51" s="138">
        <f>INDEX('Budget by Source'!$A$6:$I$330,MATCH('Payment by Source'!$A51,'Budget by Source'!$A$6:$A$330,0),MATCH(S$3,'Budget by Source'!$A$5:$I$5,0))-(ROUND(INDEX('Budget by Source'!$A$6:$I$330,MATCH('Payment by Source'!$A51,'Budget by Source'!$A$6:$A$330,0),MATCH(S$3,'Budget by Source'!$A$5:$I$5,0))/10,0)*10)</f>
        <v>0</v>
      </c>
      <c r="T51" s="138">
        <f>INDEX('Budget by Source'!$A$6:$I$330,MATCH('Payment by Source'!$A51,'Budget by Source'!$A$6:$A$330,0),MATCH(T$3,'Budget by Source'!$A$5:$I$5,0))-(ROUND(INDEX('Budget by Source'!$A$6:$I$330,MATCH('Payment by Source'!$A51,'Budget by Source'!$A$6:$A$330,0),MATCH(T$3,'Budget by Source'!$A$5:$I$5,0))/10,0)*10)</f>
        <v>-3</v>
      </c>
      <c r="U51" s="139">
        <f>INDEX('Budget by Source'!$A$6:$I$330,MATCH('Payment by Source'!$A51,'Budget by Source'!$A$6:$A$330,0),MATCH(U$3,'Budget by Source'!$A$5:$I$5,0))</f>
        <v>13935087</v>
      </c>
      <c r="V51" s="136">
        <f t="shared" si="1"/>
        <v>1393509</v>
      </c>
      <c r="W51" s="136">
        <f t="shared" si="2"/>
        <v>13935090</v>
      </c>
    </row>
    <row r="52" spans="1:23" x14ac:dyDescent="0.2">
      <c r="A52" s="22" t="str">
        <f>Data!B48</f>
        <v>0999</v>
      </c>
      <c r="B52" s="20" t="str">
        <f>INDEX(Data[],MATCH($A52,Data[Dist],0),MATCH(B$5,Data[#Headers],0))</f>
        <v>Carroll</v>
      </c>
      <c r="C52" s="21">
        <f>IF(Notes!$B$2="June",ROUND('Budget by Source'!C52/10,0)+P52,ROUND('Budget by Source'!C52/10,0))</f>
        <v>63122</v>
      </c>
      <c r="D52" s="21">
        <f>IF(Notes!$B$2="June",ROUND('Budget by Source'!D52/10,0)+Q52,ROUND('Budget by Source'!D52/10,0))</f>
        <v>144617</v>
      </c>
      <c r="E52" s="21">
        <f>IF(Notes!$B$2="June",ROUND('Budget by Source'!E52/10,0)+R52,ROUND('Budget by Source'!E52/10,0))</f>
        <v>15125</v>
      </c>
      <c r="F52" s="21">
        <f>IF(Notes!$B$2="June",ROUND('Budget by Source'!F52/10,0)+S52,ROUND('Budget by Source'!F52/10,0))</f>
        <v>14851</v>
      </c>
      <c r="G52" s="21">
        <f>IF(Notes!$B$2="June",ROUND('Budget by Source'!G52/10,0)+T52,ROUND('Budget by Source'!G52/10,0))</f>
        <v>74819</v>
      </c>
      <c r="H52" s="21">
        <f t="shared" si="0"/>
        <v>731956</v>
      </c>
      <c r="I52" s="21">
        <f>INDEX(Data[],MATCH($A52,Data[Dist],0),MATCH(I$5,Data[#Headers],0))</f>
        <v>1044490</v>
      </c>
      <c r="K52" s="59">
        <f>INDEX('Payment Total'!$A$7:$H$331,MATCH('Payment by Source'!$A52,'Payment Total'!$A$7:$A$331,0),4)-I52</f>
        <v>0</v>
      </c>
      <c r="P52" s="138">
        <f>INDEX('Budget by Source'!$A$6:$I$330,MATCH('Payment by Source'!$A52,'Budget by Source'!$A$6:$A$330,0),MATCH(P$3,'Budget by Source'!$A$5:$I$5,0))-(ROUND(INDEX('Budget by Source'!$A$6:$I$330,MATCH('Payment by Source'!$A52,'Budget by Source'!$A$6:$A$330,0),MATCH(P$3,'Budget by Source'!$A$5:$I$5,0))/10,0)*10)</f>
        <v>-1</v>
      </c>
      <c r="Q52" s="138">
        <f>INDEX('Budget by Source'!$A$6:$I$330,MATCH('Payment by Source'!$A52,'Budget by Source'!$A$6:$A$330,0),MATCH(Q$3,'Budget by Source'!$A$5:$I$5,0))-(ROUND(INDEX('Budget by Source'!$A$6:$I$330,MATCH('Payment by Source'!$A52,'Budget by Source'!$A$6:$A$330,0),MATCH(Q$3,'Budget by Source'!$A$5:$I$5,0))/10,0)*10)</f>
        <v>-2</v>
      </c>
      <c r="R52" s="138">
        <f>INDEX('Budget by Source'!$A$6:$I$330,MATCH('Payment by Source'!$A52,'Budget by Source'!$A$6:$A$330,0),MATCH(R$3,'Budget by Source'!$A$5:$I$5,0))-(ROUND(INDEX('Budget by Source'!$A$6:$I$330,MATCH('Payment by Source'!$A52,'Budget by Source'!$A$6:$A$330,0),MATCH(R$3,'Budget by Source'!$A$5:$I$5,0))/10,0)*10)</f>
        <v>-4</v>
      </c>
      <c r="S52" s="138">
        <f>INDEX('Budget by Source'!$A$6:$I$330,MATCH('Payment by Source'!$A52,'Budget by Source'!$A$6:$A$330,0),MATCH(S$3,'Budget by Source'!$A$5:$I$5,0))-(ROUND(INDEX('Budget by Source'!$A$6:$I$330,MATCH('Payment by Source'!$A52,'Budget by Source'!$A$6:$A$330,0),MATCH(S$3,'Budget by Source'!$A$5:$I$5,0))/10,0)*10)</f>
        <v>3</v>
      </c>
      <c r="T52" s="138">
        <f>INDEX('Budget by Source'!$A$6:$I$330,MATCH('Payment by Source'!$A52,'Budget by Source'!$A$6:$A$330,0),MATCH(T$3,'Budget by Source'!$A$5:$I$5,0))-(ROUND(INDEX('Budget by Source'!$A$6:$I$330,MATCH('Payment by Source'!$A52,'Budget by Source'!$A$6:$A$330,0),MATCH(T$3,'Budget by Source'!$A$5:$I$5,0))/10,0)*10)</f>
        <v>0</v>
      </c>
      <c r="U52" s="139">
        <f>INDEX('Budget by Source'!$A$6:$I$330,MATCH('Payment by Source'!$A52,'Budget by Source'!$A$6:$A$330,0),MATCH(U$3,'Budget by Source'!$A$5:$I$5,0))</f>
        <v>7343793</v>
      </c>
      <c r="V52" s="136">
        <f t="shared" si="1"/>
        <v>734379</v>
      </c>
      <c r="W52" s="136">
        <f t="shared" si="2"/>
        <v>7343790</v>
      </c>
    </row>
    <row r="53" spans="1:23" x14ac:dyDescent="0.2">
      <c r="A53" s="22" t="str">
        <f>Data!B49</f>
        <v>1044</v>
      </c>
      <c r="B53" s="20" t="str">
        <f>INDEX(Data[],MATCH($A53,Data[Dist],0),MATCH(B$5,Data[#Headers],0))</f>
        <v>Cedar Falls</v>
      </c>
      <c r="C53" s="21">
        <f>IF(Notes!$B$2="June",ROUND('Budget by Source'!C53/10,0)+P53,ROUND('Budget by Source'!C53/10,0))</f>
        <v>71304</v>
      </c>
      <c r="D53" s="21">
        <f>IF(Notes!$B$2="June",ROUND('Budget by Source'!D53/10,0)+Q53,ROUND('Budget by Source'!D53/10,0))</f>
        <v>396385</v>
      </c>
      <c r="E53" s="21">
        <f>IF(Notes!$B$2="June",ROUND('Budget by Source'!E53/10,0)+R53,ROUND('Budget by Source'!E53/10,0))</f>
        <v>44571</v>
      </c>
      <c r="F53" s="21">
        <f>IF(Notes!$B$2="June",ROUND('Budget by Source'!F53/10,0)+S53,ROUND('Budget by Source'!F53/10,0))</f>
        <v>44129</v>
      </c>
      <c r="G53" s="21">
        <f>IF(Notes!$B$2="June",ROUND('Budget by Source'!G53/10,0)+T53,ROUND('Budget by Source'!G53/10,0))</f>
        <v>214148</v>
      </c>
      <c r="H53" s="21">
        <f t="shared" si="0"/>
        <v>3275849</v>
      </c>
      <c r="I53" s="21">
        <f>INDEX(Data[],MATCH($A53,Data[Dist],0),MATCH(I$5,Data[#Headers],0))</f>
        <v>4046386</v>
      </c>
      <c r="K53" s="59">
        <f>INDEX('Payment Total'!$A$7:$H$331,MATCH('Payment by Source'!$A53,'Payment Total'!$A$7:$A$331,0),4)-I53</f>
        <v>0</v>
      </c>
      <c r="P53" s="138">
        <f>INDEX('Budget by Source'!$A$6:$I$330,MATCH('Payment by Source'!$A53,'Budget by Source'!$A$6:$A$330,0),MATCH(P$3,'Budget by Source'!$A$5:$I$5,0))-(ROUND(INDEX('Budget by Source'!$A$6:$I$330,MATCH('Payment by Source'!$A53,'Budget by Source'!$A$6:$A$330,0),MATCH(P$3,'Budget by Source'!$A$5:$I$5,0))/10,0)*10)</f>
        <v>4</v>
      </c>
      <c r="Q53" s="138">
        <f>INDEX('Budget by Source'!$A$6:$I$330,MATCH('Payment by Source'!$A53,'Budget by Source'!$A$6:$A$330,0),MATCH(Q$3,'Budget by Source'!$A$5:$I$5,0))-(ROUND(INDEX('Budget by Source'!$A$6:$I$330,MATCH('Payment by Source'!$A53,'Budget by Source'!$A$6:$A$330,0),MATCH(Q$3,'Budget by Source'!$A$5:$I$5,0))/10,0)*10)</f>
        <v>-2</v>
      </c>
      <c r="R53" s="138">
        <f>INDEX('Budget by Source'!$A$6:$I$330,MATCH('Payment by Source'!$A53,'Budget by Source'!$A$6:$A$330,0),MATCH(R$3,'Budget by Source'!$A$5:$I$5,0))-(ROUND(INDEX('Budget by Source'!$A$6:$I$330,MATCH('Payment by Source'!$A53,'Budget by Source'!$A$6:$A$330,0),MATCH(R$3,'Budget by Source'!$A$5:$I$5,0))/10,0)*10)</f>
        <v>3</v>
      </c>
      <c r="S53" s="138">
        <f>INDEX('Budget by Source'!$A$6:$I$330,MATCH('Payment by Source'!$A53,'Budget by Source'!$A$6:$A$330,0),MATCH(S$3,'Budget by Source'!$A$5:$I$5,0))-(ROUND(INDEX('Budget by Source'!$A$6:$I$330,MATCH('Payment by Source'!$A53,'Budget by Source'!$A$6:$A$330,0),MATCH(S$3,'Budget by Source'!$A$5:$I$5,0))/10,0)*10)</f>
        <v>1</v>
      </c>
      <c r="T53" s="138">
        <f>INDEX('Budget by Source'!$A$6:$I$330,MATCH('Payment by Source'!$A53,'Budget by Source'!$A$6:$A$330,0),MATCH(T$3,'Budget by Source'!$A$5:$I$5,0))-(ROUND(INDEX('Budget by Source'!$A$6:$I$330,MATCH('Payment by Source'!$A53,'Budget by Source'!$A$6:$A$330,0),MATCH(T$3,'Budget by Source'!$A$5:$I$5,0))/10,0)*10)</f>
        <v>4</v>
      </c>
      <c r="U53" s="139">
        <f>INDEX('Budget by Source'!$A$6:$I$330,MATCH('Payment by Source'!$A53,'Budget by Source'!$A$6:$A$330,0),MATCH(U$3,'Budget by Source'!$A$5:$I$5,0))</f>
        <v>32841449</v>
      </c>
      <c r="V53" s="136">
        <f t="shared" si="1"/>
        <v>3284145</v>
      </c>
      <c r="W53" s="136">
        <f t="shared" si="2"/>
        <v>32841450</v>
      </c>
    </row>
    <row r="54" spans="1:23" x14ac:dyDescent="0.2">
      <c r="A54" s="22" t="str">
        <f>Data!B50</f>
        <v>1053</v>
      </c>
      <c r="B54" s="20" t="str">
        <f>INDEX(Data[],MATCH($A54,Data[Dist],0),MATCH(B$5,Data[#Headers],0))</f>
        <v>Cedar Rapids</v>
      </c>
      <c r="C54" s="21">
        <f>IF(Notes!$B$2="June",ROUND('Budget by Source'!C54/10,0)+P54,ROUND('Budget by Source'!C54/10,0))</f>
        <v>260662</v>
      </c>
      <c r="D54" s="21">
        <f>IF(Notes!$B$2="June",ROUND('Budget by Source'!D54/10,0)+Q54,ROUND('Budget by Source'!D54/10,0))</f>
        <v>1187399</v>
      </c>
      <c r="E54" s="21">
        <f>IF(Notes!$B$2="June",ROUND('Budget by Source'!E54/10,0)+R54,ROUND('Budget by Source'!E54/10,0))</f>
        <v>143451</v>
      </c>
      <c r="F54" s="21">
        <f>IF(Notes!$B$2="June",ROUND('Budget by Source'!F54/10,0)+S54,ROUND('Budget by Source'!F54/10,0))</f>
        <v>131496</v>
      </c>
      <c r="G54" s="21">
        <f>IF(Notes!$B$2="June",ROUND('Budget by Source'!G54/10,0)+T54,ROUND('Budget by Source'!G54/10,0))</f>
        <v>641497</v>
      </c>
      <c r="H54" s="21">
        <f t="shared" si="0"/>
        <v>10133565</v>
      </c>
      <c r="I54" s="21">
        <f>INDEX(Data[],MATCH($A54,Data[Dist],0),MATCH(I$5,Data[#Headers],0))</f>
        <v>12498070</v>
      </c>
      <c r="K54" s="59">
        <f>INDEX('Payment Total'!$A$7:$H$331,MATCH('Payment by Source'!$A54,'Payment Total'!$A$7:$A$331,0),4)-I54</f>
        <v>0</v>
      </c>
      <c r="P54" s="138">
        <f>INDEX('Budget by Source'!$A$6:$I$330,MATCH('Payment by Source'!$A54,'Budget by Source'!$A$6:$A$330,0),MATCH(P$3,'Budget by Source'!$A$5:$I$5,0))-(ROUND(INDEX('Budget by Source'!$A$6:$I$330,MATCH('Payment by Source'!$A54,'Budget by Source'!$A$6:$A$330,0),MATCH(P$3,'Budget by Source'!$A$5:$I$5,0))/10,0)*10)</f>
        <v>3</v>
      </c>
      <c r="Q54" s="138">
        <f>INDEX('Budget by Source'!$A$6:$I$330,MATCH('Payment by Source'!$A54,'Budget by Source'!$A$6:$A$330,0),MATCH(Q$3,'Budget by Source'!$A$5:$I$5,0))-(ROUND(INDEX('Budget by Source'!$A$6:$I$330,MATCH('Payment by Source'!$A54,'Budget by Source'!$A$6:$A$330,0),MATCH(Q$3,'Budget by Source'!$A$5:$I$5,0))/10,0)*10)</f>
        <v>4</v>
      </c>
      <c r="R54" s="138">
        <f>INDEX('Budget by Source'!$A$6:$I$330,MATCH('Payment by Source'!$A54,'Budget by Source'!$A$6:$A$330,0),MATCH(R$3,'Budget by Source'!$A$5:$I$5,0))-(ROUND(INDEX('Budget by Source'!$A$6:$I$330,MATCH('Payment by Source'!$A54,'Budget by Source'!$A$6:$A$330,0),MATCH(R$3,'Budget by Source'!$A$5:$I$5,0))/10,0)*10)</f>
        <v>2</v>
      </c>
      <c r="S54" s="138">
        <f>INDEX('Budget by Source'!$A$6:$I$330,MATCH('Payment by Source'!$A54,'Budget by Source'!$A$6:$A$330,0),MATCH(S$3,'Budget by Source'!$A$5:$I$5,0))-(ROUND(INDEX('Budget by Source'!$A$6:$I$330,MATCH('Payment by Source'!$A54,'Budget by Source'!$A$6:$A$330,0),MATCH(S$3,'Budget by Source'!$A$5:$I$5,0))/10,0)*10)</f>
        <v>-5</v>
      </c>
      <c r="T54" s="138">
        <f>INDEX('Budget by Source'!$A$6:$I$330,MATCH('Payment by Source'!$A54,'Budget by Source'!$A$6:$A$330,0),MATCH(T$3,'Budget by Source'!$A$5:$I$5,0))-(ROUND(INDEX('Budget by Source'!$A$6:$I$330,MATCH('Payment by Source'!$A54,'Budget by Source'!$A$6:$A$330,0),MATCH(T$3,'Budget by Source'!$A$5:$I$5,0))/10,0)*10)</f>
        <v>0</v>
      </c>
      <c r="U54" s="139">
        <f>INDEX('Budget by Source'!$A$6:$I$330,MATCH('Payment by Source'!$A54,'Budget by Source'!$A$6:$A$330,0),MATCH(U$3,'Budget by Source'!$A$5:$I$5,0))</f>
        <v>101578017</v>
      </c>
      <c r="V54" s="136">
        <f t="shared" si="1"/>
        <v>10157802</v>
      </c>
      <c r="W54" s="136">
        <f t="shared" si="2"/>
        <v>101578020</v>
      </c>
    </row>
    <row r="55" spans="1:23" x14ac:dyDescent="0.2">
      <c r="A55" s="22" t="str">
        <f>Data!B51</f>
        <v>1062</v>
      </c>
      <c r="B55" s="20" t="str">
        <f>INDEX(Data[],MATCH($A55,Data[Dist],0),MATCH(B$5,Data[#Headers],0))</f>
        <v>Center Point-Urbana</v>
      </c>
      <c r="C55" s="21">
        <f>IF(Notes!$B$2="June",ROUND('Budget by Source'!C55/10,0)+P55,ROUND('Budget by Source'!C55/10,0))</f>
        <v>29223</v>
      </c>
      <c r="D55" s="21">
        <f>IF(Notes!$B$2="June",ROUND('Budget by Source'!D55/10,0)+Q55,ROUND('Budget by Source'!D55/10,0))</f>
        <v>94390</v>
      </c>
      <c r="E55" s="21">
        <f>IF(Notes!$B$2="June",ROUND('Budget by Source'!E55/10,0)+R55,ROUND('Budget by Source'!E55/10,0))</f>
        <v>9075</v>
      </c>
      <c r="F55" s="21">
        <f>IF(Notes!$B$2="June",ROUND('Budget by Source'!F55/10,0)+S55,ROUND('Budget by Source'!F55/10,0))</f>
        <v>8733</v>
      </c>
      <c r="G55" s="21">
        <f>IF(Notes!$B$2="June",ROUND('Budget by Source'!G55/10,0)+T55,ROUND('Budget by Source'!G55/10,0))</f>
        <v>44543</v>
      </c>
      <c r="H55" s="21">
        <f t="shared" si="0"/>
        <v>720739</v>
      </c>
      <c r="I55" s="21">
        <f>INDEX(Data[],MATCH($A55,Data[Dist],0),MATCH(I$5,Data[#Headers],0))</f>
        <v>906703</v>
      </c>
      <c r="K55" s="59">
        <f>INDEX('Payment Total'!$A$7:$H$331,MATCH('Payment by Source'!$A55,'Payment Total'!$A$7:$A$331,0),4)-I55</f>
        <v>0</v>
      </c>
      <c r="P55" s="138">
        <f>INDEX('Budget by Source'!$A$6:$I$330,MATCH('Payment by Source'!$A55,'Budget by Source'!$A$6:$A$330,0),MATCH(P$3,'Budget by Source'!$A$5:$I$5,0))-(ROUND(INDEX('Budget by Source'!$A$6:$I$330,MATCH('Payment by Source'!$A55,'Budget by Source'!$A$6:$A$330,0),MATCH(P$3,'Budget by Source'!$A$5:$I$5,0))/10,0)*10)</f>
        <v>1</v>
      </c>
      <c r="Q55" s="138">
        <f>INDEX('Budget by Source'!$A$6:$I$330,MATCH('Payment by Source'!$A55,'Budget by Source'!$A$6:$A$330,0),MATCH(Q$3,'Budget by Source'!$A$5:$I$5,0))-(ROUND(INDEX('Budget by Source'!$A$6:$I$330,MATCH('Payment by Source'!$A55,'Budget by Source'!$A$6:$A$330,0),MATCH(Q$3,'Budget by Source'!$A$5:$I$5,0))/10,0)*10)</f>
        <v>2</v>
      </c>
      <c r="R55" s="138">
        <f>INDEX('Budget by Source'!$A$6:$I$330,MATCH('Payment by Source'!$A55,'Budget by Source'!$A$6:$A$330,0),MATCH(R$3,'Budget by Source'!$A$5:$I$5,0))-(ROUND(INDEX('Budget by Source'!$A$6:$I$330,MATCH('Payment by Source'!$A55,'Budget by Source'!$A$6:$A$330,0),MATCH(R$3,'Budget by Source'!$A$5:$I$5,0))/10,0)*10)</f>
        <v>1</v>
      </c>
      <c r="S55" s="138">
        <f>INDEX('Budget by Source'!$A$6:$I$330,MATCH('Payment by Source'!$A55,'Budget by Source'!$A$6:$A$330,0),MATCH(S$3,'Budget by Source'!$A$5:$I$5,0))-(ROUND(INDEX('Budget by Source'!$A$6:$I$330,MATCH('Payment by Source'!$A55,'Budget by Source'!$A$6:$A$330,0),MATCH(S$3,'Budget by Source'!$A$5:$I$5,0))/10,0)*10)</f>
        <v>2</v>
      </c>
      <c r="T55" s="138">
        <f>INDEX('Budget by Source'!$A$6:$I$330,MATCH('Payment by Source'!$A55,'Budget by Source'!$A$6:$A$330,0),MATCH(T$3,'Budget by Source'!$A$5:$I$5,0))-(ROUND(INDEX('Budget by Source'!$A$6:$I$330,MATCH('Payment by Source'!$A55,'Budget by Source'!$A$6:$A$330,0),MATCH(T$3,'Budget by Source'!$A$5:$I$5,0))/10,0)*10)</f>
        <v>1</v>
      </c>
      <c r="U55" s="139">
        <f>INDEX('Budget by Source'!$A$6:$I$330,MATCH('Payment by Source'!$A55,'Budget by Source'!$A$6:$A$330,0),MATCH(U$3,'Budget by Source'!$A$5:$I$5,0))</f>
        <v>7225020</v>
      </c>
      <c r="V55" s="136">
        <f t="shared" si="1"/>
        <v>722502</v>
      </c>
      <c r="W55" s="136">
        <f t="shared" si="2"/>
        <v>7225020</v>
      </c>
    </row>
    <row r="56" spans="1:23" x14ac:dyDescent="0.2">
      <c r="A56" s="22" t="str">
        <f>Data!B52</f>
        <v>1071</v>
      </c>
      <c r="B56" s="20" t="str">
        <f>INDEX(Data[],MATCH($A56,Data[Dist],0),MATCH(B$5,Data[#Headers],0))</f>
        <v>Centerville</v>
      </c>
      <c r="C56" s="21">
        <f>IF(Notes!$B$2="June",ROUND('Budget by Source'!C56/10,0)+P56,ROUND('Budget by Source'!C56/10,0))</f>
        <v>22599</v>
      </c>
      <c r="D56" s="21">
        <f>IF(Notes!$B$2="June",ROUND('Budget by Source'!D56/10,0)+Q56,ROUND('Budget by Source'!D56/10,0))</f>
        <v>106501</v>
      </c>
      <c r="E56" s="21">
        <f>IF(Notes!$B$2="June",ROUND('Budget by Source'!E56/10,0)+R56,ROUND('Budget by Source'!E56/10,0))</f>
        <v>10853</v>
      </c>
      <c r="F56" s="21">
        <f>IF(Notes!$B$2="June",ROUND('Budget by Source'!F56/10,0)+S56,ROUND('Budget by Source'!F56/10,0))</f>
        <v>10226</v>
      </c>
      <c r="G56" s="21">
        <f>IF(Notes!$B$2="June",ROUND('Budget by Source'!G56/10,0)+T56,ROUND('Budget by Source'!G56/10,0))</f>
        <v>50258</v>
      </c>
      <c r="H56" s="21">
        <f t="shared" si="0"/>
        <v>944608</v>
      </c>
      <c r="I56" s="21">
        <f>INDEX(Data[],MATCH($A56,Data[Dist],0),MATCH(I$5,Data[#Headers],0))</f>
        <v>1145045</v>
      </c>
      <c r="K56" s="59">
        <f>INDEX('Payment Total'!$A$7:$H$331,MATCH('Payment by Source'!$A56,'Payment Total'!$A$7:$A$331,0),4)-I56</f>
        <v>0</v>
      </c>
      <c r="P56" s="138">
        <f>INDEX('Budget by Source'!$A$6:$I$330,MATCH('Payment by Source'!$A56,'Budget by Source'!$A$6:$A$330,0),MATCH(P$3,'Budget by Source'!$A$5:$I$5,0))-(ROUND(INDEX('Budget by Source'!$A$6:$I$330,MATCH('Payment by Source'!$A56,'Budget by Source'!$A$6:$A$330,0),MATCH(P$3,'Budget by Source'!$A$5:$I$5,0))/10,0)*10)</f>
        <v>2</v>
      </c>
      <c r="Q56" s="138">
        <f>INDEX('Budget by Source'!$A$6:$I$330,MATCH('Payment by Source'!$A56,'Budget by Source'!$A$6:$A$330,0),MATCH(Q$3,'Budget by Source'!$A$5:$I$5,0))-(ROUND(INDEX('Budget by Source'!$A$6:$I$330,MATCH('Payment by Source'!$A56,'Budget by Source'!$A$6:$A$330,0),MATCH(Q$3,'Budget by Source'!$A$5:$I$5,0))/10,0)*10)</f>
        <v>2</v>
      </c>
      <c r="R56" s="138">
        <f>INDEX('Budget by Source'!$A$6:$I$330,MATCH('Payment by Source'!$A56,'Budget by Source'!$A$6:$A$330,0),MATCH(R$3,'Budget by Source'!$A$5:$I$5,0))-(ROUND(INDEX('Budget by Source'!$A$6:$I$330,MATCH('Payment by Source'!$A56,'Budget by Source'!$A$6:$A$330,0),MATCH(R$3,'Budget by Source'!$A$5:$I$5,0))/10,0)*10)</f>
        <v>-1</v>
      </c>
      <c r="S56" s="138">
        <f>INDEX('Budget by Source'!$A$6:$I$330,MATCH('Payment by Source'!$A56,'Budget by Source'!$A$6:$A$330,0),MATCH(S$3,'Budget by Source'!$A$5:$I$5,0))-(ROUND(INDEX('Budget by Source'!$A$6:$I$330,MATCH('Payment by Source'!$A56,'Budget by Source'!$A$6:$A$330,0),MATCH(S$3,'Budget by Source'!$A$5:$I$5,0))/10,0)*10)</f>
        <v>2</v>
      </c>
      <c r="T56" s="138">
        <f>INDEX('Budget by Source'!$A$6:$I$330,MATCH('Payment by Source'!$A56,'Budget by Source'!$A$6:$A$330,0),MATCH(T$3,'Budget by Source'!$A$5:$I$5,0))-(ROUND(INDEX('Budget by Source'!$A$6:$I$330,MATCH('Payment by Source'!$A56,'Budget by Source'!$A$6:$A$330,0),MATCH(T$3,'Budget by Source'!$A$5:$I$5,0))/10,0)*10)</f>
        <v>3</v>
      </c>
      <c r="U56" s="139">
        <f>INDEX('Budget by Source'!$A$6:$I$330,MATCH('Payment by Source'!$A56,'Budget by Source'!$A$6:$A$330,0),MATCH(U$3,'Budget by Source'!$A$5:$I$5,0))</f>
        <v>9466057</v>
      </c>
      <c r="V56" s="136">
        <f t="shared" si="1"/>
        <v>946606</v>
      </c>
      <c r="W56" s="136">
        <f t="shared" si="2"/>
        <v>9466060</v>
      </c>
    </row>
    <row r="57" spans="1:23" x14ac:dyDescent="0.2">
      <c r="A57" s="22" t="str">
        <f>Data!B53</f>
        <v>1079</v>
      </c>
      <c r="B57" s="20" t="str">
        <f>INDEX(Data[],MATCH($A57,Data[Dist],0),MATCH(B$5,Data[#Headers],0))</f>
        <v>Central Lee</v>
      </c>
      <c r="C57" s="21">
        <f>IF(Notes!$B$2="June",ROUND('Budget by Source'!C57/10,0)+P57,ROUND('Budget by Source'!C57/10,0))</f>
        <v>28062</v>
      </c>
      <c r="D57" s="21">
        <f>IF(Notes!$B$2="June",ROUND('Budget by Source'!D57/10,0)+Q57,ROUND('Budget by Source'!D57/10,0))</f>
        <v>72571</v>
      </c>
      <c r="E57" s="21">
        <f>IF(Notes!$B$2="June",ROUND('Budget by Source'!E57/10,0)+R57,ROUND('Budget by Source'!E57/10,0))</f>
        <v>6341</v>
      </c>
      <c r="F57" s="21">
        <f>IF(Notes!$B$2="June",ROUND('Budget by Source'!F57/10,0)+S57,ROUND('Budget by Source'!F57/10,0))</f>
        <v>7213</v>
      </c>
      <c r="G57" s="21">
        <f>IF(Notes!$B$2="June",ROUND('Budget by Source'!G57/10,0)+T57,ROUND('Budget by Source'!G57/10,0))</f>
        <v>30880</v>
      </c>
      <c r="H57" s="21">
        <f t="shared" si="0"/>
        <v>411586</v>
      </c>
      <c r="I57" s="21">
        <f>INDEX(Data[],MATCH($A57,Data[Dist],0),MATCH(I$5,Data[#Headers],0))</f>
        <v>556653</v>
      </c>
      <c r="K57" s="59">
        <f>INDEX('Payment Total'!$A$7:$H$331,MATCH('Payment by Source'!$A57,'Payment Total'!$A$7:$A$331,0),4)-I57</f>
        <v>0</v>
      </c>
      <c r="P57" s="138">
        <f>INDEX('Budget by Source'!$A$6:$I$330,MATCH('Payment by Source'!$A57,'Budget by Source'!$A$6:$A$330,0),MATCH(P$3,'Budget by Source'!$A$5:$I$5,0))-(ROUND(INDEX('Budget by Source'!$A$6:$I$330,MATCH('Payment by Source'!$A57,'Budget by Source'!$A$6:$A$330,0),MATCH(P$3,'Budget by Source'!$A$5:$I$5,0))/10,0)*10)</f>
        <v>0</v>
      </c>
      <c r="Q57" s="138">
        <f>INDEX('Budget by Source'!$A$6:$I$330,MATCH('Payment by Source'!$A57,'Budget by Source'!$A$6:$A$330,0),MATCH(Q$3,'Budget by Source'!$A$5:$I$5,0))-(ROUND(INDEX('Budget by Source'!$A$6:$I$330,MATCH('Payment by Source'!$A57,'Budget by Source'!$A$6:$A$330,0),MATCH(Q$3,'Budget by Source'!$A$5:$I$5,0))/10,0)*10)</f>
        <v>1</v>
      </c>
      <c r="R57" s="138">
        <f>INDEX('Budget by Source'!$A$6:$I$330,MATCH('Payment by Source'!$A57,'Budget by Source'!$A$6:$A$330,0),MATCH(R$3,'Budget by Source'!$A$5:$I$5,0))-(ROUND(INDEX('Budget by Source'!$A$6:$I$330,MATCH('Payment by Source'!$A57,'Budget by Source'!$A$6:$A$330,0),MATCH(R$3,'Budget by Source'!$A$5:$I$5,0))/10,0)*10)</f>
        <v>3</v>
      </c>
      <c r="S57" s="138">
        <f>INDEX('Budget by Source'!$A$6:$I$330,MATCH('Payment by Source'!$A57,'Budget by Source'!$A$6:$A$330,0),MATCH(S$3,'Budget by Source'!$A$5:$I$5,0))-(ROUND(INDEX('Budget by Source'!$A$6:$I$330,MATCH('Payment by Source'!$A57,'Budget by Source'!$A$6:$A$330,0),MATCH(S$3,'Budget by Source'!$A$5:$I$5,0))/10,0)*10)</f>
        <v>-2</v>
      </c>
      <c r="T57" s="138">
        <f>INDEX('Budget by Source'!$A$6:$I$330,MATCH('Payment by Source'!$A57,'Budget by Source'!$A$6:$A$330,0),MATCH(T$3,'Budget by Source'!$A$5:$I$5,0))-(ROUND(INDEX('Budget by Source'!$A$6:$I$330,MATCH('Payment by Source'!$A57,'Budget by Source'!$A$6:$A$330,0),MATCH(T$3,'Budget by Source'!$A$5:$I$5,0))/10,0)*10)</f>
        <v>2</v>
      </c>
      <c r="U57" s="139">
        <f>INDEX('Budget by Source'!$A$6:$I$330,MATCH('Payment by Source'!$A57,'Budget by Source'!$A$6:$A$330,0),MATCH(U$3,'Budget by Source'!$A$5:$I$5,0))</f>
        <v>4128042</v>
      </c>
      <c r="V57" s="136">
        <f t="shared" si="1"/>
        <v>412804</v>
      </c>
      <c r="W57" s="136">
        <f t="shared" si="2"/>
        <v>4128040</v>
      </c>
    </row>
    <row r="58" spans="1:23" x14ac:dyDescent="0.2">
      <c r="A58" s="22" t="str">
        <f>Data!B54</f>
        <v>1080</v>
      </c>
      <c r="B58" s="20" t="str">
        <f>INDEX(Data[],MATCH($A58,Data[Dist],0),MATCH(B$5,Data[#Headers],0))</f>
        <v>Central Clayton</v>
      </c>
      <c r="C58" s="21">
        <f>IF(Notes!$B$2="June",ROUND('Budget by Source'!C58/10,0)+P58,ROUND('Budget by Source'!C58/10,0))</f>
        <v>8962</v>
      </c>
      <c r="D58" s="21">
        <f>IF(Notes!$B$2="June",ROUND('Budget by Source'!D58/10,0)+Q58,ROUND('Budget by Source'!D58/10,0))</f>
        <v>49979</v>
      </c>
      <c r="E58" s="21">
        <f>IF(Notes!$B$2="June",ROUND('Budget by Source'!E58/10,0)+R58,ROUND('Budget by Source'!E58/10,0))</f>
        <v>3369</v>
      </c>
      <c r="F58" s="21">
        <f>IF(Notes!$B$2="June",ROUND('Budget by Source'!F58/10,0)+S58,ROUND('Budget by Source'!F58/10,0))</f>
        <v>3364</v>
      </c>
      <c r="G58" s="21">
        <f>IF(Notes!$B$2="June",ROUND('Budget by Source'!G58/10,0)+T58,ROUND('Budget by Source'!G58/10,0))</f>
        <v>17652</v>
      </c>
      <c r="H58" s="21">
        <f t="shared" si="0"/>
        <v>269464</v>
      </c>
      <c r="I58" s="21">
        <f>INDEX(Data[],MATCH($A58,Data[Dist],0),MATCH(I$5,Data[#Headers],0))</f>
        <v>352790</v>
      </c>
      <c r="K58" s="59">
        <f>INDEX('Payment Total'!$A$7:$H$331,MATCH('Payment by Source'!$A58,'Payment Total'!$A$7:$A$331,0),4)-I58</f>
        <v>0</v>
      </c>
      <c r="P58" s="138">
        <f>INDEX('Budget by Source'!$A$6:$I$330,MATCH('Payment by Source'!$A58,'Budget by Source'!$A$6:$A$330,0),MATCH(P$3,'Budget by Source'!$A$5:$I$5,0))-(ROUND(INDEX('Budget by Source'!$A$6:$I$330,MATCH('Payment by Source'!$A58,'Budget by Source'!$A$6:$A$330,0),MATCH(P$3,'Budget by Source'!$A$5:$I$5,0))/10,0)*10)</f>
        <v>-2</v>
      </c>
      <c r="Q58" s="138">
        <f>INDEX('Budget by Source'!$A$6:$I$330,MATCH('Payment by Source'!$A58,'Budget by Source'!$A$6:$A$330,0),MATCH(Q$3,'Budget by Source'!$A$5:$I$5,0))-(ROUND(INDEX('Budget by Source'!$A$6:$I$330,MATCH('Payment by Source'!$A58,'Budget by Source'!$A$6:$A$330,0),MATCH(Q$3,'Budget by Source'!$A$5:$I$5,0))/10,0)*10)</f>
        <v>1</v>
      </c>
      <c r="R58" s="138">
        <f>INDEX('Budget by Source'!$A$6:$I$330,MATCH('Payment by Source'!$A58,'Budget by Source'!$A$6:$A$330,0),MATCH(R$3,'Budget by Source'!$A$5:$I$5,0))-(ROUND(INDEX('Budget by Source'!$A$6:$I$330,MATCH('Payment by Source'!$A58,'Budget by Source'!$A$6:$A$330,0),MATCH(R$3,'Budget by Source'!$A$5:$I$5,0))/10,0)*10)</f>
        <v>2</v>
      </c>
      <c r="S58" s="138">
        <f>INDEX('Budget by Source'!$A$6:$I$330,MATCH('Payment by Source'!$A58,'Budget by Source'!$A$6:$A$330,0),MATCH(S$3,'Budget by Source'!$A$5:$I$5,0))-(ROUND(INDEX('Budget by Source'!$A$6:$I$330,MATCH('Payment by Source'!$A58,'Budget by Source'!$A$6:$A$330,0),MATCH(S$3,'Budget by Source'!$A$5:$I$5,0))/10,0)*10)</f>
        <v>-4</v>
      </c>
      <c r="T58" s="138">
        <f>INDEX('Budget by Source'!$A$6:$I$330,MATCH('Payment by Source'!$A58,'Budget by Source'!$A$6:$A$330,0),MATCH(T$3,'Budget by Source'!$A$5:$I$5,0))-(ROUND(INDEX('Budget by Source'!$A$6:$I$330,MATCH('Payment by Source'!$A58,'Budget by Source'!$A$6:$A$330,0),MATCH(T$3,'Budget by Source'!$A$5:$I$5,0))/10,0)*10)</f>
        <v>-2</v>
      </c>
      <c r="U58" s="139">
        <f>INDEX('Budget by Source'!$A$6:$I$330,MATCH('Payment by Source'!$A58,'Budget by Source'!$A$6:$A$330,0),MATCH(U$3,'Budget by Source'!$A$5:$I$5,0))</f>
        <v>2701667</v>
      </c>
      <c r="V58" s="136">
        <f t="shared" si="1"/>
        <v>270167</v>
      </c>
      <c r="W58" s="136">
        <f t="shared" si="2"/>
        <v>2701670</v>
      </c>
    </row>
    <row r="59" spans="1:23" x14ac:dyDescent="0.2">
      <c r="A59" s="22" t="str">
        <f>Data!B55</f>
        <v>1082</v>
      </c>
      <c r="B59" s="20" t="str">
        <f>INDEX(Data[],MATCH($A59,Data[Dist],0),MATCH(B$5,Data[#Headers],0))</f>
        <v>Central De Witt</v>
      </c>
      <c r="C59" s="21">
        <f>IF(Notes!$B$2="June",ROUND('Budget by Source'!C59/10,0)+P59,ROUND('Budget by Source'!C59/10,0))</f>
        <v>37795</v>
      </c>
      <c r="D59" s="21">
        <f>IF(Notes!$B$2="June",ROUND('Budget by Source'!D59/10,0)+Q59,ROUND('Budget by Source'!D59/10,0))</f>
        <v>142830</v>
      </c>
      <c r="E59" s="21">
        <f>IF(Notes!$B$2="June",ROUND('Budget by Source'!E59/10,0)+R59,ROUND('Budget by Source'!E59/10,0))</f>
        <v>11059</v>
      </c>
      <c r="F59" s="21">
        <f>IF(Notes!$B$2="June",ROUND('Budget by Source'!F59/10,0)+S59,ROUND('Budget by Source'!F59/10,0))</f>
        <v>11462</v>
      </c>
      <c r="G59" s="21">
        <f>IF(Notes!$B$2="June",ROUND('Budget by Source'!G59/10,0)+T59,ROUND('Budget by Source'!G59/10,0))</f>
        <v>57930</v>
      </c>
      <c r="H59" s="21">
        <f t="shared" si="0"/>
        <v>847107</v>
      </c>
      <c r="I59" s="21">
        <f>INDEX(Data[],MATCH($A59,Data[Dist],0),MATCH(I$5,Data[#Headers],0))</f>
        <v>1108183</v>
      </c>
      <c r="K59" s="59">
        <f>INDEX('Payment Total'!$A$7:$H$331,MATCH('Payment by Source'!$A59,'Payment Total'!$A$7:$A$331,0),4)-I59</f>
        <v>0</v>
      </c>
      <c r="P59" s="138">
        <f>INDEX('Budget by Source'!$A$6:$I$330,MATCH('Payment by Source'!$A59,'Budget by Source'!$A$6:$A$330,0),MATCH(P$3,'Budget by Source'!$A$5:$I$5,0))-(ROUND(INDEX('Budget by Source'!$A$6:$I$330,MATCH('Payment by Source'!$A59,'Budget by Source'!$A$6:$A$330,0),MATCH(P$3,'Budget by Source'!$A$5:$I$5,0))/10,0)*10)</f>
        <v>2</v>
      </c>
      <c r="Q59" s="138">
        <f>INDEX('Budget by Source'!$A$6:$I$330,MATCH('Payment by Source'!$A59,'Budget by Source'!$A$6:$A$330,0),MATCH(Q$3,'Budget by Source'!$A$5:$I$5,0))-(ROUND(INDEX('Budget by Source'!$A$6:$I$330,MATCH('Payment by Source'!$A59,'Budget by Source'!$A$6:$A$330,0),MATCH(Q$3,'Budget by Source'!$A$5:$I$5,0))/10,0)*10)</f>
        <v>3</v>
      </c>
      <c r="R59" s="138">
        <f>INDEX('Budget by Source'!$A$6:$I$330,MATCH('Payment by Source'!$A59,'Budget by Source'!$A$6:$A$330,0),MATCH(R$3,'Budget by Source'!$A$5:$I$5,0))-(ROUND(INDEX('Budget by Source'!$A$6:$I$330,MATCH('Payment by Source'!$A59,'Budget by Source'!$A$6:$A$330,0),MATCH(R$3,'Budget by Source'!$A$5:$I$5,0))/10,0)*10)</f>
        <v>-2</v>
      </c>
      <c r="S59" s="138">
        <f>INDEX('Budget by Source'!$A$6:$I$330,MATCH('Payment by Source'!$A59,'Budget by Source'!$A$6:$A$330,0),MATCH(S$3,'Budget by Source'!$A$5:$I$5,0))-(ROUND(INDEX('Budget by Source'!$A$6:$I$330,MATCH('Payment by Source'!$A59,'Budget by Source'!$A$6:$A$330,0),MATCH(S$3,'Budget by Source'!$A$5:$I$5,0))/10,0)*10)</f>
        <v>1</v>
      </c>
      <c r="T59" s="138">
        <f>INDEX('Budget by Source'!$A$6:$I$330,MATCH('Payment by Source'!$A59,'Budget by Source'!$A$6:$A$330,0),MATCH(T$3,'Budget by Source'!$A$5:$I$5,0))-(ROUND(INDEX('Budget by Source'!$A$6:$I$330,MATCH('Payment by Source'!$A59,'Budget by Source'!$A$6:$A$330,0),MATCH(T$3,'Budget by Source'!$A$5:$I$5,0))/10,0)*10)</f>
        <v>2</v>
      </c>
      <c r="U59" s="139">
        <f>INDEX('Budget by Source'!$A$6:$I$330,MATCH('Payment by Source'!$A59,'Budget by Source'!$A$6:$A$330,0),MATCH(U$3,'Budget by Source'!$A$5:$I$5,0))</f>
        <v>8493181</v>
      </c>
      <c r="V59" s="136">
        <f t="shared" si="1"/>
        <v>849318</v>
      </c>
      <c r="W59" s="136">
        <f t="shared" si="2"/>
        <v>8493180</v>
      </c>
    </row>
    <row r="60" spans="1:23" x14ac:dyDescent="0.2">
      <c r="A60" s="22" t="str">
        <f>Data!B56</f>
        <v>1089</v>
      </c>
      <c r="B60" s="20" t="str">
        <f>INDEX(Data[],MATCH($A60,Data[Dist],0),MATCH(B$5,Data[#Headers],0))</f>
        <v>Central City</v>
      </c>
      <c r="C60" s="21">
        <f>IF(Notes!$B$2="June",ROUND('Budget by Source'!C60/10,0)+P60,ROUND('Budget by Source'!C60/10,0))</f>
        <v>7014</v>
      </c>
      <c r="D60" s="21">
        <f>IF(Notes!$B$2="June",ROUND('Budget by Source'!D60/10,0)+Q60,ROUND('Budget by Source'!D60/10,0))</f>
        <v>53330</v>
      </c>
      <c r="E60" s="21">
        <f>IF(Notes!$B$2="June",ROUND('Budget by Source'!E60/10,0)+R60,ROUND('Budget by Source'!E60/10,0))</f>
        <v>3470</v>
      </c>
      <c r="F60" s="21">
        <f>IF(Notes!$B$2="June",ROUND('Budget by Source'!F60/10,0)+S60,ROUND('Budget by Source'!F60/10,0))</f>
        <v>3061</v>
      </c>
      <c r="G60" s="21">
        <f>IF(Notes!$B$2="June",ROUND('Budget by Source'!G60/10,0)+T60,ROUND('Budget by Source'!G60/10,0))</f>
        <v>16164</v>
      </c>
      <c r="H60" s="21">
        <f t="shared" si="0"/>
        <v>244553</v>
      </c>
      <c r="I60" s="21">
        <f>INDEX(Data[],MATCH($A60,Data[Dist],0),MATCH(I$5,Data[#Headers],0))</f>
        <v>327592</v>
      </c>
      <c r="K60" s="59">
        <f>INDEX('Payment Total'!$A$7:$H$331,MATCH('Payment by Source'!$A60,'Payment Total'!$A$7:$A$331,0),4)-I60</f>
        <v>0</v>
      </c>
      <c r="P60" s="138">
        <f>INDEX('Budget by Source'!$A$6:$I$330,MATCH('Payment by Source'!$A60,'Budget by Source'!$A$6:$A$330,0),MATCH(P$3,'Budget by Source'!$A$5:$I$5,0))-(ROUND(INDEX('Budget by Source'!$A$6:$I$330,MATCH('Payment by Source'!$A60,'Budget by Source'!$A$6:$A$330,0),MATCH(P$3,'Budget by Source'!$A$5:$I$5,0))/10,0)*10)</f>
        <v>-5</v>
      </c>
      <c r="Q60" s="138">
        <f>INDEX('Budget by Source'!$A$6:$I$330,MATCH('Payment by Source'!$A60,'Budget by Source'!$A$6:$A$330,0),MATCH(Q$3,'Budget by Source'!$A$5:$I$5,0))-(ROUND(INDEX('Budget by Source'!$A$6:$I$330,MATCH('Payment by Source'!$A60,'Budget by Source'!$A$6:$A$330,0),MATCH(Q$3,'Budget by Source'!$A$5:$I$5,0))/10,0)*10)</f>
        <v>-4</v>
      </c>
      <c r="R60" s="138">
        <f>INDEX('Budget by Source'!$A$6:$I$330,MATCH('Payment by Source'!$A60,'Budget by Source'!$A$6:$A$330,0),MATCH(R$3,'Budget by Source'!$A$5:$I$5,0))-(ROUND(INDEX('Budget by Source'!$A$6:$I$330,MATCH('Payment by Source'!$A60,'Budget by Source'!$A$6:$A$330,0),MATCH(R$3,'Budget by Source'!$A$5:$I$5,0))/10,0)*10)</f>
        <v>-2</v>
      </c>
      <c r="S60" s="138">
        <f>INDEX('Budget by Source'!$A$6:$I$330,MATCH('Payment by Source'!$A60,'Budget by Source'!$A$6:$A$330,0),MATCH(S$3,'Budget by Source'!$A$5:$I$5,0))-(ROUND(INDEX('Budget by Source'!$A$6:$I$330,MATCH('Payment by Source'!$A60,'Budget by Source'!$A$6:$A$330,0),MATCH(S$3,'Budget by Source'!$A$5:$I$5,0))/10,0)*10)</f>
        <v>2</v>
      </c>
      <c r="T60" s="138">
        <f>INDEX('Budget by Source'!$A$6:$I$330,MATCH('Payment by Source'!$A60,'Budget by Source'!$A$6:$A$330,0),MATCH(T$3,'Budget by Source'!$A$5:$I$5,0))-(ROUND(INDEX('Budget by Source'!$A$6:$I$330,MATCH('Payment by Source'!$A60,'Budget by Source'!$A$6:$A$330,0),MATCH(T$3,'Budget by Source'!$A$5:$I$5,0))/10,0)*10)</f>
        <v>-5</v>
      </c>
      <c r="U60" s="139">
        <f>INDEX('Budget by Source'!$A$6:$I$330,MATCH('Payment by Source'!$A60,'Budget by Source'!$A$6:$A$330,0),MATCH(U$3,'Budget by Source'!$A$5:$I$5,0))</f>
        <v>2451870</v>
      </c>
      <c r="V60" s="136">
        <f t="shared" si="1"/>
        <v>245187</v>
      </c>
      <c r="W60" s="136">
        <f t="shared" si="2"/>
        <v>2451870</v>
      </c>
    </row>
    <row r="61" spans="1:23" x14ac:dyDescent="0.2">
      <c r="A61" s="22" t="str">
        <f>Data!B57</f>
        <v>1093</v>
      </c>
      <c r="B61" s="20" t="str">
        <f>INDEX(Data[],MATCH($A61,Data[Dist],0),MATCH(B$5,Data[#Headers],0))</f>
        <v>Central Decatur</v>
      </c>
      <c r="C61" s="21">
        <f>IF(Notes!$B$2="June",ROUND('Budget by Source'!C61/10,0)+P61,ROUND('Budget by Source'!C61/10,0))</f>
        <v>9741</v>
      </c>
      <c r="D61" s="21">
        <f>IF(Notes!$B$2="June",ROUND('Budget by Source'!D61/10,0)+Q61,ROUND('Budget by Source'!D61/10,0))</f>
        <v>65337</v>
      </c>
      <c r="E61" s="21">
        <f>IF(Notes!$B$2="June",ROUND('Budget by Source'!E61/10,0)+R61,ROUND('Budget by Source'!E61/10,0))</f>
        <v>5844</v>
      </c>
      <c r="F61" s="21">
        <f>IF(Notes!$B$2="June",ROUND('Budget by Source'!F61/10,0)+S61,ROUND('Budget by Source'!F61/10,0))</f>
        <v>4603</v>
      </c>
      <c r="G61" s="21">
        <f>IF(Notes!$B$2="June",ROUND('Budget by Source'!G61/10,0)+T61,ROUND('Budget by Source'!G61/10,0))</f>
        <v>23888</v>
      </c>
      <c r="H61" s="21">
        <f t="shared" si="0"/>
        <v>471974</v>
      </c>
      <c r="I61" s="21">
        <f>INDEX(Data[],MATCH($A61,Data[Dist],0),MATCH(I$5,Data[#Headers],0))</f>
        <v>581387</v>
      </c>
      <c r="K61" s="59">
        <f>INDEX('Payment Total'!$A$7:$H$331,MATCH('Payment by Source'!$A61,'Payment Total'!$A$7:$A$331,0),4)-I61</f>
        <v>0</v>
      </c>
      <c r="P61" s="138">
        <f>INDEX('Budget by Source'!$A$6:$I$330,MATCH('Payment by Source'!$A61,'Budget by Source'!$A$6:$A$330,0),MATCH(P$3,'Budget by Source'!$A$5:$I$5,0))-(ROUND(INDEX('Budget by Source'!$A$6:$I$330,MATCH('Payment by Source'!$A61,'Budget by Source'!$A$6:$A$330,0),MATCH(P$3,'Budget by Source'!$A$5:$I$5,0))/10,0)*10)</f>
        <v>0</v>
      </c>
      <c r="Q61" s="138">
        <f>INDEX('Budget by Source'!$A$6:$I$330,MATCH('Payment by Source'!$A61,'Budget by Source'!$A$6:$A$330,0),MATCH(Q$3,'Budget by Source'!$A$5:$I$5,0))-(ROUND(INDEX('Budget by Source'!$A$6:$I$330,MATCH('Payment by Source'!$A61,'Budget by Source'!$A$6:$A$330,0),MATCH(Q$3,'Budget by Source'!$A$5:$I$5,0))/10,0)*10)</f>
        <v>0</v>
      </c>
      <c r="R61" s="138">
        <f>INDEX('Budget by Source'!$A$6:$I$330,MATCH('Payment by Source'!$A61,'Budget by Source'!$A$6:$A$330,0),MATCH(R$3,'Budget by Source'!$A$5:$I$5,0))-(ROUND(INDEX('Budget by Source'!$A$6:$I$330,MATCH('Payment by Source'!$A61,'Budget by Source'!$A$6:$A$330,0),MATCH(R$3,'Budget by Source'!$A$5:$I$5,0))/10,0)*10)</f>
        <v>0</v>
      </c>
      <c r="S61" s="138">
        <f>INDEX('Budget by Source'!$A$6:$I$330,MATCH('Payment by Source'!$A61,'Budget by Source'!$A$6:$A$330,0),MATCH(S$3,'Budget by Source'!$A$5:$I$5,0))-(ROUND(INDEX('Budget by Source'!$A$6:$I$330,MATCH('Payment by Source'!$A61,'Budget by Source'!$A$6:$A$330,0),MATCH(S$3,'Budget by Source'!$A$5:$I$5,0))/10,0)*10)</f>
        <v>2</v>
      </c>
      <c r="T61" s="138">
        <f>INDEX('Budget by Source'!$A$6:$I$330,MATCH('Payment by Source'!$A61,'Budget by Source'!$A$6:$A$330,0),MATCH(T$3,'Budget by Source'!$A$5:$I$5,0))-(ROUND(INDEX('Budget by Source'!$A$6:$I$330,MATCH('Payment by Source'!$A61,'Budget by Source'!$A$6:$A$330,0),MATCH(T$3,'Budget by Source'!$A$5:$I$5,0))/10,0)*10)</f>
        <v>3</v>
      </c>
      <c r="U61" s="139">
        <f>INDEX('Budget by Source'!$A$6:$I$330,MATCH('Payment by Source'!$A61,'Budget by Source'!$A$6:$A$330,0),MATCH(U$3,'Budget by Source'!$A$5:$I$5,0))</f>
        <v>4729233</v>
      </c>
      <c r="V61" s="136">
        <f t="shared" si="1"/>
        <v>472923</v>
      </c>
      <c r="W61" s="136">
        <f t="shared" si="2"/>
        <v>4729230</v>
      </c>
    </row>
    <row r="62" spans="1:23" x14ac:dyDescent="0.2">
      <c r="A62" s="22" t="str">
        <f>Data!B58</f>
        <v>1095</v>
      </c>
      <c r="B62" s="20" t="str">
        <f>INDEX(Data[],MATCH($A62,Data[Dist],0),MATCH(B$5,Data[#Headers],0))</f>
        <v>Central Lyon</v>
      </c>
      <c r="C62" s="21">
        <f>IF(Notes!$B$2="June",ROUND('Budget by Source'!C62/10,0)+P62,ROUND('Budget by Source'!C62/10,0))</f>
        <v>16755</v>
      </c>
      <c r="D62" s="21">
        <f>IF(Notes!$B$2="June",ROUND('Budget by Source'!D62/10,0)+Q62,ROUND('Budget by Source'!D62/10,0))</f>
        <v>90670</v>
      </c>
      <c r="E62" s="21">
        <f>IF(Notes!$B$2="June",ROUND('Budget by Source'!E62/10,0)+R62,ROUND('Budget by Source'!E62/10,0))</f>
        <v>5975</v>
      </c>
      <c r="F62" s="21">
        <f>IF(Notes!$B$2="June",ROUND('Budget by Source'!F62/10,0)+S62,ROUND('Budget by Source'!F62/10,0))</f>
        <v>6313</v>
      </c>
      <c r="G62" s="21">
        <f>IF(Notes!$B$2="June",ROUND('Budget by Source'!G62/10,0)+T62,ROUND('Budget by Source'!G62/10,0))</f>
        <v>31670</v>
      </c>
      <c r="H62" s="21">
        <f t="shared" si="0"/>
        <v>402364</v>
      </c>
      <c r="I62" s="21">
        <f>INDEX(Data[],MATCH($A62,Data[Dist],0),MATCH(I$5,Data[#Headers],0))</f>
        <v>553747</v>
      </c>
      <c r="K62" s="59">
        <f>INDEX('Payment Total'!$A$7:$H$331,MATCH('Payment by Source'!$A62,'Payment Total'!$A$7:$A$331,0),4)-I62</f>
        <v>0</v>
      </c>
      <c r="P62" s="138">
        <f>INDEX('Budget by Source'!$A$6:$I$330,MATCH('Payment by Source'!$A62,'Budget by Source'!$A$6:$A$330,0),MATCH(P$3,'Budget by Source'!$A$5:$I$5,0))-(ROUND(INDEX('Budget by Source'!$A$6:$I$330,MATCH('Payment by Source'!$A62,'Budget by Source'!$A$6:$A$330,0),MATCH(P$3,'Budget by Source'!$A$5:$I$5,0))/10,0)*10)</f>
        <v>-4</v>
      </c>
      <c r="Q62" s="138">
        <f>INDEX('Budget by Source'!$A$6:$I$330,MATCH('Payment by Source'!$A62,'Budget by Source'!$A$6:$A$330,0),MATCH(Q$3,'Budget by Source'!$A$5:$I$5,0))-(ROUND(INDEX('Budget by Source'!$A$6:$I$330,MATCH('Payment by Source'!$A62,'Budget by Source'!$A$6:$A$330,0),MATCH(Q$3,'Budget by Source'!$A$5:$I$5,0))/10,0)*10)</f>
        <v>4</v>
      </c>
      <c r="R62" s="138">
        <f>INDEX('Budget by Source'!$A$6:$I$330,MATCH('Payment by Source'!$A62,'Budget by Source'!$A$6:$A$330,0),MATCH(R$3,'Budget by Source'!$A$5:$I$5,0))-(ROUND(INDEX('Budget by Source'!$A$6:$I$330,MATCH('Payment by Source'!$A62,'Budget by Source'!$A$6:$A$330,0),MATCH(R$3,'Budget by Source'!$A$5:$I$5,0))/10,0)*10)</f>
        <v>3</v>
      </c>
      <c r="S62" s="138">
        <f>INDEX('Budget by Source'!$A$6:$I$330,MATCH('Payment by Source'!$A62,'Budget by Source'!$A$6:$A$330,0),MATCH(S$3,'Budget by Source'!$A$5:$I$5,0))-(ROUND(INDEX('Budget by Source'!$A$6:$I$330,MATCH('Payment by Source'!$A62,'Budget by Source'!$A$6:$A$330,0),MATCH(S$3,'Budget by Source'!$A$5:$I$5,0))/10,0)*10)</f>
        <v>2</v>
      </c>
      <c r="T62" s="138">
        <f>INDEX('Budget by Source'!$A$6:$I$330,MATCH('Payment by Source'!$A62,'Budget by Source'!$A$6:$A$330,0),MATCH(T$3,'Budget by Source'!$A$5:$I$5,0))-(ROUND(INDEX('Budget by Source'!$A$6:$I$330,MATCH('Payment by Source'!$A62,'Budget by Source'!$A$6:$A$330,0),MATCH(T$3,'Budget by Source'!$A$5:$I$5,0))/10,0)*10)</f>
        <v>-3</v>
      </c>
      <c r="U62" s="139">
        <f>INDEX('Budget by Source'!$A$6:$I$330,MATCH('Payment by Source'!$A62,'Budget by Source'!$A$6:$A$330,0),MATCH(U$3,'Budget by Source'!$A$5:$I$5,0))</f>
        <v>4035048</v>
      </c>
      <c r="V62" s="136">
        <f t="shared" si="1"/>
        <v>403505</v>
      </c>
      <c r="W62" s="136">
        <f t="shared" si="2"/>
        <v>4035050</v>
      </c>
    </row>
    <row r="63" spans="1:23" x14ac:dyDescent="0.2">
      <c r="A63" s="22" t="str">
        <f>Data!B59</f>
        <v>1107</v>
      </c>
      <c r="B63" s="20" t="str">
        <f>INDEX(Data[],MATCH($A63,Data[Dist],0),MATCH(B$5,Data[#Headers],0))</f>
        <v>Chariton</v>
      </c>
      <c r="C63" s="21">
        <f>IF(Notes!$B$2="June",ROUND('Budget by Source'!C63/10,0)+P63,ROUND('Budget by Source'!C63/10,0))</f>
        <v>15975</v>
      </c>
      <c r="D63" s="21">
        <f>IF(Notes!$B$2="June",ROUND('Budget by Source'!D63/10,0)+Q63,ROUND('Budget by Source'!D63/10,0))</f>
        <v>105205</v>
      </c>
      <c r="E63" s="21">
        <f>IF(Notes!$B$2="June",ROUND('Budget by Source'!E63/10,0)+R63,ROUND('Budget by Source'!E63/10,0))</f>
        <v>11820</v>
      </c>
      <c r="F63" s="21">
        <f>IF(Notes!$B$2="June",ROUND('Budget by Source'!F63/10,0)+S63,ROUND('Budget by Source'!F63/10,0))</f>
        <v>9371</v>
      </c>
      <c r="G63" s="21">
        <f>IF(Notes!$B$2="June",ROUND('Budget by Source'!G63/10,0)+T63,ROUND('Budget by Source'!G63/10,0))</f>
        <v>49646</v>
      </c>
      <c r="H63" s="21">
        <f t="shared" si="0"/>
        <v>871592</v>
      </c>
      <c r="I63" s="21">
        <f>INDEX(Data[],MATCH($A63,Data[Dist],0),MATCH(I$5,Data[#Headers],0))</f>
        <v>1063609</v>
      </c>
      <c r="K63" s="59">
        <f>INDEX('Payment Total'!$A$7:$H$331,MATCH('Payment by Source'!$A63,'Payment Total'!$A$7:$A$331,0),4)-I63</f>
        <v>0</v>
      </c>
      <c r="P63" s="138">
        <f>INDEX('Budget by Source'!$A$6:$I$330,MATCH('Payment by Source'!$A63,'Budget by Source'!$A$6:$A$330,0),MATCH(P$3,'Budget by Source'!$A$5:$I$5,0))-(ROUND(INDEX('Budget by Source'!$A$6:$I$330,MATCH('Payment by Source'!$A63,'Budget by Source'!$A$6:$A$330,0),MATCH(P$3,'Budget by Source'!$A$5:$I$5,0))/10,0)*10)</f>
        <v>3</v>
      </c>
      <c r="Q63" s="138">
        <f>INDEX('Budget by Source'!$A$6:$I$330,MATCH('Payment by Source'!$A63,'Budget by Source'!$A$6:$A$330,0),MATCH(Q$3,'Budget by Source'!$A$5:$I$5,0))-(ROUND(INDEX('Budget by Source'!$A$6:$I$330,MATCH('Payment by Source'!$A63,'Budget by Source'!$A$6:$A$330,0),MATCH(Q$3,'Budget by Source'!$A$5:$I$5,0))/10,0)*10)</f>
        <v>-5</v>
      </c>
      <c r="R63" s="138">
        <f>INDEX('Budget by Source'!$A$6:$I$330,MATCH('Payment by Source'!$A63,'Budget by Source'!$A$6:$A$330,0),MATCH(R$3,'Budget by Source'!$A$5:$I$5,0))-(ROUND(INDEX('Budget by Source'!$A$6:$I$330,MATCH('Payment by Source'!$A63,'Budget by Source'!$A$6:$A$330,0),MATCH(R$3,'Budget by Source'!$A$5:$I$5,0))/10,0)*10)</f>
        <v>-5</v>
      </c>
      <c r="S63" s="138">
        <f>INDEX('Budget by Source'!$A$6:$I$330,MATCH('Payment by Source'!$A63,'Budget by Source'!$A$6:$A$330,0),MATCH(S$3,'Budget by Source'!$A$5:$I$5,0))-(ROUND(INDEX('Budget by Source'!$A$6:$I$330,MATCH('Payment by Source'!$A63,'Budget by Source'!$A$6:$A$330,0),MATCH(S$3,'Budget by Source'!$A$5:$I$5,0))/10,0)*10)</f>
        <v>0</v>
      </c>
      <c r="T63" s="138">
        <f>INDEX('Budget by Source'!$A$6:$I$330,MATCH('Payment by Source'!$A63,'Budget by Source'!$A$6:$A$330,0),MATCH(T$3,'Budget by Source'!$A$5:$I$5,0))-(ROUND(INDEX('Budget by Source'!$A$6:$I$330,MATCH('Payment by Source'!$A63,'Budget by Source'!$A$6:$A$330,0),MATCH(T$3,'Budget by Source'!$A$5:$I$5,0))/10,0)*10)</f>
        <v>4</v>
      </c>
      <c r="U63" s="139">
        <f>INDEX('Budget by Source'!$A$6:$I$330,MATCH('Payment by Source'!$A63,'Budget by Source'!$A$6:$A$330,0),MATCH(U$3,'Budget by Source'!$A$5:$I$5,0))</f>
        <v>8735596</v>
      </c>
      <c r="V63" s="136">
        <f t="shared" si="1"/>
        <v>873560</v>
      </c>
      <c r="W63" s="136">
        <f t="shared" si="2"/>
        <v>8735600</v>
      </c>
    </row>
    <row r="64" spans="1:23" x14ac:dyDescent="0.2">
      <c r="A64" s="22" t="str">
        <f>Data!B60</f>
        <v>1116</v>
      </c>
      <c r="B64" s="20" t="str">
        <f>INDEX(Data[],MATCH($A64,Data[Dist],0),MATCH(B$5,Data[#Headers],0))</f>
        <v>Charles City</v>
      </c>
      <c r="C64" s="21">
        <f>IF(Notes!$B$2="June",ROUND('Budget by Source'!C64/10,0)+P64,ROUND('Budget by Source'!C64/10,0))</f>
        <v>26885</v>
      </c>
      <c r="D64" s="21">
        <f>IF(Notes!$B$2="June",ROUND('Budget by Source'!D64/10,0)+Q64,ROUND('Budget by Source'!D64/10,0))</f>
        <v>114639</v>
      </c>
      <c r="E64" s="21">
        <f>IF(Notes!$B$2="June",ROUND('Budget by Source'!E64/10,0)+R64,ROUND('Budget by Source'!E64/10,0))</f>
        <v>12312</v>
      </c>
      <c r="F64" s="21">
        <f>IF(Notes!$B$2="June",ROUND('Budget by Source'!F64/10,0)+S64,ROUND('Budget by Source'!F64/10,0))</f>
        <v>12312</v>
      </c>
      <c r="G64" s="21">
        <f>IF(Notes!$B$2="June",ROUND('Budget by Source'!G64/10,0)+T64,ROUND('Budget by Source'!G64/10,0))</f>
        <v>59131</v>
      </c>
      <c r="H64" s="21">
        <f t="shared" si="0"/>
        <v>929631</v>
      </c>
      <c r="I64" s="21">
        <f>INDEX(Data[],MATCH($A64,Data[Dist],0),MATCH(I$5,Data[#Headers],0))</f>
        <v>1154910</v>
      </c>
      <c r="K64" s="59">
        <f>INDEX('Payment Total'!$A$7:$H$331,MATCH('Payment by Source'!$A64,'Payment Total'!$A$7:$A$331,0),4)-I64</f>
        <v>0</v>
      </c>
      <c r="P64" s="138">
        <f>INDEX('Budget by Source'!$A$6:$I$330,MATCH('Payment by Source'!$A64,'Budget by Source'!$A$6:$A$330,0),MATCH(P$3,'Budget by Source'!$A$5:$I$5,0))-(ROUND(INDEX('Budget by Source'!$A$6:$I$330,MATCH('Payment by Source'!$A64,'Budget by Source'!$A$6:$A$330,0),MATCH(P$3,'Budget by Source'!$A$5:$I$5,0))/10,0)*10)</f>
        <v>3</v>
      </c>
      <c r="Q64" s="138">
        <f>INDEX('Budget by Source'!$A$6:$I$330,MATCH('Payment by Source'!$A64,'Budget by Source'!$A$6:$A$330,0),MATCH(Q$3,'Budget by Source'!$A$5:$I$5,0))-(ROUND(INDEX('Budget by Source'!$A$6:$I$330,MATCH('Payment by Source'!$A64,'Budget by Source'!$A$6:$A$330,0),MATCH(Q$3,'Budget by Source'!$A$5:$I$5,0))/10,0)*10)</f>
        <v>-1</v>
      </c>
      <c r="R64" s="138">
        <f>INDEX('Budget by Source'!$A$6:$I$330,MATCH('Payment by Source'!$A64,'Budget by Source'!$A$6:$A$330,0),MATCH(R$3,'Budget by Source'!$A$5:$I$5,0))-(ROUND(INDEX('Budget by Source'!$A$6:$I$330,MATCH('Payment by Source'!$A64,'Budget by Source'!$A$6:$A$330,0),MATCH(R$3,'Budget by Source'!$A$5:$I$5,0))/10,0)*10)</f>
        <v>-1</v>
      </c>
      <c r="S64" s="138">
        <f>INDEX('Budget by Source'!$A$6:$I$330,MATCH('Payment by Source'!$A64,'Budget by Source'!$A$6:$A$330,0),MATCH(S$3,'Budget by Source'!$A$5:$I$5,0))-(ROUND(INDEX('Budget by Source'!$A$6:$I$330,MATCH('Payment by Source'!$A64,'Budget by Source'!$A$6:$A$330,0),MATCH(S$3,'Budget by Source'!$A$5:$I$5,0))/10,0)*10)</f>
        <v>-1</v>
      </c>
      <c r="T64" s="138">
        <f>INDEX('Budget by Source'!$A$6:$I$330,MATCH('Payment by Source'!$A64,'Budget by Source'!$A$6:$A$330,0),MATCH(T$3,'Budget by Source'!$A$5:$I$5,0))-(ROUND(INDEX('Budget by Source'!$A$6:$I$330,MATCH('Payment by Source'!$A64,'Budget by Source'!$A$6:$A$330,0),MATCH(T$3,'Budget by Source'!$A$5:$I$5,0))/10,0)*10)</f>
        <v>4</v>
      </c>
      <c r="U64" s="139">
        <f>INDEX('Budget by Source'!$A$6:$I$330,MATCH('Payment by Source'!$A64,'Budget by Source'!$A$6:$A$330,0),MATCH(U$3,'Budget by Source'!$A$5:$I$5,0))</f>
        <v>9318376</v>
      </c>
      <c r="V64" s="136">
        <f t="shared" si="1"/>
        <v>931838</v>
      </c>
      <c r="W64" s="136">
        <f t="shared" si="2"/>
        <v>9318380</v>
      </c>
    </row>
    <row r="65" spans="1:23" x14ac:dyDescent="0.2">
      <c r="A65" s="22" t="str">
        <f>Data!B61</f>
        <v>1134</v>
      </c>
      <c r="B65" s="20" t="str">
        <f>INDEX(Data[],MATCH($A65,Data[Dist],0),MATCH(B$5,Data[#Headers],0))</f>
        <v>Charter Oak-Ute</v>
      </c>
      <c r="C65" s="21">
        <f>IF(Notes!$B$2="June",ROUND('Budget by Source'!C65/10,0)+P65,ROUND('Budget by Source'!C65/10,0))</f>
        <v>3507</v>
      </c>
      <c r="D65" s="21">
        <f>IF(Notes!$B$2="June",ROUND('Budget by Source'!D65/10,0)+Q65,ROUND('Budget by Source'!D65/10,0))</f>
        <v>33502</v>
      </c>
      <c r="E65" s="21">
        <f>IF(Notes!$B$2="June",ROUND('Budget by Source'!E65/10,0)+R65,ROUND('Budget by Source'!E65/10,0))</f>
        <v>2398</v>
      </c>
      <c r="F65" s="21">
        <f>IF(Notes!$B$2="June",ROUND('Budget by Source'!F65/10,0)+S65,ROUND('Budget by Source'!F65/10,0))</f>
        <v>2190</v>
      </c>
      <c r="G65" s="21">
        <f>IF(Notes!$B$2="June",ROUND('Budget by Source'!G65/10,0)+T65,ROUND('Budget by Source'!G65/10,0))</f>
        <v>10584</v>
      </c>
      <c r="H65" s="21">
        <f t="shared" si="0"/>
        <v>124515</v>
      </c>
      <c r="I65" s="21">
        <f>INDEX(Data[],MATCH($A65,Data[Dist],0),MATCH(I$5,Data[#Headers],0))</f>
        <v>176696</v>
      </c>
      <c r="K65" s="59">
        <f>INDEX('Payment Total'!$A$7:$H$331,MATCH('Payment by Source'!$A65,'Payment Total'!$A$7:$A$331,0),4)-I65</f>
        <v>0</v>
      </c>
      <c r="P65" s="138">
        <f>INDEX('Budget by Source'!$A$6:$I$330,MATCH('Payment by Source'!$A65,'Budget by Source'!$A$6:$A$330,0),MATCH(P$3,'Budget by Source'!$A$5:$I$5,0))-(ROUND(INDEX('Budget by Source'!$A$6:$I$330,MATCH('Payment by Source'!$A65,'Budget by Source'!$A$6:$A$330,0),MATCH(P$3,'Budget by Source'!$A$5:$I$5,0))/10,0)*10)</f>
        <v>-2</v>
      </c>
      <c r="Q65" s="138">
        <f>INDEX('Budget by Source'!$A$6:$I$330,MATCH('Payment by Source'!$A65,'Budget by Source'!$A$6:$A$330,0),MATCH(Q$3,'Budget by Source'!$A$5:$I$5,0))-(ROUND(INDEX('Budget by Source'!$A$6:$I$330,MATCH('Payment by Source'!$A65,'Budget by Source'!$A$6:$A$330,0),MATCH(Q$3,'Budget by Source'!$A$5:$I$5,0))/10,0)*10)</f>
        <v>0</v>
      </c>
      <c r="R65" s="138">
        <f>INDEX('Budget by Source'!$A$6:$I$330,MATCH('Payment by Source'!$A65,'Budget by Source'!$A$6:$A$330,0),MATCH(R$3,'Budget by Source'!$A$5:$I$5,0))-(ROUND(INDEX('Budget by Source'!$A$6:$I$330,MATCH('Payment by Source'!$A65,'Budget by Source'!$A$6:$A$330,0),MATCH(R$3,'Budget by Source'!$A$5:$I$5,0))/10,0)*10)</f>
        <v>-5</v>
      </c>
      <c r="S65" s="138">
        <f>INDEX('Budget by Source'!$A$6:$I$330,MATCH('Payment by Source'!$A65,'Budget by Source'!$A$6:$A$330,0),MATCH(S$3,'Budget by Source'!$A$5:$I$5,0))-(ROUND(INDEX('Budget by Source'!$A$6:$I$330,MATCH('Payment by Source'!$A65,'Budget by Source'!$A$6:$A$330,0),MATCH(S$3,'Budget by Source'!$A$5:$I$5,0))/10,0)*10)</f>
        <v>-4</v>
      </c>
      <c r="T65" s="138">
        <f>INDEX('Budget by Source'!$A$6:$I$330,MATCH('Payment by Source'!$A65,'Budget by Source'!$A$6:$A$330,0),MATCH(T$3,'Budget by Source'!$A$5:$I$5,0))-(ROUND(INDEX('Budget by Source'!$A$6:$I$330,MATCH('Payment by Source'!$A65,'Budget by Source'!$A$6:$A$330,0),MATCH(T$3,'Budget by Source'!$A$5:$I$5,0))/10,0)*10)</f>
        <v>2</v>
      </c>
      <c r="U65" s="139">
        <f>INDEX('Budget by Source'!$A$6:$I$330,MATCH('Payment by Source'!$A65,'Budget by Source'!$A$6:$A$330,0),MATCH(U$3,'Budget by Source'!$A$5:$I$5,0))</f>
        <v>1249339</v>
      </c>
      <c r="V65" s="136">
        <f t="shared" si="1"/>
        <v>124934</v>
      </c>
      <c r="W65" s="136">
        <f t="shared" si="2"/>
        <v>1249340</v>
      </c>
    </row>
    <row r="66" spans="1:23" x14ac:dyDescent="0.2">
      <c r="A66" s="22" t="str">
        <f>Data!B62</f>
        <v>1152</v>
      </c>
      <c r="B66" s="20" t="str">
        <f>INDEX(Data[],MATCH($A66,Data[Dist],0),MATCH(B$5,Data[#Headers],0))</f>
        <v>Cherokee</v>
      </c>
      <c r="C66" s="21">
        <f>IF(Notes!$B$2="June",ROUND('Budget by Source'!C66/10,0)+P66,ROUND('Budget by Source'!C66/10,0))</f>
        <v>13256</v>
      </c>
      <c r="D66" s="21">
        <f>IF(Notes!$B$2="June",ROUND('Budget by Source'!D66/10,0)+Q66,ROUND('Budget by Source'!D66/10,0))</f>
        <v>83352</v>
      </c>
      <c r="E66" s="21">
        <f>IF(Notes!$B$2="June",ROUND('Budget by Source'!E66/10,0)+R66,ROUND('Budget by Source'!E66/10,0))</f>
        <v>8594</v>
      </c>
      <c r="F66" s="21">
        <f>IF(Notes!$B$2="June",ROUND('Budget by Source'!F66/10,0)+S66,ROUND('Budget by Source'!F66/10,0))</f>
        <v>8019</v>
      </c>
      <c r="G66" s="21">
        <f>IF(Notes!$B$2="June",ROUND('Budget by Source'!G66/10,0)+T66,ROUND('Budget by Source'!G66/10,0))</f>
        <v>39334</v>
      </c>
      <c r="H66" s="21">
        <f t="shared" si="0"/>
        <v>662683</v>
      </c>
      <c r="I66" s="21">
        <f>INDEX(Data[],MATCH($A66,Data[Dist],0),MATCH(I$5,Data[#Headers],0))</f>
        <v>815238</v>
      </c>
      <c r="K66" s="59">
        <f>INDEX('Payment Total'!$A$7:$H$331,MATCH('Payment by Source'!$A66,'Payment Total'!$A$7:$A$331,0),4)-I66</f>
        <v>0</v>
      </c>
      <c r="P66" s="138">
        <f>INDEX('Budget by Source'!$A$6:$I$330,MATCH('Payment by Source'!$A66,'Budget by Source'!$A$6:$A$330,0),MATCH(P$3,'Budget by Source'!$A$5:$I$5,0))-(ROUND(INDEX('Budget by Source'!$A$6:$I$330,MATCH('Payment by Source'!$A66,'Budget by Source'!$A$6:$A$330,0),MATCH(P$3,'Budget by Source'!$A$5:$I$5,0))/10,0)*10)</f>
        <v>-3</v>
      </c>
      <c r="Q66" s="138">
        <f>INDEX('Budget by Source'!$A$6:$I$330,MATCH('Payment by Source'!$A66,'Budget by Source'!$A$6:$A$330,0),MATCH(Q$3,'Budget by Source'!$A$5:$I$5,0))-(ROUND(INDEX('Budget by Source'!$A$6:$I$330,MATCH('Payment by Source'!$A66,'Budget by Source'!$A$6:$A$330,0),MATCH(Q$3,'Budget by Source'!$A$5:$I$5,0))/10,0)*10)</f>
        <v>-1</v>
      </c>
      <c r="R66" s="138">
        <f>INDEX('Budget by Source'!$A$6:$I$330,MATCH('Payment by Source'!$A66,'Budget by Source'!$A$6:$A$330,0),MATCH(R$3,'Budget by Source'!$A$5:$I$5,0))-(ROUND(INDEX('Budget by Source'!$A$6:$I$330,MATCH('Payment by Source'!$A66,'Budget by Source'!$A$6:$A$330,0),MATCH(R$3,'Budget by Source'!$A$5:$I$5,0))/10,0)*10)</f>
        <v>-2</v>
      </c>
      <c r="S66" s="138">
        <f>INDEX('Budget by Source'!$A$6:$I$330,MATCH('Payment by Source'!$A66,'Budget by Source'!$A$6:$A$330,0),MATCH(S$3,'Budget by Source'!$A$5:$I$5,0))-(ROUND(INDEX('Budget by Source'!$A$6:$I$330,MATCH('Payment by Source'!$A66,'Budget by Source'!$A$6:$A$330,0),MATCH(S$3,'Budget by Source'!$A$5:$I$5,0))/10,0)*10)</f>
        <v>1</v>
      </c>
      <c r="T66" s="138">
        <f>INDEX('Budget by Source'!$A$6:$I$330,MATCH('Payment by Source'!$A66,'Budget by Source'!$A$6:$A$330,0),MATCH(T$3,'Budget by Source'!$A$5:$I$5,0))-(ROUND(INDEX('Budget by Source'!$A$6:$I$330,MATCH('Payment by Source'!$A66,'Budget by Source'!$A$6:$A$330,0),MATCH(T$3,'Budget by Source'!$A$5:$I$5,0))/10,0)*10)</f>
        <v>1</v>
      </c>
      <c r="U66" s="139">
        <f>INDEX('Budget by Source'!$A$6:$I$330,MATCH('Payment by Source'!$A66,'Budget by Source'!$A$6:$A$330,0),MATCH(U$3,'Budget by Source'!$A$5:$I$5,0))</f>
        <v>6642440</v>
      </c>
      <c r="V66" s="136">
        <f t="shared" si="1"/>
        <v>664244</v>
      </c>
      <c r="W66" s="136">
        <f t="shared" si="2"/>
        <v>6642440</v>
      </c>
    </row>
    <row r="67" spans="1:23" x14ac:dyDescent="0.2">
      <c r="A67" s="22" t="str">
        <f>Data!B63</f>
        <v>1197</v>
      </c>
      <c r="B67" s="20" t="str">
        <f>INDEX(Data[],MATCH($A67,Data[Dist],0),MATCH(B$5,Data[#Headers],0))</f>
        <v>Clarinda</v>
      </c>
      <c r="C67" s="21">
        <f>IF(Notes!$B$2="June",ROUND('Budget by Source'!C67/10,0)+P67,ROUND('Budget by Source'!C67/10,0))</f>
        <v>17144</v>
      </c>
      <c r="D67" s="21">
        <f>IF(Notes!$B$2="June",ROUND('Budget by Source'!D67/10,0)+Q67,ROUND('Budget by Source'!D67/10,0))</f>
        <v>79942</v>
      </c>
      <c r="E67" s="21">
        <f>IF(Notes!$B$2="June",ROUND('Budget by Source'!E67/10,0)+R67,ROUND('Budget by Source'!E67/10,0))</f>
        <v>7292</v>
      </c>
      <c r="F67" s="21">
        <f>IF(Notes!$B$2="June",ROUND('Budget by Source'!F67/10,0)+S67,ROUND('Budget by Source'!F67/10,0))</f>
        <v>6309</v>
      </c>
      <c r="G67" s="21">
        <f>IF(Notes!$B$2="June",ROUND('Budget by Source'!G67/10,0)+T67,ROUND('Budget by Source'!G67/10,0))</f>
        <v>37725</v>
      </c>
      <c r="H67" s="21">
        <f t="shared" si="0"/>
        <v>574544</v>
      </c>
      <c r="I67" s="21">
        <f>INDEX(Data[],MATCH($A67,Data[Dist],0),MATCH(I$5,Data[#Headers],0))</f>
        <v>722956</v>
      </c>
      <c r="K67" s="59">
        <f>INDEX('Payment Total'!$A$7:$H$331,MATCH('Payment by Source'!$A67,'Payment Total'!$A$7:$A$331,0),4)-I67</f>
        <v>0</v>
      </c>
      <c r="P67" s="138">
        <f>INDEX('Budget by Source'!$A$6:$I$330,MATCH('Payment by Source'!$A67,'Budget by Source'!$A$6:$A$330,0),MATCH(P$3,'Budget by Source'!$A$5:$I$5,0))-(ROUND(INDEX('Budget by Source'!$A$6:$I$330,MATCH('Payment by Source'!$A67,'Budget by Source'!$A$6:$A$330,0),MATCH(P$3,'Budget by Source'!$A$5:$I$5,0))/10,0)*10)</f>
        <v>2</v>
      </c>
      <c r="Q67" s="138">
        <f>INDEX('Budget by Source'!$A$6:$I$330,MATCH('Payment by Source'!$A67,'Budget by Source'!$A$6:$A$330,0),MATCH(Q$3,'Budget by Source'!$A$5:$I$5,0))-(ROUND(INDEX('Budget by Source'!$A$6:$I$330,MATCH('Payment by Source'!$A67,'Budget by Source'!$A$6:$A$330,0),MATCH(Q$3,'Budget by Source'!$A$5:$I$5,0))/10,0)*10)</f>
        <v>-1</v>
      </c>
      <c r="R67" s="138">
        <f>INDEX('Budget by Source'!$A$6:$I$330,MATCH('Payment by Source'!$A67,'Budget by Source'!$A$6:$A$330,0),MATCH(R$3,'Budget by Source'!$A$5:$I$5,0))-(ROUND(INDEX('Budget by Source'!$A$6:$I$330,MATCH('Payment by Source'!$A67,'Budget by Source'!$A$6:$A$330,0),MATCH(R$3,'Budget by Source'!$A$5:$I$5,0))/10,0)*10)</f>
        <v>-5</v>
      </c>
      <c r="S67" s="138">
        <f>INDEX('Budget by Source'!$A$6:$I$330,MATCH('Payment by Source'!$A67,'Budget by Source'!$A$6:$A$330,0),MATCH(S$3,'Budget by Source'!$A$5:$I$5,0))-(ROUND(INDEX('Budget by Source'!$A$6:$I$330,MATCH('Payment by Source'!$A67,'Budget by Source'!$A$6:$A$330,0),MATCH(S$3,'Budget by Source'!$A$5:$I$5,0))/10,0)*10)</f>
        <v>-2</v>
      </c>
      <c r="T67" s="138">
        <f>INDEX('Budget by Source'!$A$6:$I$330,MATCH('Payment by Source'!$A67,'Budget by Source'!$A$6:$A$330,0),MATCH(T$3,'Budget by Source'!$A$5:$I$5,0))-(ROUND(INDEX('Budget by Source'!$A$6:$I$330,MATCH('Payment by Source'!$A67,'Budget by Source'!$A$6:$A$330,0),MATCH(T$3,'Budget by Source'!$A$5:$I$5,0))/10,0)*10)</f>
        <v>-1</v>
      </c>
      <c r="U67" s="139">
        <f>INDEX('Budget by Source'!$A$6:$I$330,MATCH('Payment by Source'!$A67,'Budget by Source'!$A$6:$A$330,0),MATCH(U$3,'Budget by Source'!$A$5:$I$5,0))</f>
        <v>5759845</v>
      </c>
      <c r="V67" s="136">
        <f t="shared" si="1"/>
        <v>575985</v>
      </c>
      <c r="W67" s="136">
        <f t="shared" si="2"/>
        <v>5759850</v>
      </c>
    </row>
    <row r="68" spans="1:23" x14ac:dyDescent="0.2">
      <c r="A68" s="22" t="str">
        <f>Data!B64</f>
        <v>1206</v>
      </c>
      <c r="B68" s="20" t="str">
        <f>INDEX(Data[],MATCH($A68,Data[Dist],0),MATCH(B$5,Data[#Headers],0))</f>
        <v>Clarion-Goldfield-Dows</v>
      </c>
      <c r="C68" s="21">
        <f>IF(Notes!$B$2="June",ROUND('Budget by Source'!C68/10,0)+P68,ROUND('Budget by Source'!C68/10,0))</f>
        <v>19880</v>
      </c>
      <c r="D68" s="21">
        <f>IF(Notes!$B$2="June",ROUND('Budget by Source'!D68/10,0)+Q68,ROUND('Budget by Source'!D68/10,0))</f>
        <v>78173</v>
      </c>
      <c r="E68" s="21">
        <f>IF(Notes!$B$2="June",ROUND('Budget by Source'!E68/10,0)+R68,ROUND('Budget by Source'!E68/10,0))</f>
        <v>8264</v>
      </c>
      <c r="F68" s="21">
        <f>IF(Notes!$B$2="June",ROUND('Budget by Source'!F68/10,0)+S68,ROUND('Budget by Source'!F68/10,0))</f>
        <v>7579</v>
      </c>
      <c r="G68" s="21">
        <f>IF(Notes!$B$2="June",ROUND('Budget by Source'!G68/10,0)+T68,ROUND('Budget by Source'!G68/10,0))</f>
        <v>37262</v>
      </c>
      <c r="H68" s="21">
        <f t="shared" si="0"/>
        <v>463015</v>
      </c>
      <c r="I68" s="21">
        <f>INDEX(Data[],MATCH($A68,Data[Dist],0),MATCH(I$5,Data[#Headers],0))</f>
        <v>614173</v>
      </c>
      <c r="K68" s="59">
        <f>INDEX('Payment Total'!$A$7:$H$331,MATCH('Payment by Source'!$A68,'Payment Total'!$A$7:$A$331,0),4)-I68</f>
        <v>0</v>
      </c>
      <c r="P68" s="138">
        <f>INDEX('Budget by Source'!$A$6:$I$330,MATCH('Payment by Source'!$A68,'Budget by Source'!$A$6:$A$330,0),MATCH(P$3,'Budget by Source'!$A$5:$I$5,0))-(ROUND(INDEX('Budget by Source'!$A$6:$I$330,MATCH('Payment by Source'!$A68,'Budget by Source'!$A$6:$A$330,0),MATCH(P$3,'Budget by Source'!$A$5:$I$5,0))/10,0)*10)</f>
        <v>-4</v>
      </c>
      <c r="Q68" s="138">
        <f>INDEX('Budget by Source'!$A$6:$I$330,MATCH('Payment by Source'!$A68,'Budget by Source'!$A$6:$A$330,0),MATCH(Q$3,'Budget by Source'!$A$5:$I$5,0))-(ROUND(INDEX('Budget by Source'!$A$6:$I$330,MATCH('Payment by Source'!$A68,'Budget by Source'!$A$6:$A$330,0),MATCH(Q$3,'Budget by Source'!$A$5:$I$5,0))/10,0)*10)</f>
        <v>-1</v>
      </c>
      <c r="R68" s="138">
        <f>INDEX('Budget by Source'!$A$6:$I$330,MATCH('Payment by Source'!$A68,'Budget by Source'!$A$6:$A$330,0),MATCH(R$3,'Budget by Source'!$A$5:$I$5,0))-(ROUND(INDEX('Budget by Source'!$A$6:$I$330,MATCH('Payment by Source'!$A68,'Budget by Source'!$A$6:$A$330,0),MATCH(R$3,'Budget by Source'!$A$5:$I$5,0))/10,0)*10)</f>
        <v>-3</v>
      </c>
      <c r="S68" s="138">
        <f>INDEX('Budget by Source'!$A$6:$I$330,MATCH('Payment by Source'!$A68,'Budget by Source'!$A$6:$A$330,0),MATCH(S$3,'Budget by Source'!$A$5:$I$5,0))-(ROUND(INDEX('Budget by Source'!$A$6:$I$330,MATCH('Payment by Source'!$A68,'Budget by Source'!$A$6:$A$330,0),MATCH(S$3,'Budget by Source'!$A$5:$I$5,0))/10,0)*10)</f>
        <v>2</v>
      </c>
      <c r="T68" s="138">
        <f>INDEX('Budget by Source'!$A$6:$I$330,MATCH('Payment by Source'!$A68,'Budget by Source'!$A$6:$A$330,0),MATCH(T$3,'Budget by Source'!$A$5:$I$5,0))-(ROUND(INDEX('Budget by Source'!$A$6:$I$330,MATCH('Payment by Source'!$A68,'Budget by Source'!$A$6:$A$330,0),MATCH(T$3,'Budget by Source'!$A$5:$I$5,0))/10,0)*10)</f>
        <v>1</v>
      </c>
      <c r="U68" s="139">
        <f>INDEX('Budget by Source'!$A$6:$I$330,MATCH('Payment by Source'!$A68,'Budget by Source'!$A$6:$A$330,0),MATCH(U$3,'Budget by Source'!$A$5:$I$5,0))</f>
        <v>4644804</v>
      </c>
      <c r="V68" s="136">
        <f t="shared" si="1"/>
        <v>464480</v>
      </c>
      <c r="W68" s="136">
        <f t="shared" si="2"/>
        <v>4644800</v>
      </c>
    </row>
    <row r="69" spans="1:23" x14ac:dyDescent="0.2">
      <c r="A69" s="22" t="str">
        <f>Data!B65</f>
        <v>1211</v>
      </c>
      <c r="B69" s="20" t="str">
        <f>INDEX(Data[],MATCH($A69,Data[Dist],0),MATCH(B$5,Data[#Headers],0))</f>
        <v>Clarke</v>
      </c>
      <c r="C69" s="21">
        <f>IF(Notes!$B$2="June",ROUND('Budget by Source'!C69/10,0)+P69,ROUND('Budget by Source'!C69/10,0))</f>
        <v>19092</v>
      </c>
      <c r="D69" s="21">
        <f>IF(Notes!$B$2="June",ROUND('Budget by Source'!D69/10,0)+Q69,ROUND('Budget by Source'!D69/10,0))</f>
        <v>113038</v>
      </c>
      <c r="E69" s="21">
        <f>IF(Notes!$B$2="June",ROUND('Budget by Source'!E69/10,0)+R69,ROUND('Budget by Source'!E69/10,0))</f>
        <v>12494</v>
      </c>
      <c r="F69" s="21">
        <f>IF(Notes!$B$2="June",ROUND('Budget by Source'!F69/10,0)+S69,ROUND('Budget by Source'!F69/10,0))</f>
        <v>10046</v>
      </c>
      <c r="G69" s="21">
        <f>IF(Notes!$B$2="June",ROUND('Budget by Source'!G69/10,0)+T69,ROUND('Budget by Source'!G69/10,0))</f>
        <v>54058</v>
      </c>
      <c r="H69" s="21">
        <f t="shared" si="0"/>
        <v>1002693</v>
      </c>
      <c r="I69" s="21">
        <f>INDEX(Data[],MATCH($A69,Data[Dist],0),MATCH(I$5,Data[#Headers],0))</f>
        <v>1211421</v>
      </c>
      <c r="K69" s="59">
        <f>INDEX('Payment Total'!$A$7:$H$331,MATCH('Payment by Source'!$A69,'Payment Total'!$A$7:$A$331,0),4)-I69</f>
        <v>0</v>
      </c>
      <c r="P69" s="138">
        <f>INDEX('Budget by Source'!$A$6:$I$330,MATCH('Payment by Source'!$A69,'Budget by Source'!$A$6:$A$330,0),MATCH(P$3,'Budget by Source'!$A$5:$I$5,0))-(ROUND(INDEX('Budget by Source'!$A$6:$I$330,MATCH('Payment by Source'!$A69,'Budget by Source'!$A$6:$A$330,0),MATCH(P$3,'Budget by Source'!$A$5:$I$5,0))/10,0)*10)</f>
        <v>4</v>
      </c>
      <c r="Q69" s="138">
        <f>INDEX('Budget by Source'!$A$6:$I$330,MATCH('Payment by Source'!$A69,'Budget by Source'!$A$6:$A$330,0),MATCH(Q$3,'Budget by Source'!$A$5:$I$5,0))-(ROUND(INDEX('Budget by Source'!$A$6:$I$330,MATCH('Payment by Source'!$A69,'Budget by Source'!$A$6:$A$330,0),MATCH(Q$3,'Budget by Source'!$A$5:$I$5,0))/10,0)*10)</f>
        <v>3</v>
      </c>
      <c r="R69" s="138">
        <f>INDEX('Budget by Source'!$A$6:$I$330,MATCH('Payment by Source'!$A69,'Budget by Source'!$A$6:$A$330,0),MATCH(R$3,'Budget by Source'!$A$5:$I$5,0))-(ROUND(INDEX('Budget by Source'!$A$6:$I$330,MATCH('Payment by Source'!$A69,'Budget by Source'!$A$6:$A$330,0),MATCH(R$3,'Budget by Source'!$A$5:$I$5,0))/10,0)*10)</f>
        <v>-5</v>
      </c>
      <c r="S69" s="138">
        <f>INDEX('Budget by Source'!$A$6:$I$330,MATCH('Payment by Source'!$A69,'Budget by Source'!$A$6:$A$330,0),MATCH(S$3,'Budget by Source'!$A$5:$I$5,0))-(ROUND(INDEX('Budget by Source'!$A$6:$I$330,MATCH('Payment by Source'!$A69,'Budget by Source'!$A$6:$A$330,0),MATCH(S$3,'Budget by Source'!$A$5:$I$5,0))/10,0)*10)</f>
        <v>3</v>
      </c>
      <c r="T69" s="138">
        <f>INDEX('Budget by Source'!$A$6:$I$330,MATCH('Payment by Source'!$A69,'Budget by Source'!$A$6:$A$330,0),MATCH(T$3,'Budget by Source'!$A$5:$I$5,0))-(ROUND(INDEX('Budget by Source'!$A$6:$I$330,MATCH('Payment by Source'!$A69,'Budget by Source'!$A$6:$A$330,0),MATCH(T$3,'Budget by Source'!$A$5:$I$5,0))/10,0)*10)</f>
        <v>4</v>
      </c>
      <c r="U69" s="139">
        <f>INDEX('Budget by Source'!$A$6:$I$330,MATCH('Payment by Source'!$A69,'Budget by Source'!$A$6:$A$330,0),MATCH(U$3,'Budget by Source'!$A$5:$I$5,0))</f>
        <v>10048386</v>
      </c>
      <c r="V69" s="136">
        <f t="shared" si="1"/>
        <v>1004839</v>
      </c>
      <c r="W69" s="136">
        <f t="shared" si="2"/>
        <v>10048390</v>
      </c>
    </row>
    <row r="70" spans="1:23" x14ac:dyDescent="0.2">
      <c r="A70" s="22" t="str">
        <f>Data!B66</f>
        <v>1215</v>
      </c>
      <c r="B70" s="20" t="str">
        <f>INDEX(Data[],MATCH($A70,Data[Dist],0),MATCH(B$5,Data[#Headers],0))</f>
        <v>Clarksville</v>
      </c>
      <c r="C70" s="21">
        <f>IF(Notes!$B$2="June",ROUND('Budget by Source'!C70/10,0)+P70,ROUND('Budget by Source'!C70/10,0))</f>
        <v>7403</v>
      </c>
      <c r="D70" s="21">
        <f>IF(Notes!$B$2="June",ROUND('Budget by Source'!D70/10,0)+Q70,ROUND('Budget by Source'!D70/10,0))</f>
        <v>37788</v>
      </c>
      <c r="E70" s="21">
        <f>IF(Notes!$B$2="June",ROUND('Budget by Source'!E70/10,0)+R70,ROUND('Budget by Source'!E70/10,0))</f>
        <v>2403</v>
      </c>
      <c r="F70" s="21">
        <f>IF(Notes!$B$2="June",ROUND('Budget by Source'!F70/10,0)+S70,ROUND('Budget by Source'!F70/10,0))</f>
        <v>2322</v>
      </c>
      <c r="G70" s="21">
        <f>IF(Notes!$B$2="June",ROUND('Budget by Source'!G70/10,0)+T70,ROUND('Budget by Source'!G70/10,0))</f>
        <v>10713</v>
      </c>
      <c r="H70" s="21">
        <f t="shared" si="0"/>
        <v>177797</v>
      </c>
      <c r="I70" s="21">
        <f>INDEX(Data[],MATCH($A70,Data[Dist],0),MATCH(I$5,Data[#Headers],0))</f>
        <v>238426</v>
      </c>
      <c r="K70" s="59">
        <f>INDEX('Payment Total'!$A$7:$H$331,MATCH('Payment by Source'!$A70,'Payment Total'!$A$7:$A$331,0),4)-I70</f>
        <v>0</v>
      </c>
      <c r="P70" s="138">
        <f>INDEX('Budget by Source'!$A$6:$I$330,MATCH('Payment by Source'!$A70,'Budget by Source'!$A$6:$A$330,0),MATCH(P$3,'Budget by Source'!$A$5:$I$5,0))-(ROUND(INDEX('Budget by Source'!$A$6:$I$330,MATCH('Payment by Source'!$A70,'Budget by Source'!$A$6:$A$330,0),MATCH(P$3,'Budget by Source'!$A$5:$I$5,0))/10,0)*10)</f>
        <v>2</v>
      </c>
      <c r="Q70" s="138">
        <f>INDEX('Budget by Source'!$A$6:$I$330,MATCH('Payment by Source'!$A70,'Budget by Source'!$A$6:$A$330,0),MATCH(Q$3,'Budget by Source'!$A$5:$I$5,0))-(ROUND(INDEX('Budget by Source'!$A$6:$I$330,MATCH('Payment by Source'!$A70,'Budget by Source'!$A$6:$A$330,0),MATCH(Q$3,'Budget by Source'!$A$5:$I$5,0))/10,0)*10)</f>
        <v>3</v>
      </c>
      <c r="R70" s="138">
        <f>INDEX('Budget by Source'!$A$6:$I$330,MATCH('Payment by Source'!$A70,'Budget by Source'!$A$6:$A$330,0),MATCH(R$3,'Budget by Source'!$A$5:$I$5,0))-(ROUND(INDEX('Budget by Source'!$A$6:$I$330,MATCH('Payment by Source'!$A70,'Budget by Source'!$A$6:$A$330,0),MATCH(R$3,'Budget by Source'!$A$5:$I$5,0))/10,0)*10)</f>
        <v>2</v>
      </c>
      <c r="S70" s="138">
        <f>INDEX('Budget by Source'!$A$6:$I$330,MATCH('Payment by Source'!$A70,'Budget by Source'!$A$6:$A$330,0),MATCH(S$3,'Budget by Source'!$A$5:$I$5,0))-(ROUND(INDEX('Budget by Source'!$A$6:$I$330,MATCH('Payment by Source'!$A70,'Budget by Source'!$A$6:$A$330,0),MATCH(S$3,'Budget by Source'!$A$5:$I$5,0))/10,0)*10)</f>
        <v>-2</v>
      </c>
      <c r="T70" s="138">
        <f>INDEX('Budget by Source'!$A$6:$I$330,MATCH('Payment by Source'!$A70,'Budget by Source'!$A$6:$A$330,0),MATCH(T$3,'Budget by Source'!$A$5:$I$5,0))-(ROUND(INDEX('Budget by Source'!$A$6:$I$330,MATCH('Payment by Source'!$A70,'Budget by Source'!$A$6:$A$330,0),MATCH(T$3,'Budget by Source'!$A$5:$I$5,0))/10,0)*10)</f>
        <v>-3</v>
      </c>
      <c r="U70" s="139">
        <f>INDEX('Budget by Source'!$A$6:$I$330,MATCH('Payment by Source'!$A70,'Budget by Source'!$A$6:$A$330,0),MATCH(U$3,'Budget by Source'!$A$5:$I$5,0))</f>
        <v>1782186</v>
      </c>
      <c r="V70" s="136">
        <f t="shared" si="1"/>
        <v>178219</v>
      </c>
      <c r="W70" s="136">
        <f t="shared" si="2"/>
        <v>1782190</v>
      </c>
    </row>
    <row r="71" spans="1:23" x14ac:dyDescent="0.2">
      <c r="A71" s="22" t="str">
        <f>Data!B67</f>
        <v>1218</v>
      </c>
      <c r="B71" s="20" t="str">
        <f>INDEX(Data[],MATCH($A71,Data[Dist],0),MATCH(B$5,Data[#Headers],0))</f>
        <v>Clay Central-Everly</v>
      </c>
      <c r="C71" s="21">
        <f>IF(Notes!$B$2="June",ROUND('Budget by Source'!C71/10,0)+P71,ROUND('Budget by Source'!C71/10,0))</f>
        <v>1948</v>
      </c>
      <c r="D71" s="21">
        <f>IF(Notes!$B$2="June",ROUND('Budget by Source'!D71/10,0)+Q71,ROUND('Budget by Source'!D71/10,0))</f>
        <v>33237</v>
      </c>
      <c r="E71" s="21">
        <f>IF(Notes!$B$2="June",ROUND('Budget by Source'!E71/10,0)+R71,ROUND('Budget by Source'!E71/10,0))</f>
        <v>2122</v>
      </c>
      <c r="F71" s="21">
        <f>IF(Notes!$B$2="June",ROUND('Budget by Source'!F71/10,0)+S71,ROUND('Budget by Source'!F71/10,0))</f>
        <v>2277</v>
      </c>
      <c r="G71" s="21">
        <f>IF(Notes!$B$2="June",ROUND('Budget by Source'!G71/10,0)+T71,ROUND('Budget by Source'!G71/10,0))</f>
        <v>10691</v>
      </c>
      <c r="H71" s="21">
        <f t="shared" ref="H71:H134" si="3">I71-SUM(C71:G71)</f>
        <v>46248</v>
      </c>
      <c r="I71" s="21">
        <f>INDEX(Data[],MATCH($A71,Data[Dist],0),MATCH(I$5,Data[#Headers],0))</f>
        <v>96523</v>
      </c>
      <c r="K71" s="59">
        <f>INDEX('Payment Total'!$A$7:$H$331,MATCH('Payment by Source'!$A71,'Payment Total'!$A$7:$A$331,0),4)-I71</f>
        <v>0</v>
      </c>
      <c r="P71" s="138">
        <f>INDEX('Budget by Source'!$A$6:$I$330,MATCH('Payment by Source'!$A71,'Budget by Source'!$A$6:$A$330,0),MATCH(P$3,'Budget by Source'!$A$5:$I$5,0))-(ROUND(INDEX('Budget by Source'!$A$6:$I$330,MATCH('Payment by Source'!$A71,'Budget by Source'!$A$6:$A$330,0),MATCH(P$3,'Budget by Source'!$A$5:$I$5,0))/10,0)*10)</f>
        <v>2</v>
      </c>
      <c r="Q71" s="138">
        <f>INDEX('Budget by Source'!$A$6:$I$330,MATCH('Payment by Source'!$A71,'Budget by Source'!$A$6:$A$330,0),MATCH(Q$3,'Budget by Source'!$A$5:$I$5,0))-(ROUND(INDEX('Budget by Source'!$A$6:$I$330,MATCH('Payment by Source'!$A71,'Budget by Source'!$A$6:$A$330,0),MATCH(Q$3,'Budget by Source'!$A$5:$I$5,0))/10,0)*10)</f>
        <v>0</v>
      </c>
      <c r="R71" s="138">
        <f>INDEX('Budget by Source'!$A$6:$I$330,MATCH('Payment by Source'!$A71,'Budget by Source'!$A$6:$A$330,0),MATCH(R$3,'Budget by Source'!$A$5:$I$5,0))-(ROUND(INDEX('Budget by Source'!$A$6:$I$330,MATCH('Payment by Source'!$A71,'Budget by Source'!$A$6:$A$330,0),MATCH(R$3,'Budget by Source'!$A$5:$I$5,0))/10,0)*10)</f>
        <v>-5</v>
      </c>
      <c r="S71" s="138">
        <f>INDEX('Budget by Source'!$A$6:$I$330,MATCH('Payment by Source'!$A71,'Budget by Source'!$A$6:$A$330,0),MATCH(S$3,'Budget by Source'!$A$5:$I$5,0))-(ROUND(INDEX('Budget by Source'!$A$6:$I$330,MATCH('Payment by Source'!$A71,'Budget by Source'!$A$6:$A$330,0),MATCH(S$3,'Budget by Source'!$A$5:$I$5,0))/10,0)*10)</f>
        <v>3</v>
      </c>
      <c r="T71" s="138">
        <f>INDEX('Budget by Source'!$A$6:$I$330,MATCH('Payment by Source'!$A71,'Budget by Source'!$A$6:$A$330,0),MATCH(T$3,'Budget by Source'!$A$5:$I$5,0))-(ROUND(INDEX('Budget by Source'!$A$6:$I$330,MATCH('Payment by Source'!$A71,'Budget by Source'!$A$6:$A$330,0),MATCH(T$3,'Budget by Source'!$A$5:$I$5,0))/10,0)*10)</f>
        <v>1</v>
      </c>
      <c r="U71" s="139">
        <f>INDEX('Budget by Source'!$A$6:$I$330,MATCH('Payment by Source'!$A71,'Budget by Source'!$A$6:$A$330,0),MATCH(U$3,'Budget by Source'!$A$5:$I$5,0))</f>
        <v>466452</v>
      </c>
      <c r="V71" s="136">
        <f t="shared" ref="V71:V134" si="4">ROUND(U71/10,0)</f>
        <v>46645</v>
      </c>
      <c r="W71" s="136">
        <f t="shared" ref="W71:W134" si="5">V71*10</f>
        <v>466450</v>
      </c>
    </row>
    <row r="72" spans="1:23" x14ac:dyDescent="0.2">
      <c r="A72" s="22" t="str">
        <f>Data!B68</f>
        <v>1221</v>
      </c>
      <c r="B72" s="20" t="str">
        <f>INDEX(Data[],MATCH($A72,Data[Dist],0),MATCH(B$5,Data[#Headers],0))</f>
        <v>Clear Creek-Amana</v>
      </c>
      <c r="C72" s="21">
        <f>IF(Notes!$B$2="June",ROUND('Budget by Source'!C72/10,0)+P72,ROUND('Budget by Source'!C72/10,0))</f>
        <v>61563</v>
      </c>
      <c r="D72" s="21">
        <f>IF(Notes!$B$2="June",ROUND('Budget by Source'!D72/10,0)+Q72,ROUND('Budget by Source'!D72/10,0))</f>
        <v>223940</v>
      </c>
      <c r="E72" s="21">
        <f>IF(Notes!$B$2="June",ROUND('Budget by Source'!E72/10,0)+R72,ROUND('Budget by Source'!E72/10,0))</f>
        <v>21017</v>
      </c>
      <c r="F72" s="21">
        <f>IF(Notes!$B$2="June",ROUND('Budget by Source'!F72/10,0)+S72,ROUND('Budget by Source'!F72/10,0))</f>
        <v>22577</v>
      </c>
      <c r="G72" s="21">
        <f>IF(Notes!$B$2="June",ROUND('Budget by Source'!G72/10,0)+T72,ROUND('Budget by Source'!G72/10,0))</f>
        <v>115811</v>
      </c>
      <c r="H72" s="21">
        <f t="shared" si="3"/>
        <v>1668164</v>
      </c>
      <c r="I72" s="21">
        <f>INDEX(Data[],MATCH($A72,Data[Dist],0),MATCH(I$5,Data[#Headers],0))</f>
        <v>2113072</v>
      </c>
      <c r="K72" s="59">
        <f>INDEX('Payment Total'!$A$7:$H$331,MATCH('Payment by Source'!$A72,'Payment Total'!$A$7:$A$331,0),4)-I72</f>
        <v>0</v>
      </c>
      <c r="P72" s="138">
        <f>INDEX('Budget by Source'!$A$6:$I$330,MATCH('Payment by Source'!$A72,'Budget by Source'!$A$6:$A$330,0),MATCH(P$3,'Budget by Source'!$A$5:$I$5,0))-(ROUND(INDEX('Budget by Source'!$A$6:$I$330,MATCH('Payment by Source'!$A72,'Budget by Source'!$A$6:$A$330,0),MATCH(P$3,'Budget by Source'!$A$5:$I$5,0))/10,0)*10)</f>
        <v>4</v>
      </c>
      <c r="Q72" s="138">
        <f>INDEX('Budget by Source'!$A$6:$I$330,MATCH('Payment by Source'!$A72,'Budget by Source'!$A$6:$A$330,0),MATCH(Q$3,'Budget by Source'!$A$5:$I$5,0))-(ROUND(INDEX('Budget by Source'!$A$6:$I$330,MATCH('Payment by Source'!$A72,'Budget by Source'!$A$6:$A$330,0),MATCH(Q$3,'Budget by Source'!$A$5:$I$5,0))/10,0)*10)</f>
        <v>-5</v>
      </c>
      <c r="R72" s="138">
        <f>INDEX('Budget by Source'!$A$6:$I$330,MATCH('Payment by Source'!$A72,'Budget by Source'!$A$6:$A$330,0),MATCH(R$3,'Budget by Source'!$A$5:$I$5,0))-(ROUND(INDEX('Budget by Source'!$A$6:$I$330,MATCH('Payment by Source'!$A72,'Budget by Source'!$A$6:$A$330,0),MATCH(R$3,'Budget by Source'!$A$5:$I$5,0))/10,0)*10)</f>
        <v>-3</v>
      </c>
      <c r="S72" s="138">
        <f>INDEX('Budget by Source'!$A$6:$I$330,MATCH('Payment by Source'!$A72,'Budget by Source'!$A$6:$A$330,0),MATCH(S$3,'Budget by Source'!$A$5:$I$5,0))-(ROUND(INDEX('Budget by Source'!$A$6:$I$330,MATCH('Payment by Source'!$A72,'Budget by Source'!$A$6:$A$330,0),MATCH(S$3,'Budget by Source'!$A$5:$I$5,0))/10,0)*10)</f>
        <v>3</v>
      </c>
      <c r="T72" s="138">
        <f>INDEX('Budget by Source'!$A$6:$I$330,MATCH('Payment by Source'!$A72,'Budget by Source'!$A$6:$A$330,0),MATCH(T$3,'Budget by Source'!$A$5:$I$5,0))-(ROUND(INDEX('Budget by Source'!$A$6:$I$330,MATCH('Payment by Source'!$A72,'Budget by Source'!$A$6:$A$330,0),MATCH(T$3,'Budget by Source'!$A$5:$I$5,0))/10,0)*10)</f>
        <v>3</v>
      </c>
      <c r="U72" s="139">
        <f>INDEX('Budget by Source'!$A$6:$I$330,MATCH('Payment by Source'!$A72,'Budget by Source'!$A$6:$A$330,0),MATCH(U$3,'Budget by Source'!$A$5:$I$5,0))</f>
        <v>16727227</v>
      </c>
      <c r="V72" s="136">
        <f t="shared" si="4"/>
        <v>1672723</v>
      </c>
      <c r="W72" s="136">
        <f t="shared" si="5"/>
        <v>16727230</v>
      </c>
    </row>
    <row r="73" spans="1:23" x14ac:dyDescent="0.2">
      <c r="A73" s="22" t="str">
        <f>Data!B69</f>
        <v>1233</v>
      </c>
      <c r="B73" s="20" t="str">
        <f>INDEX(Data[],MATCH($A73,Data[Dist],0),MATCH(B$5,Data[#Headers],0))</f>
        <v>Clear Lake</v>
      </c>
      <c r="C73" s="21">
        <f>IF(Notes!$B$2="June",ROUND('Budget by Source'!C73/10,0)+P73,ROUND('Budget by Source'!C73/10,0))</f>
        <v>18703</v>
      </c>
      <c r="D73" s="21">
        <f>IF(Notes!$B$2="June",ROUND('Budget by Source'!D73/10,0)+Q73,ROUND('Budget by Source'!D73/10,0))</f>
        <v>94550</v>
      </c>
      <c r="E73" s="21">
        <f>IF(Notes!$B$2="June",ROUND('Budget by Source'!E73/10,0)+R73,ROUND('Budget by Source'!E73/10,0))</f>
        <v>8889</v>
      </c>
      <c r="F73" s="21">
        <f>IF(Notes!$B$2="June",ROUND('Budget by Source'!F73/10,0)+S73,ROUND('Budget by Source'!F73/10,0))</f>
        <v>8466</v>
      </c>
      <c r="G73" s="21">
        <f>IF(Notes!$B$2="June",ROUND('Budget by Source'!G73/10,0)+T73,ROUND('Budget by Source'!G73/10,0))</f>
        <v>44619</v>
      </c>
      <c r="H73" s="21">
        <f t="shared" si="3"/>
        <v>313344</v>
      </c>
      <c r="I73" s="21">
        <f>INDEX(Data[],MATCH($A73,Data[Dist],0),MATCH(I$5,Data[#Headers],0))</f>
        <v>488571</v>
      </c>
      <c r="K73" s="59">
        <f>INDEX('Payment Total'!$A$7:$H$331,MATCH('Payment by Source'!$A73,'Payment Total'!$A$7:$A$331,0),4)-I73</f>
        <v>0</v>
      </c>
      <c r="P73" s="138">
        <f>INDEX('Budget by Source'!$A$6:$I$330,MATCH('Payment by Source'!$A73,'Budget by Source'!$A$6:$A$330,0),MATCH(P$3,'Budget by Source'!$A$5:$I$5,0))-(ROUND(INDEX('Budget by Source'!$A$6:$I$330,MATCH('Payment by Source'!$A73,'Budget by Source'!$A$6:$A$330,0),MATCH(P$3,'Budget by Source'!$A$5:$I$5,0))/10,0)*10)</f>
        <v>-2</v>
      </c>
      <c r="Q73" s="138">
        <f>INDEX('Budget by Source'!$A$6:$I$330,MATCH('Payment by Source'!$A73,'Budget by Source'!$A$6:$A$330,0),MATCH(Q$3,'Budget by Source'!$A$5:$I$5,0))-(ROUND(INDEX('Budget by Source'!$A$6:$I$330,MATCH('Payment by Source'!$A73,'Budget by Source'!$A$6:$A$330,0),MATCH(Q$3,'Budget by Source'!$A$5:$I$5,0))/10,0)*10)</f>
        <v>3</v>
      </c>
      <c r="R73" s="138">
        <f>INDEX('Budget by Source'!$A$6:$I$330,MATCH('Payment by Source'!$A73,'Budget by Source'!$A$6:$A$330,0),MATCH(R$3,'Budget by Source'!$A$5:$I$5,0))-(ROUND(INDEX('Budget by Source'!$A$6:$I$330,MATCH('Payment by Source'!$A73,'Budget by Source'!$A$6:$A$330,0),MATCH(R$3,'Budget by Source'!$A$5:$I$5,0))/10,0)*10)</f>
        <v>-5</v>
      </c>
      <c r="S73" s="138">
        <f>INDEX('Budget by Source'!$A$6:$I$330,MATCH('Payment by Source'!$A73,'Budget by Source'!$A$6:$A$330,0),MATCH(S$3,'Budget by Source'!$A$5:$I$5,0))-(ROUND(INDEX('Budget by Source'!$A$6:$I$330,MATCH('Payment by Source'!$A73,'Budget by Source'!$A$6:$A$330,0),MATCH(S$3,'Budget by Source'!$A$5:$I$5,0))/10,0)*10)</f>
        <v>-3</v>
      </c>
      <c r="T73" s="138">
        <f>INDEX('Budget by Source'!$A$6:$I$330,MATCH('Payment by Source'!$A73,'Budget by Source'!$A$6:$A$330,0),MATCH(T$3,'Budget by Source'!$A$5:$I$5,0))-(ROUND(INDEX('Budget by Source'!$A$6:$I$330,MATCH('Payment by Source'!$A73,'Budget by Source'!$A$6:$A$330,0),MATCH(T$3,'Budget by Source'!$A$5:$I$5,0))/10,0)*10)</f>
        <v>-4</v>
      </c>
      <c r="U73" s="139">
        <f>INDEX('Budget by Source'!$A$6:$I$330,MATCH('Payment by Source'!$A73,'Budget by Source'!$A$6:$A$330,0),MATCH(U$3,'Budget by Source'!$A$5:$I$5,0))</f>
        <v>3150857</v>
      </c>
      <c r="V73" s="136">
        <f t="shared" si="4"/>
        <v>315086</v>
      </c>
      <c r="W73" s="136">
        <f t="shared" si="5"/>
        <v>3150860</v>
      </c>
    </row>
    <row r="74" spans="1:23" x14ac:dyDescent="0.2">
      <c r="A74" s="22" t="str">
        <f>Data!B70</f>
        <v>1278</v>
      </c>
      <c r="B74" s="20" t="str">
        <f>INDEX(Data[],MATCH($A74,Data[Dist],0),MATCH(B$5,Data[#Headers],0))</f>
        <v>Clinton</v>
      </c>
      <c r="C74" s="21">
        <f>IF(Notes!$B$2="June",ROUND('Budget by Source'!C74/10,0)+P74,ROUND('Budget by Source'!C74/10,0))</f>
        <v>72473</v>
      </c>
      <c r="D74" s="21">
        <f>IF(Notes!$B$2="June",ROUND('Budget by Source'!D74/10,0)+Q74,ROUND('Budget by Source'!D74/10,0))</f>
        <v>257060</v>
      </c>
      <c r="E74" s="21">
        <f>IF(Notes!$B$2="June",ROUND('Budget by Source'!E74/10,0)+R74,ROUND('Budget by Source'!E74/10,0))</f>
        <v>32696</v>
      </c>
      <c r="F74" s="21">
        <f>IF(Notes!$B$2="June",ROUND('Budget by Source'!F74/10,0)+S74,ROUND('Budget by Source'!F74/10,0))</f>
        <v>28306</v>
      </c>
      <c r="G74" s="21">
        <f>IF(Notes!$B$2="June",ROUND('Budget by Source'!G74/10,0)+T74,ROUND('Budget by Source'!G74/10,0))</f>
        <v>138306</v>
      </c>
      <c r="H74" s="21">
        <f t="shared" si="3"/>
        <v>2677574</v>
      </c>
      <c r="I74" s="21">
        <f>INDEX(Data[],MATCH($A74,Data[Dist],0),MATCH(I$5,Data[#Headers],0))</f>
        <v>3206415</v>
      </c>
      <c r="K74" s="59">
        <f>INDEX('Payment Total'!$A$7:$H$331,MATCH('Payment by Source'!$A74,'Payment Total'!$A$7:$A$331,0),4)-I74</f>
        <v>0</v>
      </c>
      <c r="P74" s="138">
        <f>INDEX('Budget by Source'!$A$6:$I$330,MATCH('Payment by Source'!$A74,'Budget by Source'!$A$6:$A$330,0),MATCH(P$3,'Budget by Source'!$A$5:$I$5,0))-(ROUND(INDEX('Budget by Source'!$A$6:$I$330,MATCH('Payment by Source'!$A74,'Budget by Source'!$A$6:$A$330,0),MATCH(P$3,'Budget by Source'!$A$5:$I$5,0))/10,0)*10)</f>
        <v>3</v>
      </c>
      <c r="Q74" s="138">
        <f>INDEX('Budget by Source'!$A$6:$I$330,MATCH('Payment by Source'!$A74,'Budget by Source'!$A$6:$A$330,0),MATCH(Q$3,'Budget by Source'!$A$5:$I$5,0))-(ROUND(INDEX('Budget by Source'!$A$6:$I$330,MATCH('Payment by Source'!$A74,'Budget by Source'!$A$6:$A$330,0),MATCH(Q$3,'Budget by Source'!$A$5:$I$5,0))/10,0)*10)</f>
        <v>-4</v>
      </c>
      <c r="R74" s="138">
        <f>INDEX('Budget by Source'!$A$6:$I$330,MATCH('Payment by Source'!$A74,'Budget by Source'!$A$6:$A$330,0),MATCH(R$3,'Budget by Source'!$A$5:$I$5,0))-(ROUND(INDEX('Budget by Source'!$A$6:$I$330,MATCH('Payment by Source'!$A74,'Budget by Source'!$A$6:$A$330,0),MATCH(R$3,'Budget by Source'!$A$5:$I$5,0))/10,0)*10)</f>
        <v>3</v>
      </c>
      <c r="S74" s="138">
        <f>INDEX('Budget by Source'!$A$6:$I$330,MATCH('Payment by Source'!$A74,'Budget by Source'!$A$6:$A$330,0),MATCH(S$3,'Budget by Source'!$A$5:$I$5,0))-(ROUND(INDEX('Budget by Source'!$A$6:$I$330,MATCH('Payment by Source'!$A74,'Budget by Source'!$A$6:$A$330,0),MATCH(S$3,'Budget by Source'!$A$5:$I$5,0))/10,0)*10)</f>
        <v>3</v>
      </c>
      <c r="T74" s="138">
        <f>INDEX('Budget by Source'!$A$6:$I$330,MATCH('Payment by Source'!$A74,'Budget by Source'!$A$6:$A$330,0),MATCH(T$3,'Budget by Source'!$A$5:$I$5,0))-(ROUND(INDEX('Budget by Source'!$A$6:$I$330,MATCH('Payment by Source'!$A74,'Budget by Source'!$A$6:$A$330,0),MATCH(T$3,'Budget by Source'!$A$5:$I$5,0))/10,0)*10)</f>
        <v>-3</v>
      </c>
      <c r="U74" s="139">
        <f>INDEX('Budget by Source'!$A$6:$I$330,MATCH('Payment by Source'!$A74,'Budget by Source'!$A$6:$A$330,0),MATCH(U$3,'Budget by Source'!$A$5:$I$5,0))</f>
        <v>26829175</v>
      </c>
      <c r="V74" s="136">
        <f t="shared" si="4"/>
        <v>2682918</v>
      </c>
      <c r="W74" s="136">
        <f t="shared" si="5"/>
        <v>26829180</v>
      </c>
    </row>
    <row r="75" spans="1:23" x14ac:dyDescent="0.2">
      <c r="A75" s="22" t="str">
        <f>Data!B71</f>
        <v>1332</v>
      </c>
      <c r="B75" s="20" t="str">
        <f>INDEX(Data[],MATCH($A75,Data[Dist],0),MATCH(B$5,Data[#Headers],0))</f>
        <v>Colfax-Mingo</v>
      </c>
      <c r="C75" s="21">
        <f>IF(Notes!$B$2="June",ROUND('Budget by Source'!C75/10,0)+P75,ROUND('Budget by Source'!C75/10,0))</f>
        <v>15975</v>
      </c>
      <c r="D75" s="21">
        <f>IF(Notes!$B$2="June",ROUND('Budget by Source'!D75/10,0)+Q75,ROUND('Budget by Source'!D75/10,0))</f>
        <v>65990</v>
      </c>
      <c r="E75" s="21">
        <f>IF(Notes!$B$2="June",ROUND('Budget by Source'!E75/10,0)+R75,ROUND('Budget by Source'!E75/10,0))</f>
        <v>5577</v>
      </c>
      <c r="F75" s="21">
        <f>IF(Notes!$B$2="June",ROUND('Budget by Source'!F75/10,0)+S75,ROUND('Budget by Source'!F75/10,0))</f>
        <v>4806</v>
      </c>
      <c r="G75" s="21">
        <f>IF(Notes!$B$2="June",ROUND('Budget by Source'!G75/10,0)+T75,ROUND('Budget by Source'!G75/10,0))</f>
        <v>27069</v>
      </c>
      <c r="H75" s="21">
        <f t="shared" si="3"/>
        <v>417056</v>
      </c>
      <c r="I75" s="21">
        <f>INDEX(Data[],MATCH($A75,Data[Dist],0),MATCH(I$5,Data[#Headers],0))</f>
        <v>536473</v>
      </c>
      <c r="K75" s="59">
        <f>INDEX('Payment Total'!$A$7:$H$331,MATCH('Payment by Source'!$A75,'Payment Total'!$A$7:$A$331,0),4)-I75</f>
        <v>0</v>
      </c>
      <c r="P75" s="138">
        <f>INDEX('Budget by Source'!$A$6:$I$330,MATCH('Payment by Source'!$A75,'Budget by Source'!$A$6:$A$330,0),MATCH(P$3,'Budget by Source'!$A$5:$I$5,0))-(ROUND(INDEX('Budget by Source'!$A$6:$I$330,MATCH('Payment by Source'!$A75,'Budget by Source'!$A$6:$A$330,0),MATCH(P$3,'Budget by Source'!$A$5:$I$5,0))/10,0)*10)</f>
        <v>3</v>
      </c>
      <c r="Q75" s="138">
        <f>INDEX('Budget by Source'!$A$6:$I$330,MATCH('Payment by Source'!$A75,'Budget by Source'!$A$6:$A$330,0),MATCH(Q$3,'Budget by Source'!$A$5:$I$5,0))-(ROUND(INDEX('Budget by Source'!$A$6:$I$330,MATCH('Payment by Source'!$A75,'Budget by Source'!$A$6:$A$330,0),MATCH(Q$3,'Budget by Source'!$A$5:$I$5,0))/10,0)*10)</f>
        <v>3</v>
      </c>
      <c r="R75" s="138">
        <f>INDEX('Budget by Source'!$A$6:$I$330,MATCH('Payment by Source'!$A75,'Budget by Source'!$A$6:$A$330,0),MATCH(R$3,'Budget by Source'!$A$5:$I$5,0))-(ROUND(INDEX('Budget by Source'!$A$6:$I$330,MATCH('Payment by Source'!$A75,'Budget by Source'!$A$6:$A$330,0),MATCH(R$3,'Budget by Source'!$A$5:$I$5,0))/10,0)*10)</f>
        <v>-4</v>
      </c>
      <c r="S75" s="138">
        <f>INDEX('Budget by Source'!$A$6:$I$330,MATCH('Payment by Source'!$A75,'Budget by Source'!$A$6:$A$330,0),MATCH(S$3,'Budget by Source'!$A$5:$I$5,0))-(ROUND(INDEX('Budget by Source'!$A$6:$I$330,MATCH('Payment by Source'!$A75,'Budget by Source'!$A$6:$A$330,0),MATCH(S$3,'Budget by Source'!$A$5:$I$5,0))/10,0)*10)</f>
        <v>-5</v>
      </c>
      <c r="T75" s="138">
        <f>INDEX('Budget by Source'!$A$6:$I$330,MATCH('Payment by Source'!$A75,'Budget by Source'!$A$6:$A$330,0),MATCH(T$3,'Budget by Source'!$A$5:$I$5,0))-(ROUND(INDEX('Budget by Source'!$A$6:$I$330,MATCH('Payment by Source'!$A75,'Budget by Source'!$A$6:$A$330,0),MATCH(T$3,'Budget by Source'!$A$5:$I$5,0))/10,0)*10)</f>
        <v>-2</v>
      </c>
      <c r="U75" s="139">
        <f>INDEX('Budget by Source'!$A$6:$I$330,MATCH('Payment by Source'!$A75,'Budget by Source'!$A$6:$A$330,0),MATCH(U$3,'Budget by Source'!$A$5:$I$5,0))</f>
        <v>4181235</v>
      </c>
      <c r="V75" s="136">
        <f t="shared" si="4"/>
        <v>418124</v>
      </c>
      <c r="W75" s="136">
        <f t="shared" si="5"/>
        <v>4181240</v>
      </c>
    </row>
    <row r="76" spans="1:23" x14ac:dyDescent="0.2">
      <c r="A76" s="22" t="str">
        <f>Data!B72</f>
        <v>1337</v>
      </c>
      <c r="B76" s="20" t="str">
        <f>INDEX(Data[],MATCH($A76,Data[Dist],0),MATCH(B$5,Data[#Headers],0))</f>
        <v>College Community</v>
      </c>
      <c r="C76" s="21">
        <f>IF(Notes!$B$2="June",ROUND('Budget by Source'!C76/10,0)+P76,ROUND('Budget by Source'!C76/10,0))</f>
        <v>112217</v>
      </c>
      <c r="D76" s="21">
        <f>IF(Notes!$B$2="June",ROUND('Budget by Source'!D76/10,0)+Q76,ROUND('Budget by Source'!D76/10,0))</f>
        <v>358978</v>
      </c>
      <c r="E76" s="21">
        <f>IF(Notes!$B$2="June",ROUND('Budget by Source'!E76/10,0)+R76,ROUND('Budget by Source'!E76/10,0))</f>
        <v>42347</v>
      </c>
      <c r="F76" s="21">
        <f>IF(Notes!$B$2="June",ROUND('Budget by Source'!F76/10,0)+S76,ROUND('Budget by Source'!F76/10,0))</f>
        <v>40257</v>
      </c>
      <c r="G76" s="21">
        <f>IF(Notes!$B$2="June",ROUND('Budget by Source'!G76/10,0)+T76,ROUND('Budget by Source'!G76/10,0))</f>
        <v>193939</v>
      </c>
      <c r="H76" s="21">
        <f t="shared" si="3"/>
        <v>2611733</v>
      </c>
      <c r="I76" s="21">
        <f>INDEX(Data[],MATCH($A76,Data[Dist],0),MATCH(I$5,Data[#Headers],0))</f>
        <v>3359471</v>
      </c>
      <c r="K76" s="59">
        <f>INDEX('Payment Total'!$A$7:$H$331,MATCH('Payment by Source'!$A76,'Payment Total'!$A$7:$A$331,0),4)-I76</f>
        <v>0</v>
      </c>
      <c r="P76" s="138">
        <f>INDEX('Budget by Source'!$A$6:$I$330,MATCH('Payment by Source'!$A76,'Budget by Source'!$A$6:$A$330,0),MATCH(P$3,'Budget by Source'!$A$5:$I$5,0))-(ROUND(INDEX('Budget by Source'!$A$6:$I$330,MATCH('Payment by Source'!$A76,'Budget by Source'!$A$6:$A$330,0),MATCH(P$3,'Budget by Source'!$A$5:$I$5,0))/10,0)*10)</f>
        <v>-2</v>
      </c>
      <c r="Q76" s="138">
        <f>INDEX('Budget by Source'!$A$6:$I$330,MATCH('Payment by Source'!$A76,'Budget by Source'!$A$6:$A$330,0),MATCH(Q$3,'Budget by Source'!$A$5:$I$5,0))-(ROUND(INDEX('Budget by Source'!$A$6:$I$330,MATCH('Payment by Source'!$A76,'Budget by Source'!$A$6:$A$330,0),MATCH(Q$3,'Budget by Source'!$A$5:$I$5,0))/10,0)*10)</f>
        <v>1</v>
      </c>
      <c r="R76" s="138">
        <f>INDEX('Budget by Source'!$A$6:$I$330,MATCH('Payment by Source'!$A76,'Budget by Source'!$A$6:$A$330,0),MATCH(R$3,'Budget by Source'!$A$5:$I$5,0))-(ROUND(INDEX('Budget by Source'!$A$6:$I$330,MATCH('Payment by Source'!$A76,'Budget by Source'!$A$6:$A$330,0),MATCH(R$3,'Budget by Source'!$A$5:$I$5,0))/10,0)*10)</f>
        <v>-1</v>
      </c>
      <c r="S76" s="138">
        <f>INDEX('Budget by Source'!$A$6:$I$330,MATCH('Payment by Source'!$A76,'Budget by Source'!$A$6:$A$330,0),MATCH(S$3,'Budget by Source'!$A$5:$I$5,0))-(ROUND(INDEX('Budget by Source'!$A$6:$I$330,MATCH('Payment by Source'!$A76,'Budget by Source'!$A$6:$A$330,0),MATCH(S$3,'Budget by Source'!$A$5:$I$5,0))/10,0)*10)</f>
        <v>3</v>
      </c>
      <c r="T76" s="138">
        <f>INDEX('Budget by Source'!$A$6:$I$330,MATCH('Payment by Source'!$A76,'Budget by Source'!$A$6:$A$330,0),MATCH(T$3,'Budget by Source'!$A$5:$I$5,0))-(ROUND(INDEX('Budget by Source'!$A$6:$I$330,MATCH('Payment by Source'!$A76,'Budget by Source'!$A$6:$A$330,0),MATCH(T$3,'Budget by Source'!$A$5:$I$5,0))/10,0)*10)</f>
        <v>3</v>
      </c>
      <c r="U76" s="139">
        <f>INDEX('Budget by Source'!$A$6:$I$330,MATCH('Payment by Source'!$A76,'Budget by Source'!$A$6:$A$330,0),MATCH(U$3,'Budget by Source'!$A$5:$I$5,0))</f>
        <v>26193540</v>
      </c>
      <c r="V76" s="136">
        <f t="shared" si="4"/>
        <v>2619354</v>
      </c>
      <c r="W76" s="136">
        <f t="shared" si="5"/>
        <v>26193540</v>
      </c>
    </row>
    <row r="77" spans="1:23" x14ac:dyDescent="0.2">
      <c r="A77" s="22" t="str">
        <f>Data!B73</f>
        <v>1350</v>
      </c>
      <c r="B77" s="20" t="str">
        <f>INDEX(Data[],MATCH($A77,Data[Dist],0),MATCH(B$5,Data[#Headers],0))</f>
        <v>Collins-Maxwell</v>
      </c>
      <c r="C77" s="21">
        <f>IF(Notes!$B$2="June",ROUND('Budget by Source'!C77/10,0)+P77,ROUND('Budget by Source'!C77/10,0))</f>
        <v>8572</v>
      </c>
      <c r="D77" s="21">
        <f>IF(Notes!$B$2="June",ROUND('Budget by Source'!D77/10,0)+Q77,ROUND('Budget by Source'!D77/10,0))</f>
        <v>48782</v>
      </c>
      <c r="E77" s="21">
        <f>IF(Notes!$B$2="June",ROUND('Budget by Source'!E77/10,0)+R77,ROUND('Budget by Source'!E77/10,0))</f>
        <v>3526</v>
      </c>
      <c r="F77" s="21">
        <f>IF(Notes!$B$2="June",ROUND('Budget by Source'!F77/10,0)+S77,ROUND('Budget by Source'!F77/10,0))</f>
        <v>3229</v>
      </c>
      <c r="G77" s="21">
        <f>IF(Notes!$B$2="June",ROUND('Budget by Source'!G77/10,0)+T77,ROUND('Budget by Source'!G77/10,0))</f>
        <v>17096</v>
      </c>
      <c r="H77" s="21">
        <f t="shared" si="3"/>
        <v>257797</v>
      </c>
      <c r="I77" s="21">
        <f>INDEX(Data[],MATCH($A77,Data[Dist],0),MATCH(I$5,Data[#Headers],0))</f>
        <v>339002</v>
      </c>
      <c r="K77" s="59">
        <f>INDEX('Payment Total'!$A$7:$H$331,MATCH('Payment by Source'!$A77,'Payment Total'!$A$7:$A$331,0),4)-I77</f>
        <v>0</v>
      </c>
      <c r="P77" s="138">
        <f>INDEX('Budget by Source'!$A$6:$I$330,MATCH('Payment by Source'!$A77,'Budget by Source'!$A$6:$A$330,0),MATCH(P$3,'Budget by Source'!$A$5:$I$5,0))-(ROUND(INDEX('Budget by Source'!$A$6:$I$330,MATCH('Payment by Source'!$A77,'Budget by Source'!$A$6:$A$330,0),MATCH(P$3,'Budget by Source'!$A$5:$I$5,0))/10,0)*10)</f>
        <v>1</v>
      </c>
      <c r="Q77" s="138">
        <f>INDEX('Budget by Source'!$A$6:$I$330,MATCH('Payment by Source'!$A77,'Budget by Source'!$A$6:$A$330,0),MATCH(Q$3,'Budget by Source'!$A$5:$I$5,0))-(ROUND(INDEX('Budget by Source'!$A$6:$I$330,MATCH('Payment by Source'!$A77,'Budget by Source'!$A$6:$A$330,0),MATCH(Q$3,'Budget by Source'!$A$5:$I$5,0))/10,0)*10)</f>
        <v>-3</v>
      </c>
      <c r="R77" s="138">
        <f>INDEX('Budget by Source'!$A$6:$I$330,MATCH('Payment by Source'!$A77,'Budget by Source'!$A$6:$A$330,0),MATCH(R$3,'Budget by Source'!$A$5:$I$5,0))-(ROUND(INDEX('Budget by Source'!$A$6:$I$330,MATCH('Payment by Source'!$A77,'Budget by Source'!$A$6:$A$330,0),MATCH(R$3,'Budget by Source'!$A$5:$I$5,0))/10,0)*10)</f>
        <v>1</v>
      </c>
      <c r="S77" s="138">
        <f>INDEX('Budget by Source'!$A$6:$I$330,MATCH('Payment by Source'!$A77,'Budget by Source'!$A$6:$A$330,0),MATCH(S$3,'Budget by Source'!$A$5:$I$5,0))-(ROUND(INDEX('Budget by Source'!$A$6:$I$330,MATCH('Payment by Source'!$A77,'Budget by Source'!$A$6:$A$330,0),MATCH(S$3,'Budget by Source'!$A$5:$I$5,0))/10,0)*10)</f>
        <v>2</v>
      </c>
      <c r="T77" s="138">
        <f>INDEX('Budget by Source'!$A$6:$I$330,MATCH('Payment by Source'!$A77,'Budget by Source'!$A$6:$A$330,0),MATCH(T$3,'Budget by Source'!$A$5:$I$5,0))-(ROUND(INDEX('Budget by Source'!$A$6:$I$330,MATCH('Payment by Source'!$A77,'Budget by Source'!$A$6:$A$330,0),MATCH(T$3,'Budget by Source'!$A$5:$I$5,0))/10,0)*10)</f>
        <v>1</v>
      </c>
      <c r="U77" s="139">
        <f>INDEX('Budget by Source'!$A$6:$I$330,MATCH('Payment by Source'!$A77,'Budget by Source'!$A$6:$A$330,0),MATCH(U$3,'Budget by Source'!$A$5:$I$5,0))</f>
        <v>2584604</v>
      </c>
      <c r="V77" s="136">
        <f t="shared" si="4"/>
        <v>258460</v>
      </c>
      <c r="W77" s="136">
        <f t="shared" si="5"/>
        <v>2584600</v>
      </c>
    </row>
    <row r="78" spans="1:23" x14ac:dyDescent="0.2">
      <c r="A78" s="22" t="str">
        <f>Data!B74</f>
        <v>1359</v>
      </c>
      <c r="B78" s="20" t="str">
        <f>INDEX(Data[],MATCH($A78,Data[Dist],0),MATCH(B$5,Data[#Headers],0))</f>
        <v>Colo-Nesco</v>
      </c>
      <c r="C78" s="21">
        <f>IF(Notes!$B$2="June",ROUND('Budget by Source'!C78/10,0)+P78,ROUND('Budget by Source'!C78/10,0))</f>
        <v>8572</v>
      </c>
      <c r="D78" s="21">
        <f>IF(Notes!$B$2="June",ROUND('Budget by Source'!D78/10,0)+Q78,ROUND('Budget by Source'!D78/10,0))</f>
        <v>48653</v>
      </c>
      <c r="E78" s="21">
        <f>IF(Notes!$B$2="June",ROUND('Budget by Source'!E78/10,0)+R78,ROUND('Budget by Source'!E78/10,0))</f>
        <v>3548</v>
      </c>
      <c r="F78" s="21">
        <f>IF(Notes!$B$2="June",ROUND('Budget by Source'!F78/10,0)+S78,ROUND('Budget by Source'!F78/10,0))</f>
        <v>3331</v>
      </c>
      <c r="G78" s="21">
        <f>IF(Notes!$B$2="June",ROUND('Budget by Source'!G78/10,0)+T78,ROUND('Budget by Source'!G78/10,0))</f>
        <v>17183</v>
      </c>
      <c r="H78" s="21">
        <f t="shared" si="3"/>
        <v>176872</v>
      </c>
      <c r="I78" s="21">
        <f>INDEX(Data[],MATCH($A78,Data[Dist],0),MATCH(I$5,Data[#Headers],0))</f>
        <v>258159</v>
      </c>
      <c r="K78" s="59">
        <f>INDEX('Payment Total'!$A$7:$H$331,MATCH('Payment by Source'!$A78,'Payment Total'!$A$7:$A$331,0),4)-I78</f>
        <v>0</v>
      </c>
      <c r="P78" s="138">
        <f>INDEX('Budget by Source'!$A$6:$I$330,MATCH('Payment by Source'!$A78,'Budget by Source'!$A$6:$A$330,0),MATCH(P$3,'Budget by Source'!$A$5:$I$5,0))-(ROUND(INDEX('Budget by Source'!$A$6:$I$330,MATCH('Payment by Source'!$A78,'Budget by Source'!$A$6:$A$330,0),MATCH(P$3,'Budget by Source'!$A$5:$I$5,0))/10,0)*10)</f>
        <v>1</v>
      </c>
      <c r="Q78" s="138">
        <f>INDEX('Budget by Source'!$A$6:$I$330,MATCH('Payment by Source'!$A78,'Budget by Source'!$A$6:$A$330,0),MATCH(Q$3,'Budget by Source'!$A$5:$I$5,0))-(ROUND(INDEX('Budget by Source'!$A$6:$I$330,MATCH('Payment by Source'!$A78,'Budget by Source'!$A$6:$A$330,0),MATCH(Q$3,'Budget by Source'!$A$5:$I$5,0))/10,0)*10)</f>
        <v>-1</v>
      </c>
      <c r="R78" s="138">
        <f>INDEX('Budget by Source'!$A$6:$I$330,MATCH('Payment by Source'!$A78,'Budget by Source'!$A$6:$A$330,0),MATCH(R$3,'Budget by Source'!$A$5:$I$5,0))-(ROUND(INDEX('Budget by Source'!$A$6:$I$330,MATCH('Payment by Source'!$A78,'Budget by Source'!$A$6:$A$330,0),MATCH(R$3,'Budget by Source'!$A$5:$I$5,0))/10,0)*10)</f>
        <v>-2</v>
      </c>
      <c r="S78" s="138">
        <f>INDEX('Budget by Source'!$A$6:$I$330,MATCH('Payment by Source'!$A78,'Budget by Source'!$A$6:$A$330,0),MATCH(S$3,'Budget by Source'!$A$5:$I$5,0))-(ROUND(INDEX('Budget by Source'!$A$6:$I$330,MATCH('Payment by Source'!$A78,'Budget by Source'!$A$6:$A$330,0),MATCH(S$3,'Budget by Source'!$A$5:$I$5,0))/10,0)*10)</f>
        <v>-2</v>
      </c>
      <c r="T78" s="138">
        <f>INDEX('Budget by Source'!$A$6:$I$330,MATCH('Payment by Source'!$A78,'Budget by Source'!$A$6:$A$330,0),MATCH(T$3,'Budget by Source'!$A$5:$I$5,0))-(ROUND(INDEX('Budget by Source'!$A$6:$I$330,MATCH('Payment by Source'!$A78,'Budget by Source'!$A$6:$A$330,0),MATCH(T$3,'Budget by Source'!$A$5:$I$5,0))/10,0)*10)</f>
        <v>4</v>
      </c>
      <c r="U78" s="139">
        <f>INDEX('Budget by Source'!$A$6:$I$330,MATCH('Payment by Source'!$A78,'Budget by Source'!$A$6:$A$330,0),MATCH(U$3,'Budget by Source'!$A$5:$I$5,0))</f>
        <v>1775551</v>
      </c>
      <c r="V78" s="136">
        <f t="shared" si="4"/>
        <v>177555</v>
      </c>
      <c r="W78" s="136">
        <f t="shared" si="5"/>
        <v>1775550</v>
      </c>
    </row>
    <row r="79" spans="1:23" x14ac:dyDescent="0.2">
      <c r="A79" s="22" t="str">
        <f>Data!B75</f>
        <v>1368</v>
      </c>
      <c r="B79" s="20" t="str">
        <f>INDEX(Data[],MATCH($A79,Data[Dist],0),MATCH(B$5,Data[#Headers],0))</f>
        <v>Columbus</v>
      </c>
      <c r="C79" s="21">
        <f>IF(Notes!$B$2="June",ROUND('Budget by Source'!C79/10,0)+P79,ROUND('Budget by Source'!C79/10,0))</f>
        <v>17534</v>
      </c>
      <c r="D79" s="21">
        <f>IF(Notes!$B$2="June",ROUND('Budget by Source'!D79/10,0)+Q79,ROUND('Budget by Source'!D79/10,0))</f>
        <v>79743</v>
      </c>
      <c r="E79" s="21">
        <f>IF(Notes!$B$2="June",ROUND('Budget by Source'!E79/10,0)+R79,ROUND('Budget by Source'!E79/10,0))</f>
        <v>6601</v>
      </c>
      <c r="F79" s="21">
        <f>IF(Notes!$B$2="June",ROUND('Budget by Source'!F79/10,0)+S79,ROUND('Budget by Source'!F79/10,0))</f>
        <v>6327</v>
      </c>
      <c r="G79" s="21">
        <f>IF(Notes!$B$2="June",ROUND('Budget by Source'!G79/10,0)+T79,ROUND('Budget by Source'!G79/10,0))</f>
        <v>28603</v>
      </c>
      <c r="H79" s="21">
        <f t="shared" si="3"/>
        <v>495808</v>
      </c>
      <c r="I79" s="21">
        <f>INDEX(Data[],MATCH($A79,Data[Dist],0),MATCH(I$5,Data[#Headers],0))</f>
        <v>634616</v>
      </c>
      <c r="K79" s="59">
        <f>INDEX('Payment Total'!$A$7:$H$331,MATCH('Payment by Source'!$A79,'Payment Total'!$A$7:$A$331,0),4)-I79</f>
        <v>0</v>
      </c>
      <c r="P79" s="138">
        <f>INDEX('Budget by Source'!$A$6:$I$330,MATCH('Payment by Source'!$A79,'Budget by Source'!$A$6:$A$330,0),MATCH(P$3,'Budget by Source'!$A$5:$I$5,0))-(ROUND(INDEX('Budget by Source'!$A$6:$I$330,MATCH('Payment by Source'!$A79,'Budget by Source'!$A$6:$A$330,0),MATCH(P$3,'Budget by Source'!$A$5:$I$5,0))/10,0)*10)</f>
        <v>-1</v>
      </c>
      <c r="Q79" s="138">
        <f>INDEX('Budget by Source'!$A$6:$I$330,MATCH('Payment by Source'!$A79,'Budget by Source'!$A$6:$A$330,0),MATCH(Q$3,'Budget by Source'!$A$5:$I$5,0))-(ROUND(INDEX('Budget by Source'!$A$6:$I$330,MATCH('Payment by Source'!$A79,'Budget by Source'!$A$6:$A$330,0),MATCH(Q$3,'Budget by Source'!$A$5:$I$5,0))/10,0)*10)</f>
        <v>0</v>
      </c>
      <c r="R79" s="138">
        <f>INDEX('Budget by Source'!$A$6:$I$330,MATCH('Payment by Source'!$A79,'Budget by Source'!$A$6:$A$330,0),MATCH(R$3,'Budget by Source'!$A$5:$I$5,0))-(ROUND(INDEX('Budget by Source'!$A$6:$I$330,MATCH('Payment by Source'!$A79,'Budget by Source'!$A$6:$A$330,0),MATCH(R$3,'Budget by Source'!$A$5:$I$5,0))/10,0)*10)</f>
        <v>3</v>
      </c>
      <c r="S79" s="138">
        <f>INDEX('Budget by Source'!$A$6:$I$330,MATCH('Payment by Source'!$A79,'Budget by Source'!$A$6:$A$330,0),MATCH(S$3,'Budget by Source'!$A$5:$I$5,0))-(ROUND(INDEX('Budget by Source'!$A$6:$I$330,MATCH('Payment by Source'!$A79,'Budget by Source'!$A$6:$A$330,0),MATCH(S$3,'Budget by Source'!$A$5:$I$5,0))/10,0)*10)</f>
        <v>2</v>
      </c>
      <c r="T79" s="138">
        <f>INDEX('Budget by Source'!$A$6:$I$330,MATCH('Payment by Source'!$A79,'Budget by Source'!$A$6:$A$330,0),MATCH(T$3,'Budget by Source'!$A$5:$I$5,0))-(ROUND(INDEX('Budget by Source'!$A$6:$I$330,MATCH('Payment by Source'!$A79,'Budget by Source'!$A$6:$A$330,0),MATCH(T$3,'Budget by Source'!$A$5:$I$5,0))/10,0)*10)</f>
        <v>-5</v>
      </c>
      <c r="U79" s="139">
        <f>INDEX('Budget by Source'!$A$6:$I$330,MATCH('Payment by Source'!$A79,'Budget by Source'!$A$6:$A$330,0),MATCH(U$3,'Budget by Source'!$A$5:$I$5,0))</f>
        <v>4969452</v>
      </c>
      <c r="V79" s="136">
        <f t="shared" si="4"/>
        <v>496945</v>
      </c>
      <c r="W79" s="136">
        <f t="shared" si="5"/>
        <v>4969450</v>
      </c>
    </row>
    <row r="80" spans="1:23" x14ac:dyDescent="0.2">
      <c r="A80" s="22" t="str">
        <f>Data!B76</f>
        <v>1413</v>
      </c>
      <c r="B80" s="20" t="str">
        <f>INDEX(Data[],MATCH($A80,Data[Dist],0),MATCH(B$5,Data[#Headers],0))</f>
        <v>Coon Rapids-Bayard</v>
      </c>
      <c r="C80" s="21">
        <f>IF(Notes!$B$2="June",ROUND('Budget by Source'!C80/10,0)+P80,ROUND('Budget by Source'!C80/10,0))</f>
        <v>5455</v>
      </c>
      <c r="D80" s="21">
        <f>IF(Notes!$B$2="June",ROUND('Budget by Source'!D80/10,0)+Q80,ROUND('Budget by Source'!D80/10,0))</f>
        <v>46632</v>
      </c>
      <c r="E80" s="21">
        <f>IF(Notes!$B$2="June",ROUND('Budget by Source'!E80/10,0)+R80,ROUND('Budget by Source'!E80/10,0))</f>
        <v>3776</v>
      </c>
      <c r="F80" s="21">
        <f>IF(Notes!$B$2="June",ROUND('Budget by Source'!F80/10,0)+S80,ROUND('Budget by Source'!F80/10,0))</f>
        <v>3511</v>
      </c>
      <c r="G80" s="21">
        <f>IF(Notes!$B$2="June",ROUND('Budget by Source'!G80/10,0)+T80,ROUND('Budget by Source'!G80/10,0))</f>
        <v>16470</v>
      </c>
      <c r="H80" s="21">
        <f t="shared" si="3"/>
        <v>236775</v>
      </c>
      <c r="I80" s="21">
        <f>INDEX(Data[],MATCH($A80,Data[Dist],0),MATCH(I$5,Data[#Headers],0))</f>
        <v>312619</v>
      </c>
      <c r="K80" s="59">
        <f>INDEX('Payment Total'!$A$7:$H$331,MATCH('Payment by Source'!$A80,'Payment Total'!$A$7:$A$331,0),4)-I80</f>
        <v>0</v>
      </c>
      <c r="P80" s="138">
        <f>INDEX('Budget by Source'!$A$6:$I$330,MATCH('Payment by Source'!$A80,'Budget by Source'!$A$6:$A$330,0),MATCH(P$3,'Budget by Source'!$A$5:$I$5,0))-(ROUND(INDEX('Budget by Source'!$A$6:$I$330,MATCH('Payment by Source'!$A80,'Budget by Source'!$A$6:$A$330,0),MATCH(P$3,'Budget by Source'!$A$5:$I$5,0))/10,0)*10)</f>
        <v>0</v>
      </c>
      <c r="Q80" s="138">
        <f>INDEX('Budget by Source'!$A$6:$I$330,MATCH('Payment by Source'!$A80,'Budget by Source'!$A$6:$A$330,0),MATCH(Q$3,'Budget by Source'!$A$5:$I$5,0))-(ROUND(INDEX('Budget by Source'!$A$6:$I$330,MATCH('Payment by Source'!$A80,'Budget by Source'!$A$6:$A$330,0),MATCH(Q$3,'Budget by Source'!$A$5:$I$5,0))/10,0)*10)</f>
        <v>-5</v>
      </c>
      <c r="R80" s="138">
        <f>INDEX('Budget by Source'!$A$6:$I$330,MATCH('Payment by Source'!$A80,'Budget by Source'!$A$6:$A$330,0),MATCH(R$3,'Budget by Source'!$A$5:$I$5,0))-(ROUND(INDEX('Budget by Source'!$A$6:$I$330,MATCH('Payment by Source'!$A80,'Budget by Source'!$A$6:$A$330,0),MATCH(R$3,'Budget by Source'!$A$5:$I$5,0))/10,0)*10)</f>
        <v>2</v>
      </c>
      <c r="S80" s="138">
        <f>INDEX('Budget by Source'!$A$6:$I$330,MATCH('Payment by Source'!$A80,'Budget by Source'!$A$6:$A$330,0),MATCH(S$3,'Budget by Source'!$A$5:$I$5,0))-(ROUND(INDEX('Budget by Source'!$A$6:$I$330,MATCH('Payment by Source'!$A80,'Budget by Source'!$A$6:$A$330,0),MATCH(S$3,'Budget by Source'!$A$5:$I$5,0))/10,0)*10)</f>
        <v>-3</v>
      </c>
      <c r="T80" s="138">
        <f>INDEX('Budget by Source'!$A$6:$I$330,MATCH('Payment by Source'!$A80,'Budget by Source'!$A$6:$A$330,0),MATCH(T$3,'Budget by Source'!$A$5:$I$5,0))-(ROUND(INDEX('Budget by Source'!$A$6:$I$330,MATCH('Payment by Source'!$A80,'Budget by Source'!$A$6:$A$330,0),MATCH(T$3,'Budget by Source'!$A$5:$I$5,0))/10,0)*10)</f>
        <v>-5</v>
      </c>
      <c r="U80" s="139">
        <f>INDEX('Budget by Source'!$A$6:$I$330,MATCH('Payment by Source'!$A80,'Budget by Source'!$A$6:$A$330,0),MATCH(U$3,'Budget by Source'!$A$5:$I$5,0))</f>
        <v>2374299</v>
      </c>
      <c r="V80" s="136">
        <f t="shared" si="4"/>
        <v>237430</v>
      </c>
      <c r="W80" s="136">
        <f t="shared" si="5"/>
        <v>2374300</v>
      </c>
    </row>
    <row r="81" spans="1:23" x14ac:dyDescent="0.2">
      <c r="A81" s="22" t="str">
        <f>Data!B77</f>
        <v>1431</v>
      </c>
      <c r="B81" s="20" t="str">
        <f>INDEX(Data[],MATCH($A81,Data[Dist],0),MATCH(B$5,Data[#Headers],0))</f>
        <v>Corning</v>
      </c>
      <c r="C81" s="21">
        <f>IF(Notes!$B$2="June",ROUND('Budget by Source'!C81/10,0)+P81,ROUND('Budget by Source'!C81/10,0))</f>
        <v>8962</v>
      </c>
      <c r="D81" s="21">
        <f>IF(Notes!$B$2="June",ROUND('Budget by Source'!D81/10,0)+Q81,ROUND('Budget by Source'!D81/10,0))</f>
        <v>40236</v>
      </c>
      <c r="E81" s="21">
        <f>IF(Notes!$B$2="June",ROUND('Budget by Source'!E81/10,0)+R81,ROUND('Budget by Source'!E81/10,0))</f>
        <v>3401</v>
      </c>
      <c r="F81" s="21">
        <f>IF(Notes!$B$2="June",ROUND('Budget by Source'!F81/10,0)+S81,ROUND('Budget by Source'!F81/10,0))</f>
        <v>2905</v>
      </c>
      <c r="G81" s="21">
        <f>IF(Notes!$B$2="June",ROUND('Budget by Source'!G81/10,0)+T81,ROUND('Budget by Source'!G81/10,0))</f>
        <v>14211</v>
      </c>
      <c r="H81" s="21">
        <f t="shared" si="3"/>
        <v>124714</v>
      </c>
      <c r="I81" s="21">
        <f>INDEX(Data[],MATCH($A81,Data[Dist],0),MATCH(I$5,Data[#Headers],0))</f>
        <v>194429</v>
      </c>
      <c r="K81" s="59">
        <f>INDEX('Payment Total'!$A$7:$H$331,MATCH('Payment by Source'!$A81,'Payment Total'!$A$7:$A$331,0),4)-I81</f>
        <v>0</v>
      </c>
      <c r="P81" s="138">
        <f>INDEX('Budget by Source'!$A$6:$I$330,MATCH('Payment by Source'!$A81,'Budget by Source'!$A$6:$A$330,0),MATCH(P$3,'Budget by Source'!$A$5:$I$5,0))-(ROUND(INDEX('Budget by Source'!$A$6:$I$330,MATCH('Payment by Source'!$A81,'Budget by Source'!$A$6:$A$330,0),MATCH(P$3,'Budget by Source'!$A$5:$I$5,0))/10,0)*10)</f>
        <v>-2</v>
      </c>
      <c r="Q81" s="138">
        <f>INDEX('Budget by Source'!$A$6:$I$330,MATCH('Payment by Source'!$A81,'Budget by Source'!$A$6:$A$330,0),MATCH(Q$3,'Budget by Source'!$A$5:$I$5,0))-(ROUND(INDEX('Budget by Source'!$A$6:$I$330,MATCH('Payment by Source'!$A81,'Budget by Source'!$A$6:$A$330,0),MATCH(Q$3,'Budget by Source'!$A$5:$I$5,0))/10,0)*10)</f>
        <v>-3</v>
      </c>
      <c r="R81" s="138">
        <f>INDEX('Budget by Source'!$A$6:$I$330,MATCH('Payment by Source'!$A81,'Budget by Source'!$A$6:$A$330,0),MATCH(R$3,'Budget by Source'!$A$5:$I$5,0))-(ROUND(INDEX('Budget by Source'!$A$6:$I$330,MATCH('Payment by Source'!$A81,'Budget by Source'!$A$6:$A$330,0),MATCH(R$3,'Budget by Source'!$A$5:$I$5,0))/10,0)*10)</f>
        <v>-2</v>
      </c>
      <c r="S81" s="138">
        <f>INDEX('Budget by Source'!$A$6:$I$330,MATCH('Payment by Source'!$A81,'Budget by Source'!$A$6:$A$330,0),MATCH(S$3,'Budget by Source'!$A$5:$I$5,0))-(ROUND(INDEX('Budget by Source'!$A$6:$I$330,MATCH('Payment by Source'!$A81,'Budget by Source'!$A$6:$A$330,0),MATCH(S$3,'Budget by Source'!$A$5:$I$5,0))/10,0)*10)</f>
        <v>0</v>
      </c>
      <c r="T81" s="138">
        <f>INDEX('Budget by Source'!$A$6:$I$330,MATCH('Payment by Source'!$A81,'Budget by Source'!$A$6:$A$330,0),MATCH(T$3,'Budget by Source'!$A$5:$I$5,0))-(ROUND(INDEX('Budget by Source'!$A$6:$I$330,MATCH('Payment by Source'!$A81,'Budget by Source'!$A$6:$A$330,0),MATCH(T$3,'Budget by Source'!$A$5:$I$5,0))/10,0)*10)</f>
        <v>-4</v>
      </c>
      <c r="U81" s="139">
        <f>INDEX('Budget by Source'!$A$6:$I$330,MATCH('Payment by Source'!$A81,'Budget by Source'!$A$6:$A$330,0),MATCH(U$3,'Budget by Source'!$A$5:$I$5,0))</f>
        <v>1252798</v>
      </c>
      <c r="V81" s="136">
        <f t="shared" si="4"/>
        <v>125280</v>
      </c>
      <c r="W81" s="136">
        <f t="shared" si="5"/>
        <v>1252800</v>
      </c>
    </row>
    <row r="82" spans="1:23" x14ac:dyDescent="0.2">
      <c r="A82" s="22" t="str">
        <f>Data!B78</f>
        <v>1476</v>
      </c>
      <c r="B82" s="20" t="str">
        <f>INDEX(Data[],MATCH($A82,Data[Dist],0),MATCH(B$5,Data[#Headers],0))</f>
        <v>Council Bluffs</v>
      </c>
      <c r="C82" s="21">
        <f>IF(Notes!$B$2="June",ROUND('Budget by Source'!C82/10,0)+P82,ROUND('Budget by Source'!C82/10,0))</f>
        <v>141034</v>
      </c>
      <c r="D82" s="21">
        <f>IF(Notes!$B$2="June",ROUND('Budget by Source'!D82/10,0)+Q82,ROUND('Budget by Source'!D82/10,0))</f>
        <v>621608</v>
      </c>
      <c r="E82" s="21">
        <f>IF(Notes!$B$2="June",ROUND('Budget by Source'!E82/10,0)+R82,ROUND('Budget by Source'!E82/10,0))</f>
        <v>83570</v>
      </c>
      <c r="F82" s="21">
        <f>IF(Notes!$B$2="June",ROUND('Budget by Source'!F82/10,0)+S82,ROUND('Budget by Source'!F82/10,0))</f>
        <v>66669</v>
      </c>
      <c r="G82" s="21">
        <f>IF(Notes!$B$2="June",ROUND('Budget by Source'!G82/10,0)+T82,ROUND('Budget by Source'!G82/10,0))</f>
        <v>335826</v>
      </c>
      <c r="H82" s="21">
        <f t="shared" si="3"/>
        <v>6564176</v>
      </c>
      <c r="I82" s="21">
        <f>INDEX(Data[],MATCH($A82,Data[Dist],0),MATCH(I$5,Data[#Headers],0))</f>
        <v>7812883</v>
      </c>
      <c r="K82" s="59">
        <f>INDEX('Payment Total'!$A$7:$H$331,MATCH('Payment by Source'!$A82,'Payment Total'!$A$7:$A$331,0),4)-I82</f>
        <v>0</v>
      </c>
      <c r="P82" s="138">
        <f>INDEX('Budget by Source'!$A$6:$I$330,MATCH('Payment by Source'!$A82,'Budget by Source'!$A$6:$A$330,0),MATCH(P$3,'Budget by Source'!$A$5:$I$5,0))-(ROUND(INDEX('Budget by Source'!$A$6:$I$330,MATCH('Payment by Source'!$A82,'Budget by Source'!$A$6:$A$330,0),MATCH(P$3,'Budget by Source'!$A$5:$I$5,0))/10,0)*10)</f>
        <v>4</v>
      </c>
      <c r="Q82" s="138">
        <f>INDEX('Budget by Source'!$A$6:$I$330,MATCH('Payment by Source'!$A82,'Budget by Source'!$A$6:$A$330,0),MATCH(Q$3,'Budget by Source'!$A$5:$I$5,0))-(ROUND(INDEX('Budget by Source'!$A$6:$I$330,MATCH('Payment by Source'!$A82,'Budget by Source'!$A$6:$A$330,0),MATCH(Q$3,'Budget by Source'!$A$5:$I$5,0))/10,0)*10)</f>
        <v>-1</v>
      </c>
      <c r="R82" s="138">
        <f>INDEX('Budget by Source'!$A$6:$I$330,MATCH('Payment by Source'!$A82,'Budget by Source'!$A$6:$A$330,0),MATCH(R$3,'Budget by Source'!$A$5:$I$5,0))-(ROUND(INDEX('Budget by Source'!$A$6:$I$330,MATCH('Payment by Source'!$A82,'Budget by Source'!$A$6:$A$330,0),MATCH(R$3,'Budget by Source'!$A$5:$I$5,0))/10,0)*10)</f>
        <v>-2</v>
      </c>
      <c r="S82" s="138">
        <f>INDEX('Budget by Source'!$A$6:$I$330,MATCH('Payment by Source'!$A82,'Budget by Source'!$A$6:$A$330,0),MATCH(S$3,'Budget by Source'!$A$5:$I$5,0))-(ROUND(INDEX('Budget by Source'!$A$6:$I$330,MATCH('Payment by Source'!$A82,'Budget by Source'!$A$6:$A$330,0),MATCH(S$3,'Budget by Source'!$A$5:$I$5,0))/10,0)*10)</f>
        <v>1</v>
      </c>
      <c r="T82" s="138">
        <f>INDEX('Budget by Source'!$A$6:$I$330,MATCH('Payment by Source'!$A82,'Budget by Source'!$A$6:$A$330,0),MATCH(T$3,'Budget by Source'!$A$5:$I$5,0))-(ROUND(INDEX('Budget by Source'!$A$6:$I$330,MATCH('Payment by Source'!$A82,'Budget by Source'!$A$6:$A$330,0),MATCH(T$3,'Budget by Source'!$A$5:$I$5,0))/10,0)*10)</f>
        <v>0</v>
      </c>
      <c r="U82" s="139">
        <f>INDEX('Budget by Source'!$A$6:$I$330,MATCH('Payment by Source'!$A82,'Budget by Source'!$A$6:$A$330,0),MATCH(U$3,'Budget by Source'!$A$5:$I$5,0))</f>
        <v>65771395</v>
      </c>
      <c r="V82" s="136">
        <f t="shared" si="4"/>
        <v>6577140</v>
      </c>
      <c r="W82" s="136">
        <f t="shared" si="5"/>
        <v>65771400</v>
      </c>
    </row>
    <row r="83" spans="1:23" x14ac:dyDescent="0.2">
      <c r="A83" s="22" t="str">
        <f>Data!B79</f>
        <v>1503</v>
      </c>
      <c r="B83" s="20" t="str">
        <f>INDEX(Data[],MATCH($A83,Data[Dist],0),MATCH(B$5,Data[#Headers],0))</f>
        <v>Creston</v>
      </c>
      <c r="C83" s="21">
        <f>IF(Notes!$B$2="June",ROUND('Budget by Source'!C83/10,0)+P83,ROUND('Budget by Source'!C83/10,0))</f>
        <v>31951</v>
      </c>
      <c r="D83" s="21">
        <f>IF(Notes!$B$2="June",ROUND('Budget by Source'!D83/10,0)+Q83,ROUND('Budget by Source'!D83/10,0))</f>
        <v>112497</v>
      </c>
      <c r="E83" s="21">
        <f>IF(Notes!$B$2="June",ROUND('Budget by Source'!E83/10,0)+R83,ROUND('Budget by Source'!E83/10,0))</f>
        <v>12012</v>
      </c>
      <c r="F83" s="21">
        <f>IF(Notes!$B$2="June",ROUND('Budget by Source'!F83/10,0)+S83,ROUND('Budget by Source'!F83/10,0))</f>
        <v>10569</v>
      </c>
      <c r="G83" s="21">
        <f>IF(Notes!$B$2="June",ROUND('Budget by Source'!G83/10,0)+T83,ROUND('Budget by Source'!G83/10,0))</f>
        <v>53088</v>
      </c>
      <c r="H83" s="21">
        <f t="shared" si="3"/>
        <v>840093</v>
      </c>
      <c r="I83" s="21">
        <f>INDEX(Data[],MATCH($A83,Data[Dist],0),MATCH(I$5,Data[#Headers],0))</f>
        <v>1060210</v>
      </c>
      <c r="K83" s="59">
        <f>INDEX('Payment Total'!$A$7:$H$331,MATCH('Payment by Source'!$A83,'Payment Total'!$A$7:$A$331,0),4)-I83</f>
        <v>0</v>
      </c>
      <c r="P83" s="138">
        <f>INDEX('Budget by Source'!$A$6:$I$330,MATCH('Payment by Source'!$A83,'Budget by Source'!$A$6:$A$330,0),MATCH(P$3,'Budget by Source'!$A$5:$I$5,0))-(ROUND(INDEX('Budget by Source'!$A$6:$I$330,MATCH('Payment by Source'!$A83,'Budget by Source'!$A$6:$A$330,0),MATCH(P$3,'Budget by Source'!$A$5:$I$5,0))/10,0)*10)</f>
        <v>-4</v>
      </c>
      <c r="Q83" s="138">
        <f>INDEX('Budget by Source'!$A$6:$I$330,MATCH('Payment by Source'!$A83,'Budget by Source'!$A$6:$A$330,0),MATCH(Q$3,'Budget by Source'!$A$5:$I$5,0))-(ROUND(INDEX('Budget by Source'!$A$6:$I$330,MATCH('Payment by Source'!$A83,'Budget by Source'!$A$6:$A$330,0),MATCH(Q$3,'Budget by Source'!$A$5:$I$5,0))/10,0)*10)</f>
        <v>-4</v>
      </c>
      <c r="R83" s="138">
        <f>INDEX('Budget by Source'!$A$6:$I$330,MATCH('Payment by Source'!$A83,'Budget by Source'!$A$6:$A$330,0),MATCH(R$3,'Budget by Source'!$A$5:$I$5,0))-(ROUND(INDEX('Budget by Source'!$A$6:$I$330,MATCH('Payment by Source'!$A83,'Budget by Source'!$A$6:$A$330,0),MATCH(R$3,'Budget by Source'!$A$5:$I$5,0))/10,0)*10)</f>
        <v>0</v>
      </c>
      <c r="S83" s="138">
        <f>INDEX('Budget by Source'!$A$6:$I$330,MATCH('Payment by Source'!$A83,'Budget by Source'!$A$6:$A$330,0),MATCH(S$3,'Budget by Source'!$A$5:$I$5,0))-(ROUND(INDEX('Budget by Source'!$A$6:$I$330,MATCH('Payment by Source'!$A83,'Budget by Source'!$A$6:$A$330,0),MATCH(S$3,'Budget by Source'!$A$5:$I$5,0))/10,0)*10)</f>
        <v>-4</v>
      </c>
      <c r="T83" s="138">
        <f>INDEX('Budget by Source'!$A$6:$I$330,MATCH('Payment by Source'!$A83,'Budget by Source'!$A$6:$A$330,0),MATCH(T$3,'Budget by Source'!$A$5:$I$5,0))-(ROUND(INDEX('Budget by Source'!$A$6:$I$330,MATCH('Payment by Source'!$A83,'Budget by Source'!$A$6:$A$330,0),MATCH(T$3,'Budget by Source'!$A$5:$I$5,0))/10,0)*10)</f>
        <v>-4</v>
      </c>
      <c r="U83" s="139">
        <f>INDEX('Budget by Source'!$A$6:$I$330,MATCH('Payment by Source'!$A83,'Budget by Source'!$A$6:$A$330,0),MATCH(U$3,'Budget by Source'!$A$5:$I$5,0))</f>
        <v>8421503</v>
      </c>
      <c r="V83" s="136">
        <f t="shared" si="4"/>
        <v>842150</v>
      </c>
      <c r="W83" s="136">
        <f t="shared" si="5"/>
        <v>8421500</v>
      </c>
    </row>
    <row r="84" spans="1:23" x14ac:dyDescent="0.2">
      <c r="A84" s="22" t="str">
        <f>Data!B80</f>
        <v>1576</v>
      </c>
      <c r="B84" s="20" t="str">
        <f>INDEX(Data[],MATCH($A84,Data[Dist],0),MATCH(B$5,Data[#Headers],0))</f>
        <v>Dallas Center-Grimes</v>
      </c>
      <c r="C84" s="21">
        <f>IF(Notes!$B$2="June",ROUND('Budget by Source'!C84/10,0)+P84,ROUND('Budget by Source'!C84/10,0))</f>
        <v>64291</v>
      </c>
      <c r="D84" s="21">
        <f>IF(Notes!$B$2="June",ROUND('Budget by Source'!D84/10,0)+Q84,ROUND('Budget by Source'!D84/10,0))</f>
        <v>247408</v>
      </c>
      <c r="E84" s="21">
        <f>IF(Notes!$B$2="June",ROUND('Budget by Source'!E84/10,0)+R84,ROUND('Budget by Source'!E84/10,0))</f>
        <v>27225</v>
      </c>
      <c r="F84" s="21">
        <f>IF(Notes!$B$2="June",ROUND('Budget by Source'!F84/10,0)+S84,ROUND('Budget by Source'!F84/10,0))</f>
        <v>24306</v>
      </c>
      <c r="G84" s="21">
        <f>IF(Notes!$B$2="June",ROUND('Budget by Source'!G84/10,0)+T84,ROUND('Budget by Source'!G84/10,0))</f>
        <v>133663</v>
      </c>
      <c r="H84" s="21">
        <f t="shared" si="3"/>
        <v>1978837</v>
      </c>
      <c r="I84" s="21">
        <f>INDEX(Data[],MATCH($A84,Data[Dist],0),MATCH(I$5,Data[#Headers],0))</f>
        <v>2475730</v>
      </c>
      <c r="K84" s="59">
        <f>INDEX('Payment Total'!$A$7:$H$331,MATCH('Payment by Source'!$A84,'Payment Total'!$A$7:$A$331,0),4)-I84</f>
        <v>0</v>
      </c>
      <c r="P84" s="138">
        <f>INDEX('Budget by Source'!$A$6:$I$330,MATCH('Payment by Source'!$A84,'Budget by Source'!$A$6:$A$330,0),MATCH(P$3,'Budget by Source'!$A$5:$I$5,0))-(ROUND(INDEX('Budget by Source'!$A$6:$I$330,MATCH('Payment by Source'!$A84,'Budget by Source'!$A$6:$A$330,0),MATCH(P$3,'Budget by Source'!$A$5:$I$5,0))/10,0)*10)</f>
        <v>-2</v>
      </c>
      <c r="Q84" s="138">
        <f>INDEX('Budget by Source'!$A$6:$I$330,MATCH('Payment by Source'!$A84,'Budget by Source'!$A$6:$A$330,0),MATCH(Q$3,'Budget by Source'!$A$5:$I$5,0))-(ROUND(INDEX('Budget by Source'!$A$6:$I$330,MATCH('Payment by Source'!$A84,'Budget by Source'!$A$6:$A$330,0),MATCH(Q$3,'Budget by Source'!$A$5:$I$5,0))/10,0)*10)</f>
        <v>4</v>
      </c>
      <c r="R84" s="138">
        <f>INDEX('Budget by Source'!$A$6:$I$330,MATCH('Payment by Source'!$A84,'Budget by Source'!$A$6:$A$330,0),MATCH(R$3,'Budget by Source'!$A$5:$I$5,0))-(ROUND(INDEX('Budget by Source'!$A$6:$I$330,MATCH('Payment by Source'!$A84,'Budget by Source'!$A$6:$A$330,0),MATCH(R$3,'Budget by Source'!$A$5:$I$5,0))/10,0)*10)</f>
        <v>2</v>
      </c>
      <c r="S84" s="138">
        <f>INDEX('Budget by Source'!$A$6:$I$330,MATCH('Payment by Source'!$A84,'Budget by Source'!$A$6:$A$330,0),MATCH(S$3,'Budget by Source'!$A$5:$I$5,0))-(ROUND(INDEX('Budget by Source'!$A$6:$I$330,MATCH('Payment by Source'!$A84,'Budget by Source'!$A$6:$A$330,0),MATCH(S$3,'Budget by Source'!$A$5:$I$5,0))/10,0)*10)</f>
        <v>0</v>
      </c>
      <c r="T84" s="138">
        <f>INDEX('Budget by Source'!$A$6:$I$330,MATCH('Payment by Source'!$A84,'Budget by Source'!$A$6:$A$330,0),MATCH(T$3,'Budget by Source'!$A$5:$I$5,0))-(ROUND(INDEX('Budget by Source'!$A$6:$I$330,MATCH('Payment by Source'!$A84,'Budget by Source'!$A$6:$A$330,0),MATCH(T$3,'Budget by Source'!$A$5:$I$5,0))/10,0)*10)</f>
        <v>3</v>
      </c>
      <c r="U84" s="139">
        <f>INDEX('Budget by Source'!$A$6:$I$330,MATCH('Payment by Source'!$A84,'Budget by Source'!$A$6:$A$330,0),MATCH(U$3,'Budget by Source'!$A$5:$I$5,0))</f>
        <v>19840947</v>
      </c>
      <c r="V84" s="136">
        <f t="shared" si="4"/>
        <v>1984095</v>
      </c>
      <c r="W84" s="136">
        <f t="shared" si="5"/>
        <v>19840950</v>
      </c>
    </row>
    <row r="85" spans="1:23" x14ac:dyDescent="0.2">
      <c r="A85" s="22" t="str">
        <f>Data!B81</f>
        <v>1602</v>
      </c>
      <c r="B85" s="20" t="str">
        <f>INDEX(Data[],MATCH($A85,Data[Dist],0),MATCH(B$5,Data[#Headers],0))</f>
        <v>Danville</v>
      </c>
      <c r="C85" s="21">
        <f>IF(Notes!$B$2="June",ROUND('Budget by Source'!C85/10,0)+P85,ROUND('Budget by Source'!C85/10,0))</f>
        <v>12079</v>
      </c>
      <c r="D85" s="21">
        <f>IF(Notes!$B$2="June",ROUND('Budget by Source'!D85/10,0)+Q85,ROUND('Budget by Source'!D85/10,0))</f>
        <v>47498</v>
      </c>
      <c r="E85" s="21">
        <f>IF(Notes!$B$2="June",ROUND('Budget by Source'!E85/10,0)+R85,ROUND('Budget by Source'!E85/10,0))</f>
        <v>3696</v>
      </c>
      <c r="F85" s="21">
        <f>IF(Notes!$B$2="June",ROUND('Budget by Source'!F85/10,0)+S85,ROUND('Budget by Source'!F85/10,0))</f>
        <v>3326</v>
      </c>
      <c r="G85" s="21">
        <f>IF(Notes!$B$2="June",ROUND('Budget by Source'!G85/10,0)+T85,ROUND('Budget by Source'!G85/10,0))</f>
        <v>16775</v>
      </c>
      <c r="H85" s="21">
        <f t="shared" si="3"/>
        <v>257657</v>
      </c>
      <c r="I85" s="21">
        <f>INDEX(Data[],MATCH($A85,Data[Dist],0),MATCH(I$5,Data[#Headers],0))</f>
        <v>341031</v>
      </c>
      <c r="K85" s="59">
        <f>INDEX('Payment Total'!$A$7:$H$331,MATCH('Payment by Source'!$A85,'Payment Total'!$A$7:$A$331,0),4)-I85</f>
        <v>0</v>
      </c>
      <c r="P85" s="138">
        <f>INDEX('Budget by Source'!$A$6:$I$330,MATCH('Payment by Source'!$A85,'Budget by Source'!$A$6:$A$330,0),MATCH(P$3,'Budget by Source'!$A$5:$I$5,0))-(ROUND(INDEX('Budget by Source'!$A$6:$I$330,MATCH('Payment by Source'!$A85,'Budget by Source'!$A$6:$A$330,0),MATCH(P$3,'Budget by Source'!$A$5:$I$5,0))/10,0)*10)</f>
        <v>-1</v>
      </c>
      <c r="Q85" s="138">
        <f>INDEX('Budget by Source'!$A$6:$I$330,MATCH('Payment by Source'!$A85,'Budget by Source'!$A$6:$A$330,0),MATCH(Q$3,'Budget by Source'!$A$5:$I$5,0))-(ROUND(INDEX('Budget by Source'!$A$6:$I$330,MATCH('Payment by Source'!$A85,'Budget by Source'!$A$6:$A$330,0),MATCH(Q$3,'Budget by Source'!$A$5:$I$5,0))/10,0)*10)</f>
        <v>-2</v>
      </c>
      <c r="R85" s="138">
        <f>INDEX('Budget by Source'!$A$6:$I$330,MATCH('Payment by Source'!$A85,'Budget by Source'!$A$6:$A$330,0),MATCH(R$3,'Budget by Source'!$A$5:$I$5,0))-(ROUND(INDEX('Budget by Source'!$A$6:$I$330,MATCH('Payment by Source'!$A85,'Budget by Source'!$A$6:$A$330,0),MATCH(R$3,'Budget by Source'!$A$5:$I$5,0))/10,0)*10)</f>
        <v>-2</v>
      </c>
      <c r="S85" s="138">
        <f>INDEX('Budget by Source'!$A$6:$I$330,MATCH('Payment by Source'!$A85,'Budget by Source'!$A$6:$A$330,0),MATCH(S$3,'Budget by Source'!$A$5:$I$5,0))-(ROUND(INDEX('Budget by Source'!$A$6:$I$330,MATCH('Payment by Source'!$A85,'Budget by Source'!$A$6:$A$330,0),MATCH(S$3,'Budget by Source'!$A$5:$I$5,0))/10,0)*10)</f>
        <v>-1</v>
      </c>
      <c r="T85" s="138">
        <f>INDEX('Budget by Source'!$A$6:$I$330,MATCH('Payment by Source'!$A85,'Budget by Source'!$A$6:$A$330,0),MATCH(T$3,'Budget by Source'!$A$5:$I$5,0))-(ROUND(INDEX('Budget by Source'!$A$6:$I$330,MATCH('Payment by Source'!$A85,'Budget by Source'!$A$6:$A$330,0),MATCH(T$3,'Budget by Source'!$A$5:$I$5,0))/10,0)*10)</f>
        <v>4</v>
      </c>
      <c r="U85" s="139">
        <f>INDEX('Budget by Source'!$A$6:$I$330,MATCH('Payment by Source'!$A85,'Budget by Source'!$A$6:$A$330,0),MATCH(U$3,'Budget by Source'!$A$5:$I$5,0))</f>
        <v>2583209</v>
      </c>
      <c r="V85" s="136">
        <f t="shared" si="4"/>
        <v>258321</v>
      </c>
      <c r="W85" s="136">
        <f t="shared" si="5"/>
        <v>2583210</v>
      </c>
    </row>
    <row r="86" spans="1:23" x14ac:dyDescent="0.2">
      <c r="A86" s="22" t="str">
        <f>Data!B82</f>
        <v>1611</v>
      </c>
      <c r="B86" s="20" t="str">
        <f>INDEX(Data[],MATCH($A86,Data[Dist],0),MATCH(B$5,Data[#Headers],0))</f>
        <v>Davenport</v>
      </c>
      <c r="C86" s="21">
        <f>IF(Notes!$B$2="June",ROUND('Budget by Source'!C86/10,0)+P86,ROUND('Budget by Source'!C86/10,0))</f>
        <v>254062</v>
      </c>
      <c r="D86" s="21">
        <f>IF(Notes!$B$2="June",ROUND('Budget by Source'!D86/10,0)+Q86,ROUND('Budget by Source'!D86/10,0))</f>
        <v>1029984</v>
      </c>
      <c r="E86" s="21">
        <f>IF(Notes!$B$2="June",ROUND('Budget by Source'!E86/10,0)+R86,ROUND('Budget by Source'!E86/10,0))</f>
        <v>137898</v>
      </c>
      <c r="F86" s="21">
        <f>IF(Notes!$B$2="June",ROUND('Budget by Source'!F86/10,0)+S86,ROUND('Budget by Source'!F86/10,0))</f>
        <v>118232</v>
      </c>
      <c r="G86" s="21">
        <f>IF(Notes!$B$2="June",ROUND('Budget by Source'!G86/10,0)+T86,ROUND('Budget by Source'!G86/10,0))</f>
        <v>556453</v>
      </c>
      <c r="H86" s="21">
        <f t="shared" si="3"/>
        <v>8838772</v>
      </c>
      <c r="I86" s="21">
        <f>INDEX(Data[],MATCH($A86,Data[Dist],0),MATCH(I$5,Data[#Headers],0))</f>
        <v>10935401</v>
      </c>
      <c r="K86" s="59">
        <f>INDEX('Payment Total'!$A$7:$H$331,MATCH('Payment by Source'!$A86,'Payment Total'!$A$7:$A$331,0),4)-I86</f>
        <v>0</v>
      </c>
      <c r="P86" s="138">
        <f>INDEX('Budget by Source'!$A$6:$I$330,MATCH('Payment by Source'!$A86,'Budget by Source'!$A$6:$A$330,0),MATCH(P$3,'Budget by Source'!$A$5:$I$5,0))-(ROUND(INDEX('Budget by Source'!$A$6:$I$330,MATCH('Payment by Source'!$A86,'Budget by Source'!$A$6:$A$330,0),MATCH(P$3,'Budget by Source'!$A$5:$I$5,0))/10,0)*10)</f>
        <v>0</v>
      </c>
      <c r="Q86" s="138">
        <f>INDEX('Budget by Source'!$A$6:$I$330,MATCH('Payment by Source'!$A86,'Budget by Source'!$A$6:$A$330,0),MATCH(Q$3,'Budget by Source'!$A$5:$I$5,0))-(ROUND(INDEX('Budget by Source'!$A$6:$I$330,MATCH('Payment by Source'!$A86,'Budget by Source'!$A$6:$A$330,0),MATCH(Q$3,'Budget by Source'!$A$5:$I$5,0))/10,0)*10)</f>
        <v>-2</v>
      </c>
      <c r="R86" s="138">
        <f>INDEX('Budget by Source'!$A$6:$I$330,MATCH('Payment by Source'!$A86,'Budget by Source'!$A$6:$A$330,0),MATCH(R$3,'Budget by Source'!$A$5:$I$5,0))-(ROUND(INDEX('Budget by Source'!$A$6:$I$330,MATCH('Payment by Source'!$A86,'Budget by Source'!$A$6:$A$330,0),MATCH(R$3,'Budget by Source'!$A$5:$I$5,0))/10,0)*10)</f>
        <v>-2</v>
      </c>
      <c r="S86" s="138">
        <f>INDEX('Budget by Source'!$A$6:$I$330,MATCH('Payment by Source'!$A86,'Budget by Source'!$A$6:$A$330,0),MATCH(S$3,'Budget by Source'!$A$5:$I$5,0))-(ROUND(INDEX('Budget by Source'!$A$6:$I$330,MATCH('Payment by Source'!$A86,'Budget by Source'!$A$6:$A$330,0),MATCH(S$3,'Budget by Source'!$A$5:$I$5,0))/10,0)*10)</f>
        <v>-2</v>
      </c>
      <c r="T86" s="138">
        <f>INDEX('Budget by Source'!$A$6:$I$330,MATCH('Payment by Source'!$A86,'Budget by Source'!$A$6:$A$330,0),MATCH(T$3,'Budget by Source'!$A$5:$I$5,0))-(ROUND(INDEX('Budget by Source'!$A$6:$I$330,MATCH('Payment by Source'!$A86,'Budget by Source'!$A$6:$A$330,0),MATCH(T$3,'Budget by Source'!$A$5:$I$5,0))/10,0)*10)</f>
        <v>-4</v>
      </c>
      <c r="U86" s="139">
        <f>INDEX('Budget by Source'!$A$6:$I$330,MATCH('Payment by Source'!$A86,'Budget by Source'!$A$6:$A$330,0),MATCH(U$3,'Budget by Source'!$A$5:$I$5,0))</f>
        <v>88594758</v>
      </c>
      <c r="V86" s="136">
        <f t="shared" si="4"/>
        <v>8859476</v>
      </c>
      <c r="W86" s="136">
        <f t="shared" si="5"/>
        <v>88594760</v>
      </c>
    </row>
    <row r="87" spans="1:23" x14ac:dyDescent="0.2">
      <c r="A87" s="22" t="str">
        <f>Data!B83</f>
        <v>1619</v>
      </c>
      <c r="B87" s="20" t="str">
        <f>INDEX(Data[],MATCH($A87,Data[Dist],0),MATCH(B$5,Data[#Headers],0))</f>
        <v>Davis County</v>
      </c>
      <c r="C87" s="21">
        <f>IF(Notes!$B$2="June",ROUND('Budget by Source'!C87/10,0)+P87,ROUND('Budget by Source'!C87/10,0))</f>
        <v>14417</v>
      </c>
      <c r="D87" s="21">
        <f>IF(Notes!$B$2="June",ROUND('Budget by Source'!D87/10,0)+Q87,ROUND('Budget by Source'!D87/10,0))</f>
        <v>89884</v>
      </c>
      <c r="E87" s="21">
        <f>IF(Notes!$B$2="June",ROUND('Budget by Source'!E87/10,0)+R87,ROUND('Budget by Source'!E87/10,0))</f>
        <v>8553</v>
      </c>
      <c r="F87" s="21">
        <f>IF(Notes!$B$2="June",ROUND('Budget by Source'!F87/10,0)+S87,ROUND('Budget by Source'!F87/10,0))</f>
        <v>8384</v>
      </c>
      <c r="G87" s="21">
        <f>IF(Notes!$B$2="June",ROUND('Budget by Source'!G87/10,0)+T87,ROUND('Budget by Source'!G87/10,0))</f>
        <v>42416</v>
      </c>
      <c r="H87" s="21">
        <f t="shared" si="3"/>
        <v>662865</v>
      </c>
      <c r="I87" s="21">
        <f>INDEX(Data[],MATCH($A87,Data[Dist],0),MATCH(I$5,Data[#Headers],0))</f>
        <v>826519</v>
      </c>
      <c r="K87" s="59">
        <f>INDEX('Payment Total'!$A$7:$H$331,MATCH('Payment by Source'!$A87,'Payment Total'!$A$7:$A$331,0),4)-I87</f>
        <v>0</v>
      </c>
      <c r="P87" s="138">
        <f>INDEX('Budget by Source'!$A$6:$I$330,MATCH('Payment by Source'!$A87,'Budget by Source'!$A$6:$A$330,0),MATCH(P$3,'Budget by Source'!$A$5:$I$5,0))-(ROUND(INDEX('Budget by Source'!$A$6:$I$330,MATCH('Payment by Source'!$A87,'Budget by Source'!$A$6:$A$330,0),MATCH(P$3,'Budget by Source'!$A$5:$I$5,0))/10,0)*10)</f>
        <v>-3</v>
      </c>
      <c r="Q87" s="138">
        <f>INDEX('Budget by Source'!$A$6:$I$330,MATCH('Payment by Source'!$A87,'Budget by Source'!$A$6:$A$330,0),MATCH(Q$3,'Budget by Source'!$A$5:$I$5,0))-(ROUND(INDEX('Budget by Source'!$A$6:$I$330,MATCH('Payment by Source'!$A87,'Budget by Source'!$A$6:$A$330,0),MATCH(Q$3,'Budget by Source'!$A$5:$I$5,0))/10,0)*10)</f>
        <v>-3</v>
      </c>
      <c r="R87" s="138">
        <f>INDEX('Budget by Source'!$A$6:$I$330,MATCH('Payment by Source'!$A87,'Budget by Source'!$A$6:$A$330,0),MATCH(R$3,'Budget by Source'!$A$5:$I$5,0))-(ROUND(INDEX('Budget by Source'!$A$6:$I$330,MATCH('Payment by Source'!$A87,'Budget by Source'!$A$6:$A$330,0),MATCH(R$3,'Budget by Source'!$A$5:$I$5,0))/10,0)*10)</f>
        <v>1</v>
      </c>
      <c r="S87" s="138">
        <f>INDEX('Budget by Source'!$A$6:$I$330,MATCH('Payment by Source'!$A87,'Budget by Source'!$A$6:$A$330,0),MATCH(S$3,'Budget by Source'!$A$5:$I$5,0))-(ROUND(INDEX('Budget by Source'!$A$6:$I$330,MATCH('Payment by Source'!$A87,'Budget by Source'!$A$6:$A$330,0),MATCH(S$3,'Budget by Source'!$A$5:$I$5,0))/10,0)*10)</f>
        <v>-4</v>
      </c>
      <c r="T87" s="138">
        <f>INDEX('Budget by Source'!$A$6:$I$330,MATCH('Payment by Source'!$A87,'Budget by Source'!$A$6:$A$330,0),MATCH(T$3,'Budget by Source'!$A$5:$I$5,0))-(ROUND(INDEX('Budget by Source'!$A$6:$I$330,MATCH('Payment by Source'!$A87,'Budget by Source'!$A$6:$A$330,0),MATCH(T$3,'Budget by Source'!$A$5:$I$5,0))/10,0)*10)</f>
        <v>4</v>
      </c>
      <c r="U87" s="139">
        <f>INDEX('Budget by Source'!$A$6:$I$330,MATCH('Payment by Source'!$A87,'Budget by Source'!$A$6:$A$330,0),MATCH(U$3,'Budget by Source'!$A$5:$I$5,0))</f>
        <v>6645442</v>
      </c>
      <c r="V87" s="136">
        <f t="shared" si="4"/>
        <v>664544</v>
      </c>
      <c r="W87" s="136">
        <f t="shared" si="5"/>
        <v>6645440</v>
      </c>
    </row>
    <row r="88" spans="1:23" x14ac:dyDescent="0.2">
      <c r="A88" s="22" t="str">
        <f>Data!B84</f>
        <v>1638</v>
      </c>
      <c r="B88" s="20" t="str">
        <f>INDEX(Data[],MATCH($A88,Data[Dist],0),MATCH(B$5,Data[#Headers],0))</f>
        <v>Decorah</v>
      </c>
      <c r="C88" s="21">
        <f>IF(Notes!$B$2="June",ROUND('Budget by Source'!C88/10,0)+P88,ROUND('Budget by Source'!C88/10,0))</f>
        <v>35068</v>
      </c>
      <c r="D88" s="21">
        <f>IF(Notes!$B$2="June",ROUND('Budget by Source'!D88/10,0)+Q88,ROUND('Budget by Source'!D88/10,0))</f>
        <v>130758</v>
      </c>
      <c r="E88" s="21">
        <f>IF(Notes!$B$2="June",ROUND('Budget by Source'!E88/10,0)+R88,ROUND('Budget by Source'!E88/10,0))</f>
        <v>12111</v>
      </c>
      <c r="F88" s="21">
        <f>IF(Notes!$B$2="June",ROUND('Budget by Source'!F88/10,0)+S88,ROUND('Budget by Source'!F88/10,0))</f>
        <v>12324</v>
      </c>
      <c r="G88" s="21">
        <f>IF(Notes!$B$2="June",ROUND('Budget by Source'!G88/10,0)+T88,ROUND('Budget by Source'!G88/10,0))</f>
        <v>59592</v>
      </c>
      <c r="H88" s="21">
        <f t="shared" si="3"/>
        <v>719596</v>
      </c>
      <c r="I88" s="21">
        <f>INDEX(Data[],MATCH($A88,Data[Dist],0),MATCH(I$5,Data[#Headers],0))</f>
        <v>969449</v>
      </c>
      <c r="K88" s="59">
        <f>INDEX('Payment Total'!$A$7:$H$331,MATCH('Payment by Source'!$A88,'Payment Total'!$A$7:$A$331,0),4)-I88</f>
        <v>0</v>
      </c>
      <c r="P88" s="138">
        <f>INDEX('Budget by Source'!$A$6:$I$330,MATCH('Payment by Source'!$A88,'Budget by Source'!$A$6:$A$330,0),MATCH(P$3,'Budget by Source'!$A$5:$I$5,0))-(ROUND(INDEX('Budget by Source'!$A$6:$I$330,MATCH('Payment by Source'!$A88,'Budget by Source'!$A$6:$A$330,0),MATCH(P$3,'Budget by Source'!$A$5:$I$5,0))/10,0)*10)</f>
        <v>-3</v>
      </c>
      <c r="Q88" s="138">
        <f>INDEX('Budget by Source'!$A$6:$I$330,MATCH('Payment by Source'!$A88,'Budget by Source'!$A$6:$A$330,0),MATCH(Q$3,'Budget by Source'!$A$5:$I$5,0))-(ROUND(INDEX('Budget by Source'!$A$6:$I$330,MATCH('Payment by Source'!$A88,'Budget by Source'!$A$6:$A$330,0),MATCH(Q$3,'Budget by Source'!$A$5:$I$5,0))/10,0)*10)</f>
        <v>-2</v>
      </c>
      <c r="R88" s="138">
        <f>INDEX('Budget by Source'!$A$6:$I$330,MATCH('Payment by Source'!$A88,'Budget by Source'!$A$6:$A$330,0),MATCH(R$3,'Budget by Source'!$A$5:$I$5,0))-(ROUND(INDEX('Budget by Source'!$A$6:$I$330,MATCH('Payment by Source'!$A88,'Budget by Source'!$A$6:$A$330,0),MATCH(R$3,'Budget by Source'!$A$5:$I$5,0))/10,0)*10)</f>
        <v>2</v>
      </c>
      <c r="S88" s="138">
        <f>INDEX('Budget by Source'!$A$6:$I$330,MATCH('Payment by Source'!$A88,'Budget by Source'!$A$6:$A$330,0),MATCH(S$3,'Budget by Source'!$A$5:$I$5,0))-(ROUND(INDEX('Budget by Source'!$A$6:$I$330,MATCH('Payment by Source'!$A88,'Budget by Source'!$A$6:$A$330,0),MATCH(S$3,'Budget by Source'!$A$5:$I$5,0))/10,0)*10)</f>
        <v>2</v>
      </c>
      <c r="T88" s="138">
        <f>INDEX('Budget by Source'!$A$6:$I$330,MATCH('Payment by Source'!$A88,'Budget by Source'!$A$6:$A$330,0),MATCH(T$3,'Budget by Source'!$A$5:$I$5,0))-(ROUND(INDEX('Budget by Source'!$A$6:$I$330,MATCH('Payment by Source'!$A88,'Budget by Source'!$A$6:$A$330,0),MATCH(T$3,'Budget by Source'!$A$5:$I$5,0))/10,0)*10)</f>
        <v>3</v>
      </c>
      <c r="U88" s="139">
        <f>INDEX('Budget by Source'!$A$6:$I$330,MATCH('Payment by Source'!$A88,'Budget by Source'!$A$6:$A$330,0),MATCH(U$3,'Budget by Source'!$A$5:$I$5,0))</f>
        <v>7218615</v>
      </c>
      <c r="V88" s="136">
        <f t="shared" si="4"/>
        <v>721862</v>
      </c>
      <c r="W88" s="136">
        <f t="shared" si="5"/>
        <v>7218620</v>
      </c>
    </row>
    <row r="89" spans="1:23" x14ac:dyDescent="0.2">
      <c r="A89" s="22" t="str">
        <f>Data!B85</f>
        <v>1675</v>
      </c>
      <c r="B89" s="20" t="str">
        <f>INDEX(Data[],MATCH($A89,Data[Dist],0),MATCH(B$5,Data[#Headers],0))</f>
        <v>Delwood</v>
      </c>
      <c r="C89" s="21">
        <f>IF(Notes!$B$2="June",ROUND('Budget by Source'!C89/10,0)+P89,ROUND('Budget by Source'!C89/10,0))</f>
        <v>7403</v>
      </c>
      <c r="D89" s="21">
        <f>IF(Notes!$B$2="June",ROUND('Budget by Source'!D89/10,0)+Q89,ROUND('Budget by Source'!D89/10,0))</f>
        <v>22038</v>
      </c>
      <c r="E89" s="21">
        <f>IF(Notes!$B$2="June",ROUND('Budget by Source'!E89/10,0)+R89,ROUND('Budget by Source'!E89/10,0))</f>
        <v>1544</v>
      </c>
      <c r="F89" s="21">
        <f>IF(Notes!$B$2="June",ROUND('Budget by Source'!F89/10,0)+S89,ROUND('Budget by Source'!F89/10,0))</f>
        <v>1012</v>
      </c>
      <c r="G89" s="21">
        <f>IF(Notes!$B$2="June",ROUND('Budget by Source'!G89/10,0)+T89,ROUND('Budget by Source'!G89/10,0))</f>
        <v>7371</v>
      </c>
      <c r="H89" s="21">
        <f t="shared" si="3"/>
        <v>103440</v>
      </c>
      <c r="I89" s="21">
        <f>INDEX(Data[],MATCH($A89,Data[Dist],0),MATCH(I$5,Data[#Headers],0))</f>
        <v>142808</v>
      </c>
      <c r="K89" s="59">
        <f>INDEX('Payment Total'!$A$7:$H$331,MATCH('Payment by Source'!$A89,'Payment Total'!$A$7:$A$331,0),4)-I89</f>
        <v>0</v>
      </c>
      <c r="P89" s="138">
        <f>INDEX('Budget by Source'!$A$6:$I$330,MATCH('Payment by Source'!$A89,'Budget by Source'!$A$6:$A$330,0),MATCH(P$3,'Budget by Source'!$A$5:$I$5,0))-(ROUND(INDEX('Budget by Source'!$A$6:$I$330,MATCH('Payment by Source'!$A89,'Budget by Source'!$A$6:$A$330,0),MATCH(P$3,'Budget by Source'!$A$5:$I$5,0))/10,0)*10)</f>
        <v>2</v>
      </c>
      <c r="Q89" s="138">
        <f>INDEX('Budget by Source'!$A$6:$I$330,MATCH('Payment by Source'!$A89,'Budget by Source'!$A$6:$A$330,0),MATCH(Q$3,'Budget by Source'!$A$5:$I$5,0))-(ROUND(INDEX('Budget by Source'!$A$6:$I$330,MATCH('Payment by Source'!$A89,'Budget by Source'!$A$6:$A$330,0),MATCH(Q$3,'Budget by Source'!$A$5:$I$5,0))/10,0)*10)</f>
        <v>-4</v>
      </c>
      <c r="R89" s="138">
        <f>INDEX('Budget by Source'!$A$6:$I$330,MATCH('Payment by Source'!$A89,'Budget by Source'!$A$6:$A$330,0),MATCH(R$3,'Budget by Source'!$A$5:$I$5,0))-(ROUND(INDEX('Budget by Source'!$A$6:$I$330,MATCH('Payment by Source'!$A89,'Budget by Source'!$A$6:$A$330,0),MATCH(R$3,'Budget by Source'!$A$5:$I$5,0))/10,0)*10)</f>
        <v>4</v>
      </c>
      <c r="S89" s="138">
        <f>INDEX('Budget by Source'!$A$6:$I$330,MATCH('Payment by Source'!$A89,'Budget by Source'!$A$6:$A$330,0),MATCH(S$3,'Budget by Source'!$A$5:$I$5,0))-(ROUND(INDEX('Budget by Source'!$A$6:$I$330,MATCH('Payment by Source'!$A89,'Budget by Source'!$A$6:$A$330,0),MATCH(S$3,'Budget by Source'!$A$5:$I$5,0))/10,0)*10)</f>
        <v>2</v>
      </c>
      <c r="T89" s="138">
        <f>INDEX('Budget by Source'!$A$6:$I$330,MATCH('Payment by Source'!$A89,'Budget by Source'!$A$6:$A$330,0),MATCH(T$3,'Budget by Source'!$A$5:$I$5,0))-(ROUND(INDEX('Budget by Source'!$A$6:$I$330,MATCH('Payment by Source'!$A89,'Budget by Source'!$A$6:$A$330,0),MATCH(T$3,'Budget by Source'!$A$5:$I$5,0))/10,0)*10)</f>
        <v>-4</v>
      </c>
      <c r="U89" s="139">
        <f>INDEX('Budget by Source'!$A$6:$I$330,MATCH('Payment by Source'!$A89,'Budget by Source'!$A$6:$A$330,0),MATCH(U$3,'Budget by Source'!$A$5:$I$5,0))</f>
        <v>1037150</v>
      </c>
      <c r="V89" s="136">
        <f t="shared" si="4"/>
        <v>103715</v>
      </c>
      <c r="W89" s="136">
        <f t="shared" si="5"/>
        <v>1037150</v>
      </c>
    </row>
    <row r="90" spans="1:23" x14ac:dyDescent="0.2">
      <c r="A90" s="22" t="str">
        <f>Data!B86</f>
        <v>1701</v>
      </c>
      <c r="B90" s="20" t="str">
        <f>INDEX(Data[],MATCH($A90,Data[Dist],0),MATCH(B$5,Data[#Headers],0))</f>
        <v>Denison</v>
      </c>
      <c r="C90" s="21">
        <f>IF(Notes!$B$2="June",ROUND('Budget by Source'!C90/10,0)+P90,ROUND('Budget by Source'!C90/10,0))</f>
        <v>45191</v>
      </c>
      <c r="D90" s="21">
        <f>IF(Notes!$B$2="June",ROUND('Budget by Source'!D90/10,0)+Q90,ROUND('Budget by Source'!D90/10,0))</f>
        <v>151612</v>
      </c>
      <c r="E90" s="21">
        <f>IF(Notes!$B$2="June",ROUND('Budget by Source'!E90/10,0)+R90,ROUND('Budget by Source'!E90/10,0))</f>
        <v>19216</v>
      </c>
      <c r="F90" s="21">
        <f>IF(Notes!$B$2="June",ROUND('Budget by Source'!F90/10,0)+S90,ROUND('Budget by Source'!F90/10,0))</f>
        <v>15960</v>
      </c>
      <c r="G90" s="21">
        <f>IF(Notes!$B$2="June",ROUND('Budget by Source'!G90/10,0)+T90,ROUND('Budget by Source'!G90/10,0))</f>
        <v>78438</v>
      </c>
      <c r="H90" s="21">
        <f t="shared" si="3"/>
        <v>1420584</v>
      </c>
      <c r="I90" s="21">
        <f>INDEX(Data[],MATCH($A90,Data[Dist],0),MATCH(I$5,Data[#Headers],0))</f>
        <v>1731001</v>
      </c>
      <c r="K90" s="59">
        <f>INDEX('Payment Total'!$A$7:$H$331,MATCH('Payment by Source'!$A90,'Payment Total'!$A$7:$A$331,0),4)-I90</f>
        <v>0</v>
      </c>
      <c r="P90" s="138">
        <f>INDEX('Budget by Source'!$A$6:$I$330,MATCH('Payment by Source'!$A90,'Budget by Source'!$A$6:$A$330,0),MATCH(P$3,'Budget by Source'!$A$5:$I$5,0))-(ROUND(INDEX('Budget by Source'!$A$6:$I$330,MATCH('Payment by Source'!$A90,'Budget by Source'!$A$6:$A$330,0),MATCH(P$3,'Budget by Source'!$A$5:$I$5,0))/10,0)*10)</f>
        <v>-4</v>
      </c>
      <c r="Q90" s="138">
        <f>INDEX('Budget by Source'!$A$6:$I$330,MATCH('Payment by Source'!$A90,'Budget by Source'!$A$6:$A$330,0),MATCH(Q$3,'Budget by Source'!$A$5:$I$5,0))-(ROUND(INDEX('Budget by Source'!$A$6:$I$330,MATCH('Payment by Source'!$A90,'Budget by Source'!$A$6:$A$330,0),MATCH(Q$3,'Budget by Source'!$A$5:$I$5,0))/10,0)*10)</f>
        <v>-5</v>
      </c>
      <c r="R90" s="138">
        <f>INDEX('Budget by Source'!$A$6:$I$330,MATCH('Payment by Source'!$A90,'Budget by Source'!$A$6:$A$330,0),MATCH(R$3,'Budget by Source'!$A$5:$I$5,0))-(ROUND(INDEX('Budget by Source'!$A$6:$I$330,MATCH('Payment by Source'!$A90,'Budget by Source'!$A$6:$A$330,0),MATCH(R$3,'Budget by Source'!$A$5:$I$5,0))/10,0)*10)</f>
        <v>-1</v>
      </c>
      <c r="S90" s="138">
        <f>INDEX('Budget by Source'!$A$6:$I$330,MATCH('Payment by Source'!$A90,'Budget by Source'!$A$6:$A$330,0),MATCH(S$3,'Budget by Source'!$A$5:$I$5,0))-(ROUND(INDEX('Budget by Source'!$A$6:$I$330,MATCH('Payment by Source'!$A90,'Budget by Source'!$A$6:$A$330,0),MATCH(S$3,'Budget by Source'!$A$5:$I$5,0))/10,0)*10)</f>
        <v>0</v>
      </c>
      <c r="T90" s="138">
        <f>INDEX('Budget by Source'!$A$6:$I$330,MATCH('Payment by Source'!$A90,'Budget by Source'!$A$6:$A$330,0),MATCH(T$3,'Budget by Source'!$A$5:$I$5,0))-(ROUND(INDEX('Budget by Source'!$A$6:$I$330,MATCH('Payment by Source'!$A90,'Budget by Source'!$A$6:$A$330,0),MATCH(T$3,'Budget by Source'!$A$5:$I$5,0))/10,0)*10)</f>
        <v>-3</v>
      </c>
      <c r="U90" s="139">
        <f>INDEX('Budget by Source'!$A$6:$I$330,MATCH('Payment by Source'!$A90,'Budget by Source'!$A$6:$A$330,0),MATCH(U$3,'Budget by Source'!$A$5:$I$5,0))</f>
        <v>14235266</v>
      </c>
      <c r="V90" s="136">
        <f t="shared" si="4"/>
        <v>1423527</v>
      </c>
      <c r="W90" s="136">
        <f t="shared" si="5"/>
        <v>14235270</v>
      </c>
    </row>
    <row r="91" spans="1:23" x14ac:dyDescent="0.2">
      <c r="A91" s="22" t="str">
        <f>Data!B87</f>
        <v>1719</v>
      </c>
      <c r="B91" s="20" t="str">
        <f>INDEX(Data[],MATCH($A91,Data[Dist],0),MATCH(B$5,Data[#Headers],0))</f>
        <v>Denver</v>
      </c>
      <c r="C91" s="21">
        <f>IF(Notes!$B$2="June",ROUND('Budget by Source'!C91/10,0)+P91,ROUND('Budget by Source'!C91/10,0))</f>
        <v>17144</v>
      </c>
      <c r="D91" s="21">
        <f>IF(Notes!$B$2="June",ROUND('Budget by Source'!D91/10,0)+Q91,ROUND('Budget by Source'!D91/10,0))</f>
        <v>77258</v>
      </c>
      <c r="E91" s="21">
        <f>IF(Notes!$B$2="June",ROUND('Budget by Source'!E91/10,0)+R91,ROUND('Budget by Source'!E91/10,0))</f>
        <v>5741</v>
      </c>
      <c r="F91" s="21">
        <f>IF(Notes!$B$2="June",ROUND('Budget by Source'!F91/10,0)+S91,ROUND('Budget by Source'!F91/10,0))</f>
        <v>5726</v>
      </c>
      <c r="G91" s="21">
        <f>IF(Notes!$B$2="June",ROUND('Budget by Source'!G91/10,0)+T91,ROUND('Budget by Source'!G91/10,0))</f>
        <v>32875</v>
      </c>
      <c r="H91" s="21">
        <f t="shared" si="3"/>
        <v>548967</v>
      </c>
      <c r="I91" s="21">
        <f>INDEX(Data[],MATCH($A91,Data[Dist],0),MATCH(I$5,Data[#Headers],0))</f>
        <v>687711</v>
      </c>
      <c r="K91" s="59">
        <f>INDEX('Payment Total'!$A$7:$H$331,MATCH('Payment by Source'!$A91,'Payment Total'!$A$7:$A$331,0),4)-I91</f>
        <v>0</v>
      </c>
      <c r="P91" s="138">
        <f>INDEX('Budget by Source'!$A$6:$I$330,MATCH('Payment by Source'!$A91,'Budget by Source'!$A$6:$A$330,0),MATCH(P$3,'Budget by Source'!$A$5:$I$5,0))-(ROUND(INDEX('Budget by Source'!$A$6:$I$330,MATCH('Payment by Source'!$A91,'Budget by Source'!$A$6:$A$330,0),MATCH(P$3,'Budget by Source'!$A$5:$I$5,0))/10,0)*10)</f>
        <v>2</v>
      </c>
      <c r="Q91" s="138">
        <f>INDEX('Budget by Source'!$A$6:$I$330,MATCH('Payment by Source'!$A91,'Budget by Source'!$A$6:$A$330,0),MATCH(Q$3,'Budget by Source'!$A$5:$I$5,0))-(ROUND(INDEX('Budget by Source'!$A$6:$I$330,MATCH('Payment by Source'!$A91,'Budget by Source'!$A$6:$A$330,0),MATCH(Q$3,'Budget by Source'!$A$5:$I$5,0))/10,0)*10)</f>
        <v>3</v>
      </c>
      <c r="R91" s="138">
        <f>INDEX('Budget by Source'!$A$6:$I$330,MATCH('Payment by Source'!$A91,'Budget by Source'!$A$6:$A$330,0),MATCH(R$3,'Budget by Source'!$A$5:$I$5,0))-(ROUND(INDEX('Budget by Source'!$A$6:$I$330,MATCH('Payment by Source'!$A91,'Budget by Source'!$A$6:$A$330,0),MATCH(R$3,'Budget by Source'!$A$5:$I$5,0))/10,0)*10)</f>
        <v>-5</v>
      </c>
      <c r="S91" s="138">
        <f>INDEX('Budget by Source'!$A$6:$I$330,MATCH('Payment by Source'!$A91,'Budget by Source'!$A$6:$A$330,0),MATCH(S$3,'Budget by Source'!$A$5:$I$5,0))-(ROUND(INDEX('Budget by Source'!$A$6:$I$330,MATCH('Payment by Source'!$A91,'Budget by Source'!$A$6:$A$330,0),MATCH(S$3,'Budget by Source'!$A$5:$I$5,0))/10,0)*10)</f>
        <v>-3</v>
      </c>
      <c r="T91" s="138">
        <f>INDEX('Budget by Source'!$A$6:$I$330,MATCH('Payment by Source'!$A91,'Budget by Source'!$A$6:$A$330,0),MATCH(T$3,'Budget by Source'!$A$5:$I$5,0))-(ROUND(INDEX('Budget by Source'!$A$6:$I$330,MATCH('Payment by Source'!$A91,'Budget by Source'!$A$6:$A$330,0),MATCH(T$3,'Budget by Source'!$A$5:$I$5,0))/10,0)*10)</f>
        <v>-3</v>
      </c>
      <c r="U91" s="139">
        <f>INDEX('Budget by Source'!$A$6:$I$330,MATCH('Payment by Source'!$A91,'Budget by Source'!$A$6:$A$330,0),MATCH(U$3,'Budget by Source'!$A$5:$I$5,0))</f>
        <v>5502654</v>
      </c>
      <c r="V91" s="136">
        <f t="shared" si="4"/>
        <v>550265</v>
      </c>
      <c r="W91" s="136">
        <f t="shared" si="5"/>
        <v>5502650</v>
      </c>
    </row>
    <row r="92" spans="1:23" x14ac:dyDescent="0.2">
      <c r="A92" s="22" t="str">
        <f>Data!B88</f>
        <v>1737</v>
      </c>
      <c r="B92" s="20" t="str">
        <f>INDEX(Data[],MATCH($A92,Data[Dist],0),MATCH(B$5,Data[#Headers],0))</f>
        <v>Des Moines</v>
      </c>
      <c r="C92" s="21">
        <f>IF(Notes!$B$2="June",ROUND('Budget by Source'!C92/10,0)+P92,ROUND('Budget by Source'!C92/10,0))</f>
        <v>528775</v>
      </c>
      <c r="D92" s="21">
        <f>IF(Notes!$B$2="June",ROUND('Budget by Source'!D92/10,0)+Q92,ROUND('Budget by Source'!D92/10,0))</f>
        <v>2250182</v>
      </c>
      <c r="E92" s="21">
        <f>IF(Notes!$B$2="June",ROUND('Budget by Source'!E92/10,0)+R92,ROUND('Budget by Source'!E92/10,0))</f>
        <v>329905</v>
      </c>
      <c r="F92" s="21">
        <f>IF(Notes!$B$2="June",ROUND('Budget by Source'!F92/10,0)+S92,ROUND('Budget by Source'!F92/10,0))</f>
        <v>276932</v>
      </c>
      <c r="G92" s="21">
        <f>IF(Notes!$B$2="June",ROUND('Budget by Source'!G92/10,0)+T92,ROUND('Budget by Source'!G92/10,0))</f>
        <v>1215669</v>
      </c>
      <c r="H92" s="21">
        <f t="shared" si="3"/>
        <v>22611230</v>
      </c>
      <c r="I92" s="21">
        <f>INDEX(Data[],MATCH($A92,Data[Dist],0),MATCH(I$5,Data[#Headers],0))</f>
        <v>27212693</v>
      </c>
      <c r="K92" s="59">
        <f>INDEX('Payment Total'!$A$7:$H$331,MATCH('Payment by Source'!$A92,'Payment Total'!$A$7:$A$331,0),4)-I92</f>
        <v>0</v>
      </c>
      <c r="P92" s="138">
        <f>INDEX('Budget by Source'!$A$6:$I$330,MATCH('Payment by Source'!$A92,'Budget by Source'!$A$6:$A$330,0),MATCH(P$3,'Budget by Source'!$A$5:$I$5,0))-(ROUND(INDEX('Budget by Source'!$A$6:$I$330,MATCH('Payment by Source'!$A92,'Budget by Source'!$A$6:$A$330,0),MATCH(P$3,'Budget by Source'!$A$5:$I$5,0))/10,0)*10)</f>
        <v>1</v>
      </c>
      <c r="Q92" s="138">
        <f>INDEX('Budget by Source'!$A$6:$I$330,MATCH('Payment by Source'!$A92,'Budget by Source'!$A$6:$A$330,0),MATCH(Q$3,'Budget by Source'!$A$5:$I$5,0))-(ROUND(INDEX('Budget by Source'!$A$6:$I$330,MATCH('Payment by Source'!$A92,'Budget by Source'!$A$6:$A$330,0),MATCH(Q$3,'Budget by Source'!$A$5:$I$5,0))/10,0)*10)</f>
        <v>2</v>
      </c>
      <c r="R92" s="138">
        <f>INDEX('Budget by Source'!$A$6:$I$330,MATCH('Payment by Source'!$A92,'Budget by Source'!$A$6:$A$330,0),MATCH(R$3,'Budget by Source'!$A$5:$I$5,0))-(ROUND(INDEX('Budget by Source'!$A$6:$I$330,MATCH('Payment by Source'!$A92,'Budget by Source'!$A$6:$A$330,0),MATCH(R$3,'Budget by Source'!$A$5:$I$5,0))/10,0)*10)</f>
        <v>-1</v>
      </c>
      <c r="S92" s="138">
        <f>INDEX('Budget by Source'!$A$6:$I$330,MATCH('Payment by Source'!$A92,'Budget by Source'!$A$6:$A$330,0),MATCH(S$3,'Budget by Source'!$A$5:$I$5,0))-(ROUND(INDEX('Budget by Source'!$A$6:$I$330,MATCH('Payment by Source'!$A92,'Budget by Source'!$A$6:$A$330,0),MATCH(S$3,'Budget by Source'!$A$5:$I$5,0))/10,0)*10)</f>
        <v>1</v>
      </c>
      <c r="T92" s="138">
        <f>INDEX('Budget by Source'!$A$6:$I$330,MATCH('Payment by Source'!$A92,'Budget by Source'!$A$6:$A$330,0),MATCH(T$3,'Budget by Source'!$A$5:$I$5,0))-(ROUND(INDEX('Budget by Source'!$A$6:$I$330,MATCH('Payment by Source'!$A92,'Budget by Source'!$A$6:$A$330,0),MATCH(T$3,'Budget by Source'!$A$5:$I$5,0))/10,0)*10)</f>
        <v>3</v>
      </c>
      <c r="U92" s="139">
        <f>INDEX('Budget by Source'!$A$6:$I$330,MATCH('Payment by Source'!$A92,'Budget by Source'!$A$6:$A$330,0),MATCH(U$3,'Budget by Source'!$A$5:$I$5,0))</f>
        <v>226574852</v>
      </c>
      <c r="V92" s="136">
        <f t="shared" si="4"/>
        <v>22657485</v>
      </c>
      <c r="W92" s="136">
        <f t="shared" si="5"/>
        <v>226574850</v>
      </c>
    </row>
    <row r="93" spans="1:23" x14ac:dyDescent="0.2">
      <c r="A93" s="22" t="str">
        <f>Data!B89</f>
        <v>1782</v>
      </c>
      <c r="B93" s="20" t="str">
        <f>INDEX(Data[],MATCH($A93,Data[Dist],0),MATCH(B$5,Data[#Headers],0))</f>
        <v>Diagonal</v>
      </c>
      <c r="C93" s="21">
        <f>IF(Notes!$B$2="June",ROUND('Budget by Source'!C93/10,0)+P93,ROUND('Budget by Source'!C93/10,0))</f>
        <v>2728</v>
      </c>
      <c r="D93" s="21">
        <f>IF(Notes!$B$2="June",ROUND('Budget by Source'!D93/10,0)+Q93,ROUND('Budget by Source'!D93/10,0))</f>
        <v>24814</v>
      </c>
      <c r="E93" s="21">
        <f>IF(Notes!$B$2="June",ROUND('Budget by Source'!E93/10,0)+R93,ROUND('Budget by Source'!E93/10,0))</f>
        <v>1268</v>
      </c>
      <c r="F93" s="21">
        <f>IF(Notes!$B$2="June",ROUND('Budget by Source'!F93/10,0)+S93,ROUND('Budget by Source'!F93/10,0))</f>
        <v>1152</v>
      </c>
      <c r="G93" s="21">
        <f>IF(Notes!$B$2="June",ROUND('Budget by Source'!G93/10,0)+T93,ROUND('Budget by Source'!G93/10,0))</f>
        <v>4128</v>
      </c>
      <c r="H93" s="21">
        <f t="shared" si="3"/>
        <v>51694</v>
      </c>
      <c r="I93" s="21">
        <f>INDEX(Data[],MATCH($A93,Data[Dist],0),MATCH(I$5,Data[#Headers],0))</f>
        <v>85784</v>
      </c>
      <c r="K93" s="59">
        <f>INDEX('Payment Total'!$A$7:$H$331,MATCH('Payment by Source'!$A93,'Payment Total'!$A$7:$A$331,0),4)-I93</f>
        <v>0</v>
      </c>
      <c r="P93" s="138">
        <f>INDEX('Budget by Source'!$A$6:$I$330,MATCH('Payment by Source'!$A93,'Budget by Source'!$A$6:$A$330,0),MATCH(P$3,'Budget by Source'!$A$5:$I$5,0))-(ROUND(INDEX('Budget by Source'!$A$6:$I$330,MATCH('Payment by Source'!$A93,'Budget by Source'!$A$6:$A$330,0),MATCH(P$3,'Budget by Source'!$A$5:$I$5,0))/10,0)*10)</f>
        <v>-5</v>
      </c>
      <c r="Q93" s="138">
        <f>INDEX('Budget by Source'!$A$6:$I$330,MATCH('Payment by Source'!$A93,'Budget by Source'!$A$6:$A$330,0),MATCH(Q$3,'Budget by Source'!$A$5:$I$5,0))-(ROUND(INDEX('Budget by Source'!$A$6:$I$330,MATCH('Payment by Source'!$A93,'Budget by Source'!$A$6:$A$330,0),MATCH(Q$3,'Budget by Source'!$A$5:$I$5,0))/10,0)*10)</f>
        <v>4</v>
      </c>
      <c r="R93" s="138">
        <f>INDEX('Budget by Source'!$A$6:$I$330,MATCH('Payment by Source'!$A93,'Budget by Source'!$A$6:$A$330,0),MATCH(R$3,'Budget by Source'!$A$5:$I$5,0))-(ROUND(INDEX('Budget by Source'!$A$6:$I$330,MATCH('Payment by Source'!$A93,'Budget by Source'!$A$6:$A$330,0),MATCH(R$3,'Budget by Source'!$A$5:$I$5,0))/10,0)*10)</f>
        <v>-2</v>
      </c>
      <c r="S93" s="138">
        <f>INDEX('Budget by Source'!$A$6:$I$330,MATCH('Payment by Source'!$A93,'Budget by Source'!$A$6:$A$330,0),MATCH(S$3,'Budget by Source'!$A$5:$I$5,0))-(ROUND(INDEX('Budget by Source'!$A$6:$I$330,MATCH('Payment by Source'!$A93,'Budget by Source'!$A$6:$A$330,0),MATCH(S$3,'Budget by Source'!$A$5:$I$5,0))/10,0)*10)</f>
        <v>-1</v>
      </c>
      <c r="T93" s="138">
        <f>INDEX('Budget by Source'!$A$6:$I$330,MATCH('Payment by Source'!$A93,'Budget by Source'!$A$6:$A$330,0),MATCH(T$3,'Budget by Source'!$A$5:$I$5,0))-(ROUND(INDEX('Budget by Source'!$A$6:$I$330,MATCH('Payment by Source'!$A93,'Budget by Source'!$A$6:$A$330,0),MATCH(T$3,'Budget by Source'!$A$5:$I$5,0))/10,0)*10)</f>
        <v>-5</v>
      </c>
      <c r="U93" s="139">
        <f>INDEX('Budget by Source'!$A$6:$I$330,MATCH('Payment by Source'!$A93,'Budget by Source'!$A$6:$A$330,0),MATCH(U$3,'Budget by Source'!$A$5:$I$5,0))</f>
        <v>518259</v>
      </c>
      <c r="V93" s="136">
        <f t="shared" si="4"/>
        <v>51826</v>
      </c>
      <c r="W93" s="136">
        <f t="shared" si="5"/>
        <v>518260</v>
      </c>
    </row>
    <row r="94" spans="1:23" x14ac:dyDescent="0.2">
      <c r="A94" s="22" t="str">
        <f>Data!B90</f>
        <v>1791</v>
      </c>
      <c r="B94" s="20" t="str">
        <f>INDEX(Data[],MATCH($A94,Data[Dist],0),MATCH(B$5,Data[#Headers],0))</f>
        <v>Dike-New Hartford</v>
      </c>
      <c r="C94" s="21">
        <f>IF(Notes!$B$2="June",ROUND('Budget by Source'!C94/10,0)+P94,ROUND('Budget by Source'!C94/10,0))</f>
        <v>17924</v>
      </c>
      <c r="D94" s="21">
        <f>IF(Notes!$B$2="June",ROUND('Budget by Source'!D94/10,0)+Q94,ROUND('Budget by Source'!D94/10,0))</f>
        <v>77897</v>
      </c>
      <c r="E94" s="21">
        <f>IF(Notes!$B$2="June",ROUND('Budget by Source'!E94/10,0)+R94,ROUND('Budget by Source'!E94/10,0))</f>
        <v>6273</v>
      </c>
      <c r="F94" s="21">
        <f>IF(Notes!$B$2="June",ROUND('Budget by Source'!F94/10,0)+S94,ROUND('Budget by Source'!F94/10,0))</f>
        <v>6483</v>
      </c>
      <c r="G94" s="21">
        <f>IF(Notes!$B$2="June",ROUND('Budget by Source'!G94/10,0)+T94,ROUND('Budget by Source'!G94/10,0))</f>
        <v>33147</v>
      </c>
      <c r="H94" s="21">
        <f t="shared" si="3"/>
        <v>530517</v>
      </c>
      <c r="I94" s="21">
        <f>INDEX(Data[],MATCH($A94,Data[Dist],0),MATCH(I$5,Data[#Headers],0))</f>
        <v>672241</v>
      </c>
      <c r="K94" s="59">
        <f>INDEX('Payment Total'!$A$7:$H$331,MATCH('Payment by Source'!$A94,'Payment Total'!$A$7:$A$331,0),4)-I94</f>
        <v>0</v>
      </c>
      <c r="P94" s="138">
        <f>INDEX('Budget by Source'!$A$6:$I$330,MATCH('Payment by Source'!$A94,'Budget by Source'!$A$6:$A$330,0),MATCH(P$3,'Budget by Source'!$A$5:$I$5,0))-(ROUND(INDEX('Budget by Source'!$A$6:$I$330,MATCH('Payment by Source'!$A94,'Budget by Source'!$A$6:$A$330,0),MATCH(P$3,'Budget by Source'!$A$5:$I$5,0))/10,0)*10)</f>
        <v>-5</v>
      </c>
      <c r="Q94" s="138">
        <f>INDEX('Budget by Source'!$A$6:$I$330,MATCH('Payment by Source'!$A94,'Budget by Source'!$A$6:$A$330,0),MATCH(Q$3,'Budget by Source'!$A$5:$I$5,0))-(ROUND(INDEX('Budget by Source'!$A$6:$I$330,MATCH('Payment by Source'!$A94,'Budget by Source'!$A$6:$A$330,0),MATCH(Q$3,'Budget by Source'!$A$5:$I$5,0))/10,0)*10)</f>
        <v>4</v>
      </c>
      <c r="R94" s="138">
        <f>INDEX('Budget by Source'!$A$6:$I$330,MATCH('Payment by Source'!$A94,'Budget by Source'!$A$6:$A$330,0),MATCH(R$3,'Budget by Source'!$A$5:$I$5,0))-(ROUND(INDEX('Budget by Source'!$A$6:$I$330,MATCH('Payment by Source'!$A94,'Budget by Source'!$A$6:$A$330,0),MATCH(R$3,'Budget by Source'!$A$5:$I$5,0))/10,0)*10)</f>
        <v>2</v>
      </c>
      <c r="S94" s="138">
        <f>INDEX('Budget by Source'!$A$6:$I$330,MATCH('Payment by Source'!$A94,'Budget by Source'!$A$6:$A$330,0),MATCH(S$3,'Budget by Source'!$A$5:$I$5,0))-(ROUND(INDEX('Budget by Source'!$A$6:$I$330,MATCH('Payment by Source'!$A94,'Budget by Source'!$A$6:$A$330,0),MATCH(S$3,'Budget by Source'!$A$5:$I$5,0))/10,0)*10)</f>
        <v>0</v>
      </c>
      <c r="T94" s="138">
        <f>INDEX('Budget by Source'!$A$6:$I$330,MATCH('Payment by Source'!$A94,'Budget by Source'!$A$6:$A$330,0),MATCH(T$3,'Budget by Source'!$A$5:$I$5,0))-(ROUND(INDEX('Budget by Source'!$A$6:$I$330,MATCH('Payment by Source'!$A94,'Budget by Source'!$A$6:$A$330,0),MATCH(T$3,'Budget by Source'!$A$5:$I$5,0))/10,0)*10)</f>
        <v>-3</v>
      </c>
      <c r="U94" s="139">
        <f>INDEX('Budget by Source'!$A$6:$I$330,MATCH('Payment by Source'!$A94,'Budget by Source'!$A$6:$A$330,0),MATCH(U$3,'Budget by Source'!$A$5:$I$5,0))</f>
        <v>5318276</v>
      </c>
      <c r="V94" s="136">
        <f t="shared" si="4"/>
        <v>531828</v>
      </c>
      <c r="W94" s="136">
        <f t="shared" si="5"/>
        <v>5318280</v>
      </c>
    </row>
    <row r="95" spans="1:23" x14ac:dyDescent="0.2">
      <c r="A95" s="22" t="str">
        <f>Data!B91</f>
        <v>1863</v>
      </c>
      <c r="B95" s="20" t="str">
        <f>INDEX(Data[],MATCH($A95,Data[Dist],0),MATCH(B$5,Data[#Headers],0))</f>
        <v>Dubuque</v>
      </c>
      <c r="C95" s="21">
        <f>IF(Notes!$B$2="June",ROUND('Budget by Source'!C95/10,0)+P95,ROUND('Budget by Source'!C95/10,0))</f>
        <v>268471</v>
      </c>
      <c r="D95" s="21">
        <f>IF(Notes!$B$2="June",ROUND('Budget by Source'!D95/10,0)+Q95,ROUND('Budget by Source'!D95/10,0))</f>
        <v>860451</v>
      </c>
      <c r="E95" s="21">
        <f>IF(Notes!$B$2="June",ROUND('Budget by Source'!E95/10,0)+R95,ROUND('Budget by Source'!E95/10,0))</f>
        <v>88642</v>
      </c>
      <c r="F95" s="21">
        <f>IF(Notes!$B$2="June",ROUND('Budget by Source'!F95/10,0)+S95,ROUND('Budget by Source'!F95/10,0))</f>
        <v>86956</v>
      </c>
      <c r="G95" s="21">
        <f>IF(Notes!$B$2="June",ROUND('Budget by Source'!G95/10,0)+T95,ROUND('Budget by Source'!G95/10,0))</f>
        <v>403124</v>
      </c>
      <c r="H95" s="21">
        <f t="shared" si="3"/>
        <v>6190358</v>
      </c>
      <c r="I95" s="21">
        <f>INDEX(Data[],MATCH($A95,Data[Dist],0),MATCH(I$5,Data[#Headers],0))</f>
        <v>7898002</v>
      </c>
      <c r="K95" s="59">
        <f>INDEX('Payment Total'!$A$7:$H$331,MATCH('Payment by Source'!$A95,'Payment Total'!$A$7:$A$331,0),4)-I95</f>
        <v>0</v>
      </c>
      <c r="P95" s="138">
        <f>INDEX('Budget by Source'!$A$6:$I$330,MATCH('Payment by Source'!$A95,'Budget by Source'!$A$6:$A$330,0),MATCH(P$3,'Budget by Source'!$A$5:$I$5,0))-(ROUND(INDEX('Budget by Source'!$A$6:$I$330,MATCH('Payment by Source'!$A95,'Budget by Source'!$A$6:$A$330,0),MATCH(P$3,'Budget by Source'!$A$5:$I$5,0))/10,0)*10)</f>
        <v>-2</v>
      </c>
      <c r="Q95" s="138">
        <f>INDEX('Budget by Source'!$A$6:$I$330,MATCH('Payment by Source'!$A95,'Budget by Source'!$A$6:$A$330,0),MATCH(Q$3,'Budget by Source'!$A$5:$I$5,0))-(ROUND(INDEX('Budget by Source'!$A$6:$I$330,MATCH('Payment by Source'!$A95,'Budget by Source'!$A$6:$A$330,0),MATCH(Q$3,'Budget by Source'!$A$5:$I$5,0))/10,0)*10)</f>
        <v>3</v>
      </c>
      <c r="R95" s="138">
        <f>INDEX('Budget by Source'!$A$6:$I$330,MATCH('Payment by Source'!$A95,'Budget by Source'!$A$6:$A$330,0),MATCH(R$3,'Budget by Source'!$A$5:$I$5,0))-(ROUND(INDEX('Budget by Source'!$A$6:$I$330,MATCH('Payment by Source'!$A95,'Budget by Source'!$A$6:$A$330,0),MATCH(R$3,'Budget by Source'!$A$5:$I$5,0))/10,0)*10)</f>
        <v>-4</v>
      </c>
      <c r="S95" s="138">
        <f>INDEX('Budget by Source'!$A$6:$I$330,MATCH('Payment by Source'!$A95,'Budget by Source'!$A$6:$A$330,0),MATCH(S$3,'Budget by Source'!$A$5:$I$5,0))-(ROUND(INDEX('Budget by Source'!$A$6:$I$330,MATCH('Payment by Source'!$A95,'Budget by Source'!$A$6:$A$330,0),MATCH(S$3,'Budget by Source'!$A$5:$I$5,0))/10,0)*10)</f>
        <v>-5</v>
      </c>
      <c r="T95" s="138">
        <f>INDEX('Budget by Source'!$A$6:$I$330,MATCH('Payment by Source'!$A95,'Budget by Source'!$A$6:$A$330,0),MATCH(T$3,'Budget by Source'!$A$5:$I$5,0))-(ROUND(INDEX('Budget by Source'!$A$6:$I$330,MATCH('Payment by Source'!$A95,'Budget by Source'!$A$6:$A$330,0),MATCH(T$3,'Budget by Source'!$A$5:$I$5,0))/10,0)*10)</f>
        <v>1</v>
      </c>
      <c r="U95" s="139">
        <f>INDEX('Budget by Source'!$A$6:$I$330,MATCH('Payment by Source'!$A95,'Budget by Source'!$A$6:$A$330,0),MATCH(U$3,'Budget by Source'!$A$5:$I$5,0))</f>
        <v>62053705</v>
      </c>
      <c r="V95" s="136">
        <f t="shared" si="4"/>
        <v>6205371</v>
      </c>
      <c r="W95" s="136">
        <f t="shared" si="5"/>
        <v>62053710</v>
      </c>
    </row>
    <row r="96" spans="1:23" x14ac:dyDescent="0.2">
      <c r="A96" s="22" t="str">
        <f>Data!B92</f>
        <v>1908</v>
      </c>
      <c r="B96" s="20" t="str">
        <f>INDEX(Data[],MATCH($A96,Data[Dist],0),MATCH(B$5,Data[#Headers],0))</f>
        <v>Dunkerton</v>
      </c>
      <c r="C96" s="21">
        <f>IF(Notes!$B$2="June",ROUND('Budget by Source'!C96/10,0)+P96,ROUND('Budget by Source'!C96/10,0))</f>
        <v>10131</v>
      </c>
      <c r="D96" s="21">
        <f>IF(Notes!$B$2="June",ROUND('Budget by Source'!D96/10,0)+Q96,ROUND('Budget by Source'!D96/10,0))</f>
        <v>42027</v>
      </c>
      <c r="E96" s="21">
        <f>IF(Notes!$B$2="June",ROUND('Budget by Source'!E96/10,0)+R96,ROUND('Budget by Source'!E96/10,0))</f>
        <v>2908</v>
      </c>
      <c r="F96" s="21">
        <f>IF(Notes!$B$2="June",ROUND('Budget by Source'!F96/10,0)+S96,ROUND('Budget by Source'!F96/10,0))</f>
        <v>2699</v>
      </c>
      <c r="G96" s="21">
        <f>IF(Notes!$B$2="June",ROUND('Budget by Source'!G96/10,0)+T96,ROUND('Budget by Source'!G96/10,0))</f>
        <v>13803</v>
      </c>
      <c r="H96" s="21">
        <f t="shared" si="3"/>
        <v>201395</v>
      </c>
      <c r="I96" s="21">
        <f>INDEX(Data[],MATCH($A96,Data[Dist],0),MATCH(I$5,Data[#Headers],0))</f>
        <v>272963</v>
      </c>
      <c r="K96" s="59">
        <f>INDEX('Payment Total'!$A$7:$H$331,MATCH('Payment by Source'!$A96,'Payment Total'!$A$7:$A$331,0),4)-I96</f>
        <v>0</v>
      </c>
      <c r="P96" s="138">
        <f>INDEX('Budget by Source'!$A$6:$I$330,MATCH('Payment by Source'!$A96,'Budget by Source'!$A$6:$A$330,0),MATCH(P$3,'Budget by Source'!$A$5:$I$5,0))-(ROUND(INDEX('Budget by Source'!$A$6:$I$330,MATCH('Payment by Source'!$A96,'Budget by Source'!$A$6:$A$330,0),MATCH(P$3,'Budget by Source'!$A$5:$I$5,0))/10,0)*10)</f>
        <v>-3</v>
      </c>
      <c r="Q96" s="138">
        <f>INDEX('Budget by Source'!$A$6:$I$330,MATCH('Payment by Source'!$A96,'Budget by Source'!$A$6:$A$330,0),MATCH(Q$3,'Budget by Source'!$A$5:$I$5,0))-(ROUND(INDEX('Budget by Source'!$A$6:$I$330,MATCH('Payment by Source'!$A96,'Budget by Source'!$A$6:$A$330,0),MATCH(Q$3,'Budget by Source'!$A$5:$I$5,0))/10,0)*10)</f>
        <v>-2</v>
      </c>
      <c r="R96" s="138">
        <f>INDEX('Budget by Source'!$A$6:$I$330,MATCH('Payment by Source'!$A96,'Budget by Source'!$A$6:$A$330,0),MATCH(R$3,'Budget by Source'!$A$5:$I$5,0))-(ROUND(INDEX('Budget by Source'!$A$6:$I$330,MATCH('Payment by Source'!$A96,'Budget by Source'!$A$6:$A$330,0),MATCH(R$3,'Budget by Source'!$A$5:$I$5,0))/10,0)*10)</f>
        <v>-5</v>
      </c>
      <c r="S96" s="138">
        <f>INDEX('Budget by Source'!$A$6:$I$330,MATCH('Payment by Source'!$A96,'Budget by Source'!$A$6:$A$330,0),MATCH(S$3,'Budget by Source'!$A$5:$I$5,0))-(ROUND(INDEX('Budget by Source'!$A$6:$I$330,MATCH('Payment by Source'!$A96,'Budget by Source'!$A$6:$A$330,0),MATCH(S$3,'Budget by Source'!$A$5:$I$5,0))/10,0)*10)</f>
        <v>2</v>
      </c>
      <c r="T96" s="138">
        <f>INDEX('Budget by Source'!$A$6:$I$330,MATCH('Payment by Source'!$A96,'Budget by Source'!$A$6:$A$330,0),MATCH(T$3,'Budget by Source'!$A$5:$I$5,0))-(ROUND(INDEX('Budget by Source'!$A$6:$I$330,MATCH('Payment by Source'!$A96,'Budget by Source'!$A$6:$A$330,0),MATCH(T$3,'Budget by Source'!$A$5:$I$5,0))/10,0)*10)</f>
        <v>-4</v>
      </c>
      <c r="U96" s="139">
        <f>INDEX('Budget by Source'!$A$6:$I$330,MATCH('Payment by Source'!$A96,'Budget by Source'!$A$6:$A$330,0),MATCH(U$3,'Budget by Source'!$A$5:$I$5,0))</f>
        <v>2019360</v>
      </c>
      <c r="V96" s="136">
        <f t="shared" si="4"/>
        <v>201936</v>
      </c>
      <c r="W96" s="136">
        <f t="shared" si="5"/>
        <v>2019360</v>
      </c>
    </row>
    <row r="97" spans="1:23" x14ac:dyDescent="0.2">
      <c r="A97" s="22" t="str">
        <f>Data!B93</f>
        <v>1917</v>
      </c>
      <c r="B97" s="20" t="str">
        <f>INDEX(Data[],MATCH($A97,Data[Dist],0),MATCH(B$5,Data[#Headers],0))</f>
        <v>Boyer Valley</v>
      </c>
      <c r="C97" s="21">
        <f>IF(Notes!$B$2="June",ROUND('Budget by Source'!C97/10,0)+P97,ROUND('Budget by Source'!C97/10,0))</f>
        <v>9741</v>
      </c>
      <c r="D97" s="21">
        <f>IF(Notes!$B$2="June",ROUND('Budget by Source'!D97/10,0)+Q97,ROUND('Budget by Source'!D97/10,0))</f>
        <v>41562</v>
      </c>
      <c r="E97" s="21">
        <f>IF(Notes!$B$2="June",ROUND('Budget by Source'!E97/10,0)+R97,ROUND('Budget by Source'!E97/10,0))</f>
        <v>3317</v>
      </c>
      <c r="F97" s="21">
        <f>IF(Notes!$B$2="June",ROUND('Budget by Source'!F97/10,0)+S97,ROUND('Budget by Source'!F97/10,0))</f>
        <v>3438</v>
      </c>
      <c r="G97" s="21">
        <f>IF(Notes!$B$2="June",ROUND('Budget by Source'!G97/10,0)+T97,ROUND('Budget by Source'!G97/10,0))</f>
        <v>14679</v>
      </c>
      <c r="H97" s="21">
        <f t="shared" si="3"/>
        <v>155070</v>
      </c>
      <c r="I97" s="21">
        <f>INDEX(Data[],MATCH($A97,Data[Dist],0),MATCH(I$5,Data[#Headers],0))</f>
        <v>227807</v>
      </c>
      <c r="K97" s="59">
        <f>INDEX('Payment Total'!$A$7:$H$331,MATCH('Payment by Source'!$A97,'Payment Total'!$A$7:$A$331,0),4)-I97</f>
        <v>0</v>
      </c>
      <c r="P97" s="138">
        <f>INDEX('Budget by Source'!$A$6:$I$330,MATCH('Payment by Source'!$A97,'Budget by Source'!$A$6:$A$330,0),MATCH(P$3,'Budget by Source'!$A$5:$I$5,0))-(ROUND(INDEX('Budget by Source'!$A$6:$I$330,MATCH('Payment by Source'!$A97,'Budget by Source'!$A$6:$A$330,0),MATCH(P$3,'Budget by Source'!$A$5:$I$5,0))/10,0)*10)</f>
        <v>0</v>
      </c>
      <c r="Q97" s="138">
        <f>INDEX('Budget by Source'!$A$6:$I$330,MATCH('Payment by Source'!$A97,'Budget by Source'!$A$6:$A$330,0),MATCH(Q$3,'Budget by Source'!$A$5:$I$5,0))-(ROUND(INDEX('Budget by Source'!$A$6:$I$330,MATCH('Payment by Source'!$A97,'Budget by Source'!$A$6:$A$330,0),MATCH(Q$3,'Budget by Source'!$A$5:$I$5,0))/10,0)*10)</f>
        <v>-1</v>
      </c>
      <c r="R97" s="138">
        <f>INDEX('Budget by Source'!$A$6:$I$330,MATCH('Payment by Source'!$A97,'Budget by Source'!$A$6:$A$330,0),MATCH(R$3,'Budget by Source'!$A$5:$I$5,0))-(ROUND(INDEX('Budget by Source'!$A$6:$I$330,MATCH('Payment by Source'!$A97,'Budget by Source'!$A$6:$A$330,0),MATCH(R$3,'Budget by Source'!$A$5:$I$5,0))/10,0)*10)</f>
        <v>-3</v>
      </c>
      <c r="S97" s="138">
        <f>INDEX('Budget by Source'!$A$6:$I$330,MATCH('Payment by Source'!$A97,'Budget by Source'!$A$6:$A$330,0),MATCH(S$3,'Budget by Source'!$A$5:$I$5,0))-(ROUND(INDEX('Budget by Source'!$A$6:$I$330,MATCH('Payment by Source'!$A97,'Budget by Source'!$A$6:$A$330,0),MATCH(S$3,'Budget by Source'!$A$5:$I$5,0))/10,0)*10)</f>
        <v>-4</v>
      </c>
      <c r="T97" s="138">
        <f>INDEX('Budget by Source'!$A$6:$I$330,MATCH('Payment by Source'!$A97,'Budget by Source'!$A$6:$A$330,0),MATCH(T$3,'Budget by Source'!$A$5:$I$5,0))-(ROUND(INDEX('Budget by Source'!$A$6:$I$330,MATCH('Payment by Source'!$A97,'Budget by Source'!$A$6:$A$330,0),MATCH(T$3,'Budget by Source'!$A$5:$I$5,0))/10,0)*10)</f>
        <v>0</v>
      </c>
      <c r="U97" s="139">
        <f>INDEX('Budget by Source'!$A$6:$I$330,MATCH('Payment by Source'!$A97,'Budget by Source'!$A$6:$A$330,0),MATCH(U$3,'Budget by Source'!$A$5:$I$5,0))</f>
        <v>1556493</v>
      </c>
      <c r="V97" s="136">
        <f t="shared" si="4"/>
        <v>155649</v>
      </c>
      <c r="W97" s="136">
        <f t="shared" si="5"/>
        <v>1556490</v>
      </c>
    </row>
    <row r="98" spans="1:23" x14ac:dyDescent="0.2">
      <c r="A98" s="22" t="str">
        <f>Data!B94</f>
        <v>1926</v>
      </c>
      <c r="B98" s="20" t="str">
        <f>INDEX(Data[],MATCH($A98,Data[Dist],0),MATCH(B$5,Data[#Headers],0))</f>
        <v>Durant</v>
      </c>
      <c r="C98" s="21">
        <f>IF(Notes!$B$2="June",ROUND('Budget by Source'!C98/10,0)+P98,ROUND('Budget by Source'!C98/10,0))</f>
        <v>12079</v>
      </c>
      <c r="D98" s="21">
        <f>IF(Notes!$B$2="June",ROUND('Budget by Source'!D98/10,0)+Q98,ROUND('Budget by Source'!D98/10,0))</f>
        <v>45275</v>
      </c>
      <c r="E98" s="21">
        <f>IF(Notes!$B$2="June",ROUND('Budget by Source'!E98/10,0)+R98,ROUND('Budget by Source'!E98/10,0))</f>
        <v>3625</v>
      </c>
      <c r="F98" s="21">
        <f>IF(Notes!$B$2="June",ROUND('Budget by Source'!F98/10,0)+S98,ROUND('Budget by Source'!F98/10,0))</f>
        <v>4321</v>
      </c>
      <c r="G98" s="21">
        <f>IF(Notes!$B$2="June",ROUND('Budget by Source'!G98/10,0)+T98,ROUND('Budget by Source'!G98/10,0))</f>
        <v>18634</v>
      </c>
      <c r="H98" s="21">
        <f t="shared" si="3"/>
        <v>244124</v>
      </c>
      <c r="I98" s="21">
        <f>INDEX(Data[],MATCH($A98,Data[Dist],0),MATCH(I$5,Data[#Headers],0))</f>
        <v>328058</v>
      </c>
      <c r="K98" s="59">
        <f>INDEX('Payment Total'!$A$7:$H$331,MATCH('Payment by Source'!$A98,'Payment Total'!$A$7:$A$331,0),4)-I98</f>
        <v>0</v>
      </c>
      <c r="P98" s="138">
        <f>INDEX('Budget by Source'!$A$6:$I$330,MATCH('Payment by Source'!$A98,'Budget by Source'!$A$6:$A$330,0),MATCH(P$3,'Budget by Source'!$A$5:$I$5,0))-(ROUND(INDEX('Budget by Source'!$A$6:$I$330,MATCH('Payment by Source'!$A98,'Budget by Source'!$A$6:$A$330,0),MATCH(P$3,'Budget by Source'!$A$5:$I$5,0))/10,0)*10)</f>
        <v>-1</v>
      </c>
      <c r="Q98" s="138">
        <f>INDEX('Budget by Source'!$A$6:$I$330,MATCH('Payment by Source'!$A98,'Budget by Source'!$A$6:$A$330,0),MATCH(Q$3,'Budget by Source'!$A$5:$I$5,0))-(ROUND(INDEX('Budget by Source'!$A$6:$I$330,MATCH('Payment by Source'!$A98,'Budget by Source'!$A$6:$A$330,0),MATCH(Q$3,'Budget by Source'!$A$5:$I$5,0))/10,0)*10)</f>
        <v>1</v>
      </c>
      <c r="R98" s="138">
        <f>INDEX('Budget by Source'!$A$6:$I$330,MATCH('Payment by Source'!$A98,'Budget by Source'!$A$6:$A$330,0),MATCH(R$3,'Budget by Source'!$A$5:$I$5,0))-(ROUND(INDEX('Budget by Source'!$A$6:$I$330,MATCH('Payment by Source'!$A98,'Budget by Source'!$A$6:$A$330,0),MATCH(R$3,'Budget by Source'!$A$5:$I$5,0))/10,0)*10)</f>
        <v>3</v>
      </c>
      <c r="S98" s="138">
        <f>INDEX('Budget by Source'!$A$6:$I$330,MATCH('Payment by Source'!$A98,'Budget by Source'!$A$6:$A$330,0),MATCH(S$3,'Budget by Source'!$A$5:$I$5,0))-(ROUND(INDEX('Budget by Source'!$A$6:$I$330,MATCH('Payment by Source'!$A98,'Budget by Source'!$A$6:$A$330,0),MATCH(S$3,'Budget by Source'!$A$5:$I$5,0))/10,0)*10)</f>
        <v>-2</v>
      </c>
      <c r="T98" s="138">
        <f>INDEX('Budget by Source'!$A$6:$I$330,MATCH('Payment by Source'!$A98,'Budget by Source'!$A$6:$A$330,0),MATCH(T$3,'Budget by Source'!$A$5:$I$5,0))-(ROUND(INDEX('Budget by Source'!$A$6:$I$330,MATCH('Payment by Source'!$A98,'Budget by Source'!$A$6:$A$330,0),MATCH(T$3,'Budget by Source'!$A$5:$I$5,0))/10,0)*10)</f>
        <v>-1</v>
      </c>
      <c r="U98" s="139">
        <f>INDEX('Budget by Source'!$A$6:$I$330,MATCH('Payment by Source'!$A98,'Budget by Source'!$A$6:$A$330,0),MATCH(U$3,'Budget by Source'!$A$5:$I$5,0))</f>
        <v>2448600</v>
      </c>
      <c r="V98" s="136">
        <f t="shared" si="4"/>
        <v>244860</v>
      </c>
      <c r="W98" s="136">
        <f t="shared" si="5"/>
        <v>2448600</v>
      </c>
    </row>
    <row r="99" spans="1:23" x14ac:dyDescent="0.2">
      <c r="A99" s="22" t="str">
        <f>Data!B95</f>
        <v>1935</v>
      </c>
      <c r="B99" s="20" t="str">
        <f>INDEX(Data[],MATCH($A99,Data[Dist],0),MATCH(B$5,Data[#Headers],0))</f>
        <v>Union</v>
      </c>
      <c r="C99" s="21">
        <f>IF(Notes!$B$2="June",ROUND('Budget by Source'!C99/10,0)+P99,ROUND('Budget by Source'!C99/10,0))</f>
        <v>17534</v>
      </c>
      <c r="D99" s="21">
        <f>IF(Notes!$B$2="June",ROUND('Budget by Source'!D99/10,0)+Q99,ROUND('Budget by Source'!D99/10,0))</f>
        <v>81944</v>
      </c>
      <c r="E99" s="21">
        <f>IF(Notes!$B$2="June",ROUND('Budget by Source'!E99/10,0)+R99,ROUND('Budget by Source'!E99/10,0))</f>
        <v>7139</v>
      </c>
      <c r="F99" s="21">
        <f>IF(Notes!$B$2="June",ROUND('Budget by Source'!F99/10,0)+S99,ROUND('Budget by Source'!F99/10,0))</f>
        <v>5998</v>
      </c>
      <c r="G99" s="21">
        <f>IF(Notes!$B$2="June",ROUND('Budget by Source'!G99/10,0)+T99,ROUND('Budget by Source'!G99/10,0))</f>
        <v>36180</v>
      </c>
      <c r="H99" s="21">
        <f t="shared" si="3"/>
        <v>519321</v>
      </c>
      <c r="I99" s="21">
        <f>INDEX(Data[],MATCH($A99,Data[Dist],0),MATCH(I$5,Data[#Headers],0))</f>
        <v>668116</v>
      </c>
      <c r="K99" s="59">
        <f>INDEX('Payment Total'!$A$7:$H$331,MATCH('Payment by Source'!$A99,'Payment Total'!$A$7:$A$331,0),4)-I99</f>
        <v>0</v>
      </c>
      <c r="P99" s="138">
        <f>INDEX('Budget by Source'!$A$6:$I$330,MATCH('Payment by Source'!$A99,'Budget by Source'!$A$6:$A$330,0),MATCH(P$3,'Budget by Source'!$A$5:$I$5,0))-(ROUND(INDEX('Budget by Source'!$A$6:$I$330,MATCH('Payment by Source'!$A99,'Budget by Source'!$A$6:$A$330,0),MATCH(P$3,'Budget by Source'!$A$5:$I$5,0))/10,0)*10)</f>
        <v>-1</v>
      </c>
      <c r="Q99" s="138">
        <f>INDEX('Budget by Source'!$A$6:$I$330,MATCH('Payment by Source'!$A99,'Budget by Source'!$A$6:$A$330,0),MATCH(Q$3,'Budget by Source'!$A$5:$I$5,0))-(ROUND(INDEX('Budget by Source'!$A$6:$I$330,MATCH('Payment by Source'!$A99,'Budget by Source'!$A$6:$A$330,0),MATCH(Q$3,'Budget by Source'!$A$5:$I$5,0))/10,0)*10)</f>
        <v>-4</v>
      </c>
      <c r="R99" s="138">
        <f>INDEX('Budget by Source'!$A$6:$I$330,MATCH('Payment by Source'!$A99,'Budget by Source'!$A$6:$A$330,0),MATCH(R$3,'Budget by Source'!$A$5:$I$5,0))-(ROUND(INDEX('Budget by Source'!$A$6:$I$330,MATCH('Payment by Source'!$A99,'Budget by Source'!$A$6:$A$330,0),MATCH(R$3,'Budget by Source'!$A$5:$I$5,0))/10,0)*10)</f>
        <v>-5</v>
      </c>
      <c r="S99" s="138">
        <f>INDEX('Budget by Source'!$A$6:$I$330,MATCH('Payment by Source'!$A99,'Budget by Source'!$A$6:$A$330,0),MATCH(S$3,'Budget by Source'!$A$5:$I$5,0))-(ROUND(INDEX('Budget by Source'!$A$6:$I$330,MATCH('Payment by Source'!$A99,'Budget by Source'!$A$6:$A$330,0),MATCH(S$3,'Budget by Source'!$A$5:$I$5,0))/10,0)*10)</f>
        <v>-3</v>
      </c>
      <c r="T99" s="138">
        <f>INDEX('Budget by Source'!$A$6:$I$330,MATCH('Payment by Source'!$A99,'Budget by Source'!$A$6:$A$330,0),MATCH(T$3,'Budget by Source'!$A$5:$I$5,0))-(ROUND(INDEX('Budget by Source'!$A$6:$I$330,MATCH('Payment by Source'!$A99,'Budget by Source'!$A$6:$A$330,0),MATCH(T$3,'Budget by Source'!$A$5:$I$5,0))/10,0)*10)</f>
        <v>-1</v>
      </c>
      <c r="U99" s="139">
        <f>INDEX('Budget by Source'!$A$6:$I$330,MATCH('Payment by Source'!$A99,'Budget by Source'!$A$6:$A$330,0),MATCH(U$3,'Budget by Source'!$A$5:$I$5,0))</f>
        <v>5207409</v>
      </c>
      <c r="V99" s="136">
        <f t="shared" si="4"/>
        <v>520741</v>
      </c>
      <c r="W99" s="136">
        <f t="shared" si="5"/>
        <v>5207410</v>
      </c>
    </row>
    <row r="100" spans="1:23" x14ac:dyDescent="0.2">
      <c r="A100" s="22" t="str">
        <f>Data!B96</f>
        <v>1944</v>
      </c>
      <c r="B100" s="20" t="str">
        <f>INDEX(Data[],MATCH($A100,Data[Dist],0),MATCH(B$5,Data[#Headers],0))</f>
        <v>Eagle Grove</v>
      </c>
      <c r="C100" s="21">
        <f>IF(Notes!$B$2="June",ROUND('Budget by Source'!C100/10,0)+P100,ROUND('Budget by Source'!C100/10,0))</f>
        <v>23379</v>
      </c>
      <c r="D100" s="21">
        <f>IF(Notes!$B$2="June",ROUND('Budget by Source'!D100/10,0)+Q100,ROUND('Budget by Source'!D100/10,0))</f>
        <v>95070</v>
      </c>
      <c r="E100" s="21">
        <f>IF(Notes!$B$2="June",ROUND('Budget by Source'!E100/10,0)+R100,ROUND('Budget by Source'!E100/10,0))</f>
        <v>8322</v>
      </c>
      <c r="F100" s="21">
        <f>IF(Notes!$B$2="June",ROUND('Budget by Source'!F100/10,0)+S100,ROUND('Budget by Source'!F100/10,0))</f>
        <v>7421</v>
      </c>
      <c r="G100" s="21">
        <f>IF(Notes!$B$2="June",ROUND('Budget by Source'!G100/10,0)+T100,ROUND('Budget by Source'!G100/10,0))</f>
        <v>37162</v>
      </c>
      <c r="H100" s="21">
        <f t="shared" si="3"/>
        <v>626764</v>
      </c>
      <c r="I100" s="21">
        <f>INDEX(Data[],MATCH($A100,Data[Dist],0),MATCH(I$5,Data[#Headers],0))</f>
        <v>798118</v>
      </c>
      <c r="K100" s="59">
        <f>INDEX('Payment Total'!$A$7:$H$331,MATCH('Payment by Source'!$A100,'Payment Total'!$A$7:$A$331,0),4)-I100</f>
        <v>0</v>
      </c>
      <c r="P100" s="138">
        <f>INDEX('Budget by Source'!$A$6:$I$330,MATCH('Payment by Source'!$A100,'Budget by Source'!$A$6:$A$330,0),MATCH(P$3,'Budget by Source'!$A$5:$I$5,0))-(ROUND(INDEX('Budget by Source'!$A$6:$I$330,MATCH('Payment by Source'!$A100,'Budget by Source'!$A$6:$A$330,0),MATCH(P$3,'Budget by Source'!$A$5:$I$5,0))/10,0)*10)</f>
        <v>-5</v>
      </c>
      <c r="Q100" s="138">
        <f>INDEX('Budget by Source'!$A$6:$I$330,MATCH('Payment by Source'!$A100,'Budget by Source'!$A$6:$A$330,0),MATCH(Q$3,'Budget by Source'!$A$5:$I$5,0))-(ROUND(INDEX('Budget by Source'!$A$6:$I$330,MATCH('Payment by Source'!$A100,'Budget by Source'!$A$6:$A$330,0),MATCH(Q$3,'Budget by Source'!$A$5:$I$5,0))/10,0)*10)</f>
        <v>-5</v>
      </c>
      <c r="R100" s="138">
        <f>INDEX('Budget by Source'!$A$6:$I$330,MATCH('Payment by Source'!$A100,'Budget by Source'!$A$6:$A$330,0),MATCH(R$3,'Budget by Source'!$A$5:$I$5,0))-(ROUND(INDEX('Budget by Source'!$A$6:$I$330,MATCH('Payment by Source'!$A100,'Budget by Source'!$A$6:$A$330,0),MATCH(R$3,'Budget by Source'!$A$5:$I$5,0))/10,0)*10)</f>
        <v>0</v>
      </c>
      <c r="S100" s="138">
        <f>INDEX('Budget by Source'!$A$6:$I$330,MATCH('Payment by Source'!$A100,'Budget by Source'!$A$6:$A$330,0),MATCH(S$3,'Budget by Source'!$A$5:$I$5,0))-(ROUND(INDEX('Budget by Source'!$A$6:$I$330,MATCH('Payment by Source'!$A100,'Budget by Source'!$A$6:$A$330,0),MATCH(S$3,'Budget by Source'!$A$5:$I$5,0))/10,0)*10)</f>
        <v>-2</v>
      </c>
      <c r="T100" s="138">
        <f>INDEX('Budget by Source'!$A$6:$I$330,MATCH('Payment by Source'!$A100,'Budget by Source'!$A$6:$A$330,0),MATCH(T$3,'Budget by Source'!$A$5:$I$5,0))-(ROUND(INDEX('Budget by Source'!$A$6:$I$330,MATCH('Payment by Source'!$A100,'Budget by Source'!$A$6:$A$330,0),MATCH(T$3,'Budget by Source'!$A$5:$I$5,0))/10,0)*10)</f>
        <v>1</v>
      </c>
      <c r="U100" s="139">
        <f>INDEX('Budget by Source'!$A$6:$I$330,MATCH('Payment by Source'!$A100,'Budget by Source'!$A$6:$A$330,0),MATCH(U$3,'Budget by Source'!$A$5:$I$5,0))</f>
        <v>6282363</v>
      </c>
      <c r="V100" s="136">
        <f t="shared" si="4"/>
        <v>628236</v>
      </c>
      <c r="W100" s="136">
        <f t="shared" si="5"/>
        <v>6282360</v>
      </c>
    </row>
    <row r="101" spans="1:23" x14ac:dyDescent="0.2">
      <c r="A101" s="22" t="str">
        <f>Data!B97</f>
        <v>1953</v>
      </c>
      <c r="B101" s="20" t="str">
        <f>INDEX(Data[],MATCH($A101,Data[Dist],0),MATCH(B$5,Data[#Headers],0))</f>
        <v>Earlham</v>
      </c>
      <c r="C101" s="21">
        <f>IF(Notes!$B$2="June",ROUND('Budget by Source'!C101/10,0)+P101,ROUND('Budget by Source'!C101/10,0))</f>
        <v>14806</v>
      </c>
      <c r="D101" s="21">
        <f>IF(Notes!$B$2="June",ROUND('Budget by Source'!D101/10,0)+Q101,ROUND('Budget by Source'!D101/10,0))</f>
        <v>73708</v>
      </c>
      <c r="E101" s="21">
        <f>IF(Notes!$B$2="June",ROUND('Budget by Source'!E101/10,0)+R101,ROUND('Budget by Source'!E101/10,0))</f>
        <v>4719</v>
      </c>
      <c r="F101" s="21">
        <f>IF(Notes!$B$2="June",ROUND('Budget by Source'!F101/10,0)+S101,ROUND('Budget by Source'!F101/10,0))</f>
        <v>4179</v>
      </c>
      <c r="G101" s="21">
        <f>IF(Notes!$B$2="June",ROUND('Budget by Source'!G101/10,0)+T101,ROUND('Budget by Source'!G101/10,0))</f>
        <v>21781</v>
      </c>
      <c r="H101" s="21">
        <f t="shared" si="3"/>
        <v>321414</v>
      </c>
      <c r="I101" s="21">
        <f>INDEX(Data[],MATCH($A101,Data[Dist],0),MATCH(I$5,Data[#Headers],0))</f>
        <v>440607</v>
      </c>
      <c r="K101" s="59">
        <f>INDEX('Payment Total'!$A$7:$H$331,MATCH('Payment by Source'!$A101,'Payment Total'!$A$7:$A$331,0),4)-I101</f>
        <v>0</v>
      </c>
      <c r="P101" s="138">
        <f>INDEX('Budget by Source'!$A$6:$I$330,MATCH('Payment by Source'!$A101,'Budget by Source'!$A$6:$A$330,0),MATCH(P$3,'Budget by Source'!$A$5:$I$5,0))-(ROUND(INDEX('Budget by Source'!$A$6:$I$330,MATCH('Payment by Source'!$A101,'Budget by Source'!$A$6:$A$330,0),MATCH(P$3,'Budget by Source'!$A$5:$I$5,0))/10,0)*10)</f>
        <v>4</v>
      </c>
      <c r="Q101" s="138">
        <f>INDEX('Budget by Source'!$A$6:$I$330,MATCH('Payment by Source'!$A101,'Budget by Source'!$A$6:$A$330,0),MATCH(Q$3,'Budget by Source'!$A$5:$I$5,0))-(ROUND(INDEX('Budget by Source'!$A$6:$I$330,MATCH('Payment by Source'!$A101,'Budget by Source'!$A$6:$A$330,0),MATCH(Q$3,'Budget by Source'!$A$5:$I$5,0))/10,0)*10)</f>
        <v>-1</v>
      </c>
      <c r="R101" s="138">
        <f>INDEX('Budget by Source'!$A$6:$I$330,MATCH('Payment by Source'!$A101,'Budget by Source'!$A$6:$A$330,0),MATCH(R$3,'Budget by Source'!$A$5:$I$5,0))-(ROUND(INDEX('Budget by Source'!$A$6:$I$330,MATCH('Payment by Source'!$A101,'Budget by Source'!$A$6:$A$330,0),MATCH(R$3,'Budget by Source'!$A$5:$I$5,0))/10,0)*10)</f>
        <v>-1</v>
      </c>
      <c r="S101" s="138">
        <f>INDEX('Budget by Source'!$A$6:$I$330,MATCH('Payment by Source'!$A101,'Budget by Source'!$A$6:$A$330,0),MATCH(S$3,'Budget by Source'!$A$5:$I$5,0))-(ROUND(INDEX('Budget by Source'!$A$6:$I$330,MATCH('Payment by Source'!$A101,'Budget by Source'!$A$6:$A$330,0),MATCH(S$3,'Budget by Source'!$A$5:$I$5,0))/10,0)*10)</f>
        <v>-4</v>
      </c>
      <c r="T101" s="138">
        <f>INDEX('Budget by Source'!$A$6:$I$330,MATCH('Payment by Source'!$A101,'Budget by Source'!$A$6:$A$330,0),MATCH(T$3,'Budget by Source'!$A$5:$I$5,0))-(ROUND(INDEX('Budget by Source'!$A$6:$I$330,MATCH('Payment by Source'!$A101,'Budget by Source'!$A$6:$A$330,0),MATCH(T$3,'Budget by Source'!$A$5:$I$5,0))/10,0)*10)</f>
        <v>-5</v>
      </c>
      <c r="U101" s="139">
        <f>INDEX('Budget by Source'!$A$6:$I$330,MATCH('Payment by Source'!$A101,'Budget by Source'!$A$6:$A$330,0),MATCH(U$3,'Budget by Source'!$A$5:$I$5,0))</f>
        <v>3222802</v>
      </c>
      <c r="V101" s="136">
        <f t="shared" si="4"/>
        <v>322280</v>
      </c>
      <c r="W101" s="136">
        <f t="shared" si="5"/>
        <v>3222800</v>
      </c>
    </row>
    <row r="102" spans="1:23" x14ac:dyDescent="0.2">
      <c r="A102" s="22" t="str">
        <f>Data!B98</f>
        <v>1963</v>
      </c>
      <c r="B102" s="20" t="str">
        <f>INDEX(Data[],MATCH($A102,Data[Dist],0),MATCH(B$5,Data[#Headers],0))</f>
        <v>East Buchanan</v>
      </c>
      <c r="C102" s="21">
        <f>IF(Notes!$B$2="June",ROUND('Budget by Source'!C102/10,0)+P102,ROUND('Budget by Source'!C102/10,0))</f>
        <v>13248</v>
      </c>
      <c r="D102" s="21">
        <f>IF(Notes!$B$2="June",ROUND('Budget by Source'!D102/10,0)+Q102,ROUND('Budget by Source'!D102/10,0))</f>
        <v>49148</v>
      </c>
      <c r="E102" s="21">
        <f>IF(Notes!$B$2="June",ROUND('Budget by Source'!E102/10,0)+R102,ROUND('Budget by Source'!E102/10,0))</f>
        <v>4205</v>
      </c>
      <c r="F102" s="21">
        <f>IF(Notes!$B$2="June",ROUND('Budget by Source'!F102/10,0)+S102,ROUND('Budget by Source'!F102/10,0))</f>
        <v>3981</v>
      </c>
      <c r="G102" s="21">
        <f>IF(Notes!$B$2="June",ROUND('Budget by Source'!G102/10,0)+T102,ROUND('Budget by Source'!G102/10,0))</f>
        <v>20228</v>
      </c>
      <c r="H102" s="21">
        <f t="shared" si="3"/>
        <v>314746</v>
      </c>
      <c r="I102" s="21">
        <f>INDEX(Data[],MATCH($A102,Data[Dist],0),MATCH(I$5,Data[#Headers],0))</f>
        <v>405556</v>
      </c>
      <c r="K102" s="59">
        <f>INDEX('Payment Total'!$A$7:$H$331,MATCH('Payment by Source'!$A102,'Payment Total'!$A$7:$A$331,0),4)-I102</f>
        <v>0</v>
      </c>
      <c r="P102" s="138">
        <f>INDEX('Budget by Source'!$A$6:$I$330,MATCH('Payment by Source'!$A102,'Budget by Source'!$A$6:$A$330,0),MATCH(P$3,'Budget by Source'!$A$5:$I$5,0))-(ROUND(INDEX('Budget by Source'!$A$6:$I$330,MATCH('Payment by Source'!$A102,'Budget by Source'!$A$6:$A$330,0),MATCH(P$3,'Budget by Source'!$A$5:$I$5,0))/10,0)*10)</f>
        <v>-2</v>
      </c>
      <c r="Q102" s="138">
        <f>INDEX('Budget by Source'!$A$6:$I$330,MATCH('Payment by Source'!$A102,'Budget by Source'!$A$6:$A$330,0),MATCH(Q$3,'Budget by Source'!$A$5:$I$5,0))-(ROUND(INDEX('Budget by Source'!$A$6:$I$330,MATCH('Payment by Source'!$A102,'Budget by Source'!$A$6:$A$330,0),MATCH(Q$3,'Budget by Source'!$A$5:$I$5,0))/10,0)*10)</f>
        <v>2</v>
      </c>
      <c r="R102" s="138">
        <f>INDEX('Budget by Source'!$A$6:$I$330,MATCH('Payment by Source'!$A102,'Budget by Source'!$A$6:$A$330,0),MATCH(R$3,'Budget by Source'!$A$5:$I$5,0))-(ROUND(INDEX('Budget by Source'!$A$6:$I$330,MATCH('Payment by Source'!$A102,'Budget by Source'!$A$6:$A$330,0),MATCH(R$3,'Budget by Source'!$A$5:$I$5,0))/10,0)*10)</f>
        <v>-3</v>
      </c>
      <c r="S102" s="138">
        <f>INDEX('Budget by Source'!$A$6:$I$330,MATCH('Payment by Source'!$A102,'Budget by Source'!$A$6:$A$330,0),MATCH(S$3,'Budget by Source'!$A$5:$I$5,0))-(ROUND(INDEX('Budget by Source'!$A$6:$I$330,MATCH('Payment by Source'!$A102,'Budget by Source'!$A$6:$A$330,0),MATCH(S$3,'Budget by Source'!$A$5:$I$5,0))/10,0)*10)</f>
        <v>-1</v>
      </c>
      <c r="T102" s="138">
        <f>INDEX('Budget by Source'!$A$6:$I$330,MATCH('Payment by Source'!$A102,'Budget by Source'!$A$6:$A$330,0),MATCH(T$3,'Budget by Source'!$A$5:$I$5,0))-(ROUND(INDEX('Budget by Source'!$A$6:$I$330,MATCH('Payment by Source'!$A102,'Budget by Source'!$A$6:$A$330,0),MATCH(T$3,'Budget by Source'!$A$5:$I$5,0))/10,0)*10)</f>
        <v>0</v>
      </c>
      <c r="U102" s="139">
        <f>INDEX('Budget by Source'!$A$6:$I$330,MATCH('Payment by Source'!$A102,'Budget by Source'!$A$6:$A$330,0),MATCH(U$3,'Budget by Source'!$A$5:$I$5,0))</f>
        <v>3155490</v>
      </c>
      <c r="V102" s="136">
        <f t="shared" si="4"/>
        <v>315549</v>
      </c>
      <c r="W102" s="136">
        <f t="shared" si="5"/>
        <v>3155490</v>
      </c>
    </row>
    <row r="103" spans="1:23" x14ac:dyDescent="0.2">
      <c r="A103" s="22" t="str">
        <f>Data!B99</f>
        <v>1965</v>
      </c>
      <c r="B103" s="20" t="str">
        <f>INDEX(Data[],MATCH($A103,Data[Dist],0),MATCH(B$5,Data[#Headers],0))</f>
        <v>Easton Valley</v>
      </c>
      <c r="C103" s="21">
        <f>IF(Notes!$B$2="June",ROUND('Budget by Source'!C103/10,0)+P103,ROUND('Budget by Source'!C103/10,0))</f>
        <v>11300</v>
      </c>
      <c r="D103" s="21">
        <f>IF(Notes!$B$2="June",ROUND('Budget by Source'!D103/10,0)+Q103,ROUND('Budget by Source'!D103/10,0))</f>
        <v>69543</v>
      </c>
      <c r="E103" s="21">
        <f>IF(Notes!$B$2="June",ROUND('Budget by Source'!E103/10,0)+R103,ROUND('Budget by Source'!E103/10,0))</f>
        <v>3965</v>
      </c>
      <c r="F103" s="21">
        <f>IF(Notes!$B$2="June",ROUND('Budget by Source'!F103/10,0)+S103,ROUND('Budget by Source'!F103/10,0))</f>
        <v>4176</v>
      </c>
      <c r="G103" s="21">
        <f>IF(Notes!$B$2="June",ROUND('Budget by Source'!G103/10,0)+T103,ROUND('Budget by Source'!G103/10,0))</f>
        <v>20976</v>
      </c>
      <c r="H103" s="21">
        <f t="shared" si="3"/>
        <v>310691</v>
      </c>
      <c r="I103" s="21">
        <f>INDEX(Data[],MATCH($A103,Data[Dist],0),MATCH(I$5,Data[#Headers],0))</f>
        <v>420651</v>
      </c>
      <c r="K103" s="59">
        <f>INDEX('Payment Total'!$A$7:$H$331,MATCH('Payment by Source'!$A103,'Payment Total'!$A$7:$A$331,0),4)-I103</f>
        <v>0</v>
      </c>
      <c r="P103" s="138">
        <f>INDEX('Budget by Source'!$A$6:$I$330,MATCH('Payment by Source'!$A103,'Budget by Source'!$A$6:$A$330,0),MATCH(P$3,'Budget by Source'!$A$5:$I$5,0))-(ROUND(INDEX('Budget by Source'!$A$6:$I$330,MATCH('Payment by Source'!$A103,'Budget by Source'!$A$6:$A$330,0),MATCH(P$3,'Budget by Source'!$A$5:$I$5,0))/10,0)*10)</f>
        <v>-4</v>
      </c>
      <c r="Q103" s="138">
        <f>INDEX('Budget by Source'!$A$6:$I$330,MATCH('Payment by Source'!$A103,'Budget by Source'!$A$6:$A$330,0),MATCH(Q$3,'Budget by Source'!$A$5:$I$5,0))-(ROUND(INDEX('Budget by Source'!$A$6:$I$330,MATCH('Payment by Source'!$A103,'Budget by Source'!$A$6:$A$330,0),MATCH(Q$3,'Budget by Source'!$A$5:$I$5,0))/10,0)*10)</f>
        <v>0</v>
      </c>
      <c r="R103" s="138">
        <f>INDEX('Budget by Source'!$A$6:$I$330,MATCH('Payment by Source'!$A103,'Budget by Source'!$A$6:$A$330,0),MATCH(R$3,'Budget by Source'!$A$5:$I$5,0))-(ROUND(INDEX('Budget by Source'!$A$6:$I$330,MATCH('Payment by Source'!$A103,'Budget by Source'!$A$6:$A$330,0),MATCH(R$3,'Budget by Source'!$A$5:$I$5,0))/10,0)*10)</f>
        <v>4</v>
      </c>
      <c r="S103" s="138">
        <f>INDEX('Budget by Source'!$A$6:$I$330,MATCH('Payment by Source'!$A103,'Budget by Source'!$A$6:$A$330,0),MATCH(S$3,'Budget by Source'!$A$5:$I$5,0))-(ROUND(INDEX('Budget by Source'!$A$6:$I$330,MATCH('Payment by Source'!$A103,'Budget by Source'!$A$6:$A$330,0),MATCH(S$3,'Budget by Source'!$A$5:$I$5,0))/10,0)*10)</f>
        <v>4</v>
      </c>
      <c r="T103" s="138">
        <f>INDEX('Budget by Source'!$A$6:$I$330,MATCH('Payment by Source'!$A103,'Budget by Source'!$A$6:$A$330,0),MATCH(T$3,'Budget by Source'!$A$5:$I$5,0))-(ROUND(INDEX('Budget by Source'!$A$6:$I$330,MATCH('Payment by Source'!$A103,'Budget by Source'!$A$6:$A$330,0),MATCH(T$3,'Budget by Source'!$A$5:$I$5,0))/10,0)*10)</f>
        <v>-1</v>
      </c>
      <c r="U103" s="139">
        <f>INDEX('Budget by Source'!$A$6:$I$330,MATCH('Payment by Source'!$A103,'Budget by Source'!$A$6:$A$330,0),MATCH(U$3,'Budget by Source'!$A$5:$I$5,0))</f>
        <v>3115237</v>
      </c>
      <c r="V103" s="136">
        <f t="shared" si="4"/>
        <v>311524</v>
      </c>
      <c r="W103" s="136">
        <f t="shared" si="5"/>
        <v>3115240</v>
      </c>
    </row>
    <row r="104" spans="1:23" x14ac:dyDescent="0.2">
      <c r="A104" s="22" t="str">
        <f>Data!B100</f>
        <v>1970</v>
      </c>
      <c r="B104" s="20" t="str">
        <f>INDEX(Data[],MATCH($A104,Data[Dist],0),MATCH(B$5,Data[#Headers],0))</f>
        <v>East Union</v>
      </c>
      <c r="C104" s="21">
        <f>IF(Notes!$B$2="June",ROUND('Budget by Source'!C104/10,0)+P104,ROUND('Budget by Source'!C104/10,0))</f>
        <v>10131</v>
      </c>
      <c r="D104" s="21">
        <f>IF(Notes!$B$2="June",ROUND('Budget by Source'!D104/10,0)+Q104,ROUND('Budget by Source'!D104/10,0))</f>
        <v>58054</v>
      </c>
      <c r="E104" s="21">
        <f>IF(Notes!$B$2="June",ROUND('Budget by Source'!E104/10,0)+R104,ROUND('Budget by Source'!E104/10,0))</f>
        <v>3867</v>
      </c>
      <c r="F104" s="21">
        <f>IF(Notes!$B$2="June",ROUND('Budget by Source'!F104/10,0)+S104,ROUND('Budget by Source'!F104/10,0))</f>
        <v>3155</v>
      </c>
      <c r="G104" s="21">
        <f>IF(Notes!$B$2="June",ROUND('Budget by Source'!G104/10,0)+T104,ROUND('Budget by Source'!G104/10,0))</f>
        <v>17413</v>
      </c>
      <c r="H104" s="21">
        <f t="shared" si="3"/>
        <v>257679</v>
      </c>
      <c r="I104" s="21">
        <f>INDEX(Data[],MATCH($A104,Data[Dist],0),MATCH(I$5,Data[#Headers],0))</f>
        <v>350299</v>
      </c>
      <c r="K104" s="59">
        <f>INDEX('Payment Total'!$A$7:$H$331,MATCH('Payment by Source'!$A104,'Payment Total'!$A$7:$A$331,0),4)-I104</f>
        <v>0</v>
      </c>
      <c r="P104" s="138">
        <f>INDEX('Budget by Source'!$A$6:$I$330,MATCH('Payment by Source'!$A104,'Budget by Source'!$A$6:$A$330,0),MATCH(P$3,'Budget by Source'!$A$5:$I$5,0))-(ROUND(INDEX('Budget by Source'!$A$6:$I$330,MATCH('Payment by Source'!$A104,'Budget by Source'!$A$6:$A$330,0),MATCH(P$3,'Budget by Source'!$A$5:$I$5,0))/10,0)*10)</f>
        <v>-3</v>
      </c>
      <c r="Q104" s="138">
        <f>INDEX('Budget by Source'!$A$6:$I$330,MATCH('Payment by Source'!$A104,'Budget by Source'!$A$6:$A$330,0),MATCH(Q$3,'Budget by Source'!$A$5:$I$5,0))-(ROUND(INDEX('Budget by Source'!$A$6:$I$330,MATCH('Payment by Source'!$A104,'Budget by Source'!$A$6:$A$330,0),MATCH(Q$3,'Budget by Source'!$A$5:$I$5,0))/10,0)*10)</f>
        <v>-5</v>
      </c>
      <c r="R104" s="138">
        <f>INDEX('Budget by Source'!$A$6:$I$330,MATCH('Payment by Source'!$A104,'Budget by Source'!$A$6:$A$330,0),MATCH(R$3,'Budget by Source'!$A$5:$I$5,0))-(ROUND(INDEX('Budget by Source'!$A$6:$I$330,MATCH('Payment by Source'!$A104,'Budget by Source'!$A$6:$A$330,0),MATCH(R$3,'Budget by Source'!$A$5:$I$5,0))/10,0)*10)</f>
        <v>-5</v>
      </c>
      <c r="S104" s="138">
        <f>INDEX('Budget by Source'!$A$6:$I$330,MATCH('Payment by Source'!$A104,'Budget by Source'!$A$6:$A$330,0),MATCH(S$3,'Budget by Source'!$A$5:$I$5,0))-(ROUND(INDEX('Budget by Source'!$A$6:$I$330,MATCH('Payment by Source'!$A104,'Budget by Source'!$A$6:$A$330,0),MATCH(S$3,'Budget by Source'!$A$5:$I$5,0))/10,0)*10)</f>
        <v>-1</v>
      </c>
      <c r="T104" s="138">
        <f>INDEX('Budget by Source'!$A$6:$I$330,MATCH('Payment by Source'!$A104,'Budget by Source'!$A$6:$A$330,0),MATCH(T$3,'Budget by Source'!$A$5:$I$5,0))-(ROUND(INDEX('Budget by Source'!$A$6:$I$330,MATCH('Payment by Source'!$A104,'Budget by Source'!$A$6:$A$330,0),MATCH(T$3,'Budget by Source'!$A$5:$I$5,0))/10,0)*10)</f>
        <v>0</v>
      </c>
      <c r="U104" s="139">
        <f>INDEX('Budget by Source'!$A$6:$I$330,MATCH('Payment by Source'!$A104,'Budget by Source'!$A$6:$A$330,0),MATCH(U$3,'Budget by Source'!$A$5:$I$5,0))</f>
        <v>2583345</v>
      </c>
      <c r="V104" s="136">
        <f t="shared" si="4"/>
        <v>258335</v>
      </c>
      <c r="W104" s="136">
        <f t="shared" si="5"/>
        <v>2583350</v>
      </c>
    </row>
    <row r="105" spans="1:23" x14ac:dyDescent="0.2">
      <c r="A105" s="22" t="str">
        <f>Data!B101</f>
        <v>1972</v>
      </c>
      <c r="B105" s="20" t="str">
        <f>INDEX(Data[],MATCH($A105,Data[Dist],0),MATCH(B$5,Data[#Headers],0))</f>
        <v>Eastern Allamakee</v>
      </c>
      <c r="C105" s="21">
        <f>IF(Notes!$B$2="June",ROUND('Budget by Source'!C105/10,0)+P105,ROUND('Budget by Source'!C105/10,0))</f>
        <v>7014</v>
      </c>
      <c r="D105" s="21">
        <f>IF(Notes!$B$2="June",ROUND('Budget by Source'!D105/10,0)+Q105,ROUND('Budget by Source'!D105/10,0))</f>
        <v>49682</v>
      </c>
      <c r="E105" s="21">
        <f>IF(Notes!$B$2="June",ROUND('Budget by Source'!E105/10,0)+R105,ROUND('Budget by Source'!E105/10,0))</f>
        <v>2809</v>
      </c>
      <c r="F105" s="21">
        <f>IF(Notes!$B$2="June",ROUND('Budget by Source'!F105/10,0)+S105,ROUND('Budget by Source'!F105/10,0))</f>
        <v>2340</v>
      </c>
      <c r="G105" s="21">
        <f>IF(Notes!$B$2="June",ROUND('Budget by Source'!G105/10,0)+T105,ROUND('Budget by Source'!G105/10,0))</f>
        <v>12209</v>
      </c>
      <c r="H105" s="21">
        <f t="shared" si="3"/>
        <v>111953</v>
      </c>
      <c r="I105" s="21">
        <f>INDEX(Data[],MATCH($A105,Data[Dist],0),MATCH(I$5,Data[#Headers],0))</f>
        <v>186007</v>
      </c>
      <c r="K105" s="59">
        <f>INDEX('Payment Total'!$A$7:$H$331,MATCH('Payment by Source'!$A105,'Payment Total'!$A$7:$A$331,0),4)-I105</f>
        <v>0</v>
      </c>
      <c r="P105" s="138">
        <f>INDEX('Budget by Source'!$A$6:$I$330,MATCH('Payment by Source'!$A105,'Budget by Source'!$A$6:$A$330,0),MATCH(P$3,'Budget by Source'!$A$5:$I$5,0))-(ROUND(INDEX('Budget by Source'!$A$6:$I$330,MATCH('Payment by Source'!$A105,'Budget by Source'!$A$6:$A$330,0),MATCH(P$3,'Budget by Source'!$A$5:$I$5,0))/10,0)*10)</f>
        <v>-5</v>
      </c>
      <c r="Q105" s="138">
        <f>INDEX('Budget by Source'!$A$6:$I$330,MATCH('Payment by Source'!$A105,'Budget by Source'!$A$6:$A$330,0),MATCH(Q$3,'Budget by Source'!$A$5:$I$5,0))-(ROUND(INDEX('Budget by Source'!$A$6:$I$330,MATCH('Payment by Source'!$A105,'Budget by Source'!$A$6:$A$330,0),MATCH(Q$3,'Budget by Source'!$A$5:$I$5,0))/10,0)*10)</f>
        <v>-5</v>
      </c>
      <c r="R105" s="138">
        <f>INDEX('Budget by Source'!$A$6:$I$330,MATCH('Payment by Source'!$A105,'Budget by Source'!$A$6:$A$330,0),MATCH(R$3,'Budget by Source'!$A$5:$I$5,0))-(ROUND(INDEX('Budget by Source'!$A$6:$I$330,MATCH('Payment by Source'!$A105,'Budget by Source'!$A$6:$A$330,0),MATCH(R$3,'Budget by Source'!$A$5:$I$5,0))/10,0)*10)</f>
        <v>-2</v>
      </c>
      <c r="S105" s="138">
        <f>INDEX('Budget by Source'!$A$6:$I$330,MATCH('Payment by Source'!$A105,'Budget by Source'!$A$6:$A$330,0),MATCH(S$3,'Budget by Source'!$A$5:$I$5,0))-(ROUND(INDEX('Budget by Source'!$A$6:$I$330,MATCH('Payment by Source'!$A105,'Budget by Source'!$A$6:$A$330,0),MATCH(S$3,'Budget by Source'!$A$5:$I$5,0))/10,0)*10)</f>
        <v>0</v>
      </c>
      <c r="T105" s="138">
        <f>INDEX('Budget by Source'!$A$6:$I$330,MATCH('Payment by Source'!$A105,'Budget by Source'!$A$6:$A$330,0),MATCH(T$3,'Budget by Source'!$A$5:$I$5,0))-(ROUND(INDEX('Budget by Source'!$A$6:$I$330,MATCH('Payment by Source'!$A105,'Budget by Source'!$A$6:$A$330,0),MATCH(T$3,'Budget by Source'!$A$5:$I$5,0))/10,0)*10)</f>
        <v>4</v>
      </c>
      <c r="U105" s="139">
        <f>INDEX('Budget by Source'!$A$6:$I$330,MATCH('Payment by Source'!$A105,'Budget by Source'!$A$6:$A$330,0),MATCH(U$3,'Budget by Source'!$A$5:$I$5,0))</f>
        <v>1124059</v>
      </c>
      <c r="V105" s="136">
        <f t="shared" si="4"/>
        <v>112406</v>
      </c>
      <c r="W105" s="136">
        <f t="shared" si="5"/>
        <v>1124060</v>
      </c>
    </row>
    <row r="106" spans="1:23" x14ac:dyDescent="0.2">
      <c r="A106" s="22" t="str">
        <f>Data!B102</f>
        <v>1975</v>
      </c>
      <c r="B106" s="20" t="str">
        <f>INDEX(Data[],MATCH($A106,Data[Dist],0),MATCH(B$5,Data[#Headers],0))</f>
        <v>River Valley</v>
      </c>
      <c r="C106" s="21">
        <f>IF(Notes!$B$2="June",ROUND('Budget by Source'!C106/10,0)+P106,ROUND('Budget by Source'!C106/10,0))</f>
        <v>4286</v>
      </c>
      <c r="D106" s="21">
        <f>IF(Notes!$B$2="June",ROUND('Budget by Source'!D106/10,0)+Q106,ROUND('Budget by Source'!D106/10,0))</f>
        <v>40688</v>
      </c>
      <c r="E106" s="21">
        <f>IF(Notes!$B$2="June",ROUND('Budget by Source'!E106/10,0)+R106,ROUND('Budget by Source'!E106/10,0))</f>
        <v>3311</v>
      </c>
      <c r="F106" s="21">
        <f>IF(Notes!$B$2="June",ROUND('Budget by Source'!F106/10,0)+S106,ROUND('Budget by Source'!F106/10,0))</f>
        <v>2955</v>
      </c>
      <c r="G106" s="21">
        <f>IF(Notes!$B$2="June",ROUND('Budget by Source'!G106/10,0)+T106,ROUND('Budget by Source'!G106/10,0))</f>
        <v>14094</v>
      </c>
      <c r="H106" s="21">
        <f t="shared" si="3"/>
        <v>183170</v>
      </c>
      <c r="I106" s="21">
        <f>INDEX(Data[],MATCH($A106,Data[Dist],0),MATCH(I$5,Data[#Headers],0))</f>
        <v>248504</v>
      </c>
      <c r="K106" s="59">
        <f>INDEX('Payment Total'!$A$7:$H$331,MATCH('Payment by Source'!$A106,'Payment Total'!$A$7:$A$331,0),4)-I106</f>
        <v>0</v>
      </c>
      <c r="P106" s="138">
        <f>INDEX('Budget by Source'!$A$6:$I$330,MATCH('Payment by Source'!$A106,'Budget by Source'!$A$6:$A$330,0),MATCH(P$3,'Budget by Source'!$A$5:$I$5,0))-(ROUND(INDEX('Budget by Source'!$A$6:$I$330,MATCH('Payment by Source'!$A106,'Budget by Source'!$A$6:$A$330,0),MATCH(P$3,'Budget by Source'!$A$5:$I$5,0))/10,0)*10)</f>
        <v>1</v>
      </c>
      <c r="Q106" s="138">
        <f>INDEX('Budget by Source'!$A$6:$I$330,MATCH('Payment by Source'!$A106,'Budget by Source'!$A$6:$A$330,0),MATCH(Q$3,'Budget by Source'!$A$5:$I$5,0))-(ROUND(INDEX('Budget by Source'!$A$6:$I$330,MATCH('Payment by Source'!$A106,'Budget by Source'!$A$6:$A$330,0),MATCH(Q$3,'Budget by Source'!$A$5:$I$5,0))/10,0)*10)</f>
        <v>0</v>
      </c>
      <c r="R106" s="138">
        <f>INDEX('Budget by Source'!$A$6:$I$330,MATCH('Payment by Source'!$A106,'Budget by Source'!$A$6:$A$330,0),MATCH(R$3,'Budget by Source'!$A$5:$I$5,0))-(ROUND(INDEX('Budget by Source'!$A$6:$I$330,MATCH('Payment by Source'!$A106,'Budget by Source'!$A$6:$A$330,0),MATCH(R$3,'Budget by Source'!$A$5:$I$5,0))/10,0)*10)</f>
        <v>3</v>
      </c>
      <c r="S106" s="138">
        <f>INDEX('Budget by Source'!$A$6:$I$330,MATCH('Payment by Source'!$A106,'Budget by Source'!$A$6:$A$330,0),MATCH(S$3,'Budget by Source'!$A$5:$I$5,0))-(ROUND(INDEX('Budget by Source'!$A$6:$I$330,MATCH('Payment by Source'!$A106,'Budget by Source'!$A$6:$A$330,0),MATCH(S$3,'Budget by Source'!$A$5:$I$5,0))/10,0)*10)</f>
        <v>3</v>
      </c>
      <c r="T106" s="138">
        <f>INDEX('Budget by Source'!$A$6:$I$330,MATCH('Payment by Source'!$A106,'Budget by Source'!$A$6:$A$330,0),MATCH(T$3,'Budget by Source'!$A$5:$I$5,0))-(ROUND(INDEX('Budget by Source'!$A$6:$I$330,MATCH('Payment by Source'!$A106,'Budget by Source'!$A$6:$A$330,0),MATCH(T$3,'Budget by Source'!$A$5:$I$5,0))/10,0)*10)</f>
        <v>-5</v>
      </c>
      <c r="U106" s="139">
        <f>INDEX('Budget by Source'!$A$6:$I$330,MATCH('Payment by Source'!$A106,'Budget by Source'!$A$6:$A$330,0),MATCH(U$3,'Budget by Source'!$A$5:$I$5,0))</f>
        <v>1837276</v>
      </c>
      <c r="V106" s="136">
        <f t="shared" si="4"/>
        <v>183728</v>
      </c>
      <c r="W106" s="136">
        <f t="shared" si="5"/>
        <v>1837280</v>
      </c>
    </row>
    <row r="107" spans="1:23" x14ac:dyDescent="0.2">
      <c r="A107" s="22" t="str">
        <f>Data!B103</f>
        <v>1989</v>
      </c>
      <c r="B107" s="20" t="str">
        <f>INDEX(Data[],MATCH($A107,Data[Dist],0),MATCH(B$5,Data[#Headers],0))</f>
        <v>Edgewood-Colesburg</v>
      </c>
      <c r="C107" s="21">
        <f>IF(Notes!$B$2="June",ROUND('Budget by Source'!C107/10,0)+P107,ROUND('Budget by Source'!C107/10,0))</f>
        <v>10520</v>
      </c>
      <c r="D107" s="21">
        <f>IF(Notes!$B$2="June",ROUND('Budget by Source'!D107/10,0)+Q107,ROUND('Budget by Source'!D107/10,0))</f>
        <v>55932</v>
      </c>
      <c r="E107" s="21">
        <f>IF(Notes!$B$2="June",ROUND('Budget by Source'!E107/10,0)+R107,ROUND('Budget by Source'!E107/10,0))</f>
        <v>3524</v>
      </c>
      <c r="F107" s="21">
        <f>IF(Notes!$B$2="June",ROUND('Budget by Source'!F107/10,0)+S107,ROUND('Budget by Source'!F107/10,0))</f>
        <v>3277</v>
      </c>
      <c r="G107" s="21">
        <f>IF(Notes!$B$2="June",ROUND('Budget by Source'!G107/10,0)+T107,ROUND('Budget by Source'!G107/10,0))</f>
        <v>15223</v>
      </c>
      <c r="H107" s="21">
        <f t="shared" si="3"/>
        <v>202001</v>
      </c>
      <c r="I107" s="21">
        <f>INDEX(Data[],MATCH($A107,Data[Dist],0),MATCH(I$5,Data[#Headers],0))</f>
        <v>290477</v>
      </c>
      <c r="K107" s="59">
        <f>INDEX('Payment Total'!$A$7:$H$331,MATCH('Payment by Source'!$A107,'Payment Total'!$A$7:$A$331,0),4)-I107</f>
        <v>0</v>
      </c>
      <c r="P107" s="138">
        <f>INDEX('Budget by Source'!$A$6:$I$330,MATCH('Payment by Source'!$A107,'Budget by Source'!$A$6:$A$330,0),MATCH(P$3,'Budget by Source'!$A$5:$I$5,0))-(ROUND(INDEX('Budget by Source'!$A$6:$I$330,MATCH('Payment by Source'!$A107,'Budget by Source'!$A$6:$A$330,0),MATCH(P$3,'Budget by Source'!$A$5:$I$5,0))/10,0)*10)</f>
        <v>3</v>
      </c>
      <c r="Q107" s="138">
        <f>INDEX('Budget by Source'!$A$6:$I$330,MATCH('Payment by Source'!$A107,'Budget by Source'!$A$6:$A$330,0),MATCH(Q$3,'Budget by Source'!$A$5:$I$5,0))-(ROUND(INDEX('Budget by Source'!$A$6:$I$330,MATCH('Payment by Source'!$A107,'Budget by Source'!$A$6:$A$330,0),MATCH(Q$3,'Budget by Source'!$A$5:$I$5,0))/10,0)*10)</f>
        <v>4</v>
      </c>
      <c r="R107" s="138">
        <f>INDEX('Budget by Source'!$A$6:$I$330,MATCH('Payment by Source'!$A107,'Budget by Source'!$A$6:$A$330,0),MATCH(R$3,'Budget by Source'!$A$5:$I$5,0))-(ROUND(INDEX('Budget by Source'!$A$6:$I$330,MATCH('Payment by Source'!$A107,'Budget by Source'!$A$6:$A$330,0),MATCH(R$3,'Budget by Source'!$A$5:$I$5,0))/10,0)*10)</f>
        <v>2</v>
      </c>
      <c r="S107" s="138">
        <f>INDEX('Budget by Source'!$A$6:$I$330,MATCH('Payment by Source'!$A107,'Budget by Source'!$A$6:$A$330,0),MATCH(S$3,'Budget by Source'!$A$5:$I$5,0))-(ROUND(INDEX('Budget by Source'!$A$6:$I$330,MATCH('Payment by Source'!$A107,'Budget by Source'!$A$6:$A$330,0),MATCH(S$3,'Budget by Source'!$A$5:$I$5,0))/10,0)*10)</f>
        <v>2</v>
      </c>
      <c r="T107" s="138">
        <f>INDEX('Budget by Source'!$A$6:$I$330,MATCH('Payment by Source'!$A107,'Budget by Source'!$A$6:$A$330,0),MATCH(T$3,'Budget by Source'!$A$5:$I$5,0))-(ROUND(INDEX('Budget by Source'!$A$6:$I$330,MATCH('Payment by Source'!$A107,'Budget by Source'!$A$6:$A$330,0),MATCH(T$3,'Budget by Source'!$A$5:$I$5,0))/10,0)*10)</f>
        <v>-1</v>
      </c>
      <c r="U107" s="139">
        <f>INDEX('Budget by Source'!$A$6:$I$330,MATCH('Payment by Source'!$A107,'Budget by Source'!$A$6:$A$330,0),MATCH(U$3,'Budget by Source'!$A$5:$I$5,0))</f>
        <v>2025886</v>
      </c>
      <c r="V107" s="136">
        <f t="shared" si="4"/>
        <v>202589</v>
      </c>
      <c r="W107" s="136">
        <f t="shared" si="5"/>
        <v>2025890</v>
      </c>
    </row>
    <row r="108" spans="1:23" x14ac:dyDescent="0.2">
      <c r="A108" s="22" t="str">
        <f>Data!B104</f>
        <v>2007</v>
      </c>
      <c r="B108" s="20" t="str">
        <f>INDEX(Data[],MATCH($A108,Data[Dist],0),MATCH(B$5,Data[#Headers],0))</f>
        <v>Eldora-New Providence</v>
      </c>
      <c r="C108" s="21">
        <f>IF(Notes!$B$2="June",ROUND('Budget by Source'!C108/10,0)+P108,ROUND('Budget by Source'!C108/10,0))</f>
        <v>10520</v>
      </c>
      <c r="D108" s="21">
        <f>IF(Notes!$B$2="June",ROUND('Budget by Source'!D108/10,0)+Q108,ROUND('Budget by Source'!D108/10,0))</f>
        <v>51528</v>
      </c>
      <c r="E108" s="21">
        <f>IF(Notes!$B$2="June",ROUND('Budget by Source'!E108/10,0)+R108,ROUND('Budget by Source'!E108/10,0))</f>
        <v>4465</v>
      </c>
      <c r="F108" s="21">
        <f>IF(Notes!$B$2="June",ROUND('Budget by Source'!F108/10,0)+S108,ROUND('Budget by Source'!F108/10,0))</f>
        <v>4450</v>
      </c>
      <c r="G108" s="21">
        <f>IF(Notes!$B$2="June",ROUND('Budget by Source'!G108/10,0)+T108,ROUND('Budget by Source'!G108/10,0))</f>
        <v>20664</v>
      </c>
      <c r="H108" s="21">
        <f t="shared" si="3"/>
        <v>332589</v>
      </c>
      <c r="I108" s="21">
        <f>INDEX(Data[],MATCH($A108,Data[Dist],0),MATCH(I$5,Data[#Headers],0))</f>
        <v>424216</v>
      </c>
      <c r="K108" s="59">
        <f>INDEX('Payment Total'!$A$7:$H$331,MATCH('Payment by Source'!$A108,'Payment Total'!$A$7:$A$331,0),4)-I108</f>
        <v>0</v>
      </c>
      <c r="P108" s="138">
        <f>INDEX('Budget by Source'!$A$6:$I$330,MATCH('Payment by Source'!$A108,'Budget by Source'!$A$6:$A$330,0),MATCH(P$3,'Budget by Source'!$A$5:$I$5,0))-(ROUND(INDEX('Budget by Source'!$A$6:$I$330,MATCH('Payment by Source'!$A108,'Budget by Source'!$A$6:$A$330,0),MATCH(P$3,'Budget by Source'!$A$5:$I$5,0))/10,0)*10)</f>
        <v>3</v>
      </c>
      <c r="Q108" s="138">
        <f>INDEX('Budget by Source'!$A$6:$I$330,MATCH('Payment by Source'!$A108,'Budget by Source'!$A$6:$A$330,0),MATCH(Q$3,'Budget by Source'!$A$5:$I$5,0))-(ROUND(INDEX('Budget by Source'!$A$6:$I$330,MATCH('Payment by Source'!$A108,'Budget by Source'!$A$6:$A$330,0),MATCH(Q$3,'Budget by Source'!$A$5:$I$5,0))/10,0)*10)</f>
        <v>4</v>
      </c>
      <c r="R108" s="138">
        <f>INDEX('Budget by Source'!$A$6:$I$330,MATCH('Payment by Source'!$A108,'Budget by Source'!$A$6:$A$330,0),MATCH(R$3,'Budget by Source'!$A$5:$I$5,0))-(ROUND(INDEX('Budget by Source'!$A$6:$I$330,MATCH('Payment by Source'!$A108,'Budget by Source'!$A$6:$A$330,0),MATCH(R$3,'Budget by Source'!$A$5:$I$5,0))/10,0)*10)</f>
        <v>4</v>
      </c>
      <c r="S108" s="138">
        <f>INDEX('Budget by Source'!$A$6:$I$330,MATCH('Payment by Source'!$A108,'Budget by Source'!$A$6:$A$330,0),MATCH(S$3,'Budget by Source'!$A$5:$I$5,0))-(ROUND(INDEX('Budget by Source'!$A$6:$I$330,MATCH('Payment by Source'!$A108,'Budget by Source'!$A$6:$A$330,0),MATCH(S$3,'Budget by Source'!$A$5:$I$5,0))/10,0)*10)</f>
        <v>-3</v>
      </c>
      <c r="T108" s="138">
        <f>INDEX('Budget by Source'!$A$6:$I$330,MATCH('Payment by Source'!$A108,'Budget by Source'!$A$6:$A$330,0),MATCH(T$3,'Budget by Source'!$A$5:$I$5,0))-(ROUND(INDEX('Budget by Source'!$A$6:$I$330,MATCH('Payment by Source'!$A108,'Budget by Source'!$A$6:$A$330,0),MATCH(T$3,'Budget by Source'!$A$5:$I$5,0))/10,0)*10)</f>
        <v>-5</v>
      </c>
      <c r="U108" s="139">
        <f>INDEX('Budget by Source'!$A$6:$I$330,MATCH('Payment by Source'!$A108,'Budget by Source'!$A$6:$A$330,0),MATCH(U$3,'Budget by Source'!$A$5:$I$5,0))</f>
        <v>3334006</v>
      </c>
      <c r="V108" s="136">
        <f t="shared" si="4"/>
        <v>333401</v>
      </c>
      <c r="W108" s="136">
        <f t="shared" si="5"/>
        <v>3334010</v>
      </c>
    </row>
    <row r="109" spans="1:23" x14ac:dyDescent="0.2">
      <c r="A109" s="22" t="str">
        <f>Data!B105</f>
        <v>2088</v>
      </c>
      <c r="B109" s="20" t="str">
        <f>INDEX(Data[],MATCH($A109,Data[Dist],0),MATCH(B$5,Data[#Headers],0))</f>
        <v>Emmetsburg</v>
      </c>
      <c r="C109" s="21">
        <f>IF(Notes!$B$2="June",ROUND('Budget by Source'!C109/10,0)+P109,ROUND('Budget by Source'!C109/10,0))</f>
        <v>16365</v>
      </c>
      <c r="D109" s="21">
        <f>IF(Notes!$B$2="June",ROUND('Budget by Source'!D109/10,0)+Q109,ROUND('Budget by Source'!D109/10,0))</f>
        <v>61013</v>
      </c>
      <c r="E109" s="21">
        <f>IF(Notes!$B$2="June",ROUND('Budget by Source'!E109/10,0)+R109,ROUND('Budget by Source'!E109/10,0))</f>
        <v>5554</v>
      </c>
      <c r="F109" s="21">
        <f>IF(Notes!$B$2="June",ROUND('Budget by Source'!F109/10,0)+S109,ROUND('Budget by Source'!F109/10,0))</f>
        <v>5375</v>
      </c>
      <c r="G109" s="21">
        <f>IF(Notes!$B$2="June",ROUND('Budget by Source'!G109/10,0)+T109,ROUND('Budget by Source'!G109/10,0))</f>
        <v>25962</v>
      </c>
      <c r="H109" s="21">
        <f t="shared" si="3"/>
        <v>290714</v>
      </c>
      <c r="I109" s="21">
        <f>INDEX(Data[],MATCH($A109,Data[Dist],0),MATCH(I$5,Data[#Headers],0))</f>
        <v>404983</v>
      </c>
      <c r="K109" s="59">
        <f>INDEX('Payment Total'!$A$7:$H$331,MATCH('Payment by Source'!$A109,'Payment Total'!$A$7:$A$331,0),4)-I109</f>
        <v>0</v>
      </c>
      <c r="P109" s="138">
        <f>INDEX('Budget by Source'!$A$6:$I$330,MATCH('Payment by Source'!$A109,'Budget by Source'!$A$6:$A$330,0),MATCH(P$3,'Budget by Source'!$A$5:$I$5,0))-(ROUND(INDEX('Budget by Source'!$A$6:$I$330,MATCH('Payment by Source'!$A109,'Budget by Source'!$A$6:$A$330,0),MATCH(P$3,'Budget by Source'!$A$5:$I$5,0))/10,0)*10)</f>
        <v>-1</v>
      </c>
      <c r="Q109" s="138">
        <f>INDEX('Budget by Source'!$A$6:$I$330,MATCH('Payment by Source'!$A109,'Budget by Source'!$A$6:$A$330,0),MATCH(Q$3,'Budget by Source'!$A$5:$I$5,0))-(ROUND(INDEX('Budget by Source'!$A$6:$I$330,MATCH('Payment by Source'!$A109,'Budget by Source'!$A$6:$A$330,0),MATCH(Q$3,'Budget by Source'!$A$5:$I$5,0))/10,0)*10)</f>
        <v>0</v>
      </c>
      <c r="R109" s="138">
        <f>INDEX('Budget by Source'!$A$6:$I$330,MATCH('Payment by Source'!$A109,'Budget by Source'!$A$6:$A$330,0),MATCH(R$3,'Budget by Source'!$A$5:$I$5,0))-(ROUND(INDEX('Budget by Source'!$A$6:$I$330,MATCH('Payment by Source'!$A109,'Budget by Source'!$A$6:$A$330,0),MATCH(R$3,'Budget by Source'!$A$5:$I$5,0))/10,0)*10)</f>
        <v>1</v>
      </c>
      <c r="S109" s="138">
        <f>INDEX('Budget by Source'!$A$6:$I$330,MATCH('Payment by Source'!$A109,'Budget by Source'!$A$6:$A$330,0),MATCH(S$3,'Budget by Source'!$A$5:$I$5,0))-(ROUND(INDEX('Budget by Source'!$A$6:$I$330,MATCH('Payment by Source'!$A109,'Budget by Source'!$A$6:$A$330,0),MATCH(S$3,'Budget by Source'!$A$5:$I$5,0))/10,0)*10)</f>
        <v>-3</v>
      </c>
      <c r="T109" s="138">
        <f>INDEX('Budget by Source'!$A$6:$I$330,MATCH('Payment by Source'!$A109,'Budget by Source'!$A$6:$A$330,0),MATCH(T$3,'Budget by Source'!$A$5:$I$5,0))-(ROUND(INDEX('Budget by Source'!$A$6:$I$330,MATCH('Payment by Source'!$A109,'Budget by Source'!$A$6:$A$330,0),MATCH(T$3,'Budget by Source'!$A$5:$I$5,0))/10,0)*10)</f>
        <v>1</v>
      </c>
      <c r="U109" s="139">
        <f>INDEX('Budget by Source'!$A$6:$I$330,MATCH('Payment by Source'!$A109,'Budget by Source'!$A$6:$A$330,0),MATCH(U$3,'Budget by Source'!$A$5:$I$5,0))</f>
        <v>2916789</v>
      </c>
      <c r="V109" s="136">
        <f t="shared" si="4"/>
        <v>291679</v>
      </c>
      <c r="W109" s="136">
        <f t="shared" si="5"/>
        <v>2916790</v>
      </c>
    </row>
    <row r="110" spans="1:23" x14ac:dyDescent="0.2">
      <c r="A110" s="22" t="str">
        <f>Data!B106</f>
        <v>2097</v>
      </c>
      <c r="B110" s="20" t="str">
        <f>INDEX(Data[],MATCH($A110,Data[Dist],0),MATCH(B$5,Data[#Headers],0))</f>
        <v>English Valleys</v>
      </c>
      <c r="C110" s="21">
        <f>IF(Notes!$B$2="June",ROUND('Budget by Source'!C110/10,0)+P110,ROUND('Budget by Source'!C110/10,0))</f>
        <v>7793</v>
      </c>
      <c r="D110" s="21">
        <f>IF(Notes!$B$2="June",ROUND('Budget by Source'!D110/10,0)+Q110,ROUND('Budget by Source'!D110/10,0))</f>
        <v>48599</v>
      </c>
      <c r="E110" s="21">
        <f>IF(Notes!$B$2="June",ROUND('Budget by Source'!E110/10,0)+R110,ROUND('Budget by Source'!E110/10,0))</f>
        <v>3855</v>
      </c>
      <c r="F110" s="21">
        <f>IF(Notes!$B$2="June",ROUND('Budget by Source'!F110/10,0)+S110,ROUND('Budget by Source'!F110/10,0))</f>
        <v>3729</v>
      </c>
      <c r="G110" s="21">
        <f>IF(Notes!$B$2="June",ROUND('Budget by Source'!G110/10,0)+T110,ROUND('Budget by Source'!G110/10,0))</f>
        <v>17165</v>
      </c>
      <c r="H110" s="21">
        <f t="shared" si="3"/>
        <v>231027</v>
      </c>
      <c r="I110" s="21">
        <f>INDEX(Data[],MATCH($A110,Data[Dist],0),MATCH(I$5,Data[#Headers],0))</f>
        <v>312168</v>
      </c>
      <c r="K110" s="59">
        <f>INDEX('Payment Total'!$A$7:$H$331,MATCH('Payment by Source'!$A110,'Payment Total'!$A$7:$A$331,0),4)-I110</f>
        <v>0</v>
      </c>
      <c r="P110" s="138">
        <f>INDEX('Budget by Source'!$A$6:$I$330,MATCH('Payment by Source'!$A110,'Budget by Source'!$A$6:$A$330,0),MATCH(P$3,'Budget by Source'!$A$5:$I$5,0))-(ROUND(INDEX('Budget by Source'!$A$6:$I$330,MATCH('Payment by Source'!$A110,'Budget by Source'!$A$6:$A$330,0),MATCH(P$3,'Budget by Source'!$A$5:$I$5,0))/10,0)*10)</f>
        <v>-2</v>
      </c>
      <c r="Q110" s="138">
        <f>INDEX('Budget by Source'!$A$6:$I$330,MATCH('Payment by Source'!$A110,'Budget by Source'!$A$6:$A$330,0),MATCH(Q$3,'Budget by Source'!$A$5:$I$5,0))-(ROUND(INDEX('Budget by Source'!$A$6:$I$330,MATCH('Payment by Source'!$A110,'Budget by Source'!$A$6:$A$330,0),MATCH(Q$3,'Budget by Source'!$A$5:$I$5,0))/10,0)*10)</f>
        <v>4</v>
      </c>
      <c r="R110" s="138">
        <f>INDEX('Budget by Source'!$A$6:$I$330,MATCH('Payment by Source'!$A110,'Budget by Source'!$A$6:$A$330,0),MATCH(R$3,'Budget by Source'!$A$5:$I$5,0))-(ROUND(INDEX('Budget by Source'!$A$6:$I$330,MATCH('Payment by Source'!$A110,'Budget by Source'!$A$6:$A$330,0),MATCH(R$3,'Budget by Source'!$A$5:$I$5,0))/10,0)*10)</f>
        <v>-3</v>
      </c>
      <c r="S110" s="138">
        <f>INDEX('Budget by Source'!$A$6:$I$330,MATCH('Payment by Source'!$A110,'Budget by Source'!$A$6:$A$330,0),MATCH(S$3,'Budget by Source'!$A$5:$I$5,0))-(ROUND(INDEX('Budget by Source'!$A$6:$I$330,MATCH('Payment by Source'!$A110,'Budget by Source'!$A$6:$A$330,0),MATCH(S$3,'Budget by Source'!$A$5:$I$5,0))/10,0)*10)</f>
        <v>-2</v>
      </c>
      <c r="T110" s="138">
        <f>INDEX('Budget by Source'!$A$6:$I$330,MATCH('Payment by Source'!$A110,'Budget by Source'!$A$6:$A$330,0),MATCH(T$3,'Budget by Source'!$A$5:$I$5,0))-(ROUND(INDEX('Budget by Source'!$A$6:$I$330,MATCH('Payment by Source'!$A110,'Budget by Source'!$A$6:$A$330,0),MATCH(T$3,'Budget by Source'!$A$5:$I$5,0))/10,0)*10)</f>
        <v>-5</v>
      </c>
      <c r="U110" s="139">
        <f>INDEX('Budget by Source'!$A$6:$I$330,MATCH('Payment by Source'!$A110,'Budget by Source'!$A$6:$A$330,0),MATCH(U$3,'Budget by Source'!$A$5:$I$5,0))</f>
        <v>2317031</v>
      </c>
      <c r="V110" s="136">
        <f t="shared" si="4"/>
        <v>231703</v>
      </c>
      <c r="W110" s="136">
        <f t="shared" si="5"/>
        <v>2317030</v>
      </c>
    </row>
    <row r="111" spans="1:23" x14ac:dyDescent="0.2">
      <c r="A111" s="22" t="str">
        <f>Data!B107</f>
        <v>2113</v>
      </c>
      <c r="B111" s="20" t="str">
        <f>INDEX(Data[],MATCH($A111,Data[Dist],0),MATCH(B$5,Data[#Headers],0))</f>
        <v>Essex</v>
      </c>
      <c r="C111" s="21">
        <f>IF(Notes!$B$2="June",ROUND('Budget by Source'!C111/10,0)+P111,ROUND('Budget by Source'!C111/10,0))</f>
        <v>6624</v>
      </c>
      <c r="D111" s="21">
        <f>IF(Notes!$B$2="June",ROUND('Budget by Source'!D111/10,0)+Q111,ROUND('Budget by Source'!D111/10,0))</f>
        <v>27370</v>
      </c>
      <c r="E111" s="21">
        <f>IF(Notes!$B$2="June",ROUND('Budget by Source'!E111/10,0)+R111,ROUND('Budget by Source'!E111/10,0))</f>
        <v>1927</v>
      </c>
      <c r="F111" s="21">
        <f>IF(Notes!$B$2="June",ROUND('Budget by Source'!F111/10,0)+S111,ROUND('Budget by Source'!F111/10,0))</f>
        <v>1349</v>
      </c>
      <c r="G111" s="21">
        <f>IF(Notes!$B$2="June",ROUND('Budget by Source'!G111/10,0)+T111,ROUND('Budget by Source'!G111/10,0))</f>
        <v>6836</v>
      </c>
      <c r="H111" s="21">
        <f t="shared" si="3"/>
        <v>91692</v>
      </c>
      <c r="I111" s="21">
        <f>INDEX(Data[],MATCH($A111,Data[Dist],0),MATCH(I$5,Data[#Headers],0))</f>
        <v>135798</v>
      </c>
      <c r="K111" s="59">
        <f>INDEX('Payment Total'!$A$7:$H$331,MATCH('Payment by Source'!$A111,'Payment Total'!$A$7:$A$331,0),4)-I111</f>
        <v>0</v>
      </c>
      <c r="P111" s="138">
        <f>INDEX('Budget by Source'!$A$6:$I$330,MATCH('Payment by Source'!$A111,'Budget by Source'!$A$6:$A$330,0),MATCH(P$3,'Budget by Source'!$A$5:$I$5,0))-(ROUND(INDEX('Budget by Source'!$A$6:$I$330,MATCH('Payment by Source'!$A111,'Budget by Source'!$A$6:$A$330,0),MATCH(P$3,'Budget by Source'!$A$5:$I$5,0))/10,0)*10)</f>
        <v>-1</v>
      </c>
      <c r="Q111" s="138">
        <f>INDEX('Budget by Source'!$A$6:$I$330,MATCH('Payment by Source'!$A111,'Budget by Source'!$A$6:$A$330,0),MATCH(Q$3,'Budget by Source'!$A$5:$I$5,0))-(ROUND(INDEX('Budget by Source'!$A$6:$I$330,MATCH('Payment by Source'!$A111,'Budget by Source'!$A$6:$A$330,0),MATCH(Q$3,'Budget by Source'!$A$5:$I$5,0))/10,0)*10)</f>
        <v>3</v>
      </c>
      <c r="R111" s="138">
        <f>INDEX('Budget by Source'!$A$6:$I$330,MATCH('Payment by Source'!$A111,'Budget by Source'!$A$6:$A$330,0),MATCH(R$3,'Budget by Source'!$A$5:$I$5,0))-(ROUND(INDEX('Budget by Source'!$A$6:$I$330,MATCH('Payment by Source'!$A111,'Budget by Source'!$A$6:$A$330,0),MATCH(R$3,'Budget by Source'!$A$5:$I$5,0))/10,0)*10)</f>
        <v>2</v>
      </c>
      <c r="S111" s="138">
        <f>INDEX('Budget by Source'!$A$6:$I$330,MATCH('Payment by Source'!$A111,'Budget by Source'!$A$6:$A$330,0),MATCH(S$3,'Budget by Source'!$A$5:$I$5,0))-(ROUND(INDEX('Budget by Source'!$A$6:$I$330,MATCH('Payment by Source'!$A111,'Budget by Source'!$A$6:$A$330,0),MATCH(S$3,'Budget by Source'!$A$5:$I$5,0))/10,0)*10)</f>
        <v>-4</v>
      </c>
      <c r="T111" s="138">
        <f>INDEX('Budget by Source'!$A$6:$I$330,MATCH('Payment by Source'!$A111,'Budget by Source'!$A$6:$A$330,0),MATCH(T$3,'Budget by Source'!$A$5:$I$5,0))-(ROUND(INDEX('Budget by Source'!$A$6:$I$330,MATCH('Payment by Source'!$A111,'Budget by Source'!$A$6:$A$330,0),MATCH(T$3,'Budget by Source'!$A$5:$I$5,0))/10,0)*10)</f>
        <v>2</v>
      </c>
      <c r="U111" s="139">
        <f>INDEX('Budget by Source'!$A$6:$I$330,MATCH('Payment by Source'!$A111,'Budget by Source'!$A$6:$A$330,0),MATCH(U$3,'Budget by Source'!$A$5:$I$5,0))</f>
        <v>919560</v>
      </c>
      <c r="V111" s="136">
        <f t="shared" si="4"/>
        <v>91956</v>
      </c>
      <c r="W111" s="136">
        <f t="shared" si="5"/>
        <v>919560</v>
      </c>
    </row>
    <row r="112" spans="1:23" x14ac:dyDescent="0.2">
      <c r="A112" s="22" t="str">
        <f>Data!B108</f>
        <v>2124</v>
      </c>
      <c r="B112" s="20" t="str">
        <f>INDEX(Data[],MATCH($A112,Data[Dist],0),MATCH(B$5,Data[#Headers],0))</f>
        <v>Estherville-Lincoln Central</v>
      </c>
      <c r="C112" s="21">
        <f>IF(Notes!$B$2="June",ROUND('Budget by Source'!C112/10,0)+P112,ROUND('Budget by Source'!C112/10,0))</f>
        <v>27275</v>
      </c>
      <c r="D112" s="21">
        <f>IF(Notes!$B$2="June",ROUND('Budget by Source'!D112/10,0)+Q112,ROUND('Budget by Source'!D112/10,0))</f>
        <v>103945</v>
      </c>
      <c r="E112" s="21">
        <f>IF(Notes!$B$2="June",ROUND('Budget by Source'!E112/10,0)+R112,ROUND('Budget by Source'!E112/10,0))</f>
        <v>10081</v>
      </c>
      <c r="F112" s="21">
        <f>IF(Notes!$B$2="June",ROUND('Budget by Source'!F112/10,0)+S112,ROUND('Budget by Source'!F112/10,0))</f>
        <v>8915</v>
      </c>
      <c r="G112" s="21">
        <f>IF(Notes!$B$2="June",ROUND('Budget by Source'!G112/10,0)+T112,ROUND('Budget by Source'!G112/10,0))</f>
        <v>44297</v>
      </c>
      <c r="H112" s="21">
        <f t="shared" si="3"/>
        <v>726919</v>
      </c>
      <c r="I112" s="21">
        <f>INDEX(Data[],MATCH($A112,Data[Dist],0),MATCH(I$5,Data[#Headers],0))</f>
        <v>921432</v>
      </c>
      <c r="K112" s="59">
        <f>INDEX('Payment Total'!$A$7:$H$331,MATCH('Payment by Source'!$A112,'Payment Total'!$A$7:$A$331,0),4)-I112</f>
        <v>0</v>
      </c>
      <c r="P112" s="138">
        <f>INDEX('Budget by Source'!$A$6:$I$330,MATCH('Payment by Source'!$A112,'Budget by Source'!$A$6:$A$330,0),MATCH(P$3,'Budget by Source'!$A$5:$I$5,0))-(ROUND(INDEX('Budget by Source'!$A$6:$I$330,MATCH('Payment by Source'!$A112,'Budget by Source'!$A$6:$A$330,0),MATCH(P$3,'Budget by Source'!$A$5:$I$5,0))/10,0)*10)</f>
        <v>-1</v>
      </c>
      <c r="Q112" s="138">
        <f>INDEX('Budget by Source'!$A$6:$I$330,MATCH('Payment by Source'!$A112,'Budget by Source'!$A$6:$A$330,0),MATCH(Q$3,'Budget by Source'!$A$5:$I$5,0))-(ROUND(INDEX('Budget by Source'!$A$6:$I$330,MATCH('Payment by Source'!$A112,'Budget by Source'!$A$6:$A$330,0),MATCH(Q$3,'Budget by Source'!$A$5:$I$5,0))/10,0)*10)</f>
        <v>-5</v>
      </c>
      <c r="R112" s="138">
        <f>INDEX('Budget by Source'!$A$6:$I$330,MATCH('Payment by Source'!$A112,'Budget by Source'!$A$6:$A$330,0),MATCH(R$3,'Budget by Source'!$A$5:$I$5,0))-(ROUND(INDEX('Budget by Source'!$A$6:$I$330,MATCH('Payment by Source'!$A112,'Budget by Source'!$A$6:$A$330,0),MATCH(R$3,'Budget by Source'!$A$5:$I$5,0))/10,0)*10)</f>
        <v>2</v>
      </c>
      <c r="S112" s="138">
        <f>INDEX('Budget by Source'!$A$6:$I$330,MATCH('Payment by Source'!$A112,'Budget by Source'!$A$6:$A$330,0),MATCH(S$3,'Budget by Source'!$A$5:$I$5,0))-(ROUND(INDEX('Budget by Source'!$A$6:$I$330,MATCH('Payment by Source'!$A112,'Budget by Source'!$A$6:$A$330,0),MATCH(S$3,'Budget by Source'!$A$5:$I$5,0))/10,0)*10)</f>
        <v>2</v>
      </c>
      <c r="T112" s="138">
        <f>INDEX('Budget by Source'!$A$6:$I$330,MATCH('Payment by Source'!$A112,'Budget by Source'!$A$6:$A$330,0),MATCH(T$3,'Budget by Source'!$A$5:$I$5,0))-(ROUND(INDEX('Budget by Source'!$A$6:$I$330,MATCH('Payment by Source'!$A112,'Budget by Source'!$A$6:$A$330,0),MATCH(T$3,'Budget by Source'!$A$5:$I$5,0))/10,0)*10)</f>
        <v>3</v>
      </c>
      <c r="U112" s="139">
        <f>INDEX('Budget by Source'!$A$6:$I$330,MATCH('Payment by Source'!$A112,'Budget by Source'!$A$6:$A$330,0),MATCH(U$3,'Budget by Source'!$A$5:$I$5,0))</f>
        <v>7286726</v>
      </c>
      <c r="V112" s="136">
        <f t="shared" si="4"/>
        <v>728673</v>
      </c>
      <c r="W112" s="136">
        <f t="shared" si="5"/>
        <v>7286730</v>
      </c>
    </row>
    <row r="113" spans="1:23" x14ac:dyDescent="0.2">
      <c r="A113" s="22" t="str">
        <f>Data!B109</f>
        <v>2151</v>
      </c>
      <c r="B113" s="20" t="str">
        <f>INDEX(Data[],MATCH($A113,Data[Dist],0),MATCH(B$5,Data[#Headers],0))</f>
        <v>Exira-Elk Horn-Kimballton</v>
      </c>
      <c r="C113" s="21">
        <f>IF(Notes!$B$2="June",ROUND('Budget by Source'!C113/10,0)+P113,ROUND('Budget by Source'!C113/10,0))</f>
        <v>6242</v>
      </c>
      <c r="D113" s="21">
        <f>IF(Notes!$B$2="June",ROUND('Budget by Source'!D113/10,0)+Q113,ROUND('Budget by Source'!D113/10,0))</f>
        <v>52202</v>
      </c>
      <c r="E113" s="21">
        <f>IF(Notes!$B$2="June",ROUND('Budget by Source'!E113/10,0)+R113,ROUND('Budget by Source'!E113/10,0))</f>
        <v>3277</v>
      </c>
      <c r="F113" s="21">
        <f>IF(Notes!$B$2="June",ROUND('Budget by Source'!F113/10,0)+S113,ROUND('Budget by Source'!F113/10,0))</f>
        <v>3362</v>
      </c>
      <c r="G113" s="21">
        <f>IF(Notes!$B$2="June",ROUND('Budget by Source'!G113/10,0)+T113,ROUND('Budget by Source'!G113/10,0))</f>
        <v>15752</v>
      </c>
      <c r="H113" s="21">
        <f t="shared" si="3"/>
        <v>197601</v>
      </c>
      <c r="I113" s="21">
        <f>INDEX(Data[],MATCH($A113,Data[Dist],0),MATCH(I$5,Data[#Headers],0))</f>
        <v>278436</v>
      </c>
      <c r="K113" s="59">
        <f>INDEX('Payment Total'!$A$7:$H$331,MATCH('Payment by Source'!$A113,'Payment Total'!$A$7:$A$331,0),4)-I113</f>
        <v>0</v>
      </c>
      <c r="P113" s="138">
        <f>INDEX('Budget by Source'!$A$6:$I$330,MATCH('Payment by Source'!$A113,'Budget by Source'!$A$6:$A$330,0),MATCH(P$3,'Budget by Source'!$A$5:$I$5,0))-(ROUND(INDEX('Budget by Source'!$A$6:$I$330,MATCH('Payment by Source'!$A113,'Budget by Source'!$A$6:$A$330,0),MATCH(P$3,'Budget by Source'!$A$5:$I$5,0))/10,0)*10)</f>
        <v>1</v>
      </c>
      <c r="Q113" s="138">
        <f>INDEX('Budget by Source'!$A$6:$I$330,MATCH('Payment by Source'!$A113,'Budget by Source'!$A$6:$A$330,0),MATCH(Q$3,'Budget by Source'!$A$5:$I$5,0))-(ROUND(INDEX('Budget by Source'!$A$6:$I$330,MATCH('Payment by Source'!$A113,'Budget by Source'!$A$6:$A$330,0),MATCH(Q$3,'Budget by Source'!$A$5:$I$5,0))/10,0)*10)</f>
        <v>1</v>
      </c>
      <c r="R113" s="138">
        <f>INDEX('Budget by Source'!$A$6:$I$330,MATCH('Payment by Source'!$A113,'Budget by Source'!$A$6:$A$330,0),MATCH(R$3,'Budget by Source'!$A$5:$I$5,0))-(ROUND(INDEX('Budget by Source'!$A$6:$I$330,MATCH('Payment by Source'!$A113,'Budget by Source'!$A$6:$A$330,0),MATCH(R$3,'Budget by Source'!$A$5:$I$5,0))/10,0)*10)</f>
        <v>-2</v>
      </c>
      <c r="S113" s="138">
        <f>INDEX('Budget by Source'!$A$6:$I$330,MATCH('Payment by Source'!$A113,'Budget by Source'!$A$6:$A$330,0),MATCH(S$3,'Budget by Source'!$A$5:$I$5,0))-(ROUND(INDEX('Budget by Source'!$A$6:$I$330,MATCH('Payment by Source'!$A113,'Budget by Source'!$A$6:$A$330,0),MATCH(S$3,'Budget by Source'!$A$5:$I$5,0))/10,0)*10)</f>
        <v>-1</v>
      </c>
      <c r="T113" s="138">
        <f>INDEX('Budget by Source'!$A$6:$I$330,MATCH('Payment by Source'!$A113,'Budget by Source'!$A$6:$A$330,0),MATCH(T$3,'Budget by Source'!$A$5:$I$5,0))-(ROUND(INDEX('Budget by Source'!$A$6:$I$330,MATCH('Payment by Source'!$A113,'Budget by Source'!$A$6:$A$330,0),MATCH(T$3,'Budget by Source'!$A$5:$I$5,0))/10,0)*10)</f>
        <v>-2</v>
      </c>
      <c r="U113" s="139">
        <f>INDEX('Budget by Source'!$A$6:$I$330,MATCH('Payment by Source'!$A113,'Budget by Source'!$A$6:$A$330,0),MATCH(U$3,'Budget by Source'!$A$5:$I$5,0))</f>
        <v>1982271</v>
      </c>
      <c r="V113" s="136">
        <f t="shared" si="4"/>
        <v>198227</v>
      </c>
      <c r="W113" s="136">
        <f t="shared" si="5"/>
        <v>1982270</v>
      </c>
    </row>
    <row r="114" spans="1:23" x14ac:dyDescent="0.2">
      <c r="A114" s="22" t="str">
        <f>Data!B110</f>
        <v>2169</v>
      </c>
      <c r="B114" s="20" t="str">
        <f>INDEX(Data[],MATCH($A114,Data[Dist],0),MATCH(B$5,Data[#Headers],0))</f>
        <v>Fairfield</v>
      </c>
      <c r="C114" s="21">
        <f>IF(Notes!$B$2="June",ROUND('Budget by Source'!C114/10,0)+P114,ROUND('Budget by Source'!C114/10,0))</f>
        <v>18313</v>
      </c>
      <c r="D114" s="21">
        <f>IF(Notes!$B$2="June",ROUND('Budget by Source'!D114/10,0)+Q114,ROUND('Budget by Source'!D114/10,0))</f>
        <v>163338</v>
      </c>
      <c r="E114" s="21">
        <f>IF(Notes!$B$2="June",ROUND('Budget by Source'!E114/10,0)+R114,ROUND('Budget by Source'!E114/10,0))</f>
        <v>12955</v>
      </c>
      <c r="F114" s="21">
        <f>IF(Notes!$B$2="June",ROUND('Budget by Source'!F114/10,0)+S114,ROUND('Budget by Source'!F114/10,0))</f>
        <v>11816</v>
      </c>
      <c r="G114" s="21">
        <f>IF(Notes!$B$2="June",ROUND('Budget by Source'!G114/10,0)+T114,ROUND('Budget by Source'!G114/10,0))</f>
        <v>61337</v>
      </c>
      <c r="H114" s="21">
        <f t="shared" si="3"/>
        <v>744221</v>
      </c>
      <c r="I114" s="21">
        <f>INDEX(Data[],MATCH($A114,Data[Dist],0),MATCH(I$5,Data[#Headers],0))</f>
        <v>1011980</v>
      </c>
      <c r="K114" s="59">
        <f>INDEX('Payment Total'!$A$7:$H$331,MATCH('Payment by Source'!$A114,'Payment Total'!$A$7:$A$331,0),4)-I114</f>
        <v>0</v>
      </c>
      <c r="P114" s="138">
        <f>INDEX('Budget by Source'!$A$6:$I$330,MATCH('Payment by Source'!$A114,'Budget by Source'!$A$6:$A$330,0),MATCH(P$3,'Budget by Source'!$A$5:$I$5,0))-(ROUND(INDEX('Budget by Source'!$A$6:$I$330,MATCH('Payment by Source'!$A114,'Budget by Source'!$A$6:$A$330,0),MATCH(P$3,'Budget by Source'!$A$5:$I$5,0))/10,0)*10)</f>
        <v>2</v>
      </c>
      <c r="Q114" s="138">
        <f>INDEX('Budget by Source'!$A$6:$I$330,MATCH('Payment by Source'!$A114,'Budget by Source'!$A$6:$A$330,0),MATCH(Q$3,'Budget by Source'!$A$5:$I$5,0))-(ROUND(INDEX('Budget by Source'!$A$6:$I$330,MATCH('Payment by Source'!$A114,'Budget by Source'!$A$6:$A$330,0),MATCH(Q$3,'Budget by Source'!$A$5:$I$5,0))/10,0)*10)</f>
        <v>0</v>
      </c>
      <c r="R114" s="138">
        <f>INDEX('Budget by Source'!$A$6:$I$330,MATCH('Payment by Source'!$A114,'Budget by Source'!$A$6:$A$330,0),MATCH(R$3,'Budget by Source'!$A$5:$I$5,0))-(ROUND(INDEX('Budget by Source'!$A$6:$I$330,MATCH('Payment by Source'!$A114,'Budget by Source'!$A$6:$A$330,0),MATCH(R$3,'Budget by Source'!$A$5:$I$5,0))/10,0)*10)</f>
        <v>-3</v>
      </c>
      <c r="S114" s="138">
        <f>INDEX('Budget by Source'!$A$6:$I$330,MATCH('Payment by Source'!$A114,'Budget by Source'!$A$6:$A$330,0),MATCH(S$3,'Budget by Source'!$A$5:$I$5,0))-(ROUND(INDEX('Budget by Source'!$A$6:$I$330,MATCH('Payment by Source'!$A114,'Budget by Source'!$A$6:$A$330,0),MATCH(S$3,'Budget by Source'!$A$5:$I$5,0))/10,0)*10)</f>
        <v>4</v>
      </c>
      <c r="T114" s="138">
        <f>INDEX('Budget by Source'!$A$6:$I$330,MATCH('Payment by Source'!$A114,'Budget by Source'!$A$6:$A$330,0),MATCH(T$3,'Budget by Source'!$A$5:$I$5,0))-(ROUND(INDEX('Budget by Source'!$A$6:$I$330,MATCH('Payment by Source'!$A114,'Budget by Source'!$A$6:$A$330,0),MATCH(T$3,'Budget by Source'!$A$5:$I$5,0))/10,0)*10)</f>
        <v>4</v>
      </c>
      <c r="U114" s="139">
        <f>INDEX('Budget by Source'!$A$6:$I$330,MATCH('Payment by Source'!$A114,'Budget by Source'!$A$6:$A$330,0),MATCH(U$3,'Budget by Source'!$A$5:$I$5,0))</f>
        <v>7465116</v>
      </c>
      <c r="V114" s="136">
        <f t="shared" si="4"/>
        <v>746512</v>
      </c>
      <c r="W114" s="136">
        <f t="shared" si="5"/>
        <v>7465120</v>
      </c>
    </row>
    <row r="115" spans="1:23" x14ac:dyDescent="0.2">
      <c r="A115" s="22" t="str">
        <f>Data!B111</f>
        <v>2295</v>
      </c>
      <c r="B115" s="20" t="str">
        <f>INDEX(Data[],MATCH($A115,Data[Dist],0),MATCH(B$5,Data[#Headers],0))</f>
        <v>Forest City</v>
      </c>
      <c r="C115" s="21">
        <f>IF(Notes!$B$2="June",ROUND('Budget by Source'!C115/10,0)+P115,ROUND('Budget by Source'!C115/10,0))</f>
        <v>21430</v>
      </c>
      <c r="D115" s="21">
        <f>IF(Notes!$B$2="June",ROUND('Budget by Source'!D115/10,0)+Q115,ROUND('Budget by Source'!D115/10,0))</f>
        <v>97198</v>
      </c>
      <c r="E115" s="21">
        <f>IF(Notes!$B$2="June",ROUND('Budget by Source'!E115/10,0)+R115,ROUND('Budget by Source'!E115/10,0))</f>
        <v>8642</v>
      </c>
      <c r="F115" s="21">
        <f>IF(Notes!$B$2="June",ROUND('Budget by Source'!F115/10,0)+S115,ROUND('Budget by Source'!F115/10,0))</f>
        <v>8800</v>
      </c>
      <c r="G115" s="21">
        <f>IF(Notes!$B$2="June",ROUND('Budget by Source'!G115/10,0)+T115,ROUND('Budget by Source'!G115/10,0))</f>
        <v>40634</v>
      </c>
      <c r="H115" s="21">
        <f t="shared" si="3"/>
        <v>603650</v>
      </c>
      <c r="I115" s="21">
        <f>INDEX(Data[],MATCH($A115,Data[Dist],0),MATCH(I$5,Data[#Headers],0))</f>
        <v>780354</v>
      </c>
      <c r="K115" s="59">
        <f>INDEX('Payment Total'!$A$7:$H$331,MATCH('Payment by Source'!$A115,'Payment Total'!$A$7:$A$331,0),4)-I115</f>
        <v>0</v>
      </c>
      <c r="P115" s="138">
        <f>INDEX('Budget by Source'!$A$6:$I$330,MATCH('Payment by Source'!$A115,'Budget by Source'!$A$6:$A$330,0),MATCH(P$3,'Budget by Source'!$A$5:$I$5,0))-(ROUND(INDEX('Budget by Source'!$A$6:$I$330,MATCH('Payment by Source'!$A115,'Budget by Source'!$A$6:$A$330,0),MATCH(P$3,'Budget by Source'!$A$5:$I$5,0))/10,0)*10)</f>
        <v>3</v>
      </c>
      <c r="Q115" s="138">
        <f>INDEX('Budget by Source'!$A$6:$I$330,MATCH('Payment by Source'!$A115,'Budget by Source'!$A$6:$A$330,0),MATCH(Q$3,'Budget by Source'!$A$5:$I$5,0))-(ROUND(INDEX('Budget by Source'!$A$6:$I$330,MATCH('Payment by Source'!$A115,'Budget by Source'!$A$6:$A$330,0),MATCH(Q$3,'Budget by Source'!$A$5:$I$5,0))/10,0)*10)</f>
        <v>1</v>
      </c>
      <c r="R115" s="138">
        <f>INDEX('Budget by Source'!$A$6:$I$330,MATCH('Payment by Source'!$A115,'Budget by Source'!$A$6:$A$330,0),MATCH(R$3,'Budget by Source'!$A$5:$I$5,0))-(ROUND(INDEX('Budget by Source'!$A$6:$I$330,MATCH('Payment by Source'!$A115,'Budget by Source'!$A$6:$A$330,0),MATCH(R$3,'Budget by Source'!$A$5:$I$5,0))/10,0)*10)</f>
        <v>2</v>
      </c>
      <c r="S115" s="138">
        <f>INDEX('Budget by Source'!$A$6:$I$330,MATCH('Payment by Source'!$A115,'Budget by Source'!$A$6:$A$330,0),MATCH(S$3,'Budget by Source'!$A$5:$I$5,0))-(ROUND(INDEX('Budget by Source'!$A$6:$I$330,MATCH('Payment by Source'!$A115,'Budget by Source'!$A$6:$A$330,0),MATCH(S$3,'Budget by Source'!$A$5:$I$5,0))/10,0)*10)</f>
        <v>3</v>
      </c>
      <c r="T115" s="138">
        <f>INDEX('Budget by Source'!$A$6:$I$330,MATCH('Payment by Source'!$A115,'Budget by Source'!$A$6:$A$330,0),MATCH(T$3,'Budget by Source'!$A$5:$I$5,0))-(ROUND(INDEX('Budget by Source'!$A$6:$I$330,MATCH('Payment by Source'!$A115,'Budget by Source'!$A$6:$A$330,0),MATCH(T$3,'Budget by Source'!$A$5:$I$5,0))/10,0)*10)</f>
        <v>-5</v>
      </c>
      <c r="U115" s="139">
        <f>INDEX('Budget by Source'!$A$6:$I$330,MATCH('Payment by Source'!$A115,'Budget by Source'!$A$6:$A$330,0),MATCH(U$3,'Budget by Source'!$A$5:$I$5,0))</f>
        <v>6052353</v>
      </c>
      <c r="V115" s="136">
        <f t="shared" si="4"/>
        <v>605235</v>
      </c>
      <c r="W115" s="136">
        <f t="shared" si="5"/>
        <v>6052350</v>
      </c>
    </row>
    <row r="116" spans="1:23" x14ac:dyDescent="0.2">
      <c r="A116" s="22" t="str">
        <f>Data!B112</f>
        <v>2313</v>
      </c>
      <c r="B116" s="20" t="str">
        <f>INDEX(Data[],MATCH($A116,Data[Dist],0),MATCH(B$5,Data[#Headers],0))</f>
        <v>Fort Dodge</v>
      </c>
      <c r="C116" s="21">
        <f>IF(Notes!$B$2="June",ROUND('Budget by Source'!C116/10,0)+P116,ROUND('Budget by Source'!C116/10,0))</f>
        <v>81435</v>
      </c>
      <c r="D116" s="21">
        <f>IF(Notes!$B$2="June",ROUND('Budget by Source'!D116/10,0)+Q116,ROUND('Budget by Source'!D116/10,0))</f>
        <v>301374</v>
      </c>
      <c r="E116" s="21">
        <f>IF(Notes!$B$2="June",ROUND('Budget by Source'!E116/10,0)+R116,ROUND('Budget by Source'!E116/10,0))</f>
        <v>34309</v>
      </c>
      <c r="F116" s="21">
        <f>IF(Notes!$B$2="June",ROUND('Budget by Source'!F116/10,0)+S116,ROUND('Budget by Source'!F116/10,0))</f>
        <v>30407</v>
      </c>
      <c r="G116" s="21">
        <f>IF(Notes!$B$2="June",ROUND('Budget by Source'!G116/10,0)+T116,ROUND('Budget by Source'!G116/10,0))</f>
        <v>145045</v>
      </c>
      <c r="H116" s="21">
        <f t="shared" si="3"/>
        <v>2334068</v>
      </c>
      <c r="I116" s="21">
        <f>INDEX(Data[],MATCH($A116,Data[Dist],0),MATCH(I$5,Data[#Headers],0))</f>
        <v>2926638</v>
      </c>
      <c r="K116" s="59">
        <f>INDEX('Payment Total'!$A$7:$H$331,MATCH('Payment by Source'!$A116,'Payment Total'!$A$7:$A$331,0),4)-I116</f>
        <v>0</v>
      </c>
      <c r="P116" s="138">
        <f>INDEX('Budget by Source'!$A$6:$I$330,MATCH('Payment by Source'!$A116,'Budget by Source'!$A$6:$A$330,0),MATCH(P$3,'Budget by Source'!$A$5:$I$5,0))-(ROUND(INDEX('Budget by Source'!$A$6:$I$330,MATCH('Payment by Source'!$A116,'Budget by Source'!$A$6:$A$330,0),MATCH(P$3,'Budget by Source'!$A$5:$I$5,0))/10,0)*10)</f>
        <v>1</v>
      </c>
      <c r="Q116" s="138">
        <f>INDEX('Budget by Source'!$A$6:$I$330,MATCH('Payment by Source'!$A116,'Budget by Source'!$A$6:$A$330,0),MATCH(Q$3,'Budget by Source'!$A$5:$I$5,0))-(ROUND(INDEX('Budget by Source'!$A$6:$I$330,MATCH('Payment by Source'!$A116,'Budget by Source'!$A$6:$A$330,0),MATCH(Q$3,'Budget by Source'!$A$5:$I$5,0))/10,0)*10)</f>
        <v>4</v>
      </c>
      <c r="R116" s="138">
        <f>INDEX('Budget by Source'!$A$6:$I$330,MATCH('Payment by Source'!$A116,'Budget by Source'!$A$6:$A$330,0),MATCH(R$3,'Budget by Source'!$A$5:$I$5,0))-(ROUND(INDEX('Budget by Source'!$A$6:$I$330,MATCH('Payment by Source'!$A116,'Budget by Source'!$A$6:$A$330,0),MATCH(R$3,'Budget by Source'!$A$5:$I$5,0))/10,0)*10)</f>
        <v>-4</v>
      </c>
      <c r="S116" s="138">
        <f>INDEX('Budget by Source'!$A$6:$I$330,MATCH('Payment by Source'!$A116,'Budget by Source'!$A$6:$A$330,0),MATCH(S$3,'Budget by Source'!$A$5:$I$5,0))-(ROUND(INDEX('Budget by Source'!$A$6:$I$330,MATCH('Payment by Source'!$A116,'Budget by Source'!$A$6:$A$330,0),MATCH(S$3,'Budget by Source'!$A$5:$I$5,0))/10,0)*10)</f>
        <v>4</v>
      </c>
      <c r="T116" s="138">
        <f>INDEX('Budget by Source'!$A$6:$I$330,MATCH('Payment by Source'!$A116,'Budget by Source'!$A$6:$A$330,0),MATCH(T$3,'Budget by Source'!$A$5:$I$5,0))-(ROUND(INDEX('Budget by Source'!$A$6:$I$330,MATCH('Payment by Source'!$A116,'Budget by Source'!$A$6:$A$330,0),MATCH(T$3,'Budget by Source'!$A$5:$I$5,0))/10,0)*10)</f>
        <v>-4</v>
      </c>
      <c r="U116" s="139">
        <f>INDEX('Budget by Source'!$A$6:$I$330,MATCH('Payment by Source'!$A116,'Budget by Source'!$A$6:$A$330,0),MATCH(U$3,'Budget by Source'!$A$5:$I$5,0))</f>
        <v>23393565</v>
      </c>
      <c r="V116" s="136">
        <f t="shared" si="4"/>
        <v>2339357</v>
      </c>
      <c r="W116" s="136">
        <f t="shared" si="5"/>
        <v>23393570</v>
      </c>
    </row>
    <row r="117" spans="1:23" x14ac:dyDescent="0.2">
      <c r="A117" s="22" t="str">
        <f>Data!B113</f>
        <v>2322</v>
      </c>
      <c r="B117" s="20" t="str">
        <f>INDEX(Data[],MATCH($A117,Data[Dist],0),MATCH(B$5,Data[#Headers],0))</f>
        <v>Fort Madison</v>
      </c>
      <c r="C117" s="21">
        <f>IF(Notes!$B$2="June",ROUND('Budget by Source'!C117/10,0)+P117,ROUND('Budget by Source'!C117/10,0))</f>
        <v>22210</v>
      </c>
      <c r="D117" s="21">
        <f>IF(Notes!$B$2="June",ROUND('Budget by Source'!D117/10,0)+Q117,ROUND('Budget by Source'!D117/10,0))</f>
        <v>159723</v>
      </c>
      <c r="E117" s="21">
        <f>IF(Notes!$B$2="June",ROUND('Budget by Source'!E117/10,0)+R117,ROUND('Budget by Source'!E117/10,0))</f>
        <v>17597</v>
      </c>
      <c r="F117" s="21">
        <f>IF(Notes!$B$2="June",ROUND('Budget by Source'!F117/10,0)+S117,ROUND('Budget by Source'!F117/10,0))</f>
        <v>15832</v>
      </c>
      <c r="G117" s="21">
        <f>IF(Notes!$B$2="June",ROUND('Budget by Source'!G117/10,0)+T117,ROUND('Budget by Source'!G117/10,0))</f>
        <v>82634</v>
      </c>
      <c r="H117" s="21">
        <f t="shared" si="3"/>
        <v>1266222</v>
      </c>
      <c r="I117" s="21">
        <f>INDEX(Data[],MATCH($A117,Data[Dist],0),MATCH(I$5,Data[#Headers],0))</f>
        <v>1564218</v>
      </c>
      <c r="K117" s="59">
        <f>INDEX('Payment Total'!$A$7:$H$331,MATCH('Payment by Source'!$A117,'Payment Total'!$A$7:$A$331,0),4)-I117</f>
        <v>0</v>
      </c>
      <c r="P117" s="138">
        <f>INDEX('Budget by Source'!$A$6:$I$330,MATCH('Payment by Source'!$A117,'Budget by Source'!$A$6:$A$330,0),MATCH(P$3,'Budget by Source'!$A$5:$I$5,0))-(ROUND(INDEX('Budget by Source'!$A$6:$I$330,MATCH('Payment by Source'!$A117,'Budget by Source'!$A$6:$A$330,0),MATCH(P$3,'Budget by Source'!$A$5:$I$5,0))/10,0)*10)</f>
        <v>-4</v>
      </c>
      <c r="Q117" s="138">
        <f>INDEX('Budget by Source'!$A$6:$I$330,MATCH('Payment by Source'!$A117,'Budget by Source'!$A$6:$A$330,0),MATCH(Q$3,'Budget by Source'!$A$5:$I$5,0))-(ROUND(INDEX('Budget by Source'!$A$6:$I$330,MATCH('Payment by Source'!$A117,'Budget by Source'!$A$6:$A$330,0),MATCH(Q$3,'Budget by Source'!$A$5:$I$5,0))/10,0)*10)</f>
        <v>2</v>
      </c>
      <c r="R117" s="138">
        <f>INDEX('Budget by Source'!$A$6:$I$330,MATCH('Payment by Source'!$A117,'Budget by Source'!$A$6:$A$330,0),MATCH(R$3,'Budget by Source'!$A$5:$I$5,0))-(ROUND(INDEX('Budget by Source'!$A$6:$I$330,MATCH('Payment by Source'!$A117,'Budget by Source'!$A$6:$A$330,0),MATCH(R$3,'Budget by Source'!$A$5:$I$5,0))/10,0)*10)</f>
        <v>1</v>
      </c>
      <c r="S117" s="138">
        <f>INDEX('Budget by Source'!$A$6:$I$330,MATCH('Payment by Source'!$A117,'Budget by Source'!$A$6:$A$330,0),MATCH(S$3,'Budget by Source'!$A$5:$I$5,0))-(ROUND(INDEX('Budget by Source'!$A$6:$I$330,MATCH('Payment by Source'!$A117,'Budget by Source'!$A$6:$A$330,0),MATCH(S$3,'Budget by Source'!$A$5:$I$5,0))/10,0)*10)</f>
        <v>-3</v>
      </c>
      <c r="T117" s="138">
        <f>INDEX('Budget by Source'!$A$6:$I$330,MATCH('Payment by Source'!$A117,'Budget by Source'!$A$6:$A$330,0),MATCH(T$3,'Budget by Source'!$A$5:$I$5,0))-(ROUND(INDEX('Budget by Source'!$A$6:$I$330,MATCH('Payment by Source'!$A117,'Budget by Source'!$A$6:$A$330,0),MATCH(T$3,'Budget by Source'!$A$5:$I$5,0))/10,0)*10)</f>
        <v>4</v>
      </c>
      <c r="U117" s="139">
        <f>INDEX('Budget by Source'!$A$6:$I$330,MATCH('Payment by Source'!$A117,'Budget by Source'!$A$6:$A$330,0),MATCH(U$3,'Budget by Source'!$A$5:$I$5,0))</f>
        <v>12693230</v>
      </c>
      <c r="V117" s="136">
        <f t="shared" si="4"/>
        <v>1269323</v>
      </c>
      <c r="W117" s="136">
        <f t="shared" si="5"/>
        <v>12693230</v>
      </c>
    </row>
    <row r="118" spans="1:23" x14ac:dyDescent="0.2">
      <c r="A118" s="22" t="str">
        <f>Data!B114</f>
        <v>2369</v>
      </c>
      <c r="B118" s="20" t="str">
        <f>INDEX(Data[],MATCH($A118,Data[Dist],0),MATCH(B$5,Data[#Headers],0))</f>
        <v>Fremont-Mills</v>
      </c>
      <c r="C118" s="21">
        <f>IF(Notes!$B$2="June",ROUND('Budget by Source'!C118/10,0)+P118,ROUND('Budget by Source'!C118/10,0))</f>
        <v>9741</v>
      </c>
      <c r="D118" s="21">
        <f>IF(Notes!$B$2="June",ROUND('Budget by Source'!D118/10,0)+Q118,ROUND('Budget by Source'!D118/10,0))</f>
        <v>47605</v>
      </c>
      <c r="E118" s="21">
        <f>IF(Notes!$B$2="June",ROUND('Budget by Source'!E118/10,0)+R118,ROUND('Budget by Source'!E118/10,0))</f>
        <v>3830</v>
      </c>
      <c r="F118" s="21">
        <f>IF(Notes!$B$2="June",ROUND('Budget by Source'!F118/10,0)+S118,ROUND('Budget by Source'!F118/10,0))</f>
        <v>2972</v>
      </c>
      <c r="G118" s="21">
        <f>IF(Notes!$B$2="June",ROUND('Budget by Source'!G118/10,0)+T118,ROUND('Budget by Source'!G118/10,0))</f>
        <v>16813</v>
      </c>
      <c r="H118" s="21">
        <f t="shared" si="3"/>
        <v>249250</v>
      </c>
      <c r="I118" s="21">
        <f>INDEX(Data[],MATCH($A118,Data[Dist],0),MATCH(I$5,Data[#Headers],0))</f>
        <v>330211</v>
      </c>
      <c r="K118" s="59">
        <f>INDEX('Payment Total'!$A$7:$H$331,MATCH('Payment by Source'!$A118,'Payment Total'!$A$7:$A$331,0),4)-I118</f>
        <v>0</v>
      </c>
      <c r="P118" s="138">
        <f>INDEX('Budget by Source'!$A$6:$I$330,MATCH('Payment by Source'!$A118,'Budget by Source'!$A$6:$A$330,0),MATCH(P$3,'Budget by Source'!$A$5:$I$5,0))-(ROUND(INDEX('Budget by Source'!$A$6:$I$330,MATCH('Payment by Source'!$A118,'Budget by Source'!$A$6:$A$330,0),MATCH(P$3,'Budget by Source'!$A$5:$I$5,0))/10,0)*10)</f>
        <v>0</v>
      </c>
      <c r="Q118" s="138">
        <f>INDEX('Budget by Source'!$A$6:$I$330,MATCH('Payment by Source'!$A118,'Budget by Source'!$A$6:$A$330,0),MATCH(Q$3,'Budget by Source'!$A$5:$I$5,0))-(ROUND(INDEX('Budget by Source'!$A$6:$I$330,MATCH('Payment by Source'!$A118,'Budget by Source'!$A$6:$A$330,0),MATCH(Q$3,'Budget by Source'!$A$5:$I$5,0))/10,0)*10)</f>
        <v>-2</v>
      </c>
      <c r="R118" s="138">
        <f>INDEX('Budget by Source'!$A$6:$I$330,MATCH('Payment by Source'!$A118,'Budget by Source'!$A$6:$A$330,0),MATCH(R$3,'Budget by Source'!$A$5:$I$5,0))-(ROUND(INDEX('Budget by Source'!$A$6:$I$330,MATCH('Payment by Source'!$A118,'Budget by Source'!$A$6:$A$330,0),MATCH(R$3,'Budget by Source'!$A$5:$I$5,0))/10,0)*10)</f>
        <v>-4</v>
      </c>
      <c r="S118" s="138">
        <f>INDEX('Budget by Source'!$A$6:$I$330,MATCH('Payment by Source'!$A118,'Budget by Source'!$A$6:$A$330,0),MATCH(S$3,'Budget by Source'!$A$5:$I$5,0))-(ROUND(INDEX('Budget by Source'!$A$6:$I$330,MATCH('Payment by Source'!$A118,'Budget by Source'!$A$6:$A$330,0),MATCH(S$3,'Budget by Source'!$A$5:$I$5,0))/10,0)*10)</f>
        <v>4</v>
      </c>
      <c r="T118" s="138">
        <f>INDEX('Budget by Source'!$A$6:$I$330,MATCH('Payment by Source'!$A118,'Budget by Source'!$A$6:$A$330,0),MATCH(T$3,'Budget by Source'!$A$5:$I$5,0))-(ROUND(INDEX('Budget by Source'!$A$6:$I$330,MATCH('Payment by Source'!$A118,'Budget by Source'!$A$6:$A$330,0),MATCH(T$3,'Budget by Source'!$A$5:$I$5,0))/10,0)*10)</f>
        <v>2</v>
      </c>
      <c r="U118" s="139">
        <f>INDEX('Budget by Source'!$A$6:$I$330,MATCH('Payment by Source'!$A118,'Budget by Source'!$A$6:$A$330,0),MATCH(U$3,'Budget by Source'!$A$5:$I$5,0))</f>
        <v>2499185</v>
      </c>
      <c r="V118" s="136">
        <f t="shared" si="4"/>
        <v>249919</v>
      </c>
      <c r="W118" s="136">
        <f t="shared" si="5"/>
        <v>2499190</v>
      </c>
    </row>
    <row r="119" spans="1:23" x14ac:dyDescent="0.2">
      <c r="A119" s="22" t="str">
        <f>Data!B115</f>
        <v>2376</v>
      </c>
      <c r="B119" s="20" t="str">
        <f>INDEX(Data[],MATCH($A119,Data[Dist],0),MATCH(B$5,Data[#Headers],0))</f>
        <v>Galva-Holstein</v>
      </c>
      <c r="C119" s="21">
        <f>IF(Notes!$B$2="June",ROUND('Budget by Source'!C119/10,0)+P119,ROUND('Budget by Source'!C119/10,0))</f>
        <v>13638</v>
      </c>
      <c r="D119" s="21">
        <f>IF(Notes!$B$2="June",ROUND('Budget by Source'!D119/10,0)+Q119,ROUND('Budget by Source'!D119/10,0))</f>
        <v>49412</v>
      </c>
      <c r="E119" s="21">
        <f>IF(Notes!$B$2="June",ROUND('Budget by Source'!E119/10,0)+R119,ROUND('Budget by Source'!E119/10,0))</f>
        <v>3666</v>
      </c>
      <c r="F119" s="21">
        <f>IF(Notes!$B$2="June",ROUND('Budget by Source'!F119/10,0)+S119,ROUND('Budget by Source'!F119/10,0))</f>
        <v>3491</v>
      </c>
      <c r="G119" s="21">
        <f>IF(Notes!$B$2="June",ROUND('Budget by Source'!G119/10,0)+T119,ROUND('Budget by Source'!G119/10,0))</f>
        <v>17452</v>
      </c>
      <c r="H119" s="21">
        <f t="shared" si="3"/>
        <v>198368</v>
      </c>
      <c r="I119" s="21">
        <f>INDEX(Data[],MATCH($A119,Data[Dist],0),MATCH(I$5,Data[#Headers],0))</f>
        <v>286027</v>
      </c>
      <c r="K119" s="59">
        <f>INDEX('Payment Total'!$A$7:$H$331,MATCH('Payment by Source'!$A119,'Payment Total'!$A$7:$A$331,0),4)-I119</f>
        <v>0</v>
      </c>
      <c r="P119" s="138">
        <f>INDEX('Budget by Source'!$A$6:$I$330,MATCH('Payment by Source'!$A119,'Budget by Source'!$A$6:$A$330,0),MATCH(P$3,'Budget by Source'!$A$5:$I$5,0))-(ROUND(INDEX('Budget by Source'!$A$6:$I$330,MATCH('Payment by Source'!$A119,'Budget by Source'!$A$6:$A$330,0),MATCH(P$3,'Budget by Source'!$A$5:$I$5,0))/10,0)*10)</f>
        <v>-5</v>
      </c>
      <c r="Q119" s="138">
        <f>INDEX('Budget by Source'!$A$6:$I$330,MATCH('Payment by Source'!$A119,'Budget by Source'!$A$6:$A$330,0),MATCH(Q$3,'Budget by Source'!$A$5:$I$5,0))-(ROUND(INDEX('Budget by Source'!$A$6:$I$330,MATCH('Payment by Source'!$A119,'Budget by Source'!$A$6:$A$330,0),MATCH(Q$3,'Budget by Source'!$A$5:$I$5,0))/10,0)*10)</f>
        <v>3</v>
      </c>
      <c r="R119" s="138">
        <f>INDEX('Budget by Source'!$A$6:$I$330,MATCH('Payment by Source'!$A119,'Budget by Source'!$A$6:$A$330,0),MATCH(R$3,'Budget by Source'!$A$5:$I$5,0))-(ROUND(INDEX('Budget by Source'!$A$6:$I$330,MATCH('Payment by Source'!$A119,'Budget by Source'!$A$6:$A$330,0),MATCH(R$3,'Budget by Source'!$A$5:$I$5,0))/10,0)*10)</f>
        <v>0</v>
      </c>
      <c r="S119" s="138">
        <f>INDEX('Budget by Source'!$A$6:$I$330,MATCH('Payment by Source'!$A119,'Budget by Source'!$A$6:$A$330,0),MATCH(S$3,'Budget by Source'!$A$5:$I$5,0))-(ROUND(INDEX('Budget by Source'!$A$6:$I$330,MATCH('Payment by Source'!$A119,'Budget by Source'!$A$6:$A$330,0),MATCH(S$3,'Budget by Source'!$A$5:$I$5,0))/10,0)*10)</f>
        <v>3</v>
      </c>
      <c r="T119" s="138">
        <f>INDEX('Budget by Source'!$A$6:$I$330,MATCH('Payment by Source'!$A119,'Budget by Source'!$A$6:$A$330,0),MATCH(T$3,'Budget by Source'!$A$5:$I$5,0))-(ROUND(INDEX('Budget by Source'!$A$6:$I$330,MATCH('Payment by Source'!$A119,'Budget by Source'!$A$6:$A$330,0),MATCH(T$3,'Budget by Source'!$A$5:$I$5,0))/10,0)*10)</f>
        <v>-4</v>
      </c>
      <c r="U119" s="139">
        <f>INDEX('Budget by Source'!$A$6:$I$330,MATCH('Payment by Source'!$A119,'Budget by Source'!$A$6:$A$330,0),MATCH(U$3,'Budget by Source'!$A$5:$I$5,0))</f>
        <v>1990558</v>
      </c>
      <c r="V119" s="136">
        <f t="shared" si="4"/>
        <v>199056</v>
      </c>
      <c r="W119" s="136">
        <f t="shared" si="5"/>
        <v>1990560</v>
      </c>
    </row>
    <row r="120" spans="1:23" x14ac:dyDescent="0.2">
      <c r="A120" s="22" t="str">
        <f>Data!B116</f>
        <v>2403</v>
      </c>
      <c r="B120" s="20" t="str">
        <f>INDEX(Data[],MATCH($A120,Data[Dist],0),MATCH(B$5,Data[#Headers],0))</f>
        <v>Garner-Hayfield-Ventura</v>
      </c>
      <c r="C120" s="21">
        <f>IF(Notes!$B$2="June",ROUND('Budget by Source'!C120/10,0)+P120,ROUND('Budget by Source'!C120/10,0))</f>
        <v>26098</v>
      </c>
      <c r="D120" s="21">
        <f>IF(Notes!$B$2="June",ROUND('Budget by Source'!D120/10,0)+Q120,ROUND('Budget by Source'!D120/10,0))</f>
        <v>83478</v>
      </c>
      <c r="E120" s="21">
        <f>IF(Notes!$B$2="June",ROUND('Budget by Source'!E120/10,0)+R120,ROUND('Budget by Source'!E120/10,0))</f>
        <v>7147</v>
      </c>
      <c r="F120" s="21">
        <f>IF(Notes!$B$2="June",ROUND('Budget by Source'!F120/10,0)+S120,ROUND('Budget by Source'!F120/10,0))</f>
        <v>6850</v>
      </c>
      <c r="G120" s="21">
        <f>IF(Notes!$B$2="June",ROUND('Budget by Source'!G120/10,0)+T120,ROUND('Budget by Source'!G120/10,0))</f>
        <v>32905</v>
      </c>
      <c r="H120" s="21">
        <f t="shared" si="3"/>
        <v>296127</v>
      </c>
      <c r="I120" s="21">
        <f>INDEX(Data[],MATCH($A120,Data[Dist],0),MATCH(I$5,Data[#Headers],0))</f>
        <v>452605</v>
      </c>
      <c r="K120" s="59">
        <f>INDEX('Payment Total'!$A$7:$H$331,MATCH('Payment by Source'!$A120,'Payment Total'!$A$7:$A$331,0),4)-I120</f>
        <v>0</v>
      </c>
      <c r="P120" s="138">
        <f>INDEX('Budget by Source'!$A$6:$I$330,MATCH('Payment by Source'!$A120,'Budget by Source'!$A$6:$A$330,0),MATCH(P$3,'Budget by Source'!$A$5:$I$5,0))-(ROUND(INDEX('Budget by Source'!$A$6:$I$330,MATCH('Payment by Source'!$A120,'Budget by Source'!$A$6:$A$330,0),MATCH(P$3,'Budget by Source'!$A$5:$I$5,0))/10,0)*10)</f>
        <v>1</v>
      </c>
      <c r="Q120" s="138">
        <f>INDEX('Budget by Source'!$A$6:$I$330,MATCH('Payment by Source'!$A120,'Budget by Source'!$A$6:$A$330,0),MATCH(Q$3,'Budget by Source'!$A$5:$I$5,0))-(ROUND(INDEX('Budget by Source'!$A$6:$I$330,MATCH('Payment by Source'!$A120,'Budget by Source'!$A$6:$A$330,0),MATCH(Q$3,'Budget by Source'!$A$5:$I$5,0))/10,0)*10)</f>
        <v>-5</v>
      </c>
      <c r="R120" s="138">
        <f>INDEX('Budget by Source'!$A$6:$I$330,MATCH('Payment by Source'!$A120,'Budget by Source'!$A$6:$A$330,0),MATCH(R$3,'Budget by Source'!$A$5:$I$5,0))-(ROUND(INDEX('Budget by Source'!$A$6:$I$330,MATCH('Payment by Source'!$A120,'Budget by Source'!$A$6:$A$330,0),MATCH(R$3,'Budget by Source'!$A$5:$I$5,0))/10,0)*10)</f>
        <v>4</v>
      </c>
      <c r="S120" s="138">
        <f>INDEX('Budget by Source'!$A$6:$I$330,MATCH('Payment by Source'!$A120,'Budget by Source'!$A$6:$A$330,0),MATCH(S$3,'Budget by Source'!$A$5:$I$5,0))-(ROUND(INDEX('Budget by Source'!$A$6:$I$330,MATCH('Payment by Source'!$A120,'Budget by Source'!$A$6:$A$330,0),MATCH(S$3,'Budget by Source'!$A$5:$I$5,0))/10,0)*10)</f>
        <v>3</v>
      </c>
      <c r="T120" s="138">
        <f>INDEX('Budget by Source'!$A$6:$I$330,MATCH('Payment by Source'!$A120,'Budget by Source'!$A$6:$A$330,0),MATCH(T$3,'Budget by Source'!$A$5:$I$5,0))-(ROUND(INDEX('Budget by Source'!$A$6:$I$330,MATCH('Payment by Source'!$A120,'Budget by Source'!$A$6:$A$330,0),MATCH(T$3,'Budget by Source'!$A$5:$I$5,0))/10,0)*10)</f>
        <v>-1</v>
      </c>
      <c r="U120" s="139">
        <f>INDEX('Budget by Source'!$A$6:$I$330,MATCH('Payment by Source'!$A120,'Budget by Source'!$A$6:$A$330,0),MATCH(U$3,'Budget by Source'!$A$5:$I$5,0))</f>
        <v>2973958</v>
      </c>
      <c r="V120" s="136">
        <f t="shared" si="4"/>
        <v>297396</v>
      </c>
      <c r="W120" s="136">
        <f t="shared" si="5"/>
        <v>2973960</v>
      </c>
    </row>
    <row r="121" spans="1:23" x14ac:dyDescent="0.2">
      <c r="A121" s="22" t="str">
        <f>Data!B117</f>
        <v>2457</v>
      </c>
      <c r="B121" s="20" t="str">
        <f>INDEX(Data[],MATCH($A121,Data[Dist],0),MATCH(B$5,Data[#Headers],0))</f>
        <v>George-Little Rock</v>
      </c>
      <c r="C121" s="21">
        <f>IF(Notes!$B$2="June",ROUND('Budget by Source'!C121/10,0)+P121,ROUND('Budget by Source'!C121/10,0))</f>
        <v>7793</v>
      </c>
      <c r="D121" s="21">
        <f>IF(Notes!$B$2="June",ROUND('Budget by Source'!D121/10,0)+Q121,ROUND('Budget by Source'!D121/10,0))</f>
        <v>49947</v>
      </c>
      <c r="E121" s="21">
        <f>IF(Notes!$B$2="June",ROUND('Budget by Source'!E121/10,0)+R121,ROUND('Budget by Source'!E121/10,0))</f>
        <v>3721</v>
      </c>
      <c r="F121" s="21">
        <f>IF(Notes!$B$2="June",ROUND('Budget by Source'!F121/10,0)+S121,ROUND('Budget by Source'!F121/10,0))</f>
        <v>3620</v>
      </c>
      <c r="G121" s="21">
        <f>IF(Notes!$B$2="June",ROUND('Budget by Source'!G121/10,0)+T121,ROUND('Budget by Source'!G121/10,0))</f>
        <v>17641</v>
      </c>
      <c r="H121" s="21">
        <f t="shared" si="3"/>
        <v>210484</v>
      </c>
      <c r="I121" s="21">
        <f>INDEX(Data[],MATCH($A121,Data[Dist],0),MATCH(I$5,Data[#Headers],0))</f>
        <v>293206</v>
      </c>
      <c r="K121" s="59">
        <f>INDEX('Payment Total'!$A$7:$H$331,MATCH('Payment by Source'!$A121,'Payment Total'!$A$7:$A$331,0),4)-I121</f>
        <v>0</v>
      </c>
      <c r="P121" s="138">
        <f>INDEX('Budget by Source'!$A$6:$I$330,MATCH('Payment by Source'!$A121,'Budget by Source'!$A$6:$A$330,0),MATCH(P$3,'Budget by Source'!$A$5:$I$5,0))-(ROUND(INDEX('Budget by Source'!$A$6:$I$330,MATCH('Payment by Source'!$A121,'Budget by Source'!$A$6:$A$330,0),MATCH(P$3,'Budget by Source'!$A$5:$I$5,0))/10,0)*10)</f>
        <v>-2</v>
      </c>
      <c r="Q121" s="138">
        <f>INDEX('Budget by Source'!$A$6:$I$330,MATCH('Payment by Source'!$A121,'Budget by Source'!$A$6:$A$330,0),MATCH(Q$3,'Budget by Source'!$A$5:$I$5,0))-(ROUND(INDEX('Budget by Source'!$A$6:$I$330,MATCH('Payment by Source'!$A121,'Budget by Source'!$A$6:$A$330,0),MATCH(Q$3,'Budget by Source'!$A$5:$I$5,0))/10,0)*10)</f>
        <v>1</v>
      </c>
      <c r="R121" s="138">
        <f>INDEX('Budget by Source'!$A$6:$I$330,MATCH('Payment by Source'!$A121,'Budget by Source'!$A$6:$A$330,0),MATCH(R$3,'Budget by Source'!$A$5:$I$5,0))-(ROUND(INDEX('Budget by Source'!$A$6:$I$330,MATCH('Payment by Source'!$A121,'Budget by Source'!$A$6:$A$330,0),MATCH(R$3,'Budget by Source'!$A$5:$I$5,0))/10,0)*10)</f>
        <v>-4</v>
      </c>
      <c r="S121" s="138">
        <f>INDEX('Budget by Source'!$A$6:$I$330,MATCH('Payment by Source'!$A121,'Budget by Source'!$A$6:$A$330,0),MATCH(S$3,'Budget by Source'!$A$5:$I$5,0))-(ROUND(INDEX('Budget by Source'!$A$6:$I$330,MATCH('Payment by Source'!$A121,'Budget by Source'!$A$6:$A$330,0),MATCH(S$3,'Budget by Source'!$A$5:$I$5,0))/10,0)*10)</f>
        <v>2</v>
      </c>
      <c r="T121" s="138">
        <f>INDEX('Budget by Source'!$A$6:$I$330,MATCH('Payment by Source'!$A121,'Budget by Source'!$A$6:$A$330,0),MATCH(T$3,'Budget by Source'!$A$5:$I$5,0))-(ROUND(INDEX('Budget by Source'!$A$6:$I$330,MATCH('Payment by Source'!$A121,'Budget by Source'!$A$6:$A$330,0),MATCH(T$3,'Budget by Source'!$A$5:$I$5,0))/10,0)*10)</f>
        <v>-5</v>
      </c>
      <c r="U121" s="139">
        <f>INDEX('Budget by Source'!$A$6:$I$330,MATCH('Payment by Source'!$A121,'Budget by Source'!$A$6:$A$330,0),MATCH(U$3,'Budget by Source'!$A$5:$I$5,0))</f>
        <v>2111663</v>
      </c>
      <c r="V121" s="136">
        <f t="shared" si="4"/>
        <v>211166</v>
      </c>
      <c r="W121" s="136">
        <f t="shared" si="5"/>
        <v>2111660</v>
      </c>
    </row>
    <row r="122" spans="1:23" x14ac:dyDescent="0.2">
      <c r="A122" s="22" t="str">
        <f>Data!B118</f>
        <v>2466</v>
      </c>
      <c r="B122" s="20" t="str">
        <f>INDEX(Data[],MATCH($A122,Data[Dist],0),MATCH(B$5,Data[#Headers],0))</f>
        <v>Gilbert</v>
      </c>
      <c r="C122" s="21">
        <f>IF(Notes!$B$2="June",ROUND('Budget by Source'!C122/10,0)+P122,ROUND('Budget by Source'!C122/10,0))</f>
        <v>23379</v>
      </c>
      <c r="D122" s="21">
        <f>IF(Notes!$B$2="June",ROUND('Budget by Source'!D122/10,0)+Q122,ROUND('Budget by Source'!D122/10,0))</f>
        <v>118398</v>
      </c>
      <c r="E122" s="21">
        <f>IF(Notes!$B$2="June",ROUND('Budget by Source'!E122/10,0)+R122,ROUND('Budget by Source'!E122/10,0))</f>
        <v>10414</v>
      </c>
      <c r="F122" s="21">
        <f>IF(Notes!$B$2="June",ROUND('Budget by Source'!F122/10,0)+S122,ROUND('Budget by Source'!F122/10,0))</f>
        <v>11544</v>
      </c>
      <c r="G122" s="21">
        <f>IF(Notes!$B$2="June",ROUND('Budget by Source'!G122/10,0)+T122,ROUND('Budget by Source'!G122/10,0))</f>
        <v>61254</v>
      </c>
      <c r="H122" s="21">
        <f t="shared" si="3"/>
        <v>824284</v>
      </c>
      <c r="I122" s="21">
        <f>INDEX(Data[],MATCH($A122,Data[Dist],0),MATCH(I$5,Data[#Headers],0))</f>
        <v>1049273</v>
      </c>
      <c r="K122" s="59">
        <f>INDEX('Payment Total'!$A$7:$H$331,MATCH('Payment by Source'!$A122,'Payment Total'!$A$7:$A$331,0),4)-I122</f>
        <v>0</v>
      </c>
      <c r="P122" s="138">
        <f>INDEX('Budget by Source'!$A$6:$I$330,MATCH('Payment by Source'!$A122,'Budget by Source'!$A$6:$A$330,0),MATCH(P$3,'Budget by Source'!$A$5:$I$5,0))-(ROUND(INDEX('Budget by Source'!$A$6:$I$330,MATCH('Payment by Source'!$A122,'Budget by Source'!$A$6:$A$330,0),MATCH(P$3,'Budget by Source'!$A$5:$I$5,0))/10,0)*10)</f>
        <v>-5</v>
      </c>
      <c r="Q122" s="138">
        <f>INDEX('Budget by Source'!$A$6:$I$330,MATCH('Payment by Source'!$A122,'Budget by Source'!$A$6:$A$330,0),MATCH(Q$3,'Budget by Source'!$A$5:$I$5,0))-(ROUND(INDEX('Budget by Source'!$A$6:$I$330,MATCH('Payment by Source'!$A122,'Budget by Source'!$A$6:$A$330,0),MATCH(Q$3,'Budget by Source'!$A$5:$I$5,0))/10,0)*10)</f>
        <v>-1</v>
      </c>
      <c r="R122" s="138">
        <f>INDEX('Budget by Source'!$A$6:$I$330,MATCH('Payment by Source'!$A122,'Budget by Source'!$A$6:$A$330,0),MATCH(R$3,'Budget by Source'!$A$5:$I$5,0))-(ROUND(INDEX('Budget by Source'!$A$6:$I$330,MATCH('Payment by Source'!$A122,'Budget by Source'!$A$6:$A$330,0),MATCH(R$3,'Budget by Source'!$A$5:$I$5,0))/10,0)*10)</f>
        <v>-1</v>
      </c>
      <c r="S122" s="138">
        <f>INDEX('Budget by Source'!$A$6:$I$330,MATCH('Payment by Source'!$A122,'Budget by Source'!$A$6:$A$330,0),MATCH(S$3,'Budget by Source'!$A$5:$I$5,0))-(ROUND(INDEX('Budget by Source'!$A$6:$I$330,MATCH('Payment by Source'!$A122,'Budget by Source'!$A$6:$A$330,0),MATCH(S$3,'Budget by Source'!$A$5:$I$5,0))/10,0)*10)</f>
        <v>2</v>
      </c>
      <c r="T122" s="138">
        <f>INDEX('Budget by Source'!$A$6:$I$330,MATCH('Payment by Source'!$A122,'Budget by Source'!$A$6:$A$330,0),MATCH(T$3,'Budget by Source'!$A$5:$I$5,0))-(ROUND(INDEX('Budget by Source'!$A$6:$I$330,MATCH('Payment by Source'!$A122,'Budget by Source'!$A$6:$A$330,0),MATCH(T$3,'Budget by Source'!$A$5:$I$5,0))/10,0)*10)</f>
        <v>3</v>
      </c>
      <c r="U122" s="139">
        <f>INDEX('Budget by Source'!$A$6:$I$330,MATCH('Payment by Source'!$A122,'Budget by Source'!$A$6:$A$330,0),MATCH(U$3,'Budget by Source'!$A$5:$I$5,0))</f>
        <v>8266987</v>
      </c>
      <c r="V122" s="136">
        <f t="shared" si="4"/>
        <v>826699</v>
      </c>
      <c r="W122" s="136">
        <f t="shared" si="5"/>
        <v>8266990</v>
      </c>
    </row>
    <row r="123" spans="1:23" x14ac:dyDescent="0.2">
      <c r="A123" s="22" t="str">
        <f>Data!B119</f>
        <v>2493</v>
      </c>
      <c r="B123" s="20" t="str">
        <f>INDEX(Data[],MATCH($A123,Data[Dist],0),MATCH(B$5,Data[#Headers],0))</f>
        <v>Gilmore City-Bradgate</v>
      </c>
      <c r="C123" s="21">
        <f>IF(Notes!$B$2="June",ROUND('Budget by Source'!C123/10,0)+P123,ROUND('Budget by Source'!C123/10,0))</f>
        <v>6234</v>
      </c>
      <c r="D123" s="21">
        <f>IF(Notes!$B$2="June",ROUND('Budget by Source'!D123/10,0)+Q123,ROUND('Budget by Source'!D123/10,0))</f>
        <v>19798</v>
      </c>
      <c r="E123" s="21">
        <f>IF(Notes!$B$2="June",ROUND('Budget by Source'!E123/10,0)+R123,ROUND('Budget by Source'!E123/10,0))</f>
        <v>1081</v>
      </c>
      <c r="F123" s="21">
        <f>IF(Notes!$B$2="June",ROUND('Budget by Source'!F123/10,0)+S123,ROUND('Budget by Source'!F123/10,0))</f>
        <v>1492</v>
      </c>
      <c r="G123" s="21">
        <f>IF(Notes!$B$2="June",ROUND('Budget by Source'!G123/10,0)+T123,ROUND('Budget by Source'!G123/10,0))</f>
        <v>6412</v>
      </c>
      <c r="H123" s="21">
        <f t="shared" si="3"/>
        <v>76021</v>
      </c>
      <c r="I123" s="21">
        <f>INDEX(Data[],MATCH($A123,Data[Dist],0),MATCH(I$5,Data[#Headers],0))</f>
        <v>111038</v>
      </c>
      <c r="K123" s="59">
        <f>INDEX('Payment Total'!$A$7:$H$331,MATCH('Payment by Source'!$A123,'Payment Total'!$A$7:$A$331,0),4)-I123</f>
        <v>0</v>
      </c>
      <c r="P123" s="138">
        <f>INDEX('Budget by Source'!$A$6:$I$330,MATCH('Payment by Source'!$A123,'Budget by Source'!$A$6:$A$330,0),MATCH(P$3,'Budget by Source'!$A$5:$I$5,0))-(ROUND(INDEX('Budget by Source'!$A$6:$I$330,MATCH('Payment by Source'!$A123,'Budget by Source'!$A$6:$A$330,0),MATCH(P$3,'Budget by Source'!$A$5:$I$5,0))/10,0)*10)</f>
        <v>3</v>
      </c>
      <c r="Q123" s="138">
        <f>INDEX('Budget by Source'!$A$6:$I$330,MATCH('Payment by Source'!$A123,'Budget by Source'!$A$6:$A$330,0),MATCH(Q$3,'Budget by Source'!$A$5:$I$5,0))-(ROUND(INDEX('Budget by Source'!$A$6:$I$330,MATCH('Payment by Source'!$A123,'Budget by Source'!$A$6:$A$330,0),MATCH(Q$3,'Budget by Source'!$A$5:$I$5,0))/10,0)*10)</f>
        <v>-3</v>
      </c>
      <c r="R123" s="138">
        <f>INDEX('Budget by Source'!$A$6:$I$330,MATCH('Payment by Source'!$A123,'Budget by Source'!$A$6:$A$330,0),MATCH(R$3,'Budget by Source'!$A$5:$I$5,0))-(ROUND(INDEX('Budget by Source'!$A$6:$I$330,MATCH('Payment by Source'!$A123,'Budget by Source'!$A$6:$A$330,0),MATCH(R$3,'Budget by Source'!$A$5:$I$5,0))/10,0)*10)</f>
        <v>2</v>
      </c>
      <c r="S123" s="138">
        <f>INDEX('Budget by Source'!$A$6:$I$330,MATCH('Payment by Source'!$A123,'Budget by Source'!$A$6:$A$330,0),MATCH(S$3,'Budget by Source'!$A$5:$I$5,0))-(ROUND(INDEX('Budget by Source'!$A$6:$I$330,MATCH('Payment by Source'!$A123,'Budget by Source'!$A$6:$A$330,0),MATCH(S$3,'Budget by Source'!$A$5:$I$5,0))/10,0)*10)</f>
        <v>-1</v>
      </c>
      <c r="T123" s="138">
        <f>INDEX('Budget by Source'!$A$6:$I$330,MATCH('Payment by Source'!$A123,'Budget by Source'!$A$6:$A$330,0),MATCH(T$3,'Budget by Source'!$A$5:$I$5,0))-(ROUND(INDEX('Budget by Source'!$A$6:$I$330,MATCH('Payment by Source'!$A123,'Budget by Source'!$A$6:$A$330,0),MATCH(T$3,'Budget by Source'!$A$5:$I$5,0))/10,0)*10)</f>
        <v>4</v>
      </c>
      <c r="U123" s="139">
        <f>INDEX('Budget by Source'!$A$6:$I$330,MATCH('Payment by Source'!$A123,'Budget by Source'!$A$6:$A$330,0),MATCH(U$3,'Budget by Source'!$A$5:$I$5,0))</f>
        <v>762603</v>
      </c>
      <c r="V123" s="136">
        <f t="shared" si="4"/>
        <v>76260</v>
      </c>
      <c r="W123" s="136">
        <f t="shared" si="5"/>
        <v>762600</v>
      </c>
    </row>
    <row r="124" spans="1:23" x14ac:dyDescent="0.2">
      <c r="A124" s="22" t="str">
        <f>Data!B120</f>
        <v>2502</v>
      </c>
      <c r="B124" s="20" t="str">
        <f>INDEX(Data[],MATCH($A124,Data[Dist],0),MATCH(B$5,Data[#Headers],0))</f>
        <v>Gladbrook-Reinbeck</v>
      </c>
      <c r="C124" s="21">
        <f>IF(Notes!$B$2="June",ROUND('Budget by Source'!C124/10,0)+P124,ROUND('Budget by Source'!C124/10,0))</f>
        <v>12079</v>
      </c>
      <c r="D124" s="21">
        <f>IF(Notes!$B$2="June",ROUND('Budget by Source'!D124/10,0)+Q124,ROUND('Budget by Source'!D124/10,0))</f>
        <v>62665</v>
      </c>
      <c r="E124" s="21">
        <f>IF(Notes!$B$2="June",ROUND('Budget by Source'!E124/10,0)+R124,ROUND('Budget by Source'!E124/10,0))</f>
        <v>4105</v>
      </c>
      <c r="F124" s="21">
        <f>IF(Notes!$B$2="June",ROUND('Budget by Source'!F124/10,0)+S124,ROUND('Budget by Source'!F124/10,0))</f>
        <v>4634</v>
      </c>
      <c r="G124" s="21">
        <f>IF(Notes!$B$2="June",ROUND('Budget by Source'!G124/10,0)+T124,ROUND('Budget by Source'!G124/10,0))</f>
        <v>23280</v>
      </c>
      <c r="H124" s="21">
        <f t="shared" si="3"/>
        <v>314445</v>
      </c>
      <c r="I124" s="21">
        <f>INDEX(Data[],MATCH($A124,Data[Dist],0),MATCH(I$5,Data[#Headers],0))</f>
        <v>421208</v>
      </c>
      <c r="K124" s="59">
        <f>INDEX('Payment Total'!$A$7:$H$331,MATCH('Payment by Source'!$A124,'Payment Total'!$A$7:$A$331,0),4)-I124</f>
        <v>0</v>
      </c>
      <c r="P124" s="138">
        <f>INDEX('Budget by Source'!$A$6:$I$330,MATCH('Payment by Source'!$A124,'Budget by Source'!$A$6:$A$330,0),MATCH(P$3,'Budget by Source'!$A$5:$I$5,0))-(ROUND(INDEX('Budget by Source'!$A$6:$I$330,MATCH('Payment by Source'!$A124,'Budget by Source'!$A$6:$A$330,0),MATCH(P$3,'Budget by Source'!$A$5:$I$5,0))/10,0)*10)</f>
        <v>-1</v>
      </c>
      <c r="Q124" s="138">
        <f>INDEX('Budget by Source'!$A$6:$I$330,MATCH('Payment by Source'!$A124,'Budget by Source'!$A$6:$A$330,0),MATCH(Q$3,'Budget by Source'!$A$5:$I$5,0))-(ROUND(INDEX('Budget by Source'!$A$6:$I$330,MATCH('Payment by Source'!$A124,'Budget by Source'!$A$6:$A$330,0),MATCH(Q$3,'Budget by Source'!$A$5:$I$5,0))/10,0)*10)</f>
        <v>-2</v>
      </c>
      <c r="R124" s="138">
        <f>INDEX('Budget by Source'!$A$6:$I$330,MATCH('Payment by Source'!$A124,'Budget by Source'!$A$6:$A$330,0),MATCH(R$3,'Budget by Source'!$A$5:$I$5,0))-(ROUND(INDEX('Budget by Source'!$A$6:$I$330,MATCH('Payment by Source'!$A124,'Budget by Source'!$A$6:$A$330,0),MATCH(R$3,'Budget by Source'!$A$5:$I$5,0))/10,0)*10)</f>
        <v>2</v>
      </c>
      <c r="S124" s="138">
        <f>INDEX('Budget by Source'!$A$6:$I$330,MATCH('Payment by Source'!$A124,'Budget by Source'!$A$6:$A$330,0),MATCH(S$3,'Budget by Source'!$A$5:$I$5,0))-(ROUND(INDEX('Budget by Source'!$A$6:$I$330,MATCH('Payment by Source'!$A124,'Budget by Source'!$A$6:$A$330,0),MATCH(S$3,'Budget by Source'!$A$5:$I$5,0))/10,0)*10)</f>
        <v>0</v>
      </c>
      <c r="T124" s="138">
        <f>INDEX('Budget by Source'!$A$6:$I$330,MATCH('Payment by Source'!$A124,'Budget by Source'!$A$6:$A$330,0),MATCH(T$3,'Budget by Source'!$A$5:$I$5,0))-(ROUND(INDEX('Budget by Source'!$A$6:$I$330,MATCH('Payment by Source'!$A124,'Budget by Source'!$A$6:$A$330,0),MATCH(T$3,'Budget by Source'!$A$5:$I$5,0))/10,0)*10)</f>
        <v>1</v>
      </c>
      <c r="U124" s="139">
        <f>INDEX('Budget by Source'!$A$6:$I$330,MATCH('Payment by Source'!$A124,'Budget by Source'!$A$6:$A$330,0),MATCH(U$3,'Budget by Source'!$A$5:$I$5,0))</f>
        <v>3153673</v>
      </c>
      <c r="V124" s="136">
        <f t="shared" si="4"/>
        <v>315367</v>
      </c>
      <c r="W124" s="136">
        <f t="shared" si="5"/>
        <v>3153670</v>
      </c>
    </row>
    <row r="125" spans="1:23" x14ac:dyDescent="0.2">
      <c r="A125" s="22" t="str">
        <f>Data!B121</f>
        <v>2511</v>
      </c>
      <c r="B125" s="20" t="str">
        <f>INDEX(Data[],MATCH($A125,Data[Dist],0),MATCH(B$5,Data[#Headers],0))</f>
        <v>Glenwood</v>
      </c>
      <c r="C125" s="21">
        <f>IF(Notes!$B$2="June",ROUND('Budget by Source'!C125/10,0)+P125,ROUND('Budget by Source'!C125/10,0))</f>
        <v>21041</v>
      </c>
      <c r="D125" s="21">
        <f>IF(Notes!$B$2="June",ROUND('Budget by Source'!D125/10,0)+Q125,ROUND('Budget by Source'!D125/10,0))</f>
        <v>141682</v>
      </c>
      <c r="E125" s="21">
        <f>IF(Notes!$B$2="June",ROUND('Budget by Source'!E125/10,0)+R125,ROUND('Budget by Source'!E125/10,0))</f>
        <v>15526</v>
      </c>
      <c r="F125" s="21">
        <f>IF(Notes!$B$2="June",ROUND('Budget by Source'!F125/10,0)+S125,ROUND('Budget by Source'!F125/10,0))</f>
        <v>13669</v>
      </c>
      <c r="G125" s="21">
        <f>IF(Notes!$B$2="June",ROUND('Budget by Source'!G125/10,0)+T125,ROUND('Budget by Source'!G125/10,0))</f>
        <v>73300</v>
      </c>
      <c r="H125" s="21">
        <f t="shared" si="3"/>
        <v>1092774</v>
      </c>
      <c r="I125" s="21">
        <f>INDEX(Data[],MATCH($A125,Data[Dist],0),MATCH(I$5,Data[#Headers],0))</f>
        <v>1357992</v>
      </c>
      <c r="K125" s="59">
        <f>INDEX('Payment Total'!$A$7:$H$331,MATCH('Payment by Source'!$A125,'Payment Total'!$A$7:$A$331,0),4)-I125</f>
        <v>0</v>
      </c>
      <c r="P125" s="138">
        <f>INDEX('Budget by Source'!$A$6:$I$330,MATCH('Payment by Source'!$A125,'Budget by Source'!$A$6:$A$330,0),MATCH(P$3,'Budget by Source'!$A$5:$I$5,0))-(ROUND(INDEX('Budget by Source'!$A$6:$I$330,MATCH('Payment by Source'!$A125,'Budget by Source'!$A$6:$A$330,0),MATCH(P$3,'Budget by Source'!$A$5:$I$5,0))/10,0)*10)</f>
        <v>-4</v>
      </c>
      <c r="Q125" s="138">
        <f>INDEX('Budget by Source'!$A$6:$I$330,MATCH('Payment by Source'!$A125,'Budget by Source'!$A$6:$A$330,0),MATCH(Q$3,'Budget by Source'!$A$5:$I$5,0))-(ROUND(INDEX('Budget by Source'!$A$6:$I$330,MATCH('Payment by Source'!$A125,'Budget by Source'!$A$6:$A$330,0),MATCH(Q$3,'Budget by Source'!$A$5:$I$5,0))/10,0)*10)</f>
        <v>-3</v>
      </c>
      <c r="R125" s="138">
        <f>INDEX('Budget by Source'!$A$6:$I$330,MATCH('Payment by Source'!$A125,'Budget by Source'!$A$6:$A$330,0),MATCH(R$3,'Budget by Source'!$A$5:$I$5,0))-(ROUND(INDEX('Budget by Source'!$A$6:$I$330,MATCH('Payment by Source'!$A125,'Budget by Source'!$A$6:$A$330,0),MATCH(R$3,'Budget by Source'!$A$5:$I$5,0))/10,0)*10)</f>
        <v>-1</v>
      </c>
      <c r="S125" s="138">
        <f>INDEX('Budget by Source'!$A$6:$I$330,MATCH('Payment by Source'!$A125,'Budget by Source'!$A$6:$A$330,0),MATCH(S$3,'Budget by Source'!$A$5:$I$5,0))-(ROUND(INDEX('Budget by Source'!$A$6:$I$330,MATCH('Payment by Source'!$A125,'Budget by Source'!$A$6:$A$330,0),MATCH(S$3,'Budget by Source'!$A$5:$I$5,0))/10,0)*10)</f>
        <v>-1</v>
      </c>
      <c r="T125" s="138">
        <f>INDEX('Budget by Source'!$A$6:$I$330,MATCH('Payment by Source'!$A125,'Budget by Source'!$A$6:$A$330,0),MATCH(T$3,'Budget by Source'!$A$5:$I$5,0))-(ROUND(INDEX('Budget by Source'!$A$6:$I$330,MATCH('Payment by Source'!$A125,'Budget by Source'!$A$6:$A$330,0),MATCH(T$3,'Budget by Source'!$A$5:$I$5,0))/10,0)*10)</f>
        <v>4</v>
      </c>
      <c r="U125" s="139">
        <f>INDEX('Budget by Source'!$A$6:$I$330,MATCH('Payment by Source'!$A125,'Budget by Source'!$A$6:$A$330,0),MATCH(U$3,'Budget by Source'!$A$5:$I$5,0))</f>
        <v>10956706</v>
      </c>
      <c r="V125" s="136">
        <f t="shared" si="4"/>
        <v>1095671</v>
      </c>
      <c r="W125" s="136">
        <f t="shared" si="5"/>
        <v>10956710</v>
      </c>
    </row>
    <row r="126" spans="1:23" x14ac:dyDescent="0.2">
      <c r="A126" s="22" t="str">
        <f>Data!B122</f>
        <v>2520</v>
      </c>
      <c r="B126" s="20" t="str">
        <f>INDEX(Data[],MATCH($A126,Data[Dist],0),MATCH(B$5,Data[#Headers],0))</f>
        <v>Glidden-Ralston</v>
      </c>
      <c r="C126" s="21">
        <f>IF(Notes!$B$2="June",ROUND('Budget by Source'!C126/10,0)+P126,ROUND('Budget by Source'!C126/10,0))</f>
        <v>10520</v>
      </c>
      <c r="D126" s="21">
        <f>IF(Notes!$B$2="June",ROUND('Budget by Source'!D126/10,0)+Q126,ROUND('Budget by Source'!D126/10,0))</f>
        <v>38692</v>
      </c>
      <c r="E126" s="21">
        <f>IF(Notes!$B$2="June",ROUND('Budget by Source'!E126/10,0)+R126,ROUND('Budget by Source'!E126/10,0))</f>
        <v>2559</v>
      </c>
      <c r="F126" s="21">
        <f>IF(Notes!$B$2="June",ROUND('Budget by Source'!F126/10,0)+S126,ROUND('Budget by Source'!F126/10,0))</f>
        <v>2480</v>
      </c>
      <c r="G126" s="21">
        <f>IF(Notes!$B$2="June",ROUND('Budget by Source'!G126/10,0)+T126,ROUND('Budget by Source'!G126/10,0))</f>
        <v>12137</v>
      </c>
      <c r="H126" s="21">
        <f t="shared" si="3"/>
        <v>146665</v>
      </c>
      <c r="I126" s="21">
        <f>INDEX(Data[],MATCH($A126,Data[Dist],0),MATCH(I$5,Data[#Headers],0))</f>
        <v>213053</v>
      </c>
      <c r="K126" s="59">
        <f>INDEX('Payment Total'!$A$7:$H$331,MATCH('Payment by Source'!$A126,'Payment Total'!$A$7:$A$331,0),4)-I126</f>
        <v>0</v>
      </c>
      <c r="P126" s="138">
        <f>INDEX('Budget by Source'!$A$6:$I$330,MATCH('Payment by Source'!$A126,'Budget by Source'!$A$6:$A$330,0),MATCH(P$3,'Budget by Source'!$A$5:$I$5,0))-(ROUND(INDEX('Budget by Source'!$A$6:$I$330,MATCH('Payment by Source'!$A126,'Budget by Source'!$A$6:$A$330,0),MATCH(P$3,'Budget by Source'!$A$5:$I$5,0))/10,0)*10)</f>
        <v>3</v>
      </c>
      <c r="Q126" s="138">
        <f>INDEX('Budget by Source'!$A$6:$I$330,MATCH('Payment by Source'!$A126,'Budget by Source'!$A$6:$A$330,0),MATCH(Q$3,'Budget by Source'!$A$5:$I$5,0))-(ROUND(INDEX('Budget by Source'!$A$6:$I$330,MATCH('Payment by Source'!$A126,'Budget by Source'!$A$6:$A$330,0),MATCH(Q$3,'Budget by Source'!$A$5:$I$5,0))/10,0)*10)</f>
        <v>2</v>
      </c>
      <c r="R126" s="138">
        <f>INDEX('Budget by Source'!$A$6:$I$330,MATCH('Payment by Source'!$A126,'Budget by Source'!$A$6:$A$330,0),MATCH(R$3,'Budget by Source'!$A$5:$I$5,0))-(ROUND(INDEX('Budget by Source'!$A$6:$I$330,MATCH('Payment by Source'!$A126,'Budget by Source'!$A$6:$A$330,0),MATCH(R$3,'Budget by Source'!$A$5:$I$5,0))/10,0)*10)</f>
        <v>-2</v>
      </c>
      <c r="S126" s="138">
        <f>INDEX('Budget by Source'!$A$6:$I$330,MATCH('Payment by Source'!$A126,'Budget by Source'!$A$6:$A$330,0),MATCH(S$3,'Budget by Source'!$A$5:$I$5,0))-(ROUND(INDEX('Budget by Source'!$A$6:$I$330,MATCH('Payment by Source'!$A126,'Budget by Source'!$A$6:$A$330,0),MATCH(S$3,'Budget by Source'!$A$5:$I$5,0))/10,0)*10)</f>
        <v>4</v>
      </c>
      <c r="T126" s="138">
        <f>INDEX('Budget by Source'!$A$6:$I$330,MATCH('Payment by Source'!$A126,'Budget by Source'!$A$6:$A$330,0),MATCH(T$3,'Budget by Source'!$A$5:$I$5,0))-(ROUND(INDEX('Budget by Source'!$A$6:$I$330,MATCH('Payment by Source'!$A126,'Budget by Source'!$A$6:$A$330,0),MATCH(T$3,'Budget by Source'!$A$5:$I$5,0))/10,0)*10)</f>
        <v>-2</v>
      </c>
      <c r="U126" s="139">
        <f>INDEX('Budget by Source'!$A$6:$I$330,MATCH('Payment by Source'!$A126,'Budget by Source'!$A$6:$A$330,0),MATCH(U$3,'Budget by Source'!$A$5:$I$5,0))</f>
        <v>1471255</v>
      </c>
      <c r="V126" s="136">
        <f t="shared" si="4"/>
        <v>147126</v>
      </c>
      <c r="W126" s="136">
        <f t="shared" si="5"/>
        <v>1471260</v>
      </c>
    </row>
    <row r="127" spans="1:23" x14ac:dyDescent="0.2">
      <c r="A127" s="22" t="str">
        <f>Data!B123</f>
        <v>2556</v>
      </c>
      <c r="B127" s="20" t="str">
        <f>INDEX(Data[],MATCH($A127,Data[Dist],0),MATCH(B$5,Data[#Headers],0))</f>
        <v>Graettinger-Terril</v>
      </c>
      <c r="C127" s="21">
        <f>IF(Notes!$B$2="June",ROUND('Budget by Source'!C127/10,0)+P127,ROUND('Budget by Source'!C127/10,0))</f>
        <v>5463</v>
      </c>
      <c r="D127" s="21">
        <f>IF(Notes!$B$2="June",ROUND('Budget by Source'!D127/10,0)+Q127,ROUND('Budget by Source'!D127/10,0))</f>
        <v>40706</v>
      </c>
      <c r="E127" s="21">
        <f>IF(Notes!$B$2="June",ROUND('Budget by Source'!E127/10,0)+R127,ROUND('Budget by Source'!E127/10,0))</f>
        <v>3145</v>
      </c>
      <c r="F127" s="21">
        <f>IF(Notes!$B$2="June",ROUND('Budget by Source'!F127/10,0)+S127,ROUND('Budget by Source'!F127/10,0))</f>
        <v>2611</v>
      </c>
      <c r="G127" s="21">
        <f>IF(Notes!$B$2="June",ROUND('Budget by Source'!G127/10,0)+T127,ROUND('Budget by Source'!G127/10,0))</f>
        <v>14377</v>
      </c>
      <c r="H127" s="21">
        <f t="shared" si="3"/>
        <v>141779</v>
      </c>
      <c r="I127" s="21">
        <f>INDEX(Data[],MATCH($A127,Data[Dist],0),MATCH(I$5,Data[#Headers],0))</f>
        <v>208081</v>
      </c>
      <c r="K127" s="59">
        <f>INDEX('Payment Total'!$A$7:$H$331,MATCH('Payment by Source'!$A127,'Payment Total'!$A$7:$A$331,0),4)-I127</f>
        <v>0</v>
      </c>
      <c r="P127" s="138">
        <f>INDEX('Budget by Source'!$A$6:$I$330,MATCH('Payment by Source'!$A127,'Budget by Source'!$A$6:$A$330,0),MATCH(P$3,'Budget by Source'!$A$5:$I$5,0))-(ROUND(INDEX('Budget by Source'!$A$6:$I$330,MATCH('Payment by Source'!$A127,'Budget by Source'!$A$6:$A$330,0),MATCH(P$3,'Budget by Source'!$A$5:$I$5,0))/10,0)*10)</f>
        <v>-2</v>
      </c>
      <c r="Q127" s="138">
        <f>INDEX('Budget by Source'!$A$6:$I$330,MATCH('Payment by Source'!$A127,'Budget by Source'!$A$6:$A$330,0),MATCH(Q$3,'Budget by Source'!$A$5:$I$5,0))-(ROUND(INDEX('Budget by Source'!$A$6:$I$330,MATCH('Payment by Source'!$A127,'Budget by Source'!$A$6:$A$330,0),MATCH(Q$3,'Budget by Source'!$A$5:$I$5,0))/10,0)*10)</f>
        <v>3</v>
      </c>
      <c r="R127" s="138">
        <f>INDEX('Budget by Source'!$A$6:$I$330,MATCH('Payment by Source'!$A127,'Budget by Source'!$A$6:$A$330,0),MATCH(R$3,'Budget by Source'!$A$5:$I$5,0))-(ROUND(INDEX('Budget by Source'!$A$6:$I$330,MATCH('Payment by Source'!$A127,'Budget by Source'!$A$6:$A$330,0),MATCH(R$3,'Budget by Source'!$A$5:$I$5,0))/10,0)*10)</f>
        <v>-1</v>
      </c>
      <c r="S127" s="138">
        <f>INDEX('Budget by Source'!$A$6:$I$330,MATCH('Payment by Source'!$A127,'Budget by Source'!$A$6:$A$330,0),MATCH(S$3,'Budget by Source'!$A$5:$I$5,0))-(ROUND(INDEX('Budget by Source'!$A$6:$I$330,MATCH('Payment by Source'!$A127,'Budget by Source'!$A$6:$A$330,0),MATCH(S$3,'Budget by Source'!$A$5:$I$5,0))/10,0)*10)</f>
        <v>-5</v>
      </c>
      <c r="T127" s="138">
        <f>INDEX('Budget by Source'!$A$6:$I$330,MATCH('Payment by Source'!$A127,'Budget by Source'!$A$6:$A$330,0),MATCH(T$3,'Budget by Source'!$A$5:$I$5,0))-(ROUND(INDEX('Budget by Source'!$A$6:$I$330,MATCH('Payment by Source'!$A127,'Budget by Source'!$A$6:$A$330,0),MATCH(T$3,'Budget by Source'!$A$5:$I$5,0))/10,0)*10)</f>
        <v>-2</v>
      </c>
      <c r="U127" s="139">
        <f>INDEX('Budget by Source'!$A$6:$I$330,MATCH('Payment by Source'!$A127,'Budget by Source'!$A$6:$A$330,0),MATCH(U$3,'Budget by Source'!$A$5:$I$5,0))</f>
        <v>1423441</v>
      </c>
      <c r="V127" s="136">
        <f t="shared" si="4"/>
        <v>142344</v>
      </c>
      <c r="W127" s="136">
        <f t="shared" si="5"/>
        <v>1423440</v>
      </c>
    </row>
    <row r="128" spans="1:23" x14ac:dyDescent="0.2">
      <c r="A128" s="22" t="str">
        <f>Data!B124</f>
        <v>2673</v>
      </c>
      <c r="B128" s="20" t="str">
        <f>INDEX(Data[],MATCH($A128,Data[Dist],0),MATCH(B$5,Data[#Headers],0))</f>
        <v>Nodaway Valley</v>
      </c>
      <c r="C128" s="21">
        <f>IF(Notes!$B$2="June",ROUND('Budget by Source'!C128/10,0)+P128,ROUND('Budget by Source'!C128/10,0))</f>
        <v>779</v>
      </c>
      <c r="D128" s="21">
        <f>IF(Notes!$B$2="June",ROUND('Budget by Source'!D128/10,0)+Q128,ROUND('Budget by Source'!D128/10,0))</f>
        <v>82047</v>
      </c>
      <c r="E128" s="21">
        <f>IF(Notes!$B$2="June",ROUND('Budget by Source'!E128/10,0)+R128,ROUND('Budget by Source'!E128/10,0))</f>
        <v>5454</v>
      </c>
      <c r="F128" s="21">
        <f>IF(Notes!$B$2="June",ROUND('Budget by Source'!F128/10,0)+S128,ROUND('Budget by Source'!F128/10,0))</f>
        <v>5471</v>
      </c>
      <c r="G128" s="21">
        <f>IF(Notes!$B$2="June",ROUND('Budget by Source'!G128/10,0)+T128,ROUND('Budget by Source'!G128/10,0))</f>
        <v>25471</v>
      </c>
      <c r="H128" s="21">
        <f t="shared" si="3"/>
        <v>383538</v>
      </c>
      <c r="I128" s="21">
        <f>INDEX(Data[],MATCH($A128,Data[Dist],0),MATCH(I$5,Data[#Headers],0))</f>
        <v>502760</v>
      </c>
      <c r="K128" s="59">
        <f>INDEX('Payment Total'!$A$7:$H$331,MATCH('Payment by Source'!$A128,'Payment Total'!$A$7:$A$331,0),4)-I128</f>
        <v>0</v>
      </c>
      <c r="P128" s="138">
        <f>INDEX('Budget by Source'!$A$6:$I$330,MATCH('Payment by Source'!$A128,'Budget by Source'!$A$6:$A$330,0),MATCH(P$3,'Budget by Source'!$A$5:$I$5,0))-(ROUND(INDEX('Budget by Source'!$A$6:$I$330,MATCH('Payment by Source'!$A128,'Budget by Source'!$A$6:$A$330,0),MATCH(P$3,'Budget by Source'!$A$5:$I$5,0))/10,0)*10)</f>
        <v>3</v>
      </c>
      <c r="Q128" s="138">
        <f>INDEX('Budget by Source'!$A$6:$I$330,MATCH('Payment by Source'!$A128,'Budget by Source'!$A$6:$A$330,0),MATCH(Q$3,'Budget by Source'!$A$5:$I$5,0))-(ROUND(INDEX('Budget by Source'!$A$6:$I$330,MATCH('Payment by Source'!$A128,'Budget by Source'!$A$6:$A$330,0),MATCH(Q$3,'Budget by Source'!$A$5:$I$5,0))/10,0)*10)</f>
        <v>-2</v>
      </c>
      <c r="R128" s="138">
        <f>INDEX('Budget by Source'!$A$6:$I$330,MATCH('Payment by Source'!$A128,'Budget by Source'!$A$6:$A$330,0),MATCH(R$3,'Budget by Source'!$A$5:$I$5,0))-(ROUND(INDEX('Budget by Source'!$A$6:$I$330,MATCH('Payment by Source'!$A128,'Budget by Source'!$A$6:$A$330,0),MATCH(R$3,'Budget by Source'!$A$5:$I$5,0))/10,0)*10)</f>
        <v>4</v>
      </c>
      <c r="S128" s="138">
        <f>INDEX('Budget by Source'!$A$6:$I$330,MATCH('Payment by Source'!$A128,'Budget by Source'!$A$6:$A$330,0),MATCH(S$3,'Budget by Source'!$A$5:$I$5,0))-(ROUND(INDEX('Budget by Source'!$A$6:$I$330,MATCH('Payment by Source'!$A128,'Budget by Source'!$A$6:$A$330,0),MATCH(S$3,'Budget by Source'!$A$5:$I$5,0))/10,0)*10)</f>
        <v>-4</v>
      </c>
      <c r="T128" s="138">
        <f>INDEX('Budget by Source'!$A$6:$I$330,MATCH('Payment by Source'!$A128,'Budget by Source'!$A$6:$A$330,0),MATCH(T$3,'Budget by Source'!$A$5:$I$5,0))-(ROUND(INDEX('Budget by Source'!$A$6:$I$330,MATCH('Payment by Source'!$A128,'Budget by Source'!$A$6:$A$330,0),MATCH(T$3,'Budget by Source'!$A$5:$I$5,0))/10,0)*10)</f>
        <v>0</v>
      </c>
      <c r="U128" s="139">
        <f>INDEX('Budget by Source'!$A$6:$I$330,MATCH('Payment by Source'!$A128,'Budget by Source'!$A$6:$A$330,0),MATCH(U$3,'Budget by Source'!$A$5:$I$5,0))</f>
        <v>3845349</v>
      </c>
      <c r="V128" s="136">
        <f t="shared" si="4"/>
        <v>384535</v>
      </c>
      <c r="W128" s="136">
        <f t="shared" si="5"/>
        <v>3845350</v>
      </c>
    </row>
    <row r="129" spans="1:23" x14ac:dyDescent="0.2">
      <c r="A129" s="22" t="str">
        <f>Data!B125</f>
        <v>2682</v>
      </c>
      <c r="B129" s="20" t="str">
        <f>INDEX(Data[],MATCH($A129,Data[Dist],0),MATCH(B$5,Data[#Headers],0))</f>
        <v>GMG</v>
      </c>
      <c r="C129" s="21">
        <f>IF(Notes!$B$2="June",ROUND('Budget by Source'!C129/10,0)+P129,ROUND('Budget by Source'!C129/10,0))</f>
        <v>9351</v>
      </c>
      <c r="D129" s="21">
        <f>IF(Notes!$B$2="June",ROUND('Budget by Source'!D129/10,0)+Q129,ROUND('Budget by Source'!D129/10,0))</f>
        <v>53822</v>
      </c>
      <c r="E129" s="21">
        <f>IF(Notes!$B$2="June",ROUND('Budget by Source'!E129/10,0)+R129,ROUND('Budget by Source'!E129/10,0))</f>
        <v>2283</v>
      </c>
      <c r="F129" s="21">
        <f>IF(Notes!$B$2="June",ROUND('Budget by Source'!F129/10,0)+S129,ROUND('Budget by Source'!F129/10,0))</f>
        <v>2256</v>
      </c>
      <c r="G129" s="21">
        <f>IF(Notes!$B$2="June",ROUND('Budget by Source'!G129/10,0)+T129,ROUND('Budget by Source'!G129/10,0))</f>
        <v>9379</v>
      </c>
      <c r="H129" s="21">
        <f t="shared" si="3"/>
        <v>95660</v>
      </c>
      <c r="I129" s="21">
        <f>INDEX(Data[],MATCH($A129,Data[Dist],0),MATCH(I$5,Data[#Headers],0))</f>
        <v>172751</v>
      </c>
      <c r="K129" s="59">
        <f>INDEX('Payment Total'!$A$7:$H$331,MATCH('Payment by Source'!$A129,'Payment Total'!$A$7:$A$331,0),4)-I129</f>
        <v>0</v>
      </c>
      <c r="P129" s="138">
        <f>INDEX('Budget by Source'!$A$6:$I$330,MATCH('Payment by Source'!$A129,'Budget by Source'!$A$6:$A$330,0),MATCH(P$3,'Budget by Source'!$A$5:$I$5,0))-(ROUND(INDEX('Budget by Source'!$A$6:$I$330,MATCH('Payment by Source'!$A129,'Budget by Source'!$A$6:$A$330,0),MATCH(P$3,'Budget by Source'!$A$5:$I$5,0))/10,0)*10)</f>
        <v>4</v>
      </c>
      <c r="Q129" s="138">
        <f>INDEX('Budget by Source'!$A$6:$I$330,MATCH('Payment by Source'!$A129,'Budget by Source'!$A$6:$A$330,0),MATCH(Q$3,'Budget by Source'!$A$5:$I$5,0))-(ROUND(INDEX('Budget by Source'!$A$6:$I$330,MATCH('Payment by Source'!$A129,'Budget by Source'!$A$6:$A$330,0),MATCH(Q$3,'Budget by Source'!$A$5:$I$5,0))/10,0)*10)</f>
        <v>-4</v>
      </c>
      <c r="R129" s="138">
        <f>INDEX('Budget by Source'!$A$6:$I$330,MATCH('Payment by Source'!$A129,'Budget by Source'!$A$6:$A$330,0),MATCH(R$3,'Budget by Source'!$A$5:$I$5,0))-(ROUND(INDEX('Budget by Source'!$A$6:$I$330,MATCH('Payment by Source'!$A129,'Budget by Source'!$A$6:$A$330,0),MATCH(R$3,'Budget by Source'!$A$5:$I$5,0))/10,0)*10)</f>
        <v>4</v>
      </c>
      <c r="S129" s="138">
        <f>INDEX('Budget by Source'!$A$6:$I$330,MATCH('Payment by Source'!$A129,'Budget by Source'!$A$6:$A$330,0),MATCH(S$3,'Budget by Source'!$A$5:$I$5,0))-(ROUND(INDEX('Budget by Source'!$A$6:$I$330,MATCH('Payment by Source'!$A129,'Budget by Source'!$A$6:$A$330,0),MATCH(S$3,'Budget by Source'!$A$5:$I$5,0))/10,0)*10)</f>
        <v>1</v>
      </c>
      <c r="T129" s="138">
        <f>INDEX('Budget by Source'!$A$6:$I$330,MATCH('Payment by Source'!$A129,'Budget by Source'!$A$6:$A$330,0),MATCH(T$3,'Budget by Source'!$A$5:$I$5,0))-(ROUND(INDEX('Budget by Source'!$A$6:$I$330,MATCH('Payment by Source'!$A129,'Budget by Source'!$A$6:$A$330,0),MATCH(T$3,'Budget by Source'!$A$5:$I$5,0))/10,0)*10)</f>
        <v>1</v>
      </c>
      <c r="U129" s="139">
        <f>INDEX('Budget by Source'!$A$6:$I$330,MATCH('Payment by Source'!$A129,'Budget by Source'!$A$6:$A$330,0),MATCH(U$3,'Budget by Source'!$A$5:$I$5,0))</f>
        <v>960289</v>
      </c>
      <c r="V129" s="136">
        <f t="shared" si="4"/>
        <v>96029</v>
      </c>
      <c r="W129" s="136">
        <f t="shared" si="5"/>
        <v>960290</v>
      </c>
    </row>
    <row r="130" spans="1:23" x14ac:dyDescent="0.2">
      <c r="A130" s="22" t="str">
        <f>Data!B126</f>
        <v>2709</v>
      </c>
      <c r="B130" s="20" t="str">
        <f>INDEX(Data[],MATCH($A130,Data[Dist],0),MATCH(B$5,Data[#Headers],0))</f>
        <v>Grinnell-Newburg</v>
      </c>
      <c r="C130" s="21">
        <f>IF(Notes!$B$2="June",ROUND('Budget by Source'!C130/10,0)+P130,ROUND('Budget by Source'!C130/10,0))</f>
        <v>31164</v>
      </c>
      <c r="D130" s="21">
        <f>IF(Notes!$B$2="June",ROUND('Budget by Source'!D130/10,0)+Q130,ROUND('Budget by Source'!D130/10,0))</f>
        <v>123054</v>
      </c>
      <c r="E130" s="21">
        <f>IF(Notes!$B$2="June",ROUND('Budget by Source'!E130/10,0)+R130,ROUND('Budget by Source'!E130/10,0))</f>
        <v>12318</v>
      </c>
      <c r="F130" s="21">
        <f>IF(Notes!$B$2="June",ROUND('Budget by Source'!F130/10,0)+S130,ROUND('Budget by Source'!F130/10,0))</f>
        <v>11105</v>
      </c>
      <c r="G130" s="21">
        <f>IF(Notes!$B$2="June",ROUND('Budget by Source'!G130/10,0)+T130,ROUND('Budget by Source'!G130/10,0))</f>
        <v>57658</v>
      </c>
      <c r="H130" s="21">
        <f t="shared" si="3"/>
        <v>878318</v>
      </c>
      <c r="I130" s="21">
        <f>INDEX(Data[],MATCH($A130,Data[Dist],0),MATCH(I$5,Data[#Headers],0))</f>
        <v>1113617</v>
      </c>
      <c r="K130" s="59">
        <f>INDEX('Payment Total'!$A$7:$H$331,MATCH('Payment by Source'!$A130,'Payment Total'!$A$7:$A$331,0),4)-I130</f>
        <v>0</v>
      </c>
      <c r="P130" s="138">
        <f>INDEX('Budget by Source'!$A$6:$I$330,MATCH('Payment by Source'!$A130,'Budget by Source'!$A$6:$A$330,0),MATCH(P$3,'Budget by Source'!$A$5:$I$5,0))-(ROUND(INDEX('Budget by Source'!$A$6:$I$330,MATCH('Payment by Source'!$A130,'Budget by Source'!$A$6:$A$330,0),MATCH(P$3,'Budget by Source'!$A$5:$I$5,0))/10,0)*10)</f>
        <v>-5</v>
      </c>
      <c r="Q130" s="138">
        <f>INDEX('Budget by Source'!$A$6:$I$330,MATCH('Payment by Source'!$A130,'Budget by Source'!$A$6:$A$330,0),MATCH(Q$3,'Budget by Source'!$A$5:$I$5,0))-(ROUND(INDEX('Budget by Source'!$A$6:$I$330,MATCH('Payment by Source'!$A130,'Budget by Source'!$A$6:$A$330,0),MATCH(Q$3,'Budget by Source'!$A$5:$I$5,0))/10,0)*10)</f>
        <v>-2</v>
      </c>
      <c r="R130" s="138">
        <f>INDEX('Budget by Source'!$A$6:$I$330,MATCH('Payment by Source'!$A130,'Budget by Source'!$A$6:$A$330,0),MATCH(R$3,'Budget by Source'!$A$5:$I$5,0))-(ROUND(INDEX('Budget by Source'!$A$6:$I$330,MATCH('Payment by Source'!$A130,'Budget by Source'!$A$6:$A$330,0),MATCH(R$3,'Budget by Source'!$A$5:$I$5,0))/10,0)*10)</f>
        <v>0</v>
      </c>
      <c r="S130" s="138">
        <f>INDEX('Budget by Source'!$A$6:$I$330,MATCH('Payment by Source'!$A130,'Budget by Source'!$A$6:$A$330,0),MATCH(S$3,'Budget by Source'!$A$5:$I$5,0))-(ROUND(INDEX('Budget by Source'!$A$6:$I$330,MATCH('Payment by Source'!$A130,'Budget by Source'!$A$6:$A$330,0),MATCH(S$3,'Budget by Source'!$A$5:$I$5,0))/10,0)*10)</f>
        <v>-4</v>
      </c>
      <c r="T130" s="138">
        <f>INDEX('Budget by Source'!$A$6:$I$330,MATCH('Payment by Source'!$A130,'Budget by Source'!$A$6:$A$330,0),MATCH(T$3,'Budget by Source'!$A$5:$I$5,0))-(ROUND(INDEX('Budget by Source'!$A$6:$I$330,MATCH('Payment by Source'!$A130,'Budget by Source'!$A$6:$A$330,0),MATCH(T$3,'Budget by Source'!$A$5:$I$5,0))/10,0)*10)</f>
        <v>2</v>
      </c>
      <c r="U130" s="139">
        <f>INDEX('Budget by Source'!$A$6:$I$330,MATCH('Payment by Source'!$A130,'Budget by Source'!$A$6:$A$330,0),MATCH(U$3,'Budget by Source'!$A$5:$I$5,0))</f>
        <v>8805638</v>
      </c>
      <c r="V130" s="136">
        <f t="shared" si="4"/>
        <v>880564</v>
      </c>
      <c r="W130" s="136">
        <f t="shared" si="5"/>
        <v>8805640</v>
      </c>
    </row>
    <row r="131" spans="1:23" x14ac:dyDescent="0.2">
      <c r="A131" s="22" t="str">
        <f>Data!B127</f>
        <v>2718</v>
      </c>
      <c r="B131" s="20" t="str">
        <f>INDEX(Data[],MATCH($A131,Data[Dist],0),MATCH(B$5,Data[#Headers],0))</f>
        <v>Griswold</v>
      </c>
      <c r="C131" s="21">
        <f>IF(Notes!$B$2="June",ROUND('Budget by Source'!C131/10,0)+P131,ROUND('Budget by Source'!C131/10,0))</f>
        <v>9741</v>
      </c>
      <c r="D131" s="21">
        <f>IF(Notes!$B$2="June",ROUND('Budget by Source'!D131/10,0)+Q131,ROUND('Budget by Source'!D131/10,0))</f>
        <v>53559</v>
      </c>
      <c r="E131" s="21">
        <f>IF(Notes!$B$2="June",ROUND('Budget by Source'!E131/10,0)+R131,ROUND('Budget by Source'!E131/10,0))</f>
        <v>3263</v>
      </c>
      <c r="F131" s="21">
        <f>IF(Notes!$B$2="June",ROUND('Budget by Source'!F131/10,0)+S131,ROUND('Budget by Source'!F131/10,0))</f>
        <v>3195</v>
      </c>
      <c r="G131" s="21">
        <f>IF(Notes!$B$2="June",ROUND('Budget by Source'!G131/10,0)+T131,ROUND('Budget by Source'!G131/10,0))</f>
        <v>17365</v>
      </c>
      <c r="H131" s="21">
        <f t="shared" si="3"/>
        <v>229159</v>
      </c>
      <c r="I131" s="21">
        <f>INDEX(Data[],MATCH($A131,Data[Dist],0),MATCH(I$5,Data[#Headers],0))</f>
        <v>316282</v>
      </c>
      <c r="K131" s="59">
        <f>INDEX('Payment Total'!$A$7:$H$331,MATCH('Payment by Source'!$A131,'Payment Total'!$A$7:$A$331,0),4)-I131</f>
        <v>0</v>
      </c>
      <c r="P131" s="138">
        <f>INDEX('Budget by Source'!$A$6:$I$330,MATCH('Payment by Source'!$A131,'Budget by Source'!$A$6:$A$330,0),MATCH(P$3,'Budget by Source'!$A$5:$I$5,0))-(ROUND(INDEX('Budget by Source'!$A$6:$I$330,MATCH('Payment by Source'!$A131,'Budget by Source'!$A$6:$A$330,0),MATCH(P$3,'Budget by Source'!$A$5:$I$5,0))/10,0)*10)</f>
        <v>0</v>
      </c>
      <c r="Q131" s="138">
        <f>INDEX('Budget by Source'!$A$6:$I$330,MATCH('Payment by Source'!$A131,'Budget by Source'!$A$6:$A$330,0),MATCH(Q$3,'Budget by Source'!$A$5:$I$5,0))-(ROUND(INDEX('Budget by Source'!$A$6:$I$330,MATCH('Payment by Source'!$A131,'Budget by Source'!$A$6:$A$330,0),MATCH(Q$3,'Budget by Source'!$A$5:$I$5,0))/10,0)*10)</f>
        <v>2</v>
      </c>
      <c r="R131" s="138">
        <f>INDEX('Budget by Source'!$A$6:$I$330,MATCH('Payment by Source'!$A131,'Budget by Source'!$A$6:$A$330,0),MATCH(R$3,'Budget by Source'!$A$5:$I$5,0))-(ROUND(INDEX('Budget by Source'!$A$6:$I$330,MATCH('Payment by Source'!$A131,'Budget by Source'!$A$6:$A$330,0),MATCH(R$3,'Budget by Source'!$A$5:$I$5,0))/10,0)*10)</f>
        <v>0</v>
      </c>
      <c r="S131" s="138">
        <f>INDEX('Budget by Source'!$A$6:$I$330,MATCH('Payment by Source'!$A131,'Budget by Source'!$A$6:$A$330,0),MATCH(S$3,'Budget by Source'!$A$5:$I$5,0))-(ROUND(INDEX('Budget by Source'!$A$6:$I$330,MATCH('Payment by Source'!$A131,'Budget by Source'!$A$6:$A$330,0),MATCH(S$3,'Budget by Source'!$A$5:$I$5,0))/10,0)*10)</f>
        <v>-5</v>
      </c>
      <c r="T131" s="138">
        <f>INDEX('Budget by Source'!$A$6:$I$330,MATCH('Payment by Source'!$A131,'Budget by Source'!$A$6:$A$330,0),MATCH(T$3,'Budget by Source'!$A$5:$I$5,0))-(ROUND(INDEX('Budget by Source'!$A$6:$I$330,MATCH('Payment by Source'!$A131,'Budget by Source'!$A$6:$A$330,0),MATCH(T$3,'Budget by Source'!$A$5:$I$5,0))/10,0)*10)</f>
        <v>-3</v>
      </c>
      <c r="U131" s="139">
        <f>INDEX('Budget by Source'!$A$6:$I$330,MATCH('Payment by Source'!$A131,'Budget by Source'!$A$6:$A$330,0),MATCH(U$3,'Budget by Source'!$A$5:$I$5,0))</f>
        <v>2298506</v>
      </c>
      <c r="V131" s="136">
        <f t="shared" si="4"/>
        <v>229851</v>
      </c>
      <c r="W131" s="136">
        <f t="shared" si="5"/>
        <v>2298510</v>
      </c>
    </row>
    <row r="132" spans="1:23" x14ac:dyDescent="0.2">
      <c r="A132" s="22" t="str">
        <f>Data!B128</f>
        <v>2727</v>
      </c>
      <c r="B132" s="20" t="str">
        <f>INDEX(Data[],MATCH($A132,Data[Dist],0),MATCH(B$5,Data[#Headers],0))</f>
        <v>Grundy Center</v>
      </c>
      <c r="C132" s="21">
        <f>IF(Notes!$B$2="June",ROUND('Budget by Source'!C132/10,0)+P132,ROUND('Budget by Source'!C132/10,0))</f>
        <v>19108</v>
      </c>
      <c r="D132" s="21">
        <f>IF(Notes!$B$2="June",ROUND('Budget by Source'!D132/10,0)+Q132,ROUND('Budget by Source'!D132/10,0))</f>
        <v>66702</v>
      </c>
      <c r="E132" s="21">
        <f>IF(Notes!$B$2="June",ROUND('Budget by Source'!E132/10,0)+R132,ROUND('Budget by Source'!E132/10,0))</f>
        <v>4864</v>
      </c>
      <c r="F132" s="21">
        <f>IF(Notes!$B$2="June",ROUND('Budget by Source'!F132/10,0)+S132,ROUND('Budget by Source'!F132/10,0))</f>
        <v>5250</v>
      </c>
      <c r="G132" s="21">
        <f>IF(Notes!$B$2="June",ROUND('Budget by Source'!G132/10,0)+T132,ROUND('Budget by Source'!G132/10,0))</f>
        <v>25430</v>
      </c>
      <c r="H132" s="21">
        <f t="shared" si="3"/>
        <v>384425</v>
      </c>
      <c r="I132" s="21">
        <f>INDEX(Data[],MATCH($A132,Data[Dist],0),MATCH(I$5,Data[#Headers],0))</f>
        <v>505779</v>
      </c>
      <c r="K132" s="59">
        <f>INDEX('Payment Total'!$A$7:$H$331,MATCH('Payment by Source'!$A132,'Payment Total'!$A$7:$A$331,0),4)-I132</f>
        <v>0</v>
      </c>
      <c r="P132" s="138">
        <f>INDEX('Budget by Source'!$A$6:$I$330,MATCH('Payment by Source'!$A132,'Budget by Source'!$A$6:$A$330,0),MATCH(P$3,'Budget by Source'!$A$5:$I$5,0))-(ROUND(INDEX('Budget by Source'!$A$6:$I$330,MATCH('Payment by Source'!$A132,'Budget by Source'!$A$6:$A$330,0),MATCH(P$3,'Budget by Source'!$A$5:$I$5,0))/10,0)*10)</f>
        <v>2</v>
      </c>
      <c r="Q132" s="138">
        <f>INDEX('Budget by Source'!$A$6:$I$330,MATCH('Payment by Source'!$A132,'Budget by Source'!$A$6:$A$330,0),MATCH(Q$3,'Budget by Source'!$A$5:$I$5,0))-(ROUND(INDEX('Budget by Source'!$A$6:$I$330,MATCH('Payment by Source'!$A132,'Budget by Source'!$A$6:$A$330,0),MATCH(Q$3,'Budget by Source'!$A$5:$I$5,0))/10,0)*10)</f>
        <v>0</v>
      </c>
      <c r="R132" s="138">
        <f>INDEX('Budget by Source'!$A$6:$I$330,MATCH('Payment by Source'!$A132,'Budget by Source'!$A$6:$A$330,0),MATCH(R$3,'Budget by Source'!$A$5:$I$5,0))-(ROUND(INDEX('Budget by Source'!$A$6:$I$330,MATCH('Payment by Source'!$A132,'Budget by Source'!$A$6:$A$330,0),MATCH(R$3,'Budget by Source'!$A$5:$I$5,0))/10,0)*10)</f>
        <v>-1</v>
      </c>
      <c r="S132" s="138">
        <f>INDEX('Budget by Source'!$A$6:$I$330,MATCH('Payment by Source'!$A132,'Budget by Source'!$A$6:$A$330,0),MATCH(S$3,'Budget by Source'!$A$5:$I$5,0))-(ROUND(INDEX('Budget by Source'!$A$6:$I$330,MATCH('Payment by Source'!$A132,'Budget by Source'!$A$6:$A$330,0),MATCH(S$3,'Budget by Source'!$A$5:$I$5,0))/10,0)*10)</f>
        <v>3</v>
      </c>
      <c r="T132" s="138">
        <f>INDEX('Budget by Source'!$A$6:$I$330,MATCH('Payment by Source'!$A132,'Budget by Source'!$A$6:$A$330,0),MATCH(T$3,'Budget by Source'!$A$5:$I$5,0))-(ROUND(INDEX('Budget by Source'!$A$6:$I$330,MATCH('Payment by Source'!$A132,'Budget by Source'!$A$6:$A$330,0),MATCH(T$3,'Budget by Source'!$A$5:$I$5,0))/10,0)*10)</f>
        <v>-5</v>
      </c>
      <c r="U132" s="139">
        <f>INDEX('Budget by Source'!$A$6:$I$330,MATCH('Payment by Source'!$A132,'Budget by Source'!$A$6:$A$330,0),MATCH(U$3,'Budget by Source'!$A$5:$I$5,0))</f>
        <v>3854316</v>
      </c>
      <c r="V132" s="136">
        <f t="shared" si="4"/>
        <v>385432</v>
      </c>
      <c r="W132" s="136">
        <f t="shared" si="5"/>
        <v>3854320</v>
      </c>
    </row>
    <row r="133" spans="1:23" x14ac:dyDescent="0.2">
      <c r="A133" s="22" t="str">
        <f>Data!B129</f>
        <v>2754</v>
      </c>
      <c r="B133" s="20" t="str">
        <f>INDEX(Data[],MATCH($A133,Data[Dist],0),MATCH(B$5,Data[#Headers],0))</f>
        <v>Guthrie Center</v>
      </c>
      <c r="C133" s="21">
        <f>IF(Notes!$B$2="June",ROUND('Budget by Source'!C133/10,0)+P133,ROUND('Budget by Source'!C133/10,0))</f>
        <v>11689</v>
      </c>
      <c r="D133" s="21">
        <f>IF(Notes!$B$2="June",ROUND('Budget by Source'!D133/10,0)+Q133,ROUND('Budget by Source'!D133/10,0))</f>
        <v>47491</v>
      </c>
      <c r="E133" s="21">
        <f>IF(Notes!$B$2="June",ROUND('Budget by Source'!E133/10,0)+R133,ROUND('Budget by Source'!E133/10,0))</f>
        <v>3368</v>
      </c>
      <c r="F133" s="21">
        <f>IF(Notes!$B$2="June",ROUND('Budget by Source'!F133/10,0)+S133,ROUND('Budget by Source'!F133/10,0))</f>
        <v>2862</v>
      </c>
      <c r="G133" s="21">
        <f>IF(Notes!$B$2="June",ROUND('Budget by Source'!G133/10,0)+T133,ROUND('Budget by Source'!G133/10,0))</f>
        <v>14936</v>
      </c>
      <c r="H133" s="21">
        <f t="shared" si="3"/>
        <v>205425</v>
      </c>
      <c r="I133" s="21">
        <f>INDEX(Data[],MATCH($A133,Data[Dist],0),MATCH(I$5,Data[#Headers],0))</f>
        <v>285771</v>
      </c>
      <c r="K133" s="59">
        <f>INDEX('Payment Total'!$A$7:$H$331,MATCH('Payment by Source'!$A133,'Payment Total'!$A$7:$A$331,0),4)-I133</f>
        <v>0</v>
      </c>
      <c r="P133" s="138">
        <f>INDEX('Budget by Source'!$A$6:$I$330,MATCH('Payment by Source'!$A133,'Budget by Source'!$A$6:$A$330,0),MATCH(P$3,'Budget by Source'!$A$5:$I$5,0))-(ROUND(INDEX('Budget by Source'!$A$6:$I$330,MATCH('Payment by Source'!$A133,'Budget by Source'!$A$6:$A$330,0),MATCH(P$3,'Budget by Source'!$A$5:$I$5,0))/10,0)*10)</f>
        <v>2</v>
      </c>
      <c r="Q133" s="138">
        <f>INDEX('Budget by Source'!$A$6:$I$330,MATCH('Payment by Source'!$A133,'Budget by Source'!$A$6:$A$330,0),MATCH(Q$3,'Budget by Source'!$A$5:$I$5,0))-(ROUND(INDEX('Budget by Source'!$A$6:$I$330,MATCH('Payment by Source'!$A133,'Budget by Source'!$A$6:$A$330,0),MATCH(Q$3,'Budget by Source'!$A$5:$I$5,0))/10,0)*10)</f>
        <v>1</v>
      </c>
      <c r="R133" s="138">
        <f>INDEX('Budget by Source'!$A$6:$I$330,MATCH('Payment by Source'!$A133,'Budget by Source'!$A$6:$A$330,0),MATCH(R$3,'Budget by Source'!$A$5:$I$5,0))-(ROUND(INDEX('Budget by Source'!$A$6:$I$330,MATCH('Payment by Source'!$A133,'Budget by Source'!$A$6:$A$330,0),MATCH(R$3,'Budget by Source'!$A$5:$I$5,0))/10,0)*10)</f>
        <v>4</v>
      </c>
      <c r="S133" s="138">
        <f>INDEX('Budget by Source'!$A$6:$I$330,MATCH('Payment by Source'!$A133,'Budget by Source'!$A$6:$A$330,0),MATCH(S$3,'Budget by Source'!$A$5:$I$5,0))-(ROUND(INDEX('Budget by Source'!$A$6:$I$330,MATCH('Payment by Source'!$A133,'Budget by Source'!$A$6:$A$330,0),MATCH(S$3,'Budget by Source'!$A$5:$I$5,0))/10,0)*10)</f>
        <v>-1</v>
      </c>
      <c r="T133" s="138">
        <f>INDEX('Budget by Source'!$A$6:$I$330,MATCH('Payment by Source'!$A133,'Budget by Source'!$A$6:$A$330,0),MATCH(T$3,'Budget by Source'!$A$5:$I$5,0))-(ROUND(INDEX('Budget by Source'!$A$6:$I$330,MATCH('Payment by Source'!$A133,'Budget by Source'!$A$6:$A$330,0),MATCH(T$3,'Budget by Source'!$A$5:$I$5,0))/10,0)*10)</f>
        <v>-2</v>
      </c>
      <c r="U133" s="139">
        <f>INDEX('Budget by Source'!$A$6:$I$330,MATCH('Payment by Source'!$A133,'Budget by Source'!$A$6:$A$330,0),MATCH(U$3,'Budget by Source'!$A$5:$I$5,0))</f>
        <v>2060188</v>
      </c>
      <c r="V133" s="136">
        <f t="shared" si="4"/>
        <v>206019</v>
      </c>
      <c r="W133" s="136">
        <f t="shared" si="5"/>
        <v>2060190</v>
      </c>
    </row>
    <row r="134" spans="1:23" x14ac:dyDescent="0.2">
      <c r="A134" s="22" t="str">
        <f>Data!B130</f>
        <v>2763</v>
      </c>
      <c r="B134" s="20" t="str">
        <f>INDEX(Data[],MATCH($A134,Data[Dist],0),MATCH(B$5,Data[#Headers],0))</f>
        <v>Clayton Ridge</v>
      </c>
      <c r="C134" s="21">
        <f>IF(Notes!$B$2="June",ROUND('Budget by Source'!C134/10,0)+P134,ROUND('Budget by Source'!C134/10,0))</f>
        <v>13248</v>
      </c>
      <c r="D134" s="21">
        <f>IF(Notes!$B$2="June",ROUND('Budget by Source'!D134/10,0)+Q134,ROUND('Budget by Source'!D134/10,0))</f>
        <v>58556</v>
      </c>
      <c r="E134" s="21">
        <f>IF(Notes!$B$2="June",ROUND('Budget by Source'!E134/10,0)+R134,ROUND('Budget by Source'!E134/10,0))</f>
        <v>4505</v>
      </c>
      <c r="F134" s="21">
        <f>IF(Notes!$B$2="June",ROUND('Budget by Source'!F134/10,0)+S134,ROUND('Budget by Source'!F134/10,0))</f>
        <v>4877</v>
      </c>
      <c r="G134" s="21">
        <f>IF(Notes!$B$2="June",ROUND('Budget by Source'!G134/10,0)+T134,ROUND('Budget by Source'!G134/10,0))</f>
        <v>24100</v>
      </c>
      <c r="H134" s="21">
        <f t="shared" si="3"/>
        <v>290801</v>
      </c>
      <c r="I134" s="21">
        <f>INDEX(Data[],MATCH($A134,Data[Dist],0),MATCH(I$5,Data[#Headers],0))</f>
        <v>396087</v>
      </c>
      <c r="K134" s="59">
        <f>INDEX('Payment Total'!$A$7:$H$331,MATCH('Payment by Source'!$A134,'Payment Total'!$A$7:$A$331,0),4)-I134</f>
        <v>0</v>
      </c>
      <c r="P134" s="138">
        <f>INDEX('Budget by Source'!$A$6:$I$330,MATCH('Payment by Source'!$A134,'Budget by Source'!$A$6:$A$330,0),MATCH(P$3,'Budget by Source'!$A$5:$I$5,0))-(ROUND(INDEX('Budget by Source'!$A$6:$I$330,MATCH('Payment by Source'!$A134,'Budget by Source'!$A$6:$A$330,0),MATCH(P$3,'Budget by Source'!$A$5:$I$5,0))/10,0)*10)</f>
        <v>-2</v>
      </c>
      <c r="Q134" s="138">
        <f>INDEX('Budget by Source'!$A$6:$I$330,MATCH('Payment by Source'!$A134,'Budget by Source'!$A$6:$A$330,0),MATCH(Q$3,'Budget by Source'!$A$5:$I$5,0))-(ROUND(INDEX('Budget by Source'!$A$6:$I$330,MATCH('Payment by Source'!$A134,'Budget by Source'!$A$6:$A$330,0),MATCH(Q$3,'Budget by Source'!$A$5:$I$5,0))/10,0)*10)</f>
        <v>-4</v>
      </c>
      <c r="R134" s="138">
        <f>INDEX('Budget by Source'!$A$6:$I$330,MATCH('Payment by Source'!$A134,'Budget by Source'!$A$6:$A$330,0),MATCH(R$3,'Budget by Source'!$A$5:$I$5,0))-(ROUND(INDEX('Budget by Source'!$A$6:$I$330,MATCH('Payment by Source'!$A134,'Budget by Source'!$A$6:$A$330,0),MATCH(R$3,'Budget by Source'!$A$5:$I$5,0))/10,0)*10)</f>
        <v>-1</v>
      </c>
      <c r="S134" s="138">
        <f>INDEX('Budget by Source'!$A$6:$I$330,MATCH('Payment by Source'!$A134,'Budget by Source'!$A$6:$A$330,0),MATCH(S$3,'Budget by Source'!$A$5:$I$5,0))-(ROUND(INDEX('Budget by Source'!$A$6:$I$330,MATCH('Payment by Source'!$A134,'Budget by Source'!$A$6:$A$330,0),MATCH(S$3,'Budget by Source'!$A$5:$I$5,0))/10,0)*10)</f>
        <v>-1</v>
      </c>
      <c r="T134" s="138">
        <f>INDEX('Budget by Source'!$A$6:$I$330,MATCH('Payment by Source'!$A134,'Budget by Source'!$A$6:$A$330,0),MATCH(T$3,'Budget by Source'!$A$5:$I$5,0))-(ROUND(INDEX('Budget by Source'!$A$6:$I$330,MATCH('Payment by Source'!$A134,'Budget by Source'!$A$6:$A$330,0),MATCH(T$3,'Budget by Source'!$A$5:$I$5,0))/10,0)*10)</f>
        <v>-2</v>
      </c>
      <c r="U134" s="139">
        <f>INDEX('Budget by Source'!$A$6:$I$330,MATCH('Payment by Source'!$A134,'Budget by Source'!$A$6:$A$330,0),MATCH(U$3,'Budget by Source'!$A$5:$I$5,0))</f>
        <v>2917449</v>
      </c>
      <c r="V134" s="136">
        <f t="shared" si="4"/>
        <v>291745</v>
      </c>
      <c r="W134" s="136">
        <f t="shared" si="5"/>
        <v>2917450</v>
      </c>
    </row>
    <row r="135" spans="1:23" x14ac:dyDescent="0.2">
      <c r="A135" s="22" t="str">
        <f>Data!B131</f>
        <v>2766</v>
      </c>
      <c r="B135" s="20" t="str">
        <f>INDEX(Data[],MATCH($A135,Data[Dist],0),MATCH(B$5,Data[#Headers],0))</f>
        <v>HLV</v>
      </c>
      <c r="C135" s="21">
        <f>IF(Notes!$B$2="June",ROUND('Budget by Source'!C135/10,0)+P135,ROUND('Budget by Source'!C135/10,0))</f>
        <v>7403</v>
      </c>
      <c r="D135" s="21">
        <f>IF(Notes!$B$2="June",ROUND('Budget by Source'!D135/10,0)+Q135,ROUND('Budget by Source'!D135/10,0))</f>
        <v>38150</v>
      </c>
      <c r="E135" s="21">
        <f>IF(Notes!$B$2="June",ROUND('Budget by Source'!E135/10,0)+R135,ROUND('Budget by Source'!E135/10,0))</f>
        <v>2365</v>
      </c>
      <c r="F135" s="21">
        <f>IF(Notes!$B$2="June",ROUND('Budget by Source'!F135/10,0)+S135,ROUND('Budget by Source'!F135/10,0))</f>
        <v>2305</v>
      </c>
      <c r="G135" s="21">
        <f>IF(Notes!$B$2="June",ROUND('Budget by Source'!G135/10,0)+T135,ROUND('Budget by Source'!G135/10,0))</f>
        <v>11967</v>
      </c>
      <c r="H135" s="21">
        <f t="shared" ref="H135:H198" si="6">I135-SUM(C135:G135)</f>
        <v>158823</v>
      </c>
      <c r="I135" s="21">
        <f>INDEX(Data[],MATCH($A135,Data[Dist],0),MATCH(I$5,Data[#Headers],0))</f>
        <v>221013</v>
      </c>
      <c r="K135" s="59">
        <f>INDEX('Payment Total'!$A$7:$H$331,MATCH('Payment by Source'!$A135,'Payment Total'!$A$7:$A$331,0),4)-I135</f>
        <v>0</v>
      </c>
      <c r="P135" s="138">
        <f>INDEX('Budget by Source'!$A$6:$I$330,MATCH('Payment by Source'!$A135,'Budget by Source'!$A$6:$A$330,0),MATCH(P$3,'Budget by Source'!$A$5:$I$5,0))-(ROUND(INDEX('Budget by Source'!$A$6:$I$330,MATCH('Payment by Source'!$A135,'Budget by Source'!$A$6:$A$330,0),MATCH(P$3,'Budget by Source'!$A$5:$I$5,0))/10,0)*10)</f>
        <v>2</v>
      </c>
      <c r="Q135" s="138">
        <f>INDEX('Budget by Source'!$A$6:$I$330,MATCH('Payment by Source'!$A135,'Budget by Source'!$A$6:$A$330,0),MATCH(Q$3,'Budget by Source'!$A$5:$I$5,0))-(ROUND(INDEX('Budget by Source'!$A$6:$I$330,MATCH('Payment by Source'!$A135,'Budget by Source'!$A$6:$A$330,0),MATCH(Q$3,'Budget by Source'!$A$5:$I$5,0))/10,0)*10)</f>
        <v>3</v>
      </c>
      <c r="R135" s="138">
        <f>INDEX('Budget by Source'!$A$6:$I$330,MATCH('Payment by Source'!$A135,'Budget by Source'!$A$6:$A$330,0),MATCH(R$3,'Budget by Source'!$A$5:$I$5,0))-(ROUND(INDEX('Budget by Source'!$A$6:$I$330,MATCH('Payment by Source'!$A135,'Budget by Source'!$A$6:$A$330,0),MATCH(R$3,'Budget by Source'!$A$5:$I$5,0))/10,0)*10)</f>
        <v>2</v>
      </c>
      <c r="S135" s="138">
        <f>INDEX('Budget by Source'!$A$6:$I$330,MATCH('Payment by Source'!$A135,'Budget by Source'!$A$6:$A$330,0),MATCH(S$3,'Budget by Source'!$A$5:$I$5,0))-(ROUND(INDEX('Budget by Source'!$A$6:$I$330,MATCH('Payment by Source'!$A135,'Budget by Source'!$A$6:$A$330,0),MATCH(S$3,'Budget by Source'!$A$5:$I$5,0))/10,0)*10)</f>
        <v>0</v>
      </c>
      <c r="T135" s="138">
        <f>INDEX('Budget by Source'!$A$6:$I$330,MATCH('Payment by Source'!$A135,'Budget by Source'!$A$6:$A$330,0),MATCH(T$3,'Budget by Source'!$A$5:$I$5,0))-(ROUND(INDEX('Budget by Source'!$A$6:$I$330,MATCH('Payment by Source'!$A135,'Budget by Source'!$A$6:$A$330,0),MATCH(T$3,'Budget by Source'!$A$5:$I$5,0))/10,0)*10)</f>
        <v>-2</v>
      </c>
      <c r="U135" s="139">
        <f>INDEX('Budget by Source'!$A$6:$I$330,MATCH('Payment by Source'!$A135,'Budget by Source'!$A$6:$A$330,0),MATCH(U$3,'Budget by Source'!$A$5:$I$5,0))</f>
        <v>1592964</v>
      </c>
      <c r="V135" s="136">
        <f t="shared" ref="V135:V198" si="7">ROUND(U135/10,0)</f>
        <v>159296</v>
      </c>
      <c r="W135" s="136">
        <f t="shared" ref="W135:W198" si="8">V135*10</f>
        <v>1592960</v>
      </c>
    </row>
    <row r="136" spans="1:23" x14ac:dyDescent="0.2">
      <c r="A136" s="22" t="str">
        <f>Data!B132</f>
        <v>2772</v>
      </c>
      <c r="B136" s="20" t="str">
        <f>INDEX(Data[],MATCH($A136,Data[Dist],0),MATCH(B$5,Data[#Headers],0))</f>
        <v>Hamburg</v>
      </c>
      <c r="C136" s="21">
        <f>IF(Notes!$B$2="June",ROUND('Budget by Source'!C136/10,0)+P136,ROUND('Budget by Source'!C136/10,0))</f>
        <v>3117</v>
      </c>
      <c r="D136" s="21">
        <f>IF(Notes!$B$2="June",ROUND('Budget by Source'!D136/10,0)+Q136,ROUND('Budget by Source'!D136/10,0))</f>
        <v>25048</v>
      </c>
      <c r="E136" s="21">
        <f>IF(Notes!$B$2="June",ROUND('Budget by Source'!E136/10,0)+R136,ROUND('Budget by Source'!E136/10,0))</f>
        <v>1774</v>
      </c>
      <c r="F136" s="21">
        <f>IF(Notes!$B$2="June",ROUND('Budget by Source'!F136/10,0)+S136,ROUND('Budget by Source'!F136/10,0))</f>
        <v>1576</v>
      </c>
      <c r="G136" s="21">
        <f>IF(Notes!$B$2="June",ROUND('Budget by Source'!G136/10,0)+T136,ROUND('Budget by Source'!G136/10,0))</f>
        <v>8329</v>
      </c>
      <c r="H136" s="21">
        <f t="shared" si="6"/>
        <v>67895</v>
      </c>
      <c r="I136" s="21">
        <f>INDEX(Data[],MATCH($A136,Data[Dist],0),MATCH(I$5,Data[#Headers],0))</f>
        <v>107739</v>
      </c>
      <c r="K136" s="59">
        <f>INDEX('Payment Total'!$A$7:$H$331,MATCH('Payment by Source'!$A136,'Payment Total'!$A$7:$A$331,0),4)-I136</f>
        <v>0</v>
      </c>
      <c r="P136" s="138">
        <f>INDEX('Budget by Source'!$A$6:$I$330,MATCH('Payment by Source'!$A136,'Budget by Source'!$A$6:$A$330,0),MATCH(P$3,'Budget by Source'!$A$5:$I$5,0))-(ROUND(INDEX('Budget by Source'!$A$6:$I$330,MATCH('Payment by Source'!$A136,'Budget by Source'!$A$6:$A$330,0),MATCH(P$3,'Budget by Source'!$A$5:$I$5,0))/10,0)*10)</f>
        <v>1</v>
      </c>
      <c r="Q136" s="138">
        <f>INDEX('Budget by Source'!$A$6:$I$330,MATCH('Payment by Source'!$A136,'Budget by Source'!$A$6:$A$330,0),MATCH(Q$3,'Budget by Source'!$A$5:$I$5,0))-(ROUND(INDEX('Budget by Source'!$A$6:$I$330,MATCH('Payment by Source'!$A136,'Budget by Source'!$A$6:$A$330,0),MATCH(Q$3,'Budget by Source'!$A$5:$I$5,0))/10,0)*10)</f>
        <v>2</v>
      </c>
      <c r="R136" s="138">
        <f>INDEX('Budget by Source'!$A$6:$I$330,MATCH('Payment by Source'!$A136,'Budget by Source'!$A$6:$A$330,0),MATCH(R$3,'Budget by Source'!$A$5:$I$5,0))-(ROUND(INDEX('Budget by Source'!$A$6:$I$330,MATCH('Payment by Source'!$A136,'Budget by Source'!$A$6:$A$330,0),MATCH(R$3,'Budget by Source'!$A$5:$I$5,0))/10,0)*10)</f>
        <v>-4</v>
      </c>
      <c r="S136" s="138">
        <f>INDEX('Budget by Source'!$A$6:$I$330,MATCH('Payment by Source'!$A136,'Budget by Source'!$A$6:$A$330,0),MATCH(S$3,'Budget by Source'!$A$5:$I$5,0))-(ROUND(INDEX('Budget by Source'!$A$6:$I$330,MATCH('Payment by Source'!$A136,'Budget by Source'!$A$6:$A$330,0),MATCH(S$3,'Budget by Source'!$A$5:$I$5,0))/10,0)*10)</f>
        <v>1</v>
      </c>
      <c r="T136" s="138">
        <f>INDEX('Budget by Source'!$A$6:$I$330,MATCH('Payment by Source'!$A136,'Budget by Source'!$A$6:$A$330,0),MATCH(T$3,'Budget by Source'!$A$5:$I$5,0))-(ROUND(INDEX('Budget by Source'!$A$6:$I$330,MATCH('Payment by Source'!$A136,'Budget by Source'!$A$6:$A$330,0),MATCH(T$3,'Budget by Source'!$A$5:$I$5,0))/10,0)*10)</f>
        <v>-2</v>
      </c>
      <c r="U136" s="139">
        <f>INDEX('Budget by Source'!$A$6:$I$330,MATCH('Payment by Source'!$A136,'Budget by Source'!$A$6:$A$330,0),MATCH(U$3,'Budget by Source'!$A$5:$I$5,0))</f>
        <v>682071</v>
      </c>
      <c r="V136" s="136">
        <f t="shared" si="7"/>
        <v>68207</v>
      </c>
      <c r="W136" s="136">
        <f t="shared" si="8"/>
        <v>682070</v>
      </c>
    </row>
    <row r="137" spans="1:23" x14ac:dyDescent="0.2">
      <c r="A137" s="22" t="str">
        <f>Data!B133</f>
        <v>2781</v>
      </c>
      <c r="B137" s="20" t="str">
        <f>INDEX(Data[],MATCH($A137,Data[Dist],0),MATCH(B$5,Data[#Headers],0))</f>
        <v>Hampton-Dumont</v>
      </c>
      <c r="C137" s="21">
        <f>IF(Notes!$B$2="June",ROUND('Budget by Source'!C137/10,0)+P137,ROUND('Budget by Source'!C137/10,0))</f>
        <v>19872</v>
      </c>
      <c r="D137" s="21">
        <f>IF(Notes!$B$2="June",ROUND('Budget by Source'!D137/10,0)+Q137,ROUND('Budget by Source'!D137/10,0))</f>
        <v>88139</v>
      </c>
      <c r="E137" s="21">
        <f>IF(Notes!$B$2="June",ROUND('Budget by Source'!E137/10,0)+R137,ROUND('Budget by Source'!E137/10,0))</f>
        <v>9822</v>
      </c>
      <c r="F137" s="21">
        <f>IF(Notes!$B$2="June",ROUND('Budget by Source'!F137/10,0)+S137,ROUND('Budget by Source'!F137/10,0))</f>
        <v>8347</v>
      </c>
      <c r="G137" s="21">
        <f>IF(Notes!$B$2="June",ROUND('Budget by Source'!G137/10,0)+T137,ROUND('Budget by Source'!G137/10,0))</f>
        <v>41593</v>
      </c>
      <c r="H137" s="21">
        <f t="shared" si="6"/>
        <v>658475</v>
      </c>
      <c r="I137" s="21">
        <f>INDEX(Data[],MATCH($A137,Data[Dist],0),MATCH(I$5,Data[#Headers],0))</f>
        <v>826248</v>
      </c>
      <c r="K137" s="59">
        <f>INDEX('Payment Total'!$A$7:$H$331,MATCH('Payment by Source'!$A137,'Payment Total'!$A$7:$A$331,0),4)-I137</f>
        <v>0</v>
      </c>
      <c r="P137" s="138">
        <f>INDEX('Budget by Source'!$A$6:$I$330,MATCH('Payment by Source'!$A137,'Budget by Source'!$A$6:$A$330,0),MATCH(P$3,'Budget by Source'!$A$5:$I$5,0))-(ROUND(INDEX('Budget by Source'!$A$6:$I$330,MATCH('Payment by Source'!$A137,'Budget by Source'!$A$6:$A$330,0),MATCH(P$3,'Budget by Source'!$A$5:$I$5,0))/10,0)*10)</f>
        <v>-3</v>
      </c>
      <c r="Q137" s="138">
        <f>INDEX('Budget by Source'!$A$6:$I$330,MATCH('Payment by Source'!$A137,'Budget by Source'!$A$6:$A$330,0),MATCH(Q$3,'Budget by Source'!$A$5:$I$5,0))-(ROUND(INDEX('Budget by Source'!$A$6:$I$330,MATCH('Payment by Source'!$A137,'Budget by Source'!$A$6:$A$330,0),MATCH(Q$3,'Budget by Source'!$A$5:$I$5,0))/10,0)*10)</f>
        <v>-3</v>
      </c>
      <c r="R137" s="138">
        <f>INDEX('Budget by Source'!$A$6:$I$330,MATCH('Payment by Source'!$A137,'Budget by Source'!$A$6:$A$330,0),MATCH(R$3,'Budget by Source'!$A$5:$I$5,0))-(ROUND(INDEX('Budget by Source'!$A$6:$I$330,MATCH('Payment by Source'!$A137,'Budget by Source'!$A$6:$A$330,0),MATCH(R$3,'Budget by Source'!$A$5:$I$5,0))/10,0)*10)</f>
        <v>-2</v>
      </c>
      <c r="S137" s="138">
        <f>INDEX('Budget by Source'!$A$6:$I$330,MATCH('Payment by Source'!$A137,'Budget by Source'!$A$6:$A$330,0),MATCH(S$3,'Budget by Source'!$A$5:$I$5,0))-(ROUND(INDEX('Budget by Source'!$A$6:$I$330,MATCH('Payment by Source'!$A137,'Budget by Source'!$A$6:$A$330,0),MATCH(S$3,'Budget by Source'!$A$5:$I$5,0))/10,0)*10)</f>
        <v>4</v>
      </c>
      <c r="T137" s="138">
        <f>INDEX('Budget by Source'!$A$6:$I$330,MATCH('Payment by Source'!$A137,'Budget by Source'!$A$6:$A$330,0),MATCH(T$3,'Budget by Source'!$A$5:$I$5,0))-(ROUND(INDEX('Budget by Source'!$A$6:$I$330,MATCH('Payment by Source'!$A137,'Budget by Source'!$A$6:$A$330,0),MATCH(T$3,'Budget by Source'!$A$5:$I$5,0))/10,0)*10)</f>
        <v>0</v>
      </c>
      <c r="U137" s="139">
        <f>INDEX('Budget by Source'!$A$6:$I$330,MATCH('Payment by Source'!$A137,'Budget by Source'!$A$6:$A$330,0),MATCH(U$3,'Budget by Source'!$A$5:$I$5,0))</f>
        <v>6601144</v>
      </c>
      <c r="V137" s="136">
        <f t="shared" si="7"/>
        <v>660114</v>
      </c>
      <c r="W137" s="136">
        <f t="shared" si="8"/>
        <v>6601140</v>
      </c>
    </row>
    <row r="138" spans="1:23" x14ac:dyDescent="0.2">
      <c r="A138" s="22" t="str">
        <f>Data!B134</f>
        <v>2826</v>
      </c>
      <c r="B138" s="20" t="str">
        <f>INDEX(Data[],MATCH($A138,Data[Dist],0),MATCH(B$5,Data[#Headers],0))</f>
        <v>Harlan</v>
      </c>
      <c r="C138" s="21">
        <f>IF(Notes!$B$2="June",ROUND('Budget by Source'!C138/10,0)+P138,ROUND('Budget by Source'!C138/10,0))</f>
        <v>33120</v>
      </c>
      <c r="D138" s="21">
        <f>IF(Notes!$B$2="June",ROUND('Budget by Source'!D138/10,0)+Q138,ROUND('Budget by Source'!D138/10,0))</f>
        <v>112721</v>
      </c>
      <c r="E138" s="21">
        <f>IF(Notes!$B$2="June",ROUND('Budget by Source'!E138/10,0)+R138,ROUND('Budget by Source'!E138/10,0))</f>
        <v>11084</v>
      </c>
      <c r="F138" s="21">
        <f>IF(Notes!$B$2="June",ROUND('Budget by Source'!F138/10,0)+S138,ROUND('Budget by Source'!F138/10,0))</f>
        <v>11046</v>
      </c>
      <c r="G138" s="21">
        <f>IF(Notes!$B$2="June",ROUND('Budget by Source'!G138/10,0)+T138,ROUND('Budget by Source'!G138/10,0))</f>
        <v>53193</v>
      </c>
      <c r="H138" s="21">
        <f t="shared" si="6"/>
        <v>747646</v>
      </c>
      <c r="I138" s="21">
        <f>INDEX(Data[],MATCH($A138,Data[Dist],0),MATCH(I$5,Data[#Headers],0))</f>
        <v>968810</v>
      </c>
      <c r="K138" s="59">
        <f>INDEX('Payment Total'!$A$7:$H$331,MATCH('Payment by Source'!$A138,'Payment Total'!$A$7:$A$331,0),4)-I138</f>
        <v>0</v>
      </c>
      <c r="P138" s="138">
        <f>INDEX('Budget by Source'!$A$6:$I$330,MATCH('Payment by Source'!$A138,'Budget by Source'!$A$6:$A$330,0),MATCH(P$3,'Budget by Source'!$A$5:$I$5,0))-(ROUND(INDEX('Budget by Source'!$A$6:$I$330,MATCH('Payment by Source'!$A138,'Budget by Source'!$A$6:$A$330,0),MATCH(P$3,'Budget by Source'!$A$5:$I$5,0))/10,0)*10)</f>
        <v>-5</v>
      </c>
      <c r="Q138" s="138">
        <f>INDEX('Budget by Source'!$A$6:$I$330,MATCH('Payment by Source'!$A138,'Budget by Source'!$A$6:$A$330,0),MATCH(Q$3,'Budget by Source'!$A$5:$I$5,0))-(ROUND(INDEX('Budget by Source'!$A$6:$I$330,MATCH('Payment by Source'!$A138,'Budget by Source'!$A$6:$A$330,0),MATCH(Q$3,'Budget by Source'!$A$5:$I$5,0))/10,0)*10)</f>
        <v>-2</v>
      </c>
      <c r="R138" s="138">
        <f>INDEX('Budget by Source'!$A$6:$I$330,MATCH('Payment by Source'!$A138,'Budget by Source'!$A$6:$A$330,0),MATCH(R$3,'Budget by Source'!$A$5:$I$5,0))-(ROUND(INDEX('Budget by Source'!$A$6:$I$330,MATCH('Payment by Source'!$A138,'Budget by Source'!$A$6:$A$330,0),MATCH(R$3,'Budget by Source'!$A$5:$I$5,0))/10,0)*10)</f>
        <v>-1</v>
      </c>
      <c r="S138" s="138">
        <f>INDEX('Budget by Source'!$A$6:$I$330,MATCH('Payment by Source'!$A138,'Budget by Source'!$A$6:$A$330,0),MATCH(S$3,'Budget by Source'!$A$5:$I$5,0))-(ROUND(INDEX('Budget by Source'!$A$6:$I$330,MATCH('Payment by Source'!$A138,'Budget by Source'!$A$6:$A$330,0),MATCH(S$3,'Budget by Source'!$A$5:$I$5,0))/10,0)*10)</f>
        <v>-1</v>
      </c>
      <c r="T138" s="138">
        <f>INDEX('Budget by Source'!$A$6:$I$330,MATCH('Payment by Source'!$A138,'Budget by Source'!$A$6:$A$330,0),MATCH(T$3,'Budget by Source'!$A$5:$I$5,0))-(ROUND(INDEX('Budget by Source'!$A$6:$I$330,MATCH('Payment by Source'!$A138,'Budget by Source'!$A$6:$A$330,0),MATCH(T$3,'Budget by Source'!$A$5:$I$5,0))/10,0)*10)</f>
        <v>3</v>
      </c>
      <c r="U138" s="139">
        <f>INDEX('Budget by Source'!$A$6:$I$330,MATCH('Payment by Source'!$A138,'Budget by Source'!$A$6:$A$330,0),MATCH(U$3,'Budget by Source'!$A$5:$I$5,0))</f>
        <v>7496953</v>
      </c>
      <c r="V138" s="136">
        <f t="shared" si="7"/>
        <v>749695</v>
      </c>
      <c r="W138" s="136">
        <f t="shared" si="8"/>
        <v>7496950</v>
      </c>
    </row>
    <row r="139" spans="1:23" x14ac:dyDescent="0.2">
      <c r="A139" s="22" t="str">
        <f>Data!B135</f>
        <v>2846</v>
      </c>
      <c r="B139" s="20" t="str">
        <f>INDEX(Data[],MATCH($A139,Data[Dist],0),MATCH(B$5,Data[#Headers],0))</f>
        <v>Harris-Lake Park</v>
      </c>
      <c r="C139" s="21">
        <f>IF(Notes!$B$2="June",ROUND('Budget by Source'!C139/10,0)+P139,ROUND('Budget by Source'!C139/10,0))</f>
        <v>7014</v>
      </c>
      <c r="D139" s="21">
        <f>IF(Notes!$B$2="June",ROUND('Budget by Source'!D139/10,0)+Q139,ROUND('Budget by Source'!D139/10,0))</f>
        <v>42219</v>
      </c>
      <c r="E139" s="21">
        <f>IF(Notes!$B$2="June",ROUND('Budget by Source'!E139/10,0)+R139,ROUND('Budget by Source'!E139/10,0))</f>
        <v>2783</v>
      </c>
      <c r="F139" s="21">
        <f>IF(Notes!$B$2="June",ROUND('Budget by Source'!F139/10,0)+S139,ROUND('Budget by Source'!F139/10,0))</f>
        <v>2194</v>
      </c>
      <c r="G139" s="21">
        <f>IF(Notes!$B$2="June",ROUND('Budget by Source'!G139/10,0)+T139,ROUND('Budget by Source'!G139/10,0))</f>
        <v>11257</v>
      </c>
      <c r="H139" s="21">
        <f t="shared" si="6"/>
        <v>71790</v>
      </c>
      <c r="I139" s="21">
        <f>INDEX(Data[],MATCH($A139,Data[Dist],0),MATCH(I$5,Data[#Headers],0))</f>
        <v>137257</v>
      </c>
      <c r="K139" s="59">
        <f>INDEX('Payment Total'!$A$7:$H$331,MATCH('Payment by Source'!$A139,'Payment Total'!$A$7:$A$331,0),4)-I139</f>
        <v>0</v>
      </c>
      <c r="P139" s="138">
        <f>INDEX('Budget by Source'!$A$6:$I$330,MATCH('Payment by Source'!$A139,'Budget by Source'!$A$6:$A$330,0),MATCH(P$3,'Budget by Source'!$A$5:$I$5,0))-(ROUND(INDEX('Budget by Source'!$A$6:$I$330,MATCH('Payment by Source'!$A139,'Budget by Source'!$A$6:$A$330,0),MATCH(P$3,'Budget by Source'!$A$5:$I$5,0))/10,0)*10)</f>
        <v>-5</v>
      </c>
      <c r="Q139" s="138">
        <f>INDEX('Budget by Source'!$A$6:$I$330,MATCH('Payment by Source'!$A139,'Budget by Source'!$A$6:$A$330,0),MATCH(Q$3,'Budget by Source'!$A$5:$I$5,0))-(ROUND(INDEX('Budget by Source'!$A$6:$I$330,MATCH('Payment by Source'!$A139,'Budget by Source'!$A$6:$A$330,0),MATCH(Q$3,'Budget by Source'!$A$5:$I$5,0))/10,0)*10)</f>
        <v>-4</v>
      </c>
      <c r="R139" s="138">
        <f>INDEX('Budget by Source'!$A$6:$I$330,MATCH('Payment by Source'!$A139,'Budget by Source'!$A$6:$A$330,0),MATCH(R$3,'Budget by Source'!$A$5:$I$5,0))-(ROUND(INDEX('Budget by Source'!$A$6:$I$330,MATCH('Payment by Source'!$A139,'Budget by Source'!$A$6:$A$330,0),MATCH(R$3,'Budget by Source'!$A$5:$I$5,0))/10,0)*10)</f>
        <v>0</v>
      </c>
      <c r="S139" s="138">
        <f>INDEX('Budget by Source'!$A$6:$I$330,MATCH('Payment by Source'!$A139,'Budget by Source'!$A$6:$A$330,0),MATCH(S$3,'Budget by Source'!$A$5:$I$5,0))-(ROUND(INDEX('Budget by Source'!$A$6:$I$330,MATCH('Payment by Source'!$A139,'Budget by Source'!$A$6:$A$330,0),MATCH(S$3,'Budget by Source'!$A$5:$I$5,0))/10,0)*10)</f>
        <v>2</v>
      </c>
      <c r="T139" s="138">
        <f>INDEX('Budget by Source'!$A$6:$I$330,MATCH('Payment by Source'!$A139,'Budget by Source'!$A$6:$A$330,0),MATCH(T$3,'Budget by Source'!$A$5:$I$5,0))-(ROUND(INDEX('Budget by Source'!$A$6:$I$330,MATCH('Payment by Source'!$A139,'Budget by Source'!$A$6:$A$330,0),MATCH(T$3,'Budget by Source'!$A$5:$I$5,0))/10,0)*10)</f>
        <v>-3</v>
      </c>
      <c r="U139" s="139">
        <f>INDEX('Budget by Source'!$A$6:$I$330,MATCH('Payment by Source'!$A139,'Budget by Source'!$A$6:$A$330,0),MATCH(U$3,'Budget by Source'!$A$5:$I$5,0))</f>
        <v>722379</v>
      </c>
      <c r="V139" s="136">
        <f t="shared" si="7"/>
        <v>72238</v>
      </c>
      <c r="W139" s="136">
        <f t="shared" si="8"/>
        <v>722380</v>
      </c>
    </row>
    <row r="140" spans="1:23" x14ac:dyDescent="0.2">
      <c r="A140" s="22" t="str">
        <f>Data!B136</f>
        <v>2862</v>
      </c>
      <c r="B140" s="20" t="str">
        <f>INDEX(Data[],MATCH($A140,Data[Dist],0),MATCH(B$5,Data[#Headers],0))</f>
        <v>Hartley-Melvin-Sanborn</v>
      </c>
      <c r="C140" s="21">
        <f>IF(Notes!$B$2="June",ROUND('Budget by Source'!C140/10,0)+P140,ROUND('Budget by Source'!C140/10,0))</f>
        <v>16755</v>
      </c>
      <c r="D140" s="21">
        <f>IF(Notes!$B$2="June",ROUND('Budget by Source'!D140/10,0)+Q140,ROUND('Budget by Source'!D140/10,0))</f>
        <v>71812</v>
      </c>
      <c r="E140" s="21">
        <f>IF(Notes!$B$2="June",ROUND('Budget by Source'!E140/10,0)+R140,ROUND('Budget by Source'!E140/10,0))</f>
        <v>5268</v>
      </c>
      <c r="F140" s="21">
        <f>IF(Notes!$B$2="June",ROUND('Budget by Source'!F140/10,0)+S140,ROUND('Budget by Source'!F140/10,0))</f>
        <v>5525</v>
      </c>
      <c r="G140" s="21">
        <f>IF(Notes!$B$2="June",ROUND('Budget by Source'!G140/10,0)+T140,ROUND('Budget by Source'!G140/10,0))</f>
        <v>27258</v>
      </c>
      <c r="H140" s="21">
        <f t="shared" si="6"/>
        <v>229478</v>
      </c>
      <c r="I140" s="21">
        <f>INDEX(Data[],MATCH($A140,Data[Dist],0),MATCH(I$5,Data[#Headers],0))</f>
        <v>356096</v>
      </c>
      <c r="K140" s="59">
        <f>INDEX('Payment Total'!$A$7:$H$331,MATCH('Payment by Source'!$A140,'Payment Total'!$A$7:$A$331,0),4)-I140</f>
        <v>0</v>
      </c>
      <c r="P140" s="138">
        <f>INDEX('Budget by Source'!$A$6:$I$330,MATCH('Payment by Source'!$A140,'Budget by Source'!$A$6:$A$330,0),MATCH(P$3,'Budget by Source'!$A$5:$I$5,0))-(ROUND(INDEX('Budget by Source'!$A$6:$I$330,MATCH('Payment by Source'!$A140,'Budget by Source'!$A$6:$A$330,0),MATCH(P$3,'Budget by Source'!$A$5:$I$5,0))/10,0)*10)</f>
        <v>-4</v>
      </c>
      <c r="Q140" s="138">
        <f>INDEX('Budget by Source'!$A$6:$I$330,MATCH('Payment by Source'!$A140,'Budget by Source'!$A$6:$A$330,0),MATCH(Q$3,'Budget by Source'!$A$5:$I$5,0))-(ROUND(INDEX('Budget by Source'!$A$6:$I$330,MATCH('Payment by Source'!$A140,'Budget by Source'!$A$6:$A$330,0),MATCH(Q$3,'Budget by Source'!$A$5:$I$5,0))/10,0)*10)</f>
        <v>2</v>
      </c>
      <c r="R140" s="138">
        <f>INDEX('Budget by Source'!$A$6:$I$330,MATCH('Payment by Source'!$A140,'Budget by Source'!$A$6:$A$330,0),MATCH(R$3,'Budget by Source'!$A$5:$I$5,0))-(ROUND(INDEX('Budget by Source'!$A$6:$I$330,MATCH('Payment by Source'!$A140,'Budget by Source'!$A$6:$A$330,0),MATCH(R$3,'Budget by Source'!$A$5:$I$5,0))/10,0)*10)</f>
        <v>-3</v>
      </c>
      <c r="S140" s="138">
        <f>INDEX('Budget by Source'!$A$6:$I$330,MATCH('Payment by Source'!$A140,'Budget by Source'!$A$6:$A$330,0),MATCH(S$3,'Budget by Source'!$A$5:$I$5,0))-(ROUND(INDEX('Budget by Source'!$A$6:$I$330,MATCH('Payment by Source'!$A140,'Budget by Source'!$A$6:$A$330,0),MATCH(S$3,'Budget by Source'!$A$5:$I$5,0))/10,0)*10)</f>
        <v>-4</v>
      </c>
      <c r="T140" s="138">
        <f>INDEX('Budget by Source'!$A$6:$I$330,MATCH('Payment by Source'!$A140,'Budget by Source'!$A$6:$A$330,0),MATCH(T$3,'Budget by Source'!$A$5:$I$5,0))-(ROUND(INDEX('Budget by Source'!$A$6:$I$330,MATCH('Payment by Source'!$A140,'Budget by Source'!$A$6:$A$330,0),MATCH(T$3,'Budget by Source'!$A$5:$I$5,0))/10,0)*10)</f>
        <v>-3</v>
      </c>
      <c r="U140" s="139">
        <f>INDEX('Budget by Source'!$A$6:$I$330,MATCH('Payment by Source'!$A140,'Budget by Source'!$A$6:$A$330,0),MATCH(U$3,'Budget by Source'!$A$5:$I$5,0))</f>
        <v>2304351</v>
      </c>
      <c r="V140" s="136">
        <f t="shared" si="7"/>
        <v>230435</v>
      </c>
      <c r="W140" s="136">
        <f t="shared" si="8"/>
        <v>2304350</v>
      </c>
    </row>
    <row r="141" spans="1:23" x14ac:dyDescent="0.2">
      <c r="A141" s="22" t="str">
        <f>Data!B137</f>
        <v>2977</v>
      </c>
      <c r="B141" s="20" t="str">
        <f>INDEX(Data[],MATCH($A141,Data[Dist],0),MATCH(B$5,Data[#Headers],0))</f>
        <v>Highland</v>
      </c>
      <c r="C141" s="21">
        <f>IF(Notes!$B$2="June",ROUND('Budget by Source'!C141/10,0)+P141,ROUND('Budget by Source'!C141/10,0))</f>
        <v>9351</v>
      </c>
      <c r="D141" s="21">
        <f>IF(Notes!$B$2="June",ROUND('Budget by Source'!D141/10,0)+Q141,ROUND('Budget by Source'!D141/10,0))</f>
        <v>63213</v>
      </c>
      <c r="E141" s="21">
        <f>IF(Notes!$B$2="June",ROUND('Budget by Source'!E141/10,0)+R141,ROUND('Budget by Source'!E141/10,0))</f>
        <v>4977</v>
      </c>
      <c r="F141" s="21">
        <f>IF(Notes!$B$2="June",ROUND('Budget by Source'!F141/10,0)+S141,ROUND('Budget by Source'!F141/10,0))</f>
        <v>4475</v>
      </c>
      <c r="G141" s="21">
        <f>IF(Notes!$B$2="June",ROUND('Budget by Source'!G141/10,0)+T141,ROUND('Budget by Source'!G141/10,0))</f>
        <v>22521</v>
      </c>
      <c r="H141" s="21">
        <f t="shared" si="6"/>
        <v>276202</v>
      </c>
      <c r="I141" s="21">
        <f>INDEX(Data[],MATCH($A141,Data[Dist],0),MATCH(I$5,Data[#Headers],0))</f>
        <v>380739</v>
      </c>
      <c r="K141" s="59">
        <f>INDEX('Payment Total'!$A$7:$H$331,MATCH('Payment by Source'!$A141,'Payment Total'!$A$7:$A$331,0),4)-I141</f>
        <v>0</v>
      </c>
      <c r="P141" s="138">
        <f>INDEX('Budget by Source'!$A$6:$I$330,MATCH('Payment by Source'!$A141,'Budget by Source'!$A$6:$A$330,0),MATCH(P$3,'Budget by Source'!$A$5:$I$5,0))-(ROUND(INDEX('Budget by Source'!$A$6:$I$330,MATCH('Payment by Source'!$A141,'Budget by Source'!$A$6:$A$330,0),MATCH(P$3,'Budget by Source'!$A$5:$I$5,0))/10,0)*10)</f>
        <v>4</v>
      </c>
      <c r="Q141" s="138">
        <f>INDEX('Budget by Source'!$A$6:$I$330,MATCH('Payment by Source'!$A141,'Budget by Source'!$A$6:$A$330,0),MATCH(Q$3,'Budget by Source'!$A$5:$I$5,0))-(ROUND(INDEX('Budget by Source'!$A$6:$I$330,MATCH('Payment by Source'!$A141,'Budget by Source'!$A$6:$A$330,0),MATCH(Q$3,'Budget by Source'!$A$5:$I$5,0))/10,0)*10)</f>
        <v>-3</v>
      </c>
      <c r="R141" s="138">
        <f>INDEX('Budget by Source'!$A$6:$I$330,MATCH('Payment by Source'!$A141,'Budget by Source'!$A$6:$A$330,0),MATCH(R$3,'Budget by Source'!$A$5:$I$5,0))-(ROUND(INDEX('Budget by Source'!$A$6:$I$330,MATCH('Payment by Source'!$A141,'Budget by Source'!$A$6:$A$330,0),MATCH(R$3,'Budget by Source'!$A$5:$I$5,0))/10,0)*10)</f>
        <v>-5</v>
      </c>
      <c r="S141" s="138">
        <f>INDEX('Budget by Source'!$A$6:$I$330,MATCH('Payment by Source'!$A141,'Budget by Source'!$A$6:$A$330,0),MATCH(S$3,'Budget by Source'!$A$5:$I$5,0))-(ROUND(INDEX('Budget by Source'!$A$6:$I$330,MATCH('Payment by Source'!$A141,'Budget by Source'!$A$6:$A$330,0),MATCH(S$3,'Budget by Source'!$A$5:$I$5,0))/10,0)*10)</f>
        <v>1</v>
      </c>
      <c r="T141" s="138">
        <f>INDEX('Budget by Source'!$A$6:$I$330,MATCH('Payment by Source'!$A141,'Budget by Source'!$A$6:$A$330,0),MATCH(T$3,'Budget by Source'!$A$5:$I$5,0))-(ROUND(INDEX('Budget by Source'!$A$6:$I$330,MATCH('Payment by Source'!$A141,'Budget by Source'!$A$6:$A$330,0),MATCH(T$3,'Budget by Source'!$A$5:$I$5,0))/10,0)*10)</f>
        <v>-1</v>
      </c>
      <c r="U141" s="139">
        <f>INDEX('Budget by Source'!$A$6:$I$330,MATCH('Payment by Source'!$A141,'Budget by Source'!$A$6:$A$330,0),MATCH(U$3,'Budget by Source'!$A$5:$I$5,0))</f>
        <v>2770877</v>
      </c>
      <c r="V141" s="136">
        <f t="shared" si="7"/>
        <v>277088</v>
      </c>
      <c r="W141" s="136">
        <f t="shared" si="8"/>
        <v>2770880</v>
      </c>
    </row>
    <row r="142" spans="1:23" x14ac:dyDescent="0.2">
      <c r="A142" s="22" t="str">
        <f>Data!B138</f>
        <v>2988</v>
      </c>
      <c r="B142" s="20" t="str">
        <f>INDEX(Data[],MATCH($A142,Data[Dist],0),MATCH(B$5,Data[#Headers],0))</f>
        <v>Hinton</v>
      </c>
      <c r="C142" s="21">
        <f>IF(Notes!$B$2="June",ROUND('Budget by Source'!C142/10,0)+P142,ROUND('Budget by Source'!C142/10,0))</f>
        <v>13248</v>
      </c>
      <c r="D142" s="21">
        <f>IF(Notes!$B$2="June",ROUND('Budget by Source'!D142/10,0)+Q142,ROUND('Budget by Source'!D142/10,0))</f>
        <v>51773</v>
      </c>
      <c r="E142" s="21">
        <f>IF(Notes!$B$2="June",ROUND('Budget by Source'!E142/10,0)+R142,ROUND('Budget by Source'!E142/10,0))</f>
        <v>4748</v>
      </c>
      <c r="F142" s="21">
        <f>IF(Notes!$B$2="June",ROUND('Budget by Source'!F142/10,0)+S142,ROUND('Budget by Source'!F142/10,0))</f>
        <v>4403</v>
      </c>
      <c r="G142" s="21">
        <f>IF(Notes!$B$2="June",ROUND('Budget by Source'!G142/10,0)+T142,ROUND('Budget by Source'!G142/10,0))</f>
        <v>21308</v>
      </c>
      <c r="H142" s="21">
        <f t="shared" si="6"/>
        <v>299058</v>
      </c>
      <c r="I142" s="21">
        <f>INDEX(Data[],MATCH($A142,Data[Dist],0),MATCH(I$5,Data[#Headers],0))</f>
        <v>394538</v>
      </c>
      <c r="K142" s="59">
        <f>INDEX('Payment Total'!$A$7:$H$331,MATCH('Payment by Source'!$A142,'Payment Total'!$A$7:$A$331,0),4)-I142</f>
        <v>0</v>
      </c>
      <c r="P142" s="138">
        <f>INDEX('Budget by Source'!$A$6:$I$330,MATCH('Payment by Source'!$A142,'Budget by Source'!$A$6:$A$330,0),MATCH(P$3,'Budget by Source'!$A$5:$I$5,0))-(ROUND(INDEX('Budget by Source'!$A$6:$I$330,MATCH('Payment by Source'!$A142,'Budget by Source'!$A$6:$A$330,0),MATCH(P$3,'Budget by Source'!$A$5:$I$5,0))/10,0)*10)</f>
        <v>-2</v>
      </c>
      <c r="Q142" s="138">
        <f>INDEX('Budget by Source'!$A$6:$I$330,MATCH('Payment by Source'!$A142,'Budget by Source'!$A$6:$A$330,0),MATCH(Q$3,'Budget by Source'!$A$5:$I$5,0))-(ROUND(INDEX('Budget by Source'!$A$6:$I$330,MATCH('Payment by Source'!$A142,'Budget by Source'!$A$6:$A$330,0),MATCH(Q$3,'Budget by Source'!$A$5:$I$5,0))/10,0)*10)</f>
        <v>1</v>
      </c>
      <c r="R142" s="138">
        <f>INDEX('Budget by Source'!$A$6:$I$330,MATCH('Payment by Source'!$A142,'Budget by Source'!$A$6:$A$330,0),MATCH(R$3,'Budget by Source'!$A$5:$I$5,0))-(ROUND(INDEX('Budget by Source'!$A$6:$I$330,MATCH('Payment by Source'!$A142,'Budget by Source'!$A$6:$A$330,0),MATCH(R$3,'Budget by Source'!$A$5:$I$5,0))/10,0)*10)</f>
        <v>-5</v>
      </c>
      <c r="S142" s="138">
        <f>INDEX('Budget by Source'!$A$6:$I$330,MATCH('Payment by Source'!$A142,'Budget by Source'!$A$6:$A$330,0),MATCH(S$3,'Budget by Source'!$A$5:$I$5,0))-(ROUND(INDEX('Budget by Source'!$A$6:$I$330,MATCH('Payment by Source'!$A142,'Budget by Source'!$A$6:$A$330,0),MATCH(S$3,'Budget by Source'!$A$5:$I$5,0))/10,0)*10)</f>
        <v>-2</v>
      </c>
      <c r="T142" s="138">
        <f>INDEX('Budget by Source'!$A$6:$I$330,MATCH('Payment by Source'!$A142,'Budget by Source'!$A$6:$A$330,0),MATCH(T$3,'Budget by Source'!$A$5:$I$5,0))-(ROUND(INDEX('Budget by Source'!$A$6:$I$330,MATCH('Payment by Source'!$A142,'Budget by Source'!$A$6:$A$330,0),MATCH(T$3,'Budget by Source'!$A$5:$I$5,0))/10,0)*10)</f>
        <v>3</v>
      </c>
      <c r="U142" s="139">
        <f>INDEX('Budget by Source'!$A$6:$I$330,MATCH('Payment by Source'!$A142,'Budget by Source'!$A$6:$A$330,0),MATCH(U$3,'Budget by Source'!$A$5:$I$5,0))</f>
        <v>2999029</v>
      </c>
      <c r="V142" s="136">
        <f t="shared" si="7"/>
        <v>299903</v>
      </c>
      <c r="W142" s="136">
        <f t="shared" si="8"/>
        <v>2999030</v>
      </c>
    </row>
    <row r="143" spans="1:23" x14ac:dyDescent="0.2">
      <c r="A143" s="22" t="str">
        <f>Data!B139</f>
        <v>3029</v>
      </c>
      <c r="B143" s="20" t="str">
        <f>INDEX(Data[],MATCH($A143,Data[Dist],0),MATCH(B$5,Data[#Headers],0))</f>
        <v>Howard-Winneshiek</v>
      </c>
      <c r="C143" s="21">
        <f>IF(Notes!$B$2="June",ROUND('Budget by Source'!C143/10,0)+P143,ROUND('Budget by Source'!C143/10,0))</f>
        <v>28444</v>
      </c>
      <c r="D143" s="21">
        <f>IF(Notes!$B$2="June",ROUND('Budget by Source'!D143/10,0)+Q143,ROUND('Budget by Source'!D143/10,0))</f>
        <v>98895</v>
      </c>
      <c r="E143" s="21">
        <f>IF(Notes!$B$2="June",ROUND('Budget by Source'!E143/10,0)+R143,ROUND('Budget by Source'!E143/10,0))</f>
        <v>8985</v>
      </c>
      <c r="F143" s="21">
        <f>IF(Notes!$B$2="June",ROUND('Budget by Source'!F143/10,0)+S143,ROUND('Budget by Source'!F143/10,0))</f>
        <v>9009</v>
      </c>
      <c r="G143" s="21">
        <f>IF(Notes!$B$2="June",ROUND('Budget by Source'!G143/10,0)+T143,ROUND('Budget by Source'!G143/10,0))</f>
        <v>45291</v>
      </c>
      <c r="H143" s="21">
        <f t="shared" si="6"/>
        <v>595092</v>
      </c>
      <c r="I143" s="21">
        <f>INDEX(Data[],MATCH($A143,Data[Dist],0),MATCH(I$5,Data[#Headers],0))</f>
        <v>785716</v>
      </c>
      <c r="K143" s="59">
        <f>INDEX('Payment Total'!$A$7:$H$331,MATCH('Payment by Source'!$A143,'Payment Total'!$A$7:$A$331,0),4)-I143</f>
        <v>0</v>
      </c>
      <c r="P143" s="138">
        <f>INDEX('Budget by Source'!$A$6:$I$330,MATCH('Payment by Source'!$A143,'Budget by Source'!$A$6:$A$330,0),MATCH(P$3,'Budget by Source'!$A$5:$I$5,0))-(ROUND(INDEX('Budget by Source'!$A$6:$I$330,MATCH('Payment by Source'!$A143,'Budget by Source'!$A$6:$A$330,0),MATCH(P$3,'Budget by Source'!$A$5:$I$5,0))/10,0)*10)</f>
        <v>-2</v>
      </c>
      <c r="Q143" s="138">
        <f>INDEX('Budget by Source'!$A$6:$I$330,MATCH('Payment by Source'!$A143,'Budget by Source'!$A$6:$A$330,0),MATCH(Q$3,'Budget by Source'!$A$5:$I$5,0))-(ROUND(INDEX('Budget by Source'!$A$6:$I$330,MATCH('Payment by Source'!$A143,'Budget by Source'!$A$6:$A$330,0),MATCH(Q$3,'Budget by Source'!$A$5:$I$5,0))/10,0)*10)</f>
        <v>-3</v>
      </c>
      <c r="R143" s="138">
        <f>INDEX('Budget by Source'!$A$6:$I$330,MATCH('Payment by Source'!$A143,'Budget by Source'!$A$6:$A$330,0),MATCH(R$3,'Budget by Source'!$A$5:$I$5,0))-(ROUND(INDEX('Budget by Source'!$A$6:$I$330,MATCH('Payment by Source'!$A143,'Budget by Source'!$A$6:$A$330,0),MATCH(R$3,'Budget by Source'!$A$5:$I$5,0))/10,0)*10)</f>
        <v>3</v>
      </c>
      <c r="S143" s="138">
        <f>INDEX('Budget by Source'!$A$6:$I$330,MATCH('Payment by Source'!$A143,'Budget by Source'!$A$6:$A$330,0),MATCH(S$3,'Budget by Source'!$A$5:$I$5,0))-(ROUND(INDEX('Budget by Source'!$A$6:$I$330,MATCH('Payment by Source'!$A143,'Budget by Source'!$A$6:$A$330,0),MATCH(S$3,'Budget by Source'!$A$5:$I$5,0))/10,0)*10)</f>
        <v>3</v>
      </c>
      <c r="T143" s="138">
        <f>INDEX('Budget by Source'!$A$6:$I$330,MATCH('Payment by Source'!$A143,'Budget by Source'!$A$6:$A$330,0),MATCH(T$3,'Budget by Source'!$A$5:$I$5,0))-(ROUND(INDEX('Budget by Source'!$A$6:$I$330,MATCH('Payment by Source'!$A143,'Budget by Source'!$A$6:$A$330,0),MATCH(T$3,'Budget by Source'!$A$5:$I$5,0))/10,0)*10)</f>
        <v>0</v>
      </c>
      <c r="U143" s="139">
        <f>INDEX('Budget by Source'!$A$6:$I$330,MATCH('Payment by Source'!$A143,'Budget by Source'!$A$6:$A$330,0),MATCH(U$3,'Budget by Source'!$A$5:$I$5,0))</f>
        <v>5967961</v>
      </c>
      <c r="V143" s="136">
        <f t="shared" si="7"/>
        <v>596796</v>
      </c>
      <c r="W143" s="136">
        <f t="shared" si="8"/>
        <v>5967960</v>
      </c>
    </row>
    <row r="144" spans="1:23" x14ac:dyDescent="0.2">
      <c r="A144" s="22" t="str">
        <f>Data!B140</f>
        <v>3033</v>
      </c>
      <c r="B144" s="20" t="str">
        <f>INDEX(Data[],MATCH($A144,Data[Dist],0),MATCH(B$5,Data[#Headers],0))</f>
        <v>Hubbard-Radcliffe</v>
      </c>
      <c r="C144" s="21">
        <f>IF(Notes!$B$2="June",ROUND('Budget by Source'!C144/10,0)+P144,ROUND('Budget by Source'!C144/10,0))</f>
        <v>7793</v>
      </c>
      <c r="D144" s="21">
        <f>IF(Notes!$B$2="June",ROUND('Budget by Source'!D144/10,0)+Q144,ROUND('Budget by Source'!D144/10,0))</f>
        <v>43990</v>
      </c>
      <c r="E144" s="21">
        <f>IF(Notes!$B$2="June",ROUND('Budget by Source'!E144/10,0)+R144,ROUND('Budget by Source'!E144/10,0))</f>
        <v>2809</v>
      </c>
      <c r="F144" s="21">
        <f>IF(Notes!$B$2="June",ROUND('Budget by Source'!F144/10,0)+S144,ROUND('Budget by Source'!F144/10,0))</f>
        <v>2446</v>
      </c>
      <c r="G144" s="21">
        <f>IF(Notes!$B$2="June",ROUND('Budget by Source'!G144/10,0)+T144,ROUND('Budget by Source'!G144/10,0))</f>
        <v>15536</v>
      </c>
      <c r="H144" s="21">
        <f t="shared" si="6"/>
        <v>151087</v>
      </c>
      <c r="I144" s="21">
        <f>INDEX(Data[],MATCH($A144,Data[Dist],0),MATCH(I$5,Data[#Headers],0))</f>
        <v>223661</v>
      </c>
      <c r="K144" s="59">
        <f>INDEX('Payment Total'!$A$7:$H$331,MATCH('Payment by Source'!$A144,'Payment Total'!$A$7:$A$331,0),4)-I144</f>
        <v>0</v>
      </c>
      <c r="P144" s="138">
        <f>INDEX('Budget by Source'!$A$6:$I$330,MATCH('Payment by Source'!$A144,'Budget by Source'!$A$6:$A$330,0),MATCH(P$3,'Budget by Source'!$A$5:$I$5,0))-(ROUND(INDEX('Budget by Source'!$A$6:$I$330,MATCH('Payment by Source'!$A144,'Budget by Source'!$A$6:$A$330,0),MATCH(P$3,'Budget by Source'!$A$5:$I$5,0))/10,0)*10)</f>
        <v>-2</v>
      </c>
      <c r="Q144" s="138">
        <f>INDEX('Budget by Source'!$A$6:$I$330,MATCH('Payment by Source'!$A144,'Budget by Source'!$A$6:$A$330,0),MATCH(Q$3,'Budget by Source'!$A$5:$I$5,0))-(ROUND(INDEX('Budget by Source'!$A$6:$I$330,MATCH('Payment by Source'!$A144,'Budget by Source'!$A$6:$A$330,0),MATCH(Q$3,'Budget by Source'!$A$5:$I$5,0))/10,0)*10)</f>
        <v>-2</v>
      </c>
      <c r="R144" s="138">
        <f>INDEX('Budget by Source'!$A$6:$I$330,MATCH('Payment by Source'!$A144,'Budget by Source'!$A$6:$A$330,0),MATCH(R$3,'Budget by Source'!$A$5:$I$5,0))-(ROUND(INDEX('Budget by Source'!$A$6:$I$330,MATCH('Payment by Source'!$A144,'Budget by Source'!$A$6:$A$330,0),MATCH(R$3,'Budget by Source'!$A$5:$I$5,0))/10,0)*10)</f>
        <v>2</v>
      </c>
      <c r="S144" s="138">
        <f>INDEX('Budget by Source'!$A$6:$I$330,MATCH('Payment by Source'!$A144,'Budget by Source'!$A$6:$A$330,0),MATCH(S$3,'Budget by Source'!$A$5:$I$5,0))-(ROUND(INDEX('Budget by Source'!$A$6:$I$330,MATCH('Payment by Source'!$A144,'Budget by Source'!$A$6:$A$330,0),MATCH(S$3,'Budget by Source'!$A$5:$I$5,0))/10,0)*10)</f>
        <v>4</v>
      </c>
      <c r="T144" s="138">
        <f>INDEX('Budget by Source'!$A$6:$I$330,MATCH('Payment by Source'!$A144,'Budget by Source'!$A$6:$A$330,0),MATCH(T$3,'Budget by Source'!$A$5:$I$5,0))-(ROUND(INDEX('Budget by Source'!$A$6:$I$330,MATCH('Payment by Source'!$A144,'Budget by Source'!$A$6:$A$330,0),MATCH(T$3,'Budget by Source'!$A$5:$I$5,0))/10,0)*10)</f>
        <v>4</v>
      </c>
      <c r="U144" s="139">
        <f>INDEX('Budget by Source'!$A$6:$I$330,MATCH('Payment by Source'!$A144,'Budget by Source'!$A$6:$A$330,0),MATCH(U$3,'Budget by Source'!$A$5:$I$5,0))</f>
        <v>1517046</v>
      </c>
      <c r="V144" s="136">
        <f t="shared" si="7"/>
        <v>151705</v>
      </c>
      <c r="W144" s="136">
        <f t="shared" si="8"/>
        <v>1517050</v>
      </c>
    </row>
    <row r="145" spans="1:23" x14ac:dyDescent="0.2">
      <c r="A145" s="22" t="str">
        <f>Data!B141</f>
        <v>3042</v>
      </c>
      <c r="B145" s="20" t="str">
        <f>INDEX(Data[],MATCH($A145,Data[Dist],0),MATCH(B$5,Data[#Headers],0))</f>
        <v>Hudson</v>
      </c>
      <c r="C145" s="21">
        <f>IF(Notes!$B$2="June",ROUND('Budget by Source'!C145/10,0)+P145,ROUND('Budget by Source'!C145/10,0))</f>
        <v>19092</v>
      </c>
      <c r="D145" s="21">
        <f>IF(Notes!$B$2="June",ROUND('Budget by Source'!D145/10,0)+Q145,ROUND('Budget by Source'!D145/10,0))</f>
        <v>64866</v>
      </c>
      <c r="E145" s="21">
        <f>IF(Notes!$B$2="June",ROUND('Budget by Source'!E145/10,0)+R145,ROUND('Budget by Source'!E145/10,0))</f>
        <v>4857</v>
      </c>
      <c r="F145" s="21">
        <f>IF(Notes!$B$2="June",ROUND('Budget by Source'!F145/10,0)+S145,ROUND('Budget by Source'!F145/10,0))</f>
        <v>5937</v>
      </c>
      <c r="G145" s="21">
        <f>IF(Notes!$B$2="June",ROUND('Budget by Source'!G145/10,0)+T145,ROUND('Budget by Source'!G145/10,0))</f>
        <v>27602</v>
      </c>
      <c r="H145" s="21">
        <f t="shared" si="6"/>
        <v>474990</v>
      </c>
      <c r="I145" s="21">
        <f>INDEX(Data[],MATCH($A145,Data[Dist],0),MATCH(I$5,Data[#Headers],0))</f>
        <v>597344</v>
      </c>
      <c r="K145" s="59">
        <f>INDEX('Payment Total'!$A$7:$H$331,MATCH('Payment by Source'!$A145,'Payment Total'!$A$7:$A$331,0),4)-I145</f>
        <v>0</v>
      </c>
      <c r="P145" s="138">
        <f>INDEX('Budget by Source'!$A$6:$I$330,MATCH('Payment by Source'!$A145,'Budget by Source'!$A$6:$A$330,0),MATCH(P$3,'Budget by Source'!$A$5:$I$5,0))-(ROUND(INDEX('Budget by Source'!$A$6:$I$330,MATCH('Payment by Source'!$A145,'Budget by Source'!$A$6:$A$330,0),MATCH(P$3,'Budget by Source'!$A$5:$I$5,0))/10,0)*10)</f>
        <v>4</v>
      </c>
      <c r="Q145" s="138">
        <f>INDEX('Budget by Source'!$A$6:$I$330,MATCH('Payment by Source'!$A145,'Budget by Source'!$A$6:$A$330,0),MATCH(Q$3,'Budget by Source'!$A$5:$I$5,0))-(ROUND(INDEX('Budget by Source'!$A$6:$I$330,MATCH('Payment by Source'!$A145,'Budget by Source'!$A$6:$A$330,0),MATCH(Q$3,'Budget by Source'!$A$5:$I$5,0))/10,0)*10)</f>
        <v>-3</v>
      </c>
      <c r="R145" s="138">
        <f>INDEX('Budget by Source'!$A$6:$I$330,MATCH('Payment by Source'!$A145,'Budget by Source'!$A$6:$A$330,0),MATCH(R$3,'Budget by Source'!$A$5:$I$5,0))-(ROUND(INDEX('Budget by Source'!$A$6:$I$330,MATCH('Payment by Source'!$A145,'Budget by Source'!$A$6:$A$330,0),MATCH(R$3,'Budget by Source'!$A$5:$I$5,0))/10,0)*10)</f>
        <v>0</v>
      </c>
      <c r="S145" s="138">
        <f>INDEX('Budget by Source'!$A$6:$I$330,MATCH('Payment by Source'!$A145,'Budget by Source'!$A$6:$A$330,0),MATCH(S$3,'Budget by Source'!$A$5:$I$5,0))-(ROUND(INDEX('Budget by Source'!$A$6:$I$330,MATCH('Payment by Source'!$A145,'Budget by Source'!$A$6:$A$330,0),MATCH(S$3,'Budget by Source'!$A$5:$I$5,0))/10,0)*10)</f>
        <v>-1</v>
      </c>
      <c r="T145" s="138">
        <f>INDEX('Budget by Source'!$A$6:$I$330,MATCH('Payment by Source'!$A145,'Budget by Source'!$A$6:$A$330,0),MATCH(T$3,'Budget by Source'!$A$5:$I$5,0))-(ROUND(INDEX('Budget by Source'!$A$6:$I$330,MATCH('Payment by Source'!$A145,'Budget by Source'!$A$6:$A$330,0),MATCH(T$3,'Budget by Source'!$A$5:$I$5,0))/10,0)*10)</f>
        <v>-5</v>
      </c>
      <c r="U145" s="139">
        <f>INDEX('Budget by Source'!$A$6:$I$330,MATCH('Payment by Source'!$A145,'Budget by Source'!$A$6:$A$330,0),MATCH(U$3,'Budget by Source'!$A$5:$I$5,0))</f>
        <v>4760806</v>
      </c>
      <c r="V145" s="136">
        <f t="shared" si="7"/>
        <v>476081</v>
      </c>
      <c r="W145" s="136">
        <f t="shared" si="8"/>
        <v>4760810</v>
      </c>
    </row>
    <row r="146" spans="1:23" x14ac:dyDescent="0.2">
      <c r="A146" s="22" t="str">
        <f>Data!B142</f>
        <v>3060</v>
      </c>
      <c r="B146" s="20" t="str">
        <f>INDEX(Data[],MATCH($A146,Data[Dist],0),MATCH(B$5,Data[#Headers],0))</f>
        <v>Humboldt</v>
      </c>
      <c r="C146" s="21">
        <f>IF(Notes!$B$2="June",ROUND('Budget by Source'!C146/10,0)+P146,ROUND('Budget by Source'!C146/10,0))</f>
        <v>27275</v>
      </c>
      <c r="D146" s="21">
        <f>IF(Notes!$B$2="June",ROUND('Budget by Source'!D146/10,0)+Q146,ROUND('Budget by Source'!D146/10,0))</f>
        <v>113522</v>
      </c>
      <c r="E146" s="21">
        <f>IF(Notes!$B$2="June",ROUND('Budget by Source'!E146/10,0)+R146,ROUND('Budget by Source'!E146/10,0))</f>
        <v>10569</v>
      </c>
      <c r="F146" s="21">
        <f>IF(Notes!$B$2="June",ROUND('Budget by Source'!F146/10,0)+S146,ROUND('Budget by Source'!F146/10,0))</f>
        <v>9542</v>
      </c>
      <c r="G146" s="21">
        <f>IF(Notes!$B$2="June",ROUND('Budget by Source'!G146/10,0)+T146,ROUND('Budget by Source'!G146/10,0))</f>
        <v>47773</v>
      </c>
      <c r="H146" s="21">
        <f t="shared" si="6"/>
        <v>640892</v>
      </c>
      <c r="I146" s="21">
        <f>INDEX(Data[],MATCH($A146,Data[Dist],0),MATCH(I$5,Data[#Headers],0))</f>
        <v>849573</v>
      </c>
      <c r="K146" s="59">
        <f>INDEX('Payment Total'!$A$7:$H$331,MATCH('Payment by Source'!$A146,'Payment Total'!$A$7:$A$331,0),4)-I146</f>
        <v>0</v>
      </c>
      <c r="P146" s="138">
        <f>INDEX('Budget by Source'!$A$6:$I$330,MATCH('Payment by Source'!$A146,'Budget by Source'!$A$6:$A$330,0),MATCH(P$3,'Budget by Source'!$A$5:$I$5,0))-(ROUND(INDEX('Budget by Source'!$A$6:$I$330,MATCH('Payment by Source'!$A146,'Budget by Source'!$A$6:$A$330,0),MATCH(P$3,'Budget by Source'!$A$5:$I$5,0))/10,0)*10)</f>
        <v>-1</v>
      </c>
      <c r="Q146" s="138">
        <f>INDEX('Budget by Source'!$A$6:$I$330,MATCH('Payment by Source'!$A146,'Budget by Source'!$A$6:$A$330,0),MATCH(Q$3,'Budget by Source'!$A$5:$I$5,0))-(ROUND(INDEX('Budget by Source'!$A$6:$I$330,MATCH('Payment by Source'!$A146,'Budget by Source'!$A$6:$A$330,0),MATCH(Q$3,'Budget by Source'!$A$5:$I$5,0))/10,0)*10)</f>
        <v>0</v>
      </c>
      <c r="R146" s="138">
        <f>INDEX('Budget by Source'!$A$6:$I$330,MATCH('Payment by Source'!$A146,'Budget by Source'!$A$6:$A$330,0),MATCH(R$3,'Budget by Source'!$A$5:$I$5,0))-(ROUND(INDEX('Budget by Source'!$A$6:$I$330,MATCH('Payment by Source'!$A146,'Budget by Source'!$A$6:$A$330,0),MATCH(R$3,'Budget by Source'!$A$5:$I$5,0))/10,0)*10)</f>
        <v>1</v>
      </c>
      <c r="S146" s="138">
        <f>INDEX('Budget by Source'!$A$6:$I$330,MATCH('Payment by Source'!$A146,'Budget by Source'!$A$6:$A$330,0),MATCH(S$3,'Budget by Source'!$A$5:$I$5,0))-(ROUND(INDEX('Budget by Source'!$A$6:$I$330,MATCH('Payment by Source'!$A146,'Budget by Source'!$A$6:$A$330,0),MATCH(S$3,'Budget by Source'!$A$5:$I$5,0))/10,0)*10)</f>
        <v>2</v>
      </c>
      <c r="T146" s="138">
        <f>INDEX('Budget by Source'!$A$6:$I$330,MATCH('Payment by Source'!$A146,'Budget by Source'!$A$6:$A$330,0),MATCH(T$3,'Budget by Source'!$A$5:$I$5,0))-(ROUND(INDEX('Budget by Source'!$A$6:$I$330,MATCH('Payment by Source'!$A146,'Budget by Source'!$A$6:$A$330,0),MATCH(T$3,'Budget by Source'!$A$5:$I$5,0))/10,0)*10)</f>
        <v>-2</v>
      </c>
      <c r="U146" s="139">
        <f>INDEX('Budget by Source'!$A$6:$I$330,MATCH('Payment by Source'!$A146,'Budget by Source'!$A$6:$A$330,0),MATCH(U$3,'Budget by Source'!$A$5:$I$5,0))</f>
        <v>6427159</v>
      </c>
      <c r="V146" s="136">
        <f t="shared" si="7"/>
        <v>642716</v>
      </c>
      <c r="W146" s="136">
        <f t="shared" si="8"/>
        <v>6427160</v>
      </c>
    </row>
    <row r="147" spans="1:23" x14ac:dyDescent="0.2">
      <c r="A147" s="22" t="str">
        <f>Data!B143</f>
        <v>3105</v>
      </c>
      <c r="B147" s="20" t="str">
        <f>INDEX(Data[],MATCH($A147,Data[Dist],0),MATCH(B$5,Data[#Headers],0))</f>
        <v>Independence</v>
      </c>
      <c r="C147" s="21">
        <f>IF(Notes!$B$2="June",ROUND('Budget by Source'!C147/10,0)+P147,ROUND('Budget by Source'!C147/10,0))</f>
        <v>34289</v>
      </c>
      <c r="D147" s="21">
        <f>IF(Notes!$B$2="June",ROUND('Budget by Source'!D147/10,0)+Q147,ROUND('Budget by Source'!D147/10,0))</f>
        <v>116283</v>
      </c>
      <c r="E147" s="21">
        <f>IF(Notes!$B$2="June",ROUND('Budget by Source'!E147/10,0)+R147,ROUND('Budget by Source'!E147/10,0))</f>
        <v>11449</v>
      </c>
      <c r="F147" s="21">
        <f>IF(Notes!$B$2="June",ROUND('Budget by Source'!F147/10,0)+S147,ROUND('Budget by Source'!F147/10,0))</f>
        <v>11873</v>
      </c>
      <c r="G147" s="21">
        <f>IF(Notes!$B$2="June",ROUND('Budget by Source'!G147/10,0)+T147,ROUND('Budget by Source'!G147/10,0))</f>
        <v>54874</v>
      </c>
      <c r="H147" s="21">
        <f t="shared" si="6"/>
        <v>831646</v>
      </c>
      <c r="I147" s="21">
        <f>INDEX(Data[],MATCH($A147,Data[Dist],0),MATCH(I$5,Data[#Headers],0))</f>
        <v>1060414</v>
      </c>
      <c r="K147" s="59">
        <f>INDEX('Payment Total'!$A$7:$H$331,MATCH('Payment by Source'!$A147,'Payment Total'!$A$7:$A$331,0),4)-I147</f>
        <v>0</v>
      </c>
      <c r="P147" s="138">
        <f>INDEX('Budget by Source'!$A$6:$I$330,MATCH('Payment by Source'!$A147,'Budget by Source'!$A$6:$A$330,0),MATCH(P$3,'Budget by Source'!$A$5:$I$5,0))-(ROUND(INDEX('Budget by Source'!$A$6:$I$330,MATCH('Payment by Source'!$A147,'Budget by Source'!$A$6:$A$330,0),MATCH(P$3,'Budget by Source'!$A$5:$I$5,0))/10,0)*10)</f>
        <v>-5</v>
      </c>
      <c r="Q147" s="138">
        <f>INDEX('Budget by Source'!$A$6:$I$330,MATCH('Payment by Source'!$A147,'Budget by Source'!$A$6:$A$330,0),MATCH(Q$3,'Budget by Source'!$A$5:$I$5,0))-(ROUND(INDEX('Budget by Source'!$A$6:$I$330,MATCH('Payment by Source'!$A147,'Budget by Source'!$A$6:$A$330,0),MATCH(Q$3,'Budget by Source'!$A$5:$I$5,0))/10,0)*10)</f>
        <v>-2</v>
      </c>
      <c r="R147" s="138">
        <f>INDEX('Budget by Source'!$A$6:$I$330,MATCH('Payment by Source'!$A147,'Budget by Source'!$A$6:$A$330,0),MATCH(R$3,'Budget by Source'!$A$5:$I$5,0))-(ROUND(INDEX('Budget by Source'!$A$6:$I$330,MATCH('Payment by Source'!$A147,'Budget by Source'!$A$6:$A$330,0),MATCH(R$3,'Budget by Source'!$A$5:$I$5,0))/10,0)*10)</f>
        <v>-3</v>
      </c>
      <c r="S147" s="138">
        <f>INDEX('Budget by Source'!$A$6:$I$330,MATCH('Payment by Source'!$A147,'Budget by Source'!$A$6:$A$330,0),MATCH(S$3,'Budget by Source'!$A$5:$I$5,0))-(ROUND(INDEX('Budget by Source'!$A$6:$I$330,MATCH('Payment by Source'!$A147,'Budget by Source'!$A$6:$A$330,0),MATCH(S$3,'Budget by Source'!$A$5:$I$5,0))/10,0)*10)</f>
        <v>-1</v>
      </c>
      <c r="T147" s="138">
        <f>INDEX('Budget by Source'!$A$6:$I$330,MATCH('Payment by Source'!$A147,'Budget by Source'!$A$6:$A$330,0),MATCH(T$3,'Budget by Source'!$A$5:$I$5,0))-(ROUND(INDEX('Budget by Source'!$A$6:$I$330,MATCH('Payment by Source'!$A147,'Budget by Source'!$A$6:$A$330,0),MATCH(T$3,'Budget by Source'!$A$5:$I$5,0))/10,0)*10)</f>
        <v>3</v>
      </c>
      <c r="U147" s="139">
        <f>INDEX('Budget by Source'!$A$6:$I$330,MATCH('Payment by Source'!$A147,'Budget by Source'!$A$6:$A$330,0),MATCH(U$3,'Budget by Source'!$A$5:$I$5,0))</f>
        <v>8337158</v>
      </c>
      <c r="V147" s="136">
        <f t="shared" si="7"/>
        <v>833716</v>
      </c>
      <c r="W147" s="136">
        <f t="shared" si="8"/>
        <v>8337160</v>
      </c>
    </row>
    <row r="148" spans="1:23" x14ac:dyDescent="0.2">
      <c r="A148" s="22" t="str">
        <f>Data!B144</f>
        <v>3114</v>
      </c>
      <c r="B148" s="20" t="str">
        <f>INDEX(Data[],MATCH($A148,Data[Dist],0),MATCH(B$5,Data[#Headers],0))</f>
        <v>Indianola</v>
      </c>
      <c r="C148" s="21">
        <f>IF(Notes!$B$2="June",ROUND('Budget by Source'!C148/10,0)+P148,ROUND('Budget by Source'!C148/10,0))</f>
        <v>45588</v>
      </c>
      <c r="D148" s="21">
        <f>IF(Notes!$B$2="June",ROUND('Budget by Source'!D148/10,0)+Q148,ROUND('Budget by Source'!D148/10,0))</f>
        <v>256400</v>
      </c>
      <c r="E148" s="21">
        <f>IF(Notes!$B$2="June",ROUND('Budget by Source'!E148/10,0)+R148,ROUND('Budget by Source'!E148/10,0))</f>
        <v>25414</v>
      </c>
      <c r="F148" s="21">
        <f>IF(Notes!$B$2="June",ROUND('Budget by Source'!F148/10,0)+S148,ROUND('Budget by Source'!F148/10,0))</f>
        <v>26029</v>
      </c>
      <c r="G148" s="21">
        <f>IF(Notes!$B$2="June",ROUND('Budget by Source'!G148/10,0)+T148,ROUND('Budget by Source'!G148/10,0))</f>
        <v>132651</v>
      </c>
      <c r="H148" s="21">
        <f t="shared" si="6"/>
        <v>2227365</v>
      </c>
      <c r="I148" s="21">
        <f>INDEX(Data[],MATCH($A148,Data[Dist],0),MATCH(I$5,Data[#Headers],0))</f>
        <v>2713447</v>
      </c>
      <c r="K148" s="59">
        <f>INDEX('Payment Total'!$A$7:$H$331,MATCH('Payment by Source'!$A148,'Payment Total'!$A$7:$A$331,0),4)-I148</f>
        <v>0</v>
      </c>
      <c r="P148" s="138">
        <f>INDEX('Budget by Source'!$A$6:$I$330,MATCH('Payment by Source'!$A148,'Budget by Source'!$A$6:$A$330,0),MATCH(P$3,'Budget by Source'!$A$5:$I$5,0))-(ROUND(INDEX('Budget by Source'!$A$6:$I$330,MATCH('Payment by Source'!$A148,'Budget by Source'!$A$6:$A$330,0),MATCH(P$3,'Budget by Source'!$A$5:$I$5,0))/10,0)*10)</f>
        <v>1</v>
      </c>
      <c r="Q148" s="138">
        <f>INDEX('Budget by Source'!$A$6:$I$330,MATCH('Payment by Source'!$A148,'Budget by Source'!$A$6:$A$330,0),MATCH(Q$3,'Budget by Source'!$A$5:$I$5,0))-(ROUND(INDEX('Budget by Source'!$A$6:$I$330,MATCH('Payment by Source'!$A148,'Budget by Source'!$A$6:$A$330,0),MATCH(Q$3,'Budget by Source'!$A$5:$I$5,0))/10,0)*10)</f>
        <v>-2</v>
      </c>
      <c r="R148" s="138">
        <f>INDEX('Budget by Source'!$A$6:$I$330,MATCH('Payment by Source'!$A148,'Budget by Source'!$A$6:$A$330,0),MATCH(R$3,'Budget by Source'!$A$5:$I$5,0))-(ROUND(INDEX('Budget by Source'!$A$6:$I$330,MATCH('Payment by Source'!$A148,'Budget by Source'!$A$6:$A$330,0),MATCH(R$3,'Budget by Source'!$A$5:$I$5,0))/10,0)*10)</f>
        <v>2</v>
      </c>
      <c r="S148" s="138">
        <f>INDEX('Budget by Source'!$A$6:$I$330,MATCH('Payment by Source'!$A148,'Budget by Source'!$A$6:$A$330,0),MATCH(S$3,'Budget by Source'!$A$5:$I$5,0))-(ROUND(INDEX('Budget by Source'!$A$6:$I$330,MATCH('Payment by Source'!$A148,'Budget by Source'!$A$6:$A$330,0),MATCH(S$3,'Budget by Source'!$A$5:$I$5,0))/10,0)*10)</f>
        <v>-3</v>
      </c>
      <c r="T148" s="138">
        <f>INDEX('Budget by Source'!$A$6:$I$330,MATCH('Payment by Source'!$A148,'Budget by Source'!$A$6:$A$330,0),MATCH(T$3,'Budget by Source'!$A$5:$I$5,0))-(ROUND(INDEX('Budget by Source'!$A$6:$I$330,MATCH('Payment by Source'!$A148,'Budget by Source'!$A$6:$A$330,0),MATCH(T$3,'Budget by Source'!$A$5:$I$5,0))/10,0)*10)</f>
        <v>0</v>
      </c>
      <c r="U148" s="139">
        <f>INDEX('Budget by Source'!$A$6:$I$330,MATCH('Payment by Source'!$A148,'Budget by Source'!$A$6:$A$330,0),MATCH(U$3,'Budget by Source'!$A$5:$I$5,0))</f>
        <v>22325045</v>
      </c>
      <c r="V148" s="136">
        <f t="shared" si="7"/>
        <v>2232505</v>
      </c>
      <c r="W148" s="136">
        <f t="shared" si="8"/>
        <v>22325050</v>
      </c>
    </row>
    <row r="149" spans="1:23" x14ac:dyDescent="0.2">
      <c r="A149" s="22" t="str">
        <f>Data!B145</f>
        <v>3119</v>
      </c>
      <c r="B149" s="20" t="str">
        <f>INDEX(Data[],MATCH($A149,Data[Dist],0),MATCH(B$5,Data[#Headers],0))</f>
        <v>Interstate 35</v>
      </c>
      <c r="C149" s="21">
        <f>IF(Notes!$B$2="June",ROUND('Budget by Source'!C149/10,0)+P149,ROUND('Budget by Source'!C149/10,0))</f>
        <v>15975</v>
      </c>
      <c r="D149" s="21">
        <f>IF(Notes!$B$2="June",ROUND('Budget by Source'!D149/10,0)+Q149,ROUND('Budget by Source'!D149/10,0))</f>
        <v>77591</v>
      </c>
      <c r="E149" s="21">
        <f>IF(Notes!$B$2="June",ROUND('Budget by Source'!E149/10,0)+R149,ROUND('Budget by Source'!E149/10,0))</f>
        <v>6110</v>
      </c>
      <c r="F149" s="21">
        <f>IF(Notes!$B$2="June",ROUND('Budget by Source'!F149/10,0)+S149,ROUND('Budget by Source'!F149/10,0))</f>
        <v>5393</v>
      </c>
      <c r="G149" s="21">
        <f>IF(Notes!$B$2="June",ROUND('Budget by Source'!G149/10,0)+T149,ROUND('Budget by Source'!G149/10,0))</f>
        <v>31352</v>
      </c>
      <c r="H149" s="21">
        <f t="shared" si="6"/>
        <v>491688</v>
      </c>
      <c r="I149" s="21">
        <f>INDEX(Data[],MATCH($A149,Data[Dist],0),MATCH(I$5,Data[#Headers],0))</f>
        <v>628109</v>
      </c>
      <c r="K149" s="59">
        <f>INDEX('Payment Total'!$A$7:$H$331,MATCH('Payment by Source'!$A149,'Payment Total'!$A$7:$A$331,0),4)-I149</f>
        <v>0</v>
      </c>
      <c r="P149" s="138">
        <f>INDEX('Budget by Source'!$A$6:$I$330,MATCH('Payment by Source'!$A149,'Budget by Source'!$A$6:$A$330,0),MATCH(P$3,'Budget by Source'!$A$5:$I$5,0))-(ROUND(INDEX('Budget by Source'!$A$6:$I$330,MATCH('Payment by Source'!$A149,'Budget by Source'!$A$6:$A$330,0),MATCH(P$3,'Budget by Source'!$A$5:$I$5,0))/10,0)*10)</f>
        <v>3</v>
      </c>
      <c r="Q149" s="138">
        <f>INDEX('Budget by Source'!$A$6:$I$330,MATCH('Payment by Source'!$A149,'Budget by Source'!$A$6:$A$330,0),MATCH(Q$3,'Budget by Source'!$A$5:$I$5,0))-(ROUND(INDEX('Budget by Source'!$A$6:$I$330,MATCH('Payment by Source'!$A149,'Budget by Source'!$A$6:$A$330,0),MATCH(Q$3,'Budget by Source'!$A$5:$I$5,0))/10,0)*10)</f>
        <v>-1</v>
      </c>
      <c r="R149" s="138">
        <f>INDEX('Budget by Source'!$A$6:$I$330,MATCH('Payment by Source'!$A149,'Budget by Source'!$A$6:$A$330,0),MATCH(R$3,'Budget by Source'!$A$5:$I$5,0))-(ROUND(INDEX('Budget by Source'!$A$6:$I$330,MATCH('Payment by Source'!$A149,'Budget by Source'!$A$6:$A$330,0),MATCH(R$3,'Budget by Source'!$A$5:$I$5,0))/10,0)*10)</f>
        <v>-4</v>
      </c>
      <c r="S149" s="138">
        <f>INDEX('Budget by Source'!$A$6:$I$330,MATCH('Payment by Source'!$A149,'Budget by Source'!$A$6:$A$330,0),MATCH(S$3,'Budget by Source'!$A$5:$I$5,0))-(ROUND(INDEX('Budget by Source'!$A$6:$I$330,MATCH('Payment by Source'!$A149,'Budget by Source'!$A$6:$A$330,0),MATCH(S$3,'Budget by Source'!$A$5:$I$5,0))/10,0)*10)</f>
        <v>3</v>
      </c>
      <c r="T149" s="138">
        <f>INDEX('Budget by Source'!$A$6:$I$330,MATCH('Payment by Source'!$A149,'Budget by Source'!$A$6:$A$330,0),MATCH(T$3,'Budget by Source'!$A$5:$I$5,0))-(ROUND(INDEX('Budget by Source'!$A$6:$I$330,MATCH('Payment by Source'!$A149,'Budget by Source'!$A$6:$A$330,0),MATCH(T$3,'Budget by Source'!$A$5:$I$5,0))/10,0)*10)</f>
        <v>4</v>
      </c>
      <c r="U149" s="139">
        <f>INDEX('Budget by Source'!$A$6:$I$330,MATCH('Payment by Source'!$A149,'Budget by Source'!$A$6:$A$330,0),MATCH(U$3,'Budget by Source'!$A$5:$I$5,0))</f>
        <v>4929266</v>
      </c>
      <c r="V149" s="136">
        <f t="shared" si="7"/>
        <v>492927</v>
      </c>
      <c r="W149" s="136">
        <f t="shared" si="8"/>
        <v>4929270</v>
      </c>
    </row>
    <row r="150" spans="1:23" x14ac:dyDescent="0.2">
      <c r="A150" s="22" t="str">
        <f>Data!B146</f>
        <v>3141</v>
      </c>
      <c r="B150" s="20" t="str">
        <f>INDEX(Data[],MATCH($A150,Data[Dist],0),MATCH(B$5,Data[#Headers],0))</f>
        <v>Iowa City</v>
      </c>
      <c r="C150" s="21">
        <f>IF(Notes!$B$2="June",ROUND('Budget by Source'!C150/10,0)+P150,ROUND('Budget by Source'!C150/10,0))</f>
        <v>163657</v>
      </c>
      <c r="D150" s="21">
        <f>IF(Notes!$B$2="June",ROUND('Budget by Source'!D150/10,0)+Q150,ROUND('Budget by Source'!D150/10,0))</f>
        <v>1038276</v>
      </c>
      <c r="E150" s="21">
        <f>IF(Notes!$B$2="June",ROUND('Budget by Source'!E150/10,0)+R150,ROUND('Budget by Source'!E150/10,0))</f>
        <v>121649</v>
      </c>
      <c r="F150" s="21">
        <f>IF(Notes!$B$2="June",ROUND('Budget by Source'!F150/10,0)+S150,ROUND('Budget by Source'!F150/10,0))</f>
        <v>117684</v>
      </c>
      <c r="G150" s="21">
        <f>IF(Notes!$B$2="June",ROUND('Budget by Source'!G150/10,0)+T150,ROUND('Budget by Source'!G150/10,0))</f>
        <v>560933</v>
      </c>
      <c r="H150" s="21">
        <f t="shared" si="6"/>
        <v>7543020</v>
      </c>
      <c r="I150" s="21">
        <f>INDEX(Data[],MATCH($A150,Data[Dist],0),MATCH(I$5,Data[#Headers],0))</f>
        <v>9545219</v>
      </c>
      <c r="K150" s="59">
        <f>INDEX('Payment Total'!$A$7:$H$331,MATCH('Payment by Source'!$A150,'Payment Total'!$A$7:$A$331,0),4)-I150</f>
        <v>0</v>
      </c>
      <c r="P150" s="138">
        <f>INDEX('Budget by Source'!$A$6:$I$330,MATCH('Payment by Source'!$A150,'Budget by Source'!$A$6:$A$330,0),MATCH(P$3,'Budget by Source'!$A$5:$I$5,0))-(ROUND(INDEX('Budget by Source'!$A$6:$I$330,MATCH('Payment by Source'!$A150,'Budget by Source'!$A$6:$A$330,0),MATCH(P$3,'Budget by Source'!$A$5:$I$5,0))/10,0)*10)</f>
        <v>3</v>
      </c>
      <c r="Q150" s="138">
        <f>INDEX('Budget by Source'!$A$6:$I$330,MATCH('Payment by Source'!$A150,'Budget by Source'!$A$6:$A$330,0),MATCH(Q$3,'Budget by Source'!$A$5:$I$5,0))-(ROUND(INDEX('Budget by Source'!$A$6:$I$330,MATCH('Payment by Source'!$A150,'Budget by Source'!$A$6:$A$330,0),MATCH(Q$3,'Budget by Source'!$A$5:$I$5,0))/10,0)*10)</f>
        <v>2</v>
      </c>
      <c r="R150" s="138">
        <f>INDEX('Budget by Source'!$A$6:$I$330,MATCH('Payment by Source'!$A150,'Budget by Source'!$A$6:$A$330,0),MATCH(R$3,'Budget by Source'!$A$5:$I$5,0))-(ROUND(INDEX('Budget by Source'!$A$6:$I$330,MATCH('Payment by Source'!$A150,'Budget by Source'!$A$6:$A$330,0),MATCH(R$3,'Budget by Source'!$A$5:$I$5,0))/10,0)*10)</f>
        <v>-3</v>
      </c>
      <c r="S150" s="138">
        <f>INDEX('Budget by Source'!$A$6:$I$330,MATCH('Payment by Source'!$A150,'Budget by Source'!$A$6:$A$330,0),MATCH(S$3,'Budget by Source'!$A$5:$I$5,0))-(ROUND(INDEX('Budget by Source'!$A$6:$I$330,MATCH('Payment by Source'!$A150,'Budget by Source'!$A$6:$A$330,0),MATCH(S$3,'Budget by Source'!$A$5:$I$5,0))/10,0)*10)</f>
        <v>-1</v>
      </c>
      <c r="T150" s="138">
        <f>INDEX('Budget by Source'!$A$6:$I$330,MATCH('Payment by Source'!$A150,'Budget by Source'!$A$6:$A$330,0),MATCH(T$3,'Budget by Source'!$A$5:$I$5,0))-(ROUND(INDEX('Budget by Source'!$A$6:$I$330,MATCH('Payment by Source'!$A150,'Budget by Source'!$A$6:$A$330,0),MATCH(T$3,'Budget by Source'!$A$5:$I$5,0))/10,0)*10)</f>
        <v>-4</v>
      </c>
      <c r="U150" s="139">
        <f>INDEX('Budget by Source'!$A$6:$I$330,MATCH('Payment by Source'!$A150,'Budget by Source'!$A$6:$A$330,0),MATCH(U$3,'Budget by Source'!$A$5:$I$5,0))</f>
        <v>75646135</v>
      </c>
      <c r="V150" s="136">
        <f t="shared" si="7"/>
        <v>7564614</v>
      </c>
      <c r="W150" s="136">
        <f t="shared" si="8"/>
        <v>75646140</v>
      </c>
    </row>
    <row r="151" spans="1:23" x14ac:dyDescent="0.2">
      <c r="A151" s="22" t="str">
        <f>Data!B147</f>
        <v>3150</v>
      </c>
      <c r="B151" s="20" t="str">
        <f>INDEX(Data[],MATCH($A151,Data[Dist],0),MATCH(B$5,Data[#Headers],0))</f>
        <v>Iowa Falls</v>
      </c>
      <c r="C151" s="21">
        <f>IF(Notes!$B$2="June",ROUND('Budget by Source'!C151/10,0)+P151,ROUND('Budget by Source'!C151/10,0))</f>
        <v>23768</v>
      </c>
      <c r="D151" s="21">
        <f>IF(Notes!$B$2="June",ROUND('Budget by Source'!D151/10,0)+Q151,ROUND('Budget by Source'!D151/10,0))</f>
        <v>91043</v>
      </c>
      <c r="E151" s="21">
        <f>IF(Notes!$B$2="June",ROUND('Budget by Source'!E151/10,0)+R151,ROUND('Budget by Source'!E151/10,0))</f>
        <v>8559</v>
      </c>
      <c r="F151" s="21">
        <f>IF(Notes!$B$2="June",ROUND('Budget by Source'!F151/10,0)+S151,ROUND('Budget by Source'!F151/10,0))</f>
        <v>7925</v>
      </c>
      <c r="G151" s="21">
        <f>IF(Notes!$B$2="June",ROUND('Budget by Source'!G151/10,0)+T151,ROUND('Budget by Source'!G151/10,0))</f>
        <v>37952</v>
      </c>
      <c r="H151" s="21">
        <f t="shared" si="6"/>
        <v>563419</v>
      </c>
      <c r="I151" s="21">
        <f>INDEX(Data[],MATCH($A151,Data[Dist],0),MATCH(I$5,Data[#Headers],0))</f>
        <v>732666</v>
      </c>
      <c r="K151" s="59">
        <f>INDEX('Payment Total'!$A$7:$H$331,MATCH('Payment by Source'!$A151,'Payment Total'!$A$7:$A$331,0),4)-I151</f>
        <v>0</v>
      </c>
      <c r="P151" s="138">
        <f>INDEX('Budget by Source'!$A$6:$I$330,MATCH('Payment by Source'!$A151,'Budget by Source'!$A$6:$A$330,0),MATCH(P$3,'Budget by Source'!$A$5:$I$5,0))-(ROUND(INDEX('Budget by Source'!$A$6:$I$330,MATCH('Payment by Source'!$A151,'Budget by Source'!$A$6:$A$330,0),MATCH(P$3,'Budget by Source'!$A$5:$I$5,0))/10,0)*10)</f>
        <v>1</v>
      </c>
      <c r="Q151" s="138">
        <f>INDEX('Budget by Source'!$A$6:$I$330,MATCH('Payment by Source'!$A151,'Budget by Source'!$A$6:$A$330,0),MATCH(Q$3,'Budget by Source'!$A$5:$I$5,0))-(ROUND(INDEX('Budget by Source'!$A$6:$I$330,MATCH('Payment by Source'!$A151,'Budget by Source'!$A$6:$A$330,0),MATCH(Q$3,'Budget by Source'!$A$5:$I$5,0))/10,0)*10)</f>
        <v>-1</v>
      </c>
      <c r="R151" s="138">
        <f>INDEX('Budget by Source'!$A$6:$I$330,MATCH('Payment by Source'!$A151,'Budget by Source'!$A$6:$A$330,0),MATCH(R$3,'Budget by Source'!$A$5:$I$5,0))-(ROUND(INDEX('Budget by Source'!$A$6:$I$330,MATCH('Payment by Source'!$A151,'Budget by Source'!$A$6:$A$330,0),MATCH(R$3,'Budget by Source'!$A$5:$I$5,0))/10,0)*10)</f>
        <v>0</v>
      </c>
      <c r="S151" s="138">
        <f>INDEX('Budget by Source'!$A$6:$I$330,MATCH('Payment by Source'!$A151,'Budget by Source'!$A$6:$A$330,0),MATCH(S$3,'Budget by Source'!$A$5:$I$5,0))-(ROUND(INDEX('Budget by Source'!$A$6:$I$330,MATCH('Payment by Source'!$A151,'Budget by Source'!$A$6:$A$330,0),MATCH(S$3,'Budget by Source'!$A$5:$I$5,0))/10,0)*10)</f>
        <v>1</v>
      </c>
      <c r="T151" s="138">
        <f>INDEX('Budget by Source'!$A$6:$I$330,MATCH('Payment by Source'!$A151,'Budget by Source'!$A$6:$A$330,0),MATCH(T$3,'Budget by Source'!$A$5:$I$5,0))-(ROUND(INDEX('Budget by Source'!$A$6:$I$330,MATCH('Payment by Source'!$A151,'Budget by Source'!$A$6:$A$330,0),MATCH(T$3,'Budget by Source'!$A$5:$I$5,0))/10,0)*10)</f>
        <v>-5</v>
      </c>
      <c r="U151" s="139">
        <f>INDEX('Budget by Source'!$A$6:$I$330,MATCH('Payment by Source'!$A151,'Budget by Source'!$A$6:$A$330,0),MATCH(U$3,'Budget by Source'!$A$5:$I$5,0))</f>
        <v>5649268</v>
      </c>
      <c r="V151" s="136">
        <f t="shared" si="7"/>
        <v>564927</v>
      </c>
      <c r="W151" s="136">
        <f t="shared" si="8"/>
        <v>5649270</v>
      </c>
    </row>
    <row r="152" spans="1:23" x14ac:dyDescent="0.2">
      <c r="A152" s="22" t="str">
        <f>Data!B148</f>
        <v>3154</v>
      </c>
      <c r="B152" s="20" t="str">
        <f>INDEX(Data[],MATCH($A152,Data[Dist],0),MATCH(B$5,Data[#Headers],0))</f>
        <v>Iowa Valley</v>
      </c>
      <c r="C152" s="21">
        <f>IF(Notes!$B$2="June",ROUND('Budget by Source'!C152/10,0)+P152,ROUND('Budget by Source'!C152/10,0))</f>
        <v>8183</v>
      </c>
      <c r="D152" s="21">
        <f>IF(Notes!$B$2="June",ROUND('Budget by Source'!D152/10,0)+Q152,ROUND('Budget by Source'!D152/10,0))</f>
        <v>46597</v>
      </c>
      <c r="E152" s="21">
        <f>IF(Notes!$B$2="June",ROUND('Budget by Source'!E152/10,0)+R152,ROUND('Budget by Source'!E152/10,0))</f>
        <v>3342</v>
      </c>
      <c r="F152" s="21">
        <f>IF(Notes!$B$2="June",ROUND('Budget by Source'!F152/10,0)+S152,ROUND('Budget by Source'!F152/10,0))</f>
        <v>3796</v>
      </c>
      <c r="G152" s="21">
        <f>IF(Notes!$B$2="June",ROUND('Budget by Source'!G152/10,0)+T152,ROUND('Budget by Source'!G152/10,0))</f>
        <v>19178</v>
      </c>
      <c r="H152" s="21">
        <f t="shared" si="6"/>
        <v>320499</v>
      </c>
      <c r="I152" s="21">
        <f>INDEX(Data[],MATCH($A152,Data[Dist],0),MATCH(I$5,Data[#Headers],0))</f>
        <v>401595</v>
      </c>
      <c r="K152" s="59">
        <f>INDEX('Payment Total'!$A$7:$H$331,MATCH('Payment by Source'!$A152,'Payment Total'!$A$7:$A$331,0),4)-I152</f>
        <v>0</v>
      </c>
      <c r="P152" s="138">
        <f>INDEX('Budget by Source'!$A$6:$I$330,MATCH('Payment by Source'!$A152,'Budget by Source'!$A$6:$A$330,0),MATCH(P$3,'Budget by Source'!$A$5:$I$5,0))-(ROUND(INDEX('Budget by Source'!$A$6:$I$330,MATCH('Payment by Source'!$A152,'Budget by Source'!$A$6:$A$330,0),MATCH(P$3,'Budget by Source'!$A$5:$I$5,0))/10,0)*10)</f>
        <v>-5</v>
      </c>
      <c r="Q152" s="138">
        <f>INDEX('Budget by Source'!$A$6:$I$330,MATCH('Payment by Source'!$A152,'Budget by Source'!$A$6:$A$330,0),MATCH(Q$3,'Budget by Source'!$A$5:$I$5,0))-(ROUND(INDEX('Budget by Source'!$A$6:$I$330,MATCH('Payment by Source'!$A152,'Budget by Source'!$A$6:$A$330,0),MATCH(Q$3,'Budget by Source'!$A$5:$I$5,0))/10,0)*10)</f>
        <v>-3</v>
      </c>
      <c r="R152" s="138">
        <f>INDEX('Budget by Source'!$A$6:$I$330,MATCH('Payment by Source'!$A152,'Budget by Source'!$A$6:$A$330,0),MATCH(R$3,'Budget by Source'!$A$5:$I$5,0))-(ROUND(INDEX('Budget by Source'!$A$6:$I$330,MATCH('Payment by Source'!$A152,'Budget by Source'!$A$6:$A$330,0),MATCH(R$3,'Budget by Source'!$A$5:$I$5,0))/10,0)*10)</f>
        <v>2</v>
      </c>
      <c r="S152" s="138">
        <f>INDEX('Budget by Source'!$A$6:$I$330,MATCH('Payment by Source'!$A152,'Budget by Source'!$A$6:$A$330,0),MATCH(S$3,'Budget by Source'!$A$5:$I$5,0))-(ROUND(INDEX('Budget by Source'!$A$6:$I$330,MATCH('Payment by Source'!$A152,'Budget by Source'!$A$6:$A$330,0),MATCH(S$3,'Budget by Source'!$A$5:$I$5,0))/10,0)*10)</f>
        <v>1</v>
      </c>
      <c r="T152" s="138">
        <f>INDEX('Budget by Source'!$A$6:$I$330,MATCH('Payment by Source'!$A152,'Budget by Source'!$A$6:$A$330,0),MATCH(T$3,'Budget by Source'!$A$5:$I$5,0))-(ROUND(INDEX('Budget by Source'!$A$6:$I$330,MATCH('Payment by Source'!$A152,'Budget by Source'!$A$6:$A$330,0),MATCH(T$3,'Budget by Source'!$A$5:$I$5,0))/10,0)*10)</f>
        <v>-1</v>
      </c>
      <c r="U152" s="139">
        <f>INDEX('Budget by Source'!$A$6:$I$330,MATCH('Payment by Source'!$A152,'Budget by Source'!$A$6:$A$330,0),MATCH(U$3,'Budget by Source'!$A$5:$I$5,0))</f>
        <v>3212569</v>
      </c>
      <c r="V152" s="136">
        <f t="shared" si="7"/>
        <v>321257</v>
      </c>
      <c r="W152" s="136">
        <f t="shared" si="8"/>
        <v>3212570</v>
      </c>
    </row>
    <row r="153" spans="1:23" x14ac:dyDescent="0.2">
      <c r="A153" s="22" t="str">
        <f>Data!B149</f>
        <v>3168</v>
      </c>
      <c r="B153" s="20" t="str">
        <f>INDEX(Data[],MATCH($A153,Data[Dist],0),MATCH(B$5,Data[#Headers],0))</f>
        <v>IKM-Manning</v>
      </c>
      <c r="C153" s="21">
        <f>IF(Notes!$B$2="June",ROUND('Budget by Source'!C153/10,0)+P153,ROUND('Budget by Source'!C153/10,0))</f>
        <v>18313</v>
      </c>
      <c r="D153" s="21">
        <f>IF(Notes!$B$2="June",ROUND('Budget by Source'!D153/10,0)+Q153,ROUND('Budget by Source'!D153/10,0))</f>
        <v>60578</v>
      </c>
      <c r="E153" s="21">
        <f>IF(Notes!$B$2="June",ROUND('Budget by Source'!E153/10,0)+R153,ROUND('Budget by Source'!E153/10,0))</f>
        <v>5212</v>
      </c>
      <c r="F153" s="21">
        <f>IF(Notes!$B$2="June",ROUND('Budget by Source'!F153/10,0)+S153,ROUND('Budget by Source'!F153/10,0))</f>
        <v>5638</v>
      </c>
      <c r="G153" s="21">
        <f>IF(Notes!$B$2="June",ROUND('Budget by Source'!G153/10,0)+T153,ROUND('Budget by Source'!G153/10,0))</f>
        <v>25777</v>
      </c>
      <c r="H153" s="21">
        <f t="shared" si="6"/>
        <v>292421</v>
      </c>
      <c r="I153" s="21">
        <f>INDEX(Data[],MATCH($A153,Data[Dist],0),MATCH(I$5,Data[#Headers],0))</f>
        <v>407939</v>
      </c>
      <c r="K153" s="59">
        <f>INDEX('Payment Total'!$A$7:$H$331,MATCH('Payment by Source'!$A153,'Payment Total'!$A$7:$A$331,0),4)-I153</f>
        <v>0</v>
      </c>
      <c r="P153" s="138">
        <f>INDEX('Budget by Source'!$A$6:$I$330,MATCH('Payment by Source'!$A153,'Budget by Source'!$A$6:$A$330,0),MATCH(P$3,'Budget by Source'!$A$5:$I$5,0))-(ROUND(INDEX('Budget by Source'!$A$6:$I$330,MATCH('Payment by Source'!$A153,'Budget by Source'!$A$6:$A$330,0),MATCH(P$3,'Budget by Source'!$A$5:$I$5,0))/10,0)*10)</f>
        <v>2</v>
      </c>
      <c r="Q153" s="138">
        <f>INDEX('Budget by Source'!$A$6:$I$330,MATCH('Payment by Source'!$A153,'Budget by Source'!$A$6:$A$330,0),MATCH(Q$3,'Budget by Source'!$A$5:$I$5,0))-(ROUND(INDEX('Budget by Source'!$A$6:$I$330,MATCH('Payment by Source'!$A153,'Budget by Source'!$A$6:$A$330,0),MATCH(Q$3,'Budget by Source'!$A$5:$I$5,0))/10,0)*10)</f>
        <v>0</v>
      </c>
      <c r="R153" s="138">
        <f>INDEX('Budget by Source'!$A$6:$I$330,MATCH('Payment by Source'!$A153,'Budget by Source'!$A$6:$A$330,0),MATCH(R$3,'Budget by Source'!$A$5:$I$5,0))-(ROUND(INDEX('Budget by Source'!$A$6:$I$330,MATCH('Payment by Source'!$A153,'Budget by Source'!$A$6:$A$330,0),MATCH(R$3,'Budget by Source'!$A$5:$I$5,0))/10,0)*10)</f>
        <v>-5</v>
      </c>
      <c r="S153" s="138">
        <f>INDEX('Budget by Source'!$A$6:$I$330,MATCH('Payment by Source'!$A153,'Budget by Source'!$A$6:$A$330,0),MATCH(S$3,'Budget by Source'!$A$5:$I$5,0))-(ROUND(INDEX('Budget by Source'!$A$6:$I$330,MATCH('Payment by Source'!$A153,'Budget by Source'!$A$6:$A$330,0),MATCH(S$3,'Budget by Source'!$A$5:$I$5,0))/10,0)*10)</f>
        <v>0</v>
      </c>
      <c r="T153" s="138">
        <f>INDEX('Budget by Source'!$A$6:$I$330,MATCH('Payment by Source'!$A153,'Budget by Source'!$A$6:$A$330,0),MATCH(T$3,'Budget by Source'!$A$5:$I$5,0))-(ROUND(INDEX('Budget by Source'!$A$6:$I$330,MATCH('Payment by Source'!$A153,'Budget by Source'!$A$6:$A$330,0),MATCH(T$3,'Budget by Source'!$A$5:$I$5,0))/10,0)*10)</f>
        <v>0</v>
      </c>
      <c r="U153" s="139">
        <f>INDEX('Budget by Source'!$A$6:$I$330,MATCH('Payment by Source'!$A153,'Budget by Source'!$A$6:$A$330,0),MATCH(U$3,'Budget by Source'!$A$5:$I$5,0))</f>
        <v>2934310</v>
      </c>
      <c r="V153" s="136">
        <f t="shared" si="7"/>
        <v>293431</v>
      </c>
      <c r="W153" s="136">
        <f t="shared" si="8"/>
        <v>2934310</v>
      </c>
    </row>
    <row r="154" spans="1:23" x14ac:dyDescent="0.2">
      <c r="A154" s="22" t="str">
        <f>Data!B150</f>
        <v>3186</v>
      </c>
      <c r="B154" s="20" t="str">
        <f>INDEX(Data[],MATCH($A154,Data[Dist],0),MATCH(B$5,Data[#Headers],0))</f>
        <v>Janesville</v>
      </c>
      <c r="C154" s="21">
        <f>IF(Notes!$B$2="June",ROUND('Budget by Source'!C154/10,0)+P154,ROUND('Budget by Source'!C154/10,0))</f>
        <v>14417</v>
      </c>
      <c r="D154" s="21">
        <f>IF(Notes!$B$2="June",ROUND('Budget by Source'!D154/10,0)+Q154,ROUND('Budget by Source'!D154/10,0))</f>
        <v>47348</v>
      </c>
      <c r="E154" s="21">
        <f>IF(Notes!$B$2="June",ROUND('Budget by Source'!E154/10,0)+R154,ROUND('Budget by Source'!E154/10,0))</f>
        <v>2638</v>
      </c>
      <c r="F154" s="21">
        <f>IF(Notes!$B$2="June",ROUND('Budget by Source'!F154/10,0)+S154,ROUND('Budget by Source'!F154/10,0))</f>
        <v>2876</v>
      </c>
      <c r="G154" s="21">
        <f>IF(Notes!$B$2="June",ROUND('Budget by Source'!G154/10,0)+T154,ROUND('Budget by Source'!G154/10,0))</f>
        <v>16723</v>
      </c>
      <c r="H154" s="21">
        <f t="shared" si="6"/>
        <v>259448</v>
      </c>
      <c r="I154" s="21">
        <f>INDEX(Data[],MATCH($A154,Data[Dist],0),MATCH(I$5,Data[#Headers],0))</f>
        <v>343450</v>
      </c>
      <c r="K154" s="59">
        <f>INDEX('Payment Total'!$A$7:$H$331,MATCH('Payment by Source'!$A154,'Payment Total'!$A$7:$A$331,0),4)-I154</f>
        <v>0</v>
      </c>
      <c r="P154" s="138">
        <f>INDEX('Budget by Source'!$A$6:$I$330,MATCH('Payment by Source'!$A154,'Budget by Source'!$A$6:$A$330,0),MATCH(P$3,'Budget by Source'!$A$5:$I$5,0))-(ROUND(INDEX('Budget by Source'!$A$6:$I$330,MATCH('Payment by Source'!$A154,'Budget by Source'!$A$6:$A$330,0),MATCH(P$3,'Budget by Source'!$A$5:$I$5,0))/10,0)*10)</f>
        <v>-3</v>
      </c>
      <c r="Q154" s="138">
        <f>INDEX('Budget by Source'!$A$6:$I$330,MATCH('Payment by Source'!$A154,'Budget by Source'!$A$6:$A$330,0),MATCH(Q$3,'Budget by Source'!$A$5:$I$5,0))-(ROUND(INDEX('Budget by Source'!$A$6:$I$330,MATCH('Payment by Source'!$A154,'Budget by Source'!$A$6:$A$330,0),MATCH(Q$3,'Budget by Source'!$A$5:$I$5,0))/10,0)*10)</f>
        <v>1</v>
      </c>
      <c r="R154" s="138">
        <f>INDEX('Budget by Source'!$A$6:$I$330,MATCH('Payment by Source'!$A154,'Budget by Source'!$A$6:$A$330,0),MATCH(R$3,'Budget by Source'!$A$5:$I$5,0))-(ROUND(INDEX('Budget by Source'!$A$6:$I$330,MATCH('Payment by Source'!$A154,'Budget by Source'!$A$6:$A$330,0),MATCH(R$3,'Budget by Source'!$A$5:$I$5,0))/10,0)*10)</f>
        <v>0</v>
      </c>
      <c r="S154" s="138">
        <f>INDEX('Budget by Source'!$A$6:$I$330,MATCH('Payment by Source'!$A154,'Budget by Source'!$A$6:$A$330,0),MATCH(S$3,'Budget by Source'!$A$5:$I$5,0))-(ROUND(INDEX('Budget by Source'!$A$6:$I$330,MATCH('Payment by Source'!$A154,'Budget by Source'!$A$6:$A$330,0),MATCH(S$3,'Budget by Source'!$A$5:$I$5,0))/10,0)*10)</f>
        <v>-2</v>
      </c>
      <c r="T154" s="138">
        <f>INDEX('Budget by Source'!$A$6:$I$330,MATCH('Payment by Source'!$A154,'Budget by Source'!$A$6:$A$330,0),MATCH(T$3,'Budget by Source'!$A$5:$I$5,0))-(ROUND(INDEX('Budget by Source'!$A$6:$I$330,MATCH('Payment by Source'!$A154,'Budget by Source'!$A$6:$A$330,0),MATCH(T$3,'Budget by Source'!$A$5:$I$5,0))/10,0)*10)</f>
        <v>-5</v>
      </c>
      <c r="U154" s="139">
        <f>INDEX('Budget by Source'!$A$6:$I$330,MATCH('Payment by Source'!$A154,'Budget by Source'!$A$6:$A$330,0),MATCH(U$3,'Budget by Source'!$A$5:$I$5,0))</f>
        <v>2600925</v>
      </c>
      <c r="V154" s="136">
        <f t="shared" si="7"/>
        <v>260093</v>
      </c>
      <c r="W154" s="136">
        <f t="shared" si="8"/>
        <v>2600930</v>
      </c>
    </row>
    <row r="155" spans="1:23" x14ac:dyDescent="0.2">
      <c r="A155" s="22" t="str">
        <f>Data!B151</f>
        <v>3195</v>
      </c>
      <c r="B155" s="20" t="str">
        <f>INDEX(Data[],MATCH($A155,Data[Dist],0),MATCH(B$5,Data[#Headers],0))</f>
        <v>Greene County</v>
      </c>
      <c r="C155" s="21">
        <f>IF(Notes!$B$2="June",ROUND('Budget by Source'!C155/10,0)+P155,ROUND('Budget by Source'!C155/10,0))</f>
        <v>30392</v>
      </c>
      <c r="D155" s="21">
        <f>IF(Notes!$B$2="June",ROUND('Budget by Source'!D155/10,0)+Q155,ROUND('Budget by Source'!D155/10,0))</f>
        <v>94959</v>
      </c>
      <c r="E155" s="21">
        <f>IF(Notes!$B$2="June",ROUND('Budget by Source'!E155/10,0)+R155,ROUND('Budget by Source'!E155/10,0))</f>
        <v>9951</v>
      </c>
      <c r="F155" s="21">
        <f>IF(Notes!$B$2="June",ROUND('Budget by Source'!F155/10,0)+S155,ROUND('Budget by Source'!F155/10,0))</f>
        <v>9182</v>
      </c>
      <c r="G155" s="21">
        <f>IF(Notes!$B$2="June",ROUND('Budget by Source'!G155/10,0)+T155,ROUND('Budget by Source'!G155/10,0))</f>
        <v>44811</v>
      </c>
      <c r="H155" s="21">
        <f t="shared" si="6"/>
        <v>579294</v>
      </c>
      <c r="I155" s="21">
        <f>INDEX(Data[],MATCH($A155,Data[Dist],0),MATCH(I$5,Data[#Headers],0))</f>
        <v>768589</v>
      </c>
      <c r="K155" s="59">
        <f>INDEX('Payment Total'!$A$7:$H$331,MATCH('Payment by Source'!$A155,'Payment Total'!$A$7:$A$331,0),4)-I155</f>
        <v>0</v>
      </c>
      <c r="P155" s="138">
        <f>INDEX('Budget by Source'!$A$6:$I$330,MATCH('Payment by Source'!$A155,'Budget by Source'!$A$6:$A$330,0),MATCH(P$3,'Budget by Source'!$A$5:$I$5,0))-(ROUND(INDEX('Budget by Source'!$A$6:$I$330,MATCH('Payment by Source'!$A155,'Budget by Source'!$A$6:$A$330,0),MATCH(P$3,'Budget by Source'!$A$5:$I$5,0))/10,0)*10)</f>
        <v>0</v>
      </c>
      <c r="Q155" s="138">
        <f>INDEX('Budget by Source'!$A$6:$I$330,MATCH('Payment by Source'!$A155,'Budget by Source'!$A$6:$A$330,0),MATCH(Q$3,'Budget by Source'!$A$5:$I$5,0))-(ROUND(INDEX('Budget by Source'!$A$6:$I$330,MATCH('Payment by Source'!$A155,'Budget by Source'!$A$6:$A$330,0),MATCH(Q$3,'Budget by Source'!$A$5:$I$5,0))/10,0)*10)</f>
        <v>-4</v>
      </c>
      <c r="R155" s="138">
        <f>INDEX('Budget by Source'!$A$6:$I$330,MATCH('Payment by Source'!$A155,'Budget by Source'!$A$6:$A$330,0),MATCH(R$3,'Budget by Source'!$A$5:$I$5,0))-(ROUND(INDEX('Budget by Source'!$A$6:$I$330,MATCH('Payment by Source'!$A155,'Budget by Source'!$A$6:$A$330,0),MATCH(R$3,'Budget by Source'!$A$5:$I$5,0))/10,0)*10)</f>
        <v>-3</v>
      </c>
      <c r="S155" s="138">
        <f>INDEX('Budget by Source'!$A$6:$I$330,MATCH('Payment by Source'!$A155,'Budget by Source'!$A$6:$A$330,0),MATCH(S$3,'Budget by Source'!$A$5:$I$5,0))-(ROUND(INDEX('Budget by Source'!$A$6:$I$330,MATCH('Payment by Source'!$A155,'Budget by Source'!$A$6:$A$330,0),MATCH(S$3,'Budget by Source'!$A$5:$I$5,0))/10,0)*10)</f>
        <v>0</v>
      </c>
      <c r="T155" s="138">
        <f>INDEX('Budget by Source'!$A$6:$I$330,MATCH('Payment by Source'!$A155,'Budget by Source'!$A$6:$A$330,0),MATCH(T$3,'Budget by Source'!$A$5:$I$5,0))-(ROUND(INDEX('Budget by Source'!$A$6:$I$330,MATCH('Payment by Source'!$A155,'Budget by Source'!$A$6:$A$330,0),MATCH(T$3,'Budget by Source'!$A$5:$I$5,0))/10,0)*10)</f>
        <v>3</v>
      </c>
      <c r="U155" s="139">
        <f>INDEX('Budget by Source'!$A$6:$I$330,MATCH('Payment by Source'!$A155,'Budget by Source'!$A$6:$A$330,0),MATCH(U$3,'Budget by Source'!$A$5:$I$5,0))</f>
        <v>5810693</v>
      </c>
      <c r="V155" s="136">
        <f t="shared" si="7"/>
        <v>581069</v>
      </c>
      <c r="W155" s="136">
        <f t="shared" si="8"/>
        <v>5810690</v>
      </c>
    </row>
    <row r="156" spans="1:23" x14ac:dyDescent="0.2">
      <c r="A156" s="22" t="str">
        <f>Data!B152</f>
        <v>3204</v>
      </c>
      <c r="B156" s="20" t="str">
        <f>INDEX(Data[],MATCH($A156,Data[Dist],0),MATCH(B$5,Data[#Headers],0))</f>
        <v>Jesup</v>
      </c>
      <c r="C156" s="21">
        <f>IF(Notes!$B$2="June",ROUND('Budget by Source'!C156/10,0)+P156,ROUND('Budget by Source'!C156/10,0))</f>
        <v>27665</v>
      </c>
      <c r="D156" s="21">
        <f>IF(Notes!$B$2="June",ROUND('Budget by Source'!D156/10,0)+Q156,ROUND('Budget by Source'!D156/10,0))</f>
        <v>81377</v>
      </c>
      <c r="E156" s="21">
        <f>IF(Notes!$B$2="June",ROUND('Budget by Source'!E156/10,0)+R156,ROUND('Budget by Source'!E156/10,0))</f>
        <v>7427</v>
      </c>
      <c r="F156" s="21">
        <f>IF(Notes!$B$2="June",ROUND('Budget by Source'!F156/10,0)+S156,ROUND('Budget by Source'!F156/10,0))</f>
        <v>6185</v>
      </c>
      <c r="G156" s="21">
        <f>IF(Notes!$B$2="June",ROUND('Budget by Source'!G156/10,0)+T156,ROUND('Budget by Source'!G156/10,0))</f>
        <v>34627</v>
      </c>
      <c r="H156" s="21">
        <f t="shared" si="6"/>
        <v>522549</v>
      </c>
      <c r="I156" s="21">
        <f>INDEX(Data[],MATCH($A156,Data[Dist],0),MATCH(I$5,Data[#Headers],0))</f>
        <v>679830</v>
      </c>
      <c r="K156" s="59">
        <f>INDEX('Payment Total'!$A$7:$H$331,MATCH('Payment by Source'!$A156,'Payment Total'!$A$7:$A$331,0),4)-I156</f>
        <v>0</v>
      </c>
      <c r="P156" s="138">
        <f>INDEX('Budget by Source'!$A$6:$I$330,MATCH('Payment by Source'!$A156,'Budget by Source'!$A$6:$A$330,0),MATCH(P$3,'Budget by Source'!$A$5:$I$5,0))-(ROUND(INDEX('Budget by Source'!$A$6:$I$330,MATCH('Payment by Source'!$A156,'Budget by Source'!$A$6:$A$330,0),MATCH(P$3,'Budget by Source'!$A$5:$I$5,0))/10,0)*10)</f>
        <v>-5</v>
      </c>
      <c r="Q156" s="138">
        <f>INDEX('Budget by Source'!$A$6:$I$330,MATCH('Payment by Source'!$A156,'Budget by Source'!$A$6:$A$330,0),MATCH(Q$3,'Budget by Source'!$A$5:$I$5,0))-(ROUND(INDEX('Budget by Source'!$A$6:$I$330,MATCH('Payment by Source'!$A156,'Budget by Source'!$A$6:$A$330,0),MATCH(Q$3,'Budget by Source'!$A$5:$I$5,0))/10,0)*10)</f>
        <v>3</v>
      </c>
      <c r="R156" s="138">
        <f>INDEX('Budget by Source'!$A$6:$I$330,MATCH('Payment by Source'!$A156,'Budget by Source'!$A$6:$A$330,0),MATCH(R$3,'Budget by Source'!$A$5:$I$5,0))-(ROUND(INDEX('Budget by Source'!$A$6:$I$330,MATCH('Payment by Source'!$A156,'Budget by Source'!$A$6:$A$330,0),MATCH(R$3,'Budget by Source'!$A$5:$I$5,0))/10,0)*10)</f>
        <v>1</v>
      </c>
      <c r="S156" s="138">
        <f>INDEX('Budget by Source'!$A$6:$I$330,MATCH('Payment by Source'!$A156,'Budget by Source'!$A$6:$A$330,0),MATCH(S$3,'Budget by Source'!$A$5:$I$5,0))-(ROUND(INDEX('Budget by Source'!$A$6:$I$330,MATCH('Payment by Source'!$A156,'Budget by Source'!$A$6:$A$330,0),MATCH(S$3,'Budget by Source'!$A$5:$I$5,0))/10,0)*10)</f>
        <v>0</v>
      </c>
      <c r="T156" s="138">
        <f>INDEX('Budget by Source'!$A$6:$I$330,MATCH('Payment by Source'!$A156,'Budget by Source'!$A$6:$A$330,0),MATCH(T$3,'Budget by Source'!$A$5:$I$5,0))-(ROUND(INDEX('Budget by Source'!$A$6:$I$330,MATCH('Payment by Source'!$A156,'Budget by Source'!$A$6:$A$330,0),MATCH(T$3,'Budget by Source'!$A$5:$I$5,0))/10,0)*10)</f>
        <v>4</v>
      </c>
      <c r="U156" s="139">
        <f>INDEX('Budget by Source'!$A$6:$I$330,MATCH('Payment by Source'!$A156,'Budget by Source'!$A$6:$A$330,0),MATCH(U$3,'Budget by Source'!$A$5:$I$5,0))</f>
        <v>5238606</v>
      </c>
      <c r="V156" s="136">
        <f t="shared" si="7"/>
        <v>523861</v>
      </c>
      <c r="W156" s="136">
        <f t="shared" si="8"/>
        <v>5238610</v>
      </c>
    </row>
    <row r="157" spans="1:23" x14ac:dyDescent="0.2">
      <c r="A157" s="22" t="str">
        <f>Data!B153</f>
        <v>3231</v>
      </c>
      <c r="B157" s="20" t="str">
        <f>INDEX(Data[],MATCH($A157,Data[Dist],0),MATCH(B$5,Data[#Headers],0))</f>
        <v>Johnston</v>
      </c>
      <c r="C157" s="21">
        <f>IF(Notes!$B$2="June",ROUND('Budget by Source'!C157/10,0)+P157,ROUND('Budget by Source'!C157/10,0))</f>
        <v>88075</v>
      </c>
      <c r="D157" s="21">
        <f>IF(Notes!$B$2="June",ROUND('Budget by Source'!D157/10,0)+Q157,ROUND('Budget by Source'!D157/10,0))</f>
        <v>488202</v>
      </c>
      <c r="E157" s="21">
        <f>IF(Notes!$B$2="June",ROUND('Budget by Source'!E157/10,0)+R157,ROUND('Budget by Source'!E157/10,0))</f>
        <v>48891</v>
      </c>
      <c r="F157" s="21">
        <f>IF(Notes!$B$2="June",ROUND('Budget by Source'!F157/10,0)+S157,ROUND('Budget by Source'!F157/10,0))</f>
        <v>49072</v>
      </c>
      <c r="G157" s="21">
        <f>IF(Notes!$B$2="June",ROUND('Budget by Source'!G157/10,0)+T157,ROUND('Budget by Source'!G157/10,0))</f>
        <v>263753</v>
      </c>
      <c r="H157" s="21">
        <f t="shared" si="6"/>
        <v>3958534</v>
      </c>
      <c r="I157" s="21">
        <f>INDEX(Data[],MATCH($A157,Data[Dist],0),MATCH(I$5,Data[#Headers],0))</f>
        <v>4896527</v>
      </c>
      <c r="K157" s="59">
        <f>INDEX('Payment Total'!$A$7:$H$331,MATCH('Payment by Source'!$A157,'Payment Total'!$A$7:$A$331,0),4)-I157</f>
        <v>0</v>
      </c>
      <c r="P157" s="138">
        <f>INDEX('Budget by Source'!$A$6:$I$330,MATCH('Payment by Source'!$A157,'Budget by Source'!$A$6:$A$330,0),MATCH(P$3,'Budget by Source'!$A$5:$I$5,0))-(ROUND(INDEX('Budget by Source'!$A$6:$I$330,MATCH('Payment by Source'!$A157,'Budget by Source'!$A$6:$A$330,0),MATCH(P$3,'Budget by Source'!$A$5:$I$5,0))/10,0)*10)</f>
        <v>-2</v>
      </c>
      <c r="Q157" s="138">
        <f>INDEX('Budget by Source'!$A$6:$I$330,MATCH('Payment by Source'!$A157,'Budget by Source'!$A$6:$A$330,0),MATCH(Q$3,'Budget by Source'!$A$5:$I$5,0))-(ROUND(INDEX('Budget by Source'!$A$6:$I$330,MATCH('Payment by Source'!$A157,'Budget by Source'!$A$6:$A$330,0),MATCH(Q$3,'Budget by Source'!$A$5:$I$5,0))/10,0)*10)</f>
        <v>4</v>
      </c>
      <c r="R157" s="138">
        <f>INDEX('Budget by Source'!$A$6:$I$330,MATCH('Payment by Source'!$A157,'Budget by Source'!$A$6:$A$330,0),MATCH(R$3,'Budget by Source'!$A$5:$I$5,0))-(ROUND(INDEX('Budget by Source'!$A$6:$I$330,MATCH('Payment by Source'!$A157,'Budget by Source'!$A$6:$A$330,0),MATCH(R$3,'Budget by Source'!$A$5:$I$5,0))/10,0)*10)</f>
        <v>-2</v>
      </c>
      <c r="S157" s="138">
        <f>INDEX('Budget by Source'!$A$6:$I$330,MATCH('Payment by Source'!$A157,'Budget by Source'!$A$6:$A$330,0),MATCH(S$3,'Budget by Source'!$A$5:$I$5,0))-(ROUND(INDEX('Budget by Source'!$A$6:$I$330,MATCH('Payment by Source'!$A157,'Budget by Source'!$A$6:$A$330,0),MATCH(S$3,'Budget by Source'!$A$5:$I$5,0))/10,0)*10)</f>
        <v>3</v>
      </c>
      <c r="T157" s="138">
        <f>INDEX('Budget by Source'!$A$6:$I$330,MATCH('Payment by Source'!$A157,'Budget by Source'!$A$6:$A$330,0),MATCH(T$3,'Budget by Source'!$A$5:$I$5,0))-(ROUND(INDEX('Budget by Source'!$A$6:$I$330,MATCH('Payment by Source'!$A157,'Budget by Source'!$A$6:$A$330,0),MATCH(T$3,'Budget by Source'!$A$5:$I$5,0))/10,0)*10)</f>
        <v>2</v>
      </c>
      <c r="U157" s="139">
        <f>INDEX('Budget by Source'!$A$6:$I$330,MATCH('Payment by Source'!$A157,'Budget by Source'!$A$6:$A$330,0),MATCH(U$3,'Budget by Source'!$A$5:$I$5,0))</f>
        <v>39688029</v>
      </c>
      <c r="V157" s="136">
        <f t="shared" si="7"/>
        <v>3968803</v>
      </c>
      <c r="W157" s="136">
        <f t="shared" si="8"/>
        <v>39688030</v>
      </c>
    </row>
    <row r="158" spans="1:23" x14ac:dyDescent="0.2">
      <c r="A158" s="22" t="str">
        <f>Data!B154</f>
        <v>3312</v>
      </c>
      <c r="B158" s="20" t="str">
        <f>INDEX(Data[],MATCH($A158,Data[Dist],0),MATCH(B$5,Data[#Headers],0))</f>
        <v>Keokuk</v>
      </c>
      <c r="C158" s="21">
        <f>IF(Notes!$B$2="June",ROUND('Budget by Source'!C158/10,0)+P158,ROUND('Budget by Source'!C158/10,0))</f>
        <v>36237</v>
      </c>
      <c r="D158" s="21">
        <f>IF(Notes!$B$2="June",ROUND('Budget by Source'!D158/10,0)+Q158,ROUND('Budget by Source'!D158/10,0))</f>
        <v>138017</v>
      </c>
      <c r="E158" s="21">
        <f>IF(Notes!$B$2="June",ROUND('Budget by Source'!E158/10,0)+R158,ROUND('Budget by Source'!E158/10,0))</f>
        <v>15937</v>
      </c>
      <c r="F158" s="21">
        <f>IF(Notes!$B$2="June",ROUND('Budget by Source'!F158/10,0)+S158,ROUND('Budget by Source'!F158/10,0))</f>
        <v>14750</v>
      </c>
      <c r="G158" s="21">
        <f>IF(Notes!$B$2="June",ROUND('Budget by Source'!G158/10,0)+T158,ROUND('Budget by Source'!G158/10,0))</f>
        <v>71404</v>
      </c>
      <c r="H158" s="21">
        <f t="shared" si="6"/>
        <v>1400491</v>
      </c>
      <c r="I158" s="21">
        <f>INDEX(Data[],MATCH($A158,Data[Dist],0),MATCH(I$5,Data[#Headers],0))</f>
        <v>1676836</v>
      </c>
      <c r="K158" s="59">
        <f>INDEX('Payment Total'!$A$7:$H$331,MATCH('Payment by Source'!$A158,'Payment Total'!$A$7:$A$331,0),4)-I158</f>
        <v>0</v>
      </c>
      <c r="P158" s="138">
        <f>INDEX('Budget by Source'!$A$6:$I$330,MATCH('Payment by Source'!$A158,'Budget by Source'!$A$6:$A$330,0),MATCH(P$3,'Budget by Source'!$A$5:$I$5,0))-(ROUND(INDEX('Budget by Source'!$A$6:$I$330,MATCH('Payment by Source'!$A158,'Budget by Source'!$A$6:$A$330,0),MATCH(P$3,'Budget by Source'!$A$5:$I$5,0))/10,0)*10)</f>
        <v>-3</v>
      </c>
      <c r="Q158" s="138">
        <f>INDEX('Budget by Source'!$A$6:$I$330,MATCH('Payment by Source'!$A158,'Budget by Source'!$A$6:$A$330,0),MATCH(Q$3,'Budget by Source'!$A$5:$I$5,0))-(ROUND(INDEX('Budget by Source'!$A$6:$I$330,MATCH('Payment by Source'!$A158,'Budget by Source'!$A$6:$A$330,0),MATCH(Q$3,'Budget by Source'!$A$5:$I$5,0))/10,0)*10)</f>
        <v>-5</v>
      </c>
      <c r="R158" s="138">
        <f>INDEX('Budget by Source'!$A$6:$I$330,MATCH('Payment by Source'!$A158,'Budget by Source'!$A$6:$A$330,0),MATCH(R$3,'Budget by Source'!$A$5:$I$5,0))-(ROUND(INDEX('Budget by Source'!$A$6:$I$330,MATCH('Payment by Source'!$A158,'Budget by Source'!$A$6:$A$330,0),MATCH(R$3,'Budget by Source'!$A$5:$I$5,0))/10,0)*10)</f>
        <v>1</v>
      </c>
      <c r="S158" s="138">
        <f>INDEX('Budget by Source'!$A$6:$I$330,MATCH('Payment by Source'!$A158,'Budget by Source'!$A$6:$A$330,0),MATCH(S$3,'Budget by Source'!$A$5:$I$5,0))-(ROUND(INDEX('Budget by Source'!$A$6:$I$330,MATCH('Payment by Source'!$A158,'Budget by Source'!$A$6:$A$330,0),MATCH(S$3,'Budget by Source'!$A$5:$I$5,0))/10,0)*10)</f>
        <v>0</v>
      </c>
      <c r="T158" s="138">
        <f>INDEX('Budget by Source'!$A$6:$I$330,MATCH('Payment by Source'!$A158,'Budget by Source'!$A$6:$A$330,0),MATCH(T$3,'Budget by Source'!$A$5:$I$5,0))-(ROUND(INDEX('Budget by Source'!$A$6:$I$330,MATCH('Payment by Source'!$A158,'Budget by Source'!$A$6:$A$330,0),MATCH(T$3,'Budget by Source'!$A$5:$I$5,0))/10,0)*10)</f>
        <v>2</v>
      </c>
      <c r="U158" s="139">
        <f>INDEX('Budget by Source'!$A$6:$I$330,MATCH('Payment by Source'!$A158,'Budget by Source'!$A$6:$A$330,0),MATCH(U$3,'Budget by Source'!$A$5:$I$5,0))</f>
        <v>14032310</v>
      </c>
      <c r="V158" s="136">
        <f t="shared" si="7"/>
        <v>1403231</v>
      </c>
      <c r="W158" s="136">
        <f t="shared" si="8"/>
        <v>14032310</v>
      </c>
    </row>
    <row r="159" spans="1:23" x14ac:dyDescent="0.2">
      <c r="A159" s="22" t="str">
        <f>Data!B155</f>
        <v>3330</v>
      </c>
      <c r="B159" s="20" t="str">
        <f>INDEX(Data[],MATCH($A159,Data[Dist],0),MATCH(B$5,Data[#Headers],0))</f>
        <v>Keota</v>
      </c>
      <c r="C159" s="21">
        <f>IF(Notes!$B$2="June",ROUND('Budget by Source'!C159/10,0)+P159,ROUND('Budget by Source'!C159/10,0))</f>
        <v>6234</v>
      </c>
      <c r="D159" s="21">
        <f>IF(Notes!$B$2="June",ROUND('Budget by Source'!D159/10,0)+Q159,ROUND('Budget by Source'!D159/10,0))</f>
        <v>52662</v>
      </c>
      <c r="E159" s="21">
        <f>IF(Notes!$B$2="June",ROUND('Budget by Source'!E159/10,0)+R159,ROUND('Budget by Source'!E159/10,0))</f>
        <v>2495</v>
      </c>
      <c r="F159" s="21">
        <f>IF(Notes!$B$2="June",ROUND('Budget by Source'!F159/10,0)+S159,ROUND('Budget by Source'!F159/10,0))</f>
        <v>2657</v>
      </c>
      <c r="G159" s="21">
        <f>IF(Notes!$B$2="June",ROUND('Budget by Source'!G159/10,0)+T159,ROUND('Budget by Source'!G159/10,0))</f>
        <v>13293</v>
      </c>
      <c r="H159" s="21">
        <f t="shared" si="6"/>
        <v>172098</v>
      </c>
      <c r="I159" s="21">
        <f>INDEX(Data[],MATCH($A159,Data[Dist],0),MATCH(I$5,Data[#Headers],0))</f>
        <v>249439</v>
      </c>
      <c r="K159" s="59">
        <f>INDEX('Payment Total'!$A$7:$H$331,MATCH('Payment by Source'!$A159,'Payment Total'!$A$7:$A$331,0),4)-I159</f>
        <v>0</v>
      </c>
      <c r="P159" s="138">
        <f>INDEX('Budget by Source'!$A$6:$I$330,MATCH('Payment by Source'!$A159,'Budget by Source'!$A$6:$A$330,0),MATCH(P$3,'Budget by Source'!$A$5:$I$5,0))-(ROUND(INDEX('Budget by Source'!$A$6:$I$330,MATCH('Payment by Source'!$A159,'Budget by Source'!$A$6:$A$330,0),MATCH(P$3,'Budget by Source'!$A$5:$I$5,0))/10,0)*10)</f>
        <v>3</v>
      </c>
      <c r="Q159" s="138">
        <f>INDEX('Budget by Source'!$A$6:$I$330,MATCH('Payment by Source'!$A159,'Budget by Source'!$A$6:$A$330,0),MATCH(Q$3,'Budget by Source'!$A$5:$I$5,0))-(ROUND(INDEX('Budget by Source'!$A$6:$I$330,MATCH('Payment by Source'!$A159,'Budget by Source'!$A$6:$A$330,0),MATCH(Q$3,'Budget by Source'!$A$5:$I$5,0))/10,0)*10)</f>
        <v>4</v>
      </c>
      <c r="R159" s="138">
        <f>INDEX('Budget by Source'!$A$6:$I$330,MATCH('Payment by Source'!$A159,'Budget by Source'!$A$6:$A$330,0),MATCH(R$3,'Budget by Source'!$A$5:$I$5,0))-(ROUND(INDEX('Budget by Source'!$A$6:$I$330,MATCH('Payment by Source'!$A159,'Budget by Source'!$A$6:$A$330,0),MATCH(R$3,'Budget by Source'!$A$5:$I$5,0))/10,0)*10)</f>
        <v>3</v>
      </c>
      <c r="S159" s="138">
        <f>INDEX('Budget by Source'!$A$6:$I$330,MATCH('Payment by Source'!$A159,'Budget by Source'!$A$6:$A$330,0),MATCH(S$3,'Budget by Source'!$A$5:$I$5,0))-(ROUND(INDEX('Budget by Source'!$A$6:$I$330,MATCH('Payment by Source'!$A159,'Budget by Source'!$A$6:$A$330,0),MATCH(S$3,'Budget by Source'!$A$5:$I$5,0))/10,0)*10)</f>
        <v>-4</v>
      </c>
      <c r="T159" s="138">
        <f>INDEX('Budget by Source'!$A$6:$I$330,MATCH('Payment by Source'!$A159,'Budget by Source'!$A$6:$A$330,0),MATCH(T$3,'Budget by Source'!$A$5:$I$5,0))-(ROUND(INDEX('Budget by Source'!$A$6:$I$330,MATCH('Payment by Source'!$A159,'Budget by Source'!$A$6:$A$330,0),MATCH(T$3,'Budget by Source'!$A$5:$I$5,0))/10,0)*10)</f>
        <v>-1</v>
      </c>
      <c r="U159" s="139">
        <f>INDEX('Budget by Source'!$A$6:$I$330,MATCH('Payment by Source'!$A159,'Budget by Source'!$A$6:$A$330,0),MATCH(U$3,'Budget by Source'!$A$5:$I$5,0))</f>
        <v>1726181</v>
      </c>
      <c r="V159" s="136">
        <f t="shared" si="7"/>
        <v>172618</v>
      </c>
      <c r="W159" s="136">
        <f t="shared" si="8"/>
        <v>1726180</v>
      </c>
    </row>
    <row r="160" spans="1:23" x14ac:dyDescent="0.2">
      <c r="A160" s="22" t="str">
        <f>Data!B156</f>
        <v>3348</v>
      </c>
      <c r="B160" s="20" t="str">
        <f>INDEX(Data[],MATCH($A160,Data[Dist],0),MATCH(B$5,Data[#Headers],0))</f>
        <v>Kingsley-Pierson</v>
      </c>
      <c r="C160" s="21">
        <f>IF(Notes!$B$2="June",ROUND('Budget by Source'!C160/10,0)+P160,ROUND('Budget by Source'!C160/10,0))</f>
        <v>0</v>
      </c>
      <c r="D160" s="21">
        <f>IF(Notes!$B$2="June",ROUND('Budget by Source'!D160/10,0)+Q160,ROUND('Budget by Source'!D160/10,0))</f>
        <v>50161</v>
      </c>
      <c r="E160" s="21">
        <f>IF(Notes!$B$2="June",ROUND('Budget by Source'!E160/10,0)+R160,ROUND('Budget by Source'!E160/10,0))</f>
        <v>4199</v>
      </c>
      <c r="F160" s="21">
        <f>IF(Notes!$B$2="June",ROUND('Budget by Source'!F160/10,0)+S160,ROUND('Budget by Source'!F160/10,0))</f>
        <v>3851</v>
      </c>
      <c r="G160" s="21">
        <f>IF(Notes!$B$2="June",ROUND('Budget by Source'!G160/10,0)+T160,ROUND('Budget by Source'!G160/10,0))</f>
        <v>17716</v>
      </c>
      <c r="H160" s="21">
        <f t="shared" si="6"/>
        <v>258489</v>
      </c>
      <c r="I160" s="21">
        <f>INDEX(Data[],MATCH($A160,Data[Dist],0),MATCH(I$5,Data[#Headers],0))</f>
        <v>334416</v>
      </c>
      <c r="K160" s="59">
        <f>INDEX('Payment Total'!$A$7:$H$331,MATCH('Payment by Source'!$A160,'Payment Total'!$A$7:$A$331,0),4)-I160</f>
        <v>0</v>
      </c>
      <c r="P160" s="138">
        <f>INDEX('Budget by Source'!$A$6:$I$330,MATCH('Payment by Source'!$A160,'Budget by Source'!$A$6:$A$330,0),MATCH(P$3,'Budget by Source'!$A$5:$I$5,0))-(ROUND(INDEX('Budget by Source'!$A$6:$I$330,MATCH('Payment by Source'!$A160,'Budget by Source'!$A$6:$A$330,0),MATCH(P$3,'Budget by Source'!$A$5:$I$5,0))/10,0)*10)</f>
        <v>0</v>
      </c>
      <c r="Q160" s="138">
        <f>INDEX('Budget by Source'!$A$6:$I$330,MATCH('Payment by Source'!$A160,'Budget by Source'!$A$6:$A$330,0),MATCH(Q$3,'Budget by Source'!$A$5:$I$5,0))-(ROUND(INDEX('Budget by Source'!$A$6:$I$330,MATCH('Payment by Source'!$A160,'Budget by Source'!$A$6:$A$330,0),MATCH(Q$3,'Budget by Source'!$A$5:$I$5,0))/10,0)*10)</f>
        <v>0</v>
      </c>
      <c r="R160" s="138">
        <f>INDEX('Budget by Source'!$A$6:$I$330,MATCH('Payment by Source'!$A160,'Budget by Source'!$A$6:$A$330,0),MATCH(R$3,'Budget by Source'!$A$5:$I$5,0))-(ROUND(INDEX('Budget by Source'!$A$6:$I$330,MATCH('Payment by Source'!$A160,'Budget by Source'!$A$6:$A$330,0),MATCH(R$3,'Budget by Source'!$A$5:$I$5,0))/10,0)*10)</f>
        <v>0</v>
      </c>
      <c r="S160" s="138">
        <f>INDEX('Budget by Source'!$A$6:$I$330,MATCH('Payment by Source'!$A160,'Budget by Source'!$A$6:$A$330,0),MATCH(S$3,'Budget by Source'!$A$5:$I$5,0))-(ROUND(INDEX('Budget by Source'!$A$6:$I$330,MATCH('Payment by Source'!$A160,'Budget by Source'!$A$6:$A$330,0),MATCH(S$3,'Budget by Source'!$A$5:$I$5,0))/10,0)*10)</f>
        <v>4</v>
      </c>
      <c r="T160" s="138">
        <f>INDEX('Budget by Source'!$A$6:$I$330,MATCH('Payment by Source'!$A160,'Budget by Source'!$A$6:$A$330,0),MATCH(T$3,'Budget by Source'!$A$5:$I$5,0))-(ROUND(INDEX('Budget by Source'!$A$6:$I$330,MATCH('Payment by Source'!$A160,'Budget by Source'!$A$6:$A$330,0),MATCH(T$3,'Budget by Source'!$A$5:$I$5,0))/10,0)*10)</f>
        <v>0</v>
      </c>
      <c r="U160" s="139">
        <f>INDEX('Budget by Source'!$A$6:$I$330,MATCH('Payment by Source'!$A160,'Budget by Source'!$A$6:$A$330,0),MATCH(U$3,'Budget by Source'!$A$5:$I$5,0))</f>
        <v>2591868</v>
      </c>
      <c r="V160" s="136">
        <f t="shared" si="7"/>
        <v>259187</v>
      </c>
      <c r="W160" s="136">
        <f t="shared" si="8"/>
        <v>2591870</v>
      </c>
    </row>
    <row r="161" spans="1:23" x14ac:dyDescent="0.2">
      <c r="A161" s="22" t="str">
        <f>Data!B157</f>
        <v>3375</v>
      </c>
      <c r="B161" s="20" t="str">
        <f>INDEX(Data[],MATCH($A161,Data[Dist],0),MATCH(B$5,Data[#Headers],0))</f>
        <v>Knoxville</v>
      </c>
      <c r="C161" s="21">
        <f>IF(Notes!$B$2="June",ROUND('Budget by Source'!C161/10,0)+P161,ROUND('Budget by Source'!C161/10,0))</f>
        <v>34678</v>
      </c>
      <c r="D161" s="21">
        <f>IF(Notes!$B$2="June",ROUND('Budget by Source'!D161/10,0)+Q161,ROUND('Budget by Source'!D161/10,0))</f>
        <v>131220</v>
      </c>
      <c r="E161" s="21">
        <f>IF(Notes!$B$2="June",ROUND('Budget by Source'!E161/10,0)+R161,ROUND('Budget by Source'!E161/10,0))</f>
        <v>13825</v>
      </c>
      <c r="F161" s="21">
        <f>IF(Notes!$B$2="June",ROUND('Budget by Source'!F161/10,0)+S161,ROUND('Budget by Source'!F161/10,0))</f>
        <v>12527</v>
      </c>
      <c r="G161" s="21">
        <f>IF(Notes!$B$2="June",ROUND('Budget by Source'!G161/10,0)+T161,ROUND('Budget by Source'!G161/10,0))</f>
        <v>65100</v>
      </c>
      <c r="H161" s="21">
        <f t="shared" si="6"/>
        <v>1133627</v>
      </c>
      <c r="I161" s="21">
        <f>INDEX(Data[],MATCH($A161,Data[Dist],0),MATCH(I$5,Data[#Headers],0))</f>
        <v>1390977</v>
      </c>
      <c r="K161" s="59">
        <f>INDEX('Payment Total'!$A$7:$H$331,MATCH('Payment by Source'!$A161,'Payment Total'!$A$7:$A$331,0),4)-I161</f>
        <v>0</v>
      </c>
      <c r="P161" s="138">
        <f>INDEX('Budget by Source'!$A$6:$I$330,MATCH('Payment by Source'!$A161,'Budget by Source'!$A$6:$A$330,0),MATCH(P$3,'Budget by Source'!$A$5:$I$5,0))-(ROUND(INDEX('Budget by Source'!$A$6:$I$330,MATCH('Payment by Source'!$A161,'Budget by Source'!$A$6:$A$330,0),MATCH(P$3,'Budget by Source'!$A$5:$I$5,0))/10,0)*10)</f>
        <v>1</v>
      </c>
      <c r="Q161" s="138">
        <f>INDEX('Budget by Source'!$A$6:$I$330,MATCH('Payment by Source'!$A161,'Budget by Source'!$A$6:$A$330,0),MATCH(Q$3,'Budget by Source'!$A$5:$I$5,0))-(ROUND(INDEX('Budget by Source'!$A$6:$I$330,MATCH('Payment by Source'!$A161,'Budget by Source'!$A$6:$A$330,0),MATCH(Q$3,'Budget by Source'!$A$5:$I$5,0))/10,0)*10)</f>
        <v>-3</v>
      </c>
      <c r="R161" s="138">
        <f>INDEX('Budget by Source'!$A$6:$I$330,MATCH('Payment by Source'!$A161,'Budget by Source'!$A$6:$A$330,0),MATCH(R$3,'Budget by Source'!$A$5:$I$5,0))-(ROUND(INDEX('Budget by Source'!$A$6:$I$330,MATCH('Payment by Source'!$A161,'Budget by Source'!$A$6:$A$330,0),MATCH(R$3,'Budget by Source'!$A$5:$I$5,0))/10,0)*10)</f>
        <v>1</v>
      </c>
      <c r="S161" s="138">
        <f>INDEX('Budget by Source'!$A$6:$I$330,MATCH('Payment by Source'!$A161,'Budget by Source'!$A$6:$A$330,0),MATCH(S$3,'Budget by Source'!$A$5:$I$5,0))-(ROUND(INDEX('Budget by Source'!$A$6:$I$330,MATCH('Payment by Source'!$A161,'Budget by Source'!$A$6:$A$330,0),MATCH(S$3,'Budget by Source'!$A$5:$I$5,0))/10,0)*10)</f>
        <v>4</v>
      </c>
      <c r="T161" s="138">
        <f>INDEX('Budget by Source'!$A$6:$I$330,MATCH('Payment by Source'!$A161,'Budget by Source'!$A$6:$A$330,0),MATCH(T$3,'Budget by Source'!$A$5:$I$5,0))-(ROUND(INDEX('Budget by Source'!$A$6:$I$330,MATCH('Payment by Source'!$A161,'Budget by Source'!$A$6:$A$330,0),MATCH(T$3,'Budget by Source'!$A$5:$I$5,0))/10,0)*10)</f>
        <v>-3</v>
      </c>
      <c r="U161" s="139">
        <f>INDEX('Budget by Source'!$A$6:$I$330,MATCH('Payment by Source'!$A161,'Budget by Source'!$A$6:$A$330,0),MATCH(U$3,'Budget by Source'!$A$5:$I$5,0))</f>
        <v>11362056</v>
      </c>
      <c r="V161" s="136">
        <f t="shared" si="7"/>
        <v>1136206</v>
      </c>
      <c r="W161" s="136">
        <f t="shared" si="8"/>
        <v>11362060</v>
      </c>
    </row>
    <row r="162" spans="1:23" x14ac:dyDescent="0.2">
      <c r="A162" s="22" t="str">
        <f>Data!B158</f>
        <v>3420</v>
      </c>
      <c r="B162" s="20" t="str">
        <f>INDEX(Data[],MATCH($A162,Data[Dist],0),MATCH(B$5,Data[#Headers],0))</f>
        <v>Lake Mills</v>
      </c>
      <c r="C162" s="21">
        <f>IF(Notes!$B$2="June",ROUND('Budget by Source'!C162/10,0)+P162,ROUND('Budget by Source'!C162/10,0))</f>
        <v>13638</v>
      </c>
      <c r="D162" s="21">
        <f>IF(Notes!$B$2="June",ROUND('Budget by Source'!D162/10,0)+Q162,ROUND('Budget by Source'!D162/10,0))</f>
        <v>51562</v>
      </c>
      <c r="E162" s="21">
        <f>IF(Notes!$B$2="June",ROUND('Budget by Source'!E162/10,0)+R162,ROUND('Budget by Source'!E162/10,0))</f>
        <v>4707</v>
      </c>
      <c r="F162" s="21">
        <f>IF(Notes!$B$2="June",ROUND('Budget by Source'!F162/10,0)+S162,ROUND('Budget by Source'!F162/10,0))</f>
        <v>4137</v>
      </c>
      <c r="G162" s="21">
        <f>IF(Notes!$B$2="June",ROUND('Budget by Source'!G162/10,0)+T162,ROUND('Budget by Source'!G162/10,0))</f>
        <v>21221</v>
      </c>
      <c r="H162" s="21">
        <f t="shared" si="6"/>
        <v>274262</v>
      </c>
      <c r="I162" s="21">
        <f>INDEX(Data[],MATCH($A162,Data[Dist],0),MATCH(I$5,Data[#Headers],0))</f>
        <v>369527</v>
      </c>
      <c r="K162" s="59">
        <f>INDEX('Payment Total'!$A$7:$H$331,MATCH('Payment by Source'!$A162,'Payment Total'!$A$7:$A$331,0),4)-I162</f>
        <v>0</v>
      </c>
      <c r="P162" s="138">
        <f>INDEX('Budget by Source'!$A$6:$I$330,MATCH('Payment by Source'!$A162,'Budget by Source'!$A$6:$A$330,0),MATCH(P$3,'Budget by Source'!$A$5:$I$5,0))-(ROUND(INDEX('Budget by Source'!$A$6:$I$330,MATCH('Payment by Source'!$A162,'Budget by Source'!$A$6:$A$330,0),MATCH(P$3,'Budget by Source'!$A$5:$I$5,0))/10,0)*10)</f>
        <v>-5</v>
      </c>
      <c r="Q162" s="138">
        <f>INDEX('Budget by Source'!$A$6:$I$330,MATCH('Payment by Source'!$A162,'Budget by Source'!$A$6:$A$330,0),MATCH(Q$3,'Budget by Source'!$A$5:$I$5,0))-(ROUND(INDEX('Budget by Source'!$A$6:$I$330,MATCH('Payment by Source'!$A162,'Budget by Source'!$A$6:$A$330,0),MATCH(Q$3,'Budget by Source'!$A$5:$I$5,0))/10,0)*10)</f>
        <v>0</v>
      </c>
      <c r="R162" s="138">
        <f>INDEX('Budget by Source'!$A$6:$I$330,MATCH('Payment by Source'!$A162,'Budget by Source'!$A$6:$A$330,0),MATCH(R$3,'Budget by Source'!$A$5:$I$5,0))-(ROUND(INDEX('Budget by Source'!$A$6:$I$330,MATCH('Payment by Source'!$A162,'Budget by Source'!$A$6:$A$330,0),MATCH(R$3,'Budget by Source'!$A$5:$I$5,0))/10,0)*10)</f>
        <v>-2</v>
      </c>
      <c r="S162" s="138">
        <f>INDEX('Budget by Source'!$A$6:$I$330,MATCH('Payment by Source'!$A162,'Budget by Source'!$A$6:$A$330,0),MATCH(S$3,'Budget by Source'!$A$5:$I$5,0))-(ROUND(INDEX('Budget by Source'!$A$6:$I$330,MATCH('Payment by Source'!$A162,'Budget by Source'!$A$6:$A$330,0),MATCH(S$3,'Budget by Source'!$A$5:$I$5,0))/10,0)*10)</f>
        <v>-5</v>
      </c>
      <c r="T162" s="138">
        <f>INDEX('Budget by Source'!$A$6:$I$330,MATCH('Payment by Source'!$A162,'Budget by Source'!$A$6:$A$330,0),MATCH(T$3,'Budget by Source'!$A$5:$I$5,0))-(ROUND(INDEX('Budget by Source'!$A$6:$I$330,MATCH('Payment by Source'!$A162,'Budget by Source'!$A$6:$A$330,0),MATCH(T$3,'Budget by Source'!$A$5:$I$5,0))/10,0)*10)</f>
        <v>4</v>
      </c>
      <c r="U162" s="139">
        <f>INDEX('Budget by Source'!$A$6:$I$330,MATCH('Payment by Source'!$A162,'Budget by Source'!$A$6:$A$330,0),MATCH(U$3,'Budget by Source'!$A$5:$I$5,0))</f>
        <v>2751049</v>
      </c>
      <c r="V162" s="136">
        <f t="shared" si="7"/>
        <v>275105</v>
      </c>
      <c r="W162" s="136">
        <f t="shared" si="8"/>
        <v>2751050</v>
      </c>
    </row>
    <row r="163" spans="1:23" x14ac:dyDescent="0.2">
      <c r="A163" s="22" t="str">
        <f>Data!B159</f>
        <v>3465</v>
      </c>
      <c r="B163" s="20" t="str">
        <f>INDEX(Data[],MATCH($A163,Data[Dist],0),MATCH(B$5,Data[#Headers],0))</f>
        <v>Lamoni</v>
      </c>
      <c r="C163" s="21">
        <f>IF(Notes!$B$2="June",ROUND('Budget by Source'!C163/10,0)+P163,ROUND('Budget by Source'!C163/10,0))</f>
        <v>6234</v>
      </c>
      <c r="D163" s="21">
        <f>IF(Notes!$B$2="June",ROUND('Budget by Source'!D163/10,0)+Q163,ROUND('Budget by Source'!D163/10,0))</f>
        <v>36778</v>
      </c>
      <c r="E163" s="21">
        <f>IF(Notes!$B$2="June",ROUND('Budget by Source'!E163/10,0)+R163,ROUND('Budget by Source'!E163/10,0))</f>
        <v>2719</v>
      </c>
      <c r="F163" s="21">
        <f>IF(Notes!$B$2="June",ROUND('Budget by Source'!F163/10,0)+S163,ROUND('Budget by Source'!F163/10,0))</f>
        <v>2682</v>
      </c>
      <c r="G163" s="21">
        <f>IF(Notes!$B$2="June",ROUND('Budget by Source'!G163/10,0)+T163,ROUND('Budget by Source'!G163/10,0))</f>
        <v>12412</v>
      </c>
      <c r="H163" s="21">
        <f t="shared" si="6"/>
        <v>210893</v>
      </c>
      <c r="I163" s="21">
        <f>INDEX(Data[],MATCH($A163,Data[Dist],0),MATCH(I$5,Data[#Headers],0))</f>
        <v>271718</v>
      </c>
      <c r="K163" s="59">
        <f>INDEX('Payment Total'!$A$7:$H$331,MATCH('Payment by Source'!$A163,'Payment Total'!$A$7:$A$331,0),4)-I163</f>
        <v>0</v>
      </c>
      <c r="P163" s="138">
        <f>INDEX('Budget by Source'!$A$6:$I$330,MATCH('Payment by Source'!$A163,'Budget by Source'!$A$6:$A$330,0),MATCH(P$3,'Budget by Source'!$A$5:$I$5,0))-(ROUND(INDEX('Budget by Source'!$A$6:$I$330,MATCH('Payment by Source'!$A163,'Budget by Source'!$A$6:$A$330,0),MATCH(P$3,'Budget by Source'!$A$5:$I$5,0))/10,0)*10)</f>
        <v>3</v>
      </c>
      <c r="Q163" s="138">
        <f>INDEX('Budget by Source'!$A$6:$I$330,MATCH('Payment by Source'!$A163,'Budget by Source'!$A$6:$A$330,0),MATCH(Q$3,'Budget by Source'!$A$5:$I$5,0))-(ROUND(INDEX('Budget by Source'!$A$6:$I$330,MATCH('Payment by Source'!$A163,'Budget by Source'!$A$6:$A$330,0),MATCH(Q$3,'Budget by Source'!$A$5:$I$5,0))/10,0)*10)</f>
        <v>-5</v>
      </c>
      <c r="R163" s="138">
        <f>INDEX('Budget by Source'!$A$6:$I$330,MATCH('Payment by Source'!$A163,'Budget by Source'!$A$6:$A$330,0),MATCH(R$3,'Budget by Source'!$A$5:$I$5,0))-(ROUND(INDEX('Budget by Source'!$A$6:$I$330,MATCH('Payment by Source'!$A163,'Budget by Source'!$A$6:$A$330,0),MATCH(R$3,'Budget by Source'!$A$5:$I$5,0))/10,0)*10)</f>
        <v>0</v>
      </c>
      <c r="S163" s="138">
        <f>INDEX('Budget by Source'!$A$6:$I$330,MATCH('Payment by Source'!$A163,'Budget by Source'!$A$6:$A$330,0),MATCH(S$3,'Budget by Source'!$A$5:$I$5,0))-(ROUND(INDEX('Budget by Source'!$A$6:$I$330,MATCH('Payment by Source'!$A163,'Budget by Source'!$A$6:$A$330,0),MATCH(S$3,'Budget by Source'!$A$5:$I$5,0))/10,0)*10)</f>
        <v>3</v>
      </c>
      <c r="T163" s="138">
        <f>INDEX('Budget by Source'!$A$6:$I$330,MATCH('Payment by Source'!$A163,'Budget by Source'!$A$6:$A$330,0),MATCH(T$3,'Budget by Source'!$A$5:$I$5,0))-(ROUND(INDEX('Budget by Source'!$A$6:$I$330,MATCH('Payment by Source'!$A163,'Budget by Source'!$A$6:$A$330,0),MATCH(T$3,'Budget by Source'!$A$5:$I$5,0))/10,0)*10)</f>
        <v>1</v>
      </c>
      <c r="U163" s="139">
        <f>INDEX('Budget by Source'!$A$6:$I$330,MATCH('Payment by Source'!$A163,'Budget by Source'!$A$6:$A$330,0),MATCH(U$3,'Budget by Source'!$A$5:$I$5,0))</f>
        <v>2113518</v>
      </c>
      <c r="V163" s="136">
        <f t="shared" si="7"/>
        <v>211352</v>
      </c>
      <c r="W163" s="136">
        <f t="shared" si="8"/>
        <v>2113520</v>
      </c>
    </row>
    <row r="164" spans="1:23" x14ac:dyDescent="0.2">
      <c r="A164" s="22" t="str">
        <f>Data!B160</f>
        <v>3537</v>
      </c>
      <c r="B164" s="20" t="str">
        <f>INDEX(Data[],MATCH($A164,Data[Dist],0),MATCH(B$5,Data[#Headers],0))</f>
        <v>Laurens-Marathon</v>
      </c>
      <c r="C164" s="21">
        <f>IF(Notes!$B$2="June",ROUND('Budget by Source'!C164/10,0)+P164,ROUND('Budget by Source'!C164/10,0))</f>
        <v>5853</v>
      </c>
      <c r="D164" s="21">
        <f>IF(Notes!$B$2="June",ROUND('Budget by Source'!D164/10,0)+Q164,ROUND('Budget by Source'!D164/10,0))</f>
        <v>38415</v>
      </c>
      <c r="E164" s="21">
        <f>IF(Notes!$B$2="June",ROUND('Budget by Source'!E164/10,0)+R164,ROUND('Budget by Source'!E164/10,0))</f>
        <v>2480</v>
      </c>
      <c r="F164" s="21">
        <f>IF(Notes!$B$2="June",ROUND('Budget by Source'!F164/10,0)+S164,ROUND('Budget by Source'!F164/10,0))</f>
        <v>2581</v>
      </c>
      <c r="G164" s="21">
        <f>IF(Notes!$B$2="June",ROUND('Budget by Source'!G164/10,0)+T164,ROUND('Budget by Source'!G164/10,0))</f>
        <v>12050</v>
      </c>
      <c r="H164" s="21">
        <f t="shared" si="6"/>
        <v>173277</v>
      </c>
      <c r="I164" s="21">
        <f>INDEX(Data[],MATCH($A164,Data[Dist],0),MATCH(I$5,Data[#Headers],0))</f>
        <v>234656</v>
      </c>
      <c r="K164" s="59">
        <f>INDEX('Payment Total'!$A$7:$H$331,MATCH('Payment by Source'!$A164,'Payment Total'!$A$7:$A$331,0),4)-I164</f>
        <v>0</v>
      </c>
      <c r="P164" s="138">
        <f>INDEX('Budget by Source'!$A$6:$I$330,MATCH('Payment by Source'!$A164,'Budget by Source'!$A$6:$A$330,0),MATCH(P$3,'Budget by Source'!$A$5:$I$5,0))-(ROUND(INDEX('Budget by Source'!$A$6:$I$330,MATCH('Payment by Source'!$A164,'Budget by Source'!$A$6:$A$330,0),MATCH(P$3,'Budget by Source'!$A$5:$I$5,0))/10,0)*10)</f>
        <v>-5</v>
      </c>
      <c r="Q164" s="138">
        <f>INDEX('Budget by Source'!$A$6:$I$330,MATCH('Payment by Source'!$A164,'Budget by Source'!$A$6:$A$330,0),MATCH(Q$3,'Budget by Source'!$A$5:$I$5,0))-(ROUND(INDEX('Budget by Source'!$A$6:$I$330,MATCH('Payment by Source'!$A164,'Budget by Source'!$A$6:$A$330,0),MATCH(Q$3,'Budget by Source'!$A$5:$I$5,0))/10,0)*10)</f>
        <v>3</v>
      </c>
      <c r="R164" s="138">
        <f>INDEX('Budget by Source'!$A$6:$I$330,MATCH('Payment by Source'!$A164,'Budget by Source'!$A$6:$A$330,0),MATCH(R$3,'Budget by Source'!$A$5:$I$5,0))-(ROUND(INDEX('Budget by Source'!$A$6:$I$330,MATCH('Payment by Source'!$A164,'Budget by Source'!$A$6:$A$330,0),MATCH(R$3,'Budget by Source'!$A$5:$I$5,0))/10,0)*10)</f>
        <v>-4</v>
      </c>
      <c r="S164" s="138">
        <f>INDEX('Budget by Source'!$A$6:$I$330,MATCH('Payment by Source'!$A164,'Budget by Source'!$A$6:$A$330,0),MATCH(S$3,'Budget by Source'!$A$5:$I$5,0))-(ROUND(INDEX('Budget by Source'!$A$6:$I$330,MATCH('Payment by Source'!$A164,'Budget by Source'!$A$6:$A$330,0),MATCH(S$3,'Budget by Source'!$A$5:$I$5,0))/10,0)*10)</f>
        <v>3</v>
      </c>
      <c r="T164" s="138">
        <f>INDEX('Budget by Source'!$A$6:$I$330,MATCH('Payment by Source'!$A164,'Budget by Source'!$A$6:$A$330,0),MATCH(T$3,'Budget by Source'!$A$5:$I$5,0))-(ROUND(INDEX('Budget by Source'!$A$6:$I$330,MATCH('Payment by Source'!$A164,'Budget by Source'!$A$6:$A$330,0),MATCH(T$3,'Budget by Source'!$A$5:$I$5,0))/10,0)*10)</f>
        <v>-1</v>
      </c>
      <c r="U164" s="139">
        <f>INDEX('Budget by Source'!$A$6:$I$330,MATCH('Payment by Source'!$A164,'Budget by Source'!$A$6:$A$330,0),MATCH(U$3,'Budget by Source'!$A$5:$I$5,0))</f>
        <v>1737523</v>
      </c>
      <c r="V164" s="136">
        <f t="shared" si="7"/>
        <v>173752</v>
      </c>
      <c r="W164" s="136">
        <f t="shared" si="8"/>
        <v>1737520</v>
      </c>
    </row>
    <row r="165" spans="1:23" x14ac:dyDescent="0.2">
      <c r="A165" s="22" t="str">
        <f>Data!B161</f>
        <v>3555</v>
      </c>
      <c r="B165" s="20" t="str">
        <f>INDEX(Data[],MATCH($A165,Data[Dist],0),MATCH(B$5,Data[#Headers],0))</f>
        <v>Lawton-Bronson</v>
      </c>
      <c r="C165" s="21">
        <f>IF(Notes!$B$2="June",ROUND('Budget by Source'!C165/10,0)+P165,ROUND('Budget by Source'!C165/10,0))</f>
        <v>16755</v>
      </c>
      <c r="D165" s="21">
        <f>IF(Notes!$B$2="June",ROUND('Budget by Source'!D165/10,0)+Q165,ROUND('Budget by Source'!D165/10,0))</f>
        <v>56757</v>
      </c>
      <c r="E165" s="21">
        <f>IF(Notes!$B$2="June",ROUND('Budget by Source'!E165/10,0)+R165,ROUND('Budget by Source'!E165/10,0))</f>
        <v>4301</v>
      </c>
      <c r="F165" s="21">
        <f>IF(Notes!$B$2="June",ROUND('Budget by Source'!F165/10,0)+S165,ROUND('Budget by Source'!F165/10,0))</f>
        <v>4385</v>
      </c>
      <c r="G165" s="21">
        <f>IF(Notes!$B$2="June",ROUND('Budget by Source'!G165/10,0)+T165,ROUND('Budget by Source'!G165/10,0))</f>
        <v>23359</v>
      </c>
      <c r="H165" s="21">
        <f t="shared" si="6"/>
        <v>332812</v>
      </c>
      <c r="I165" s="21">
        <f>INDEX(Data[],MATCH($A165,Data[Dist],0),MATCH(I$5,Data[#Headers],0))</f>
        <v>438369</v>
      </c>
      <c r="K165" s="59">
        <f>INDEX('Payment Total'!$A$7:$H$331,MATCH('Payment by Source'!$A165,'Payment Total'!$A$7:$A$331,0),4)-I165</f>
        <v>0</v>
      </c>
      <c r="P165" s="138">
        <f>INDEX('Budget by Source'!$A$6:$I$330,MATCH('Payment by Source'!$A165,'Budget by Source'!$A$6:$A$330,0),MATCH(P$3,'Budget by Source'!$A$5:$I$5,0))-(ROUND(INDEX('Budget by Source'!$A$6:$I$330,MATCH('Payment by Source'!$A165,'Budget by Source'!$A$6:$A$330,0),MATCH(P$3,'Budget by Source'!$A$5:$I$5,0))/10,0)*10)</f>
        <v>-4</v>
      </c>
      <c r="Q165" s="138">
        <f>INDEX('Budget by Source'!$A$6:$I$330,MATCH('Payment by Source'!$A165,'Budget by Source'!$A$6:$A$330,0),MATCH(Q$3,'Budget by Source'!$A$5:$I$5,0))-(ROUND(INDEX('Budget by Source'!$A$6:$I$330,MATCH('Payment by Source'!$A165,'Budget by Source'!$A$6:$A$330,0),MATCH(Q$3,'Budget by Source'!$A$5:$I$5,0))/10,0)*10)</f>
        <v>-2</v>
      </c>
      <c r="R165" s="138">
        <f>INDEX('Budget by Source'!$A$6:$I$330,MATCH('Payment by Source'!$A165,'Budget by Source'!$A$6:$A$330,0),MATCH(R$3,'Budget by Source'!$A$5:$I$5,0))-(ROUND(INDEX('Budget by Source'!$A$6:$I$330,MATCH('Payment by Source'!$A165,'Budget by Source'!$A$6:$A$330,0),MATCH(R$3,'Budget by Source'!$A$5:$I$5,0))/10,0)*10)</f>
        <v>0</v>
      </c>
      <c r="S165" s="138">
        <f>INDEX('Budget by Source'!$A$6:$I$330,MATCH('Payment by Source'!$A165,'Budget by Source'!$A$6:$A$330,0),MATCH(S$3,'Budget by Source'!$A$5:$I$5,0))-(ROUND(INDEX('Budget by Source'!$A$6:$I$330,MATCH('Payment by Source'!$A165,'Budget by Source'!$A$6:$A$330,0),MATCH(S$3,'Budget by Source'!$A$5:$I$5,0))/10,0)*10)</f>
        <v>-5</v>
      </c>
      <c r="T165" s="138">
        <f>INDEX('Budget by Source'!$A$6:$I$330,MATCH('Payment by Source'!$A165,'Budget by Source'!$A$6:$A$330,0),MATCH(T$3,'Budget by Source'!$A$5:$I$5,0))-(ROUND(INDEX('Budget by Source'!$A$6:$I$330,MATCH('Payment by Source'!$A165,'Budget by Source'!$A$6:$A$330,0),MATCH(T$3,'Budget by Source'!$A$5:$I$5,0))/10,0)*10)</f>
        <v>4</v>
      </c>
      <c r="U165" s="139">
        <f>INDEX('Budget by Source'!$A$6:$I$330,MATCH('Payment by Source'!$A165,'Budget by Source'!$A$6:$A$330,0),MATCH(U$3,'Budget by Source'!$A$5:$I$5,0))</f>
        <v>3337328</v>
      </c>
      <c r="V165" s="136">
        <f t="shared" si="7"/>
        <v>333733</v>
      </c>
      <c r="W165" s="136">
        <f t="shared" si="8"/>
        <v>3337330</v>
      </c>
    </row>
    <row r="166" spans="1:23" x14ac:dyDescent="0.2">
      <c r="A166" s="22" t="str">
        <f>Data!B162</f>
        <v>3582</v>
      </c>
      <c r="B166" s="20" t="str">
        <f>INDEX(Data[],MATCH($A166,Data[Dist],0),MATCH(B$5,Data[#Headers],0))</f>
        <v>East Marshall</v>
      </c>
      <c r="C166" s="21">
        <f>IF(Notes!$B$2="June",ROUND('Budget by Source'!C166/10,0)+P166,ROUND('Budget by Source'!C166/10,0))</f>
        <v>9741</v>
      </c>
      <c r="D166" s="21">
        <f>IF(Notes!$B$2="June",ROUND('Budget by Source'!D166/10,0)+Q166,ROUND('Budget by Source'!D166/10,0))</f>
        <v>60419</v>
      </c>
      <c r="E166" s="21">
        <f>IF(Notes!$B$2="June",ROUND('Budget by Source'!E166/10,0)+R166,ROUND('Budget by Source'!E166/10,0))</f>
        <v>4313</v>
      </c>
      <c r="F166" s="21">
        <f>IF(Notes!$B$2="June",ROUND('Budget by Source'!F166/10,0)+S166,ROUND('Budget by Source'!F166/10,0))</f>
        <v>4240</v>
      </c>
      <c r="G166" s="21">
        <f>IF(Notes!$B$2="June",ROUND('Budget by Source'!G166/10,0)+T166,ROUND('Budget by Source'!G166/10,0))</f>
        <v>19586</v>
      </c>
      <c r="H166" s="21">
        <f t="shared" si="6"/>
        <v>252720</v>
      </c>
      <c r="I166" s="21">
        <f>INDEX(Data[],MATCH($A166,Data[Dist],0),MATCH(I$5,Data[#Headers],0))</f>
        <v>351019</v>
      </c>
      <c r="K166" s="59">
        <f>INDEX('Payment Total'!$A$7:$H$331,MATCH('Payment by Source'!$A166,'Payment Total'!$A$7:$A$331,0),4)-I166</f>
        <v>0</v>
      </c>
      <c r="P166" s="138">
        <f>INDEX('Budget by Source'!$A$6:$I$330,MATCH('Payment by Source'!$A166,'Budget by Source'!$A$6:$A$330,0),MATCH(P$3,'Budget by Source'!$A$5:$I$5,0))-(ROUND(INDEX('Budget by Source'!$A$6:$I$330,MATCH('Payment by Source'!$A166,'Budget by Source'!$A$6:$A$330,0),MATCH(P$3,'Budget by Source'!$A$5:$I$5,0))/10,0)*10)</f>
        <v>0</v>
      </c>
      <c r="Q166" s="138">
        <f>INDEX('Budget by Source'!$A$6:$I$330,MATCH('Payment by Source'!$A166,'Budget by Source'!$A$6:$A$330,0),MATCH(Q$3,'Budget by Source'!$A$5:$I$5,0))-(ROUND(INDEX('Budget by Source'!$A$6:$I$330,MATCH('Payment by Source'!$A166,'Budget by Source'!$A$6:$A$330,0),MATCH(Q$3,'Budget by Source'!$A$5:$I$5,0))/10,0)*10)</f>
        <v>2</v>
      </c>
      <c r="R166" s="138">
        <f>INDEX('Budget by Source'!$A$6:$I$330,MATCH('Payment by Source'!$A166,'Budget by Source'!$A$6:$A$330,0),MATCH(R$3,'Budget by Source'!$A$5:$I$5,0))-(ROUND(INDEX('Budget by Source'!$A$6:$I$330,MATCH('Payment by Source'!$A166,'Budget by Source'!$A$6:$A$330,0),MATCH(R$3,'Budget by Source'!$A$5:$I$5,0))/10,0)*10)</f>
        <v>4</v>
      </c>
      <c r="S166" s="138">
        <f>INDEX('Budget by Source'!$A$6:$I$330,MATCH('Payment by Source'!$A166,'Budget by Source'!$A$6:$A$330,0),MATCH(S$3,'Budget by Source'!$A$5:$I$5,0))-(ROUND(INDEX('Budget by Source'!$A$6:$I$330,MATCH('Payment by Source'!$A166,'Budget by Source'!$A$6:$A$330,0),MATCH(S$3,'Budget by Source'!$A$5:$I$5,0))/10,0)*10)</f>
        <v>3</v>
      </c>
      <c r="T166" s="138">
        <f>INDEX('Budget by Source'!$A$6:$I$330,MATCH('Payment by Source'!$A166,'Budget by Source'!$A$6:$A$330,0),MATCH(T$3,'Budget by Source'!$A$5:$I$5,0))-(ROUND(INDEX('Budget by Source'!$A$6:$I$330,MATCH('Payment by Source'!$A166,'Budget by Source'!$A$6:$A$330,0),MATCH(T$3,'Budget by Source'!$A$5:$I$5,0))/10,0)*10)</f>
        <v>-2</v>
      </c>
      <c r="U166" s="139">
        <f>INDEX('Budget by Source'!$A$6:$I$330,MATCH('Payment by Source'!$A166,'Budget by Source'!$A$6:$A$330,0),MATCH(U$3,'Budget by Source'!$A$5:$I$5,0))</f>
        <v>2534876</v>
      </c>
      <c r="V166" s="136">
        <f t="shared" si="7"/>
        <v>253488</v>
      </c>
      <c r="W166" s="136">
        <f t="shared" si="8"/>
        <v>2534880</v>
      </c>
    </row>
    <row r="167" spans="1:23" x14ac:dyDescent="0.2">
      <c r="A167" s="22" t="str">
        <f>Data!B163</f>
        <v>3600</v>
      </c>
      <c r="B167" s="20" t="str">
        <f>INDEX(Data[],MATCH($A167,Data[Dist],0),MATCH(B$5,Data[#Headers],0))</f>
        <v>Le Mars</v>
      </c>
      <c r="C167" s="21">
        <f>IF(Notes!$B$2="June",ROUND('Budget by Source'!C167/10,0)+P167,ROUND('Budget by Source'!C167/10,0))</f>
        <v>39743</v>
      </c>
      <c r="D167" s="21">
        <f>IF(Notes!$B$2="June",ROUND('Budget by Source'!D167/10,0)+Q167,ROUND('Budget by Source'!D167/10,0))</f>
        <v>175085</v>
      </c>
      <c r="E167" s="21">
        <f>IF(Notes!$B$2="June",ROUND('Budget by Source'!E167/10,0)+R167,ROUND('Budget by Source'!E167/10,0))</f>
        <v>17362</v>
      </c>
      <c r="F167" s="21">
        <f>IF(Notes!$B$2="June",ROUND('Budget by Source'!F167/10,0)+S167,ROUND('Budget by Source'!F167/10,0))</f>
        <v>18026</v>
      </c>
      <c r="G167" s="21">
        <f>IF(Notes!$B$2="June",ROUND('Budget by Source'!G167/10,0)+T167,ROUND('Budget by Source'!G167/10,0))</f>
        <v>90582</v>
      </c>
      <c r="H167" s="21">
        <f t="shared" si="6"/>
        <v>1271441</v>
      </c>
      <c r="I167" s="21">
        <f>INDEX(Data[],MATCH($A167,Data[Dist],0),MATCH(I$5,Data[#Headers],0))</f>
        <v>1612239</v>
      </c>
      <c r="K167" s="59">
        <f>INDEX('Payment Total'!$A$7:$H$331,MATCH('Payment by Source'!$A167,'Payment Total'!$A$7:$A$331,0),4)-I167</f>
        <v>0</v>
      </c>
      <c r="P167" s="138">
        <f>INDEX('Budget by Source'!$A$6:$I$330,MATCH('Payment by Source'!$A167,'Budget by Source'!$A$6:$A$330,0),MATCH(P$3,'Budget by Source'!$A$5:$I$5,0))-(ROUND(INDEX('Budget by Source'!$A$6:$I$330,MATCH('Payment by Source'!$A167,'Budget by Source'!$A$6:$A$330,0),MATCH(P$3,'Budget by Source'!$A$5:$I$5,0))/10,0)*10)</f>
        <v>4</v>
      </c>
      <c r="Q167" s="138">
        <f>INDEX('Budget by Source'!$A$6:$I$330,MATCH('Payment by Source'!$A167,'Budget by Source'!$A$6:$A$330,0),MATCH(Q$3,'Budget by Source'!$A$5:$I$5,0))-(ROUND(INDEX('Budget by Source'!$A$6:$I$330,MATCH('Payment by Source'!$A167,'Budget by Source'!$A$6:$A$330,0),MATCH(Q$3,'Budget by Source'!$A$5:$I$5,0))/10,0)*10)</f>
        <v>2</v>
      </c>
      <c r="R167" s="138">
        <f>INDEX('Budget by Source'!$A$6:$I$330,MATCH('Payment by Source'!$A167,'Budget by Source'!$A$6:$A$330,0),MATCH(R$3,'Budget by Source'!$A$5:$I$5,0))-(ROUND(INDEX('Budget by Source'!$A$6:$I$330,MATCH('Payment by Source'!$A167,'Budget by Source'!$A$6:$A$330,0),MATCH(R$3,'Budget by Source'!$A$5:$I$5,0))/10,0)*10)</f>
        <v>-5</v>
      </c>
      <c r="S167" s="138">
        <f>INDEX('Budget by Source'!$A$6:$I$330,MATCH('Payment by Source'!$A167,'Budget by Source'!$A$6:$A$330,0),MATCH(S$3,'Budget by Source'!$A$5:$I$5,0))-(ROUND(INDEX('Budget by Source'!$A$6:$I$330,MATCH('Payment by Source'!$A167,'Budget by Source'!$A$6:$A$330,0),MATCH(S$3,'Budget by Source'!$A$5:$I$5,0))/10,0)*10)</f>
        <v>-2</v>
      </c>
      <c r="T167" s="138">
        <f>INDEX('Budget by Source'!$A$6:$I$330,MATCH('Payment by Source'!$A167,'Budget by Source'!$A$6:$A$330,0),MATCH(T$3,'Budget by Source'!$A$5:$I$5,0))-(ROUND(INDEX('Budget by Source'!$A$6:$I$330,MATCH('Payment by Source'!$A167,'Budget by Source'!$A$6:$A$330,0),MATCH(T$3,'Budget by Source'!$A$5:$I$5,0))/10,0)*10)</f>
        <v>1</v>
      </c>
      <c r="U167" s="139">
        <f>INDEX('Budget by Source'!$A$6:$I$330,MATCH('Payment by Source'!$A167,'Budget by Source'!$A$6:$A$330,0),MATCH(U$3,'Budget by Source'!$A$5:$I$5,0))</f>
        <v>12747429</v>
      </c>
      <c r="V167" s="136">
        <f t="shared" si="7"/>
        <v>1274743</v>
      </c>
      <c r="W167" s="136">
        <f t="shared" si="8"/>
        <v>12747430</v>
      </c>
    </row>
    <row r="168" spans="1:23" x14ac:dyDescent="0.2">
      <c r="A168" s="22" t="str">
        <f>Data!B164</f>
        <v>3609</v>
      </c>
      <c r="B168" s="20" t="str">
        <f>INDEX(Data[],MATCH($A168,Data[Dist],0),MATCH(B$5,Data[#Headers],0))</f>
        <v>Lenox</v>
      </c>
      <c r="C168" s="21">
        <f>IF(Notes!$B$2="June",ROUND('Budget by Source'!C168/10,0)+P168,ROUND('Budget by Source'!C168/10,0))</f>
        <v>14806</v>
      </c>
      <c r="D168" s="21">
        <f>IF(Notes!$B$2="June",ROUND('Budget by Source'!D168/10,0)+Q168,ROUND('Budget by Source'!D168/10,0))</f>
        <v>49359</v>
      </c>
      <c r="E168" s="21">
        <f>IF(Notes!$B$2="June",ROUND('Budget by Source'!E168/10,0)+R168,ROUND('Budget by Source'!E168/10,0))</f>
        <v>4434</v>
      </c>
      <c r="F168" s="21">
        <f>IF(Notes!$B$2="June",ROUND('Budget by Source'!F168/10,0)+S168,ROUND('Budget by Source'!F168/10,0))</f>
        <v>3891</v>
      </c>
      <c r="G168" s="21">
        <f>IF(Notes!$B$2="June",ROUND('Budget by Source'!G168/10,0)+T168,ROUND('Budget by Source'!G168/10,0))</f>
        <v>17433</v>
      </c>
      <c r="H168" s="21">
        <f t="shared" si="6"/>
        <v>271789</v>
      </c>
      <c r="I168" s="21">
        <f>INDEX(Data[],MATCH($A168,Data[Dist],0),MATCH(I$5,Data[#Headers],0))</f>
        <v>361712</v>
      </c>
      <c r="K168" s="59">
        <f>INDEX('Payment Total'!$A$7:$H$331,MATCH('Payment by Source'!$A168,'Payment Total'!$A$7:$A$331,0),4)-I168</f>
        <v>0</v>
      </c>
      <c r="P168" s="138">
        <f>INDEX('Budget by Source'!$A$6:$I$330,MATCH('Payment by Source'!$A168,'Budget by Source'!$A$6:$A$330,0),MATCH(P$3,'Budget by Source'!$A$5:$I$5,0))-(ROUND(INDEX('Budget by Source'!$A$6:$I$330,MATCH('Payment by Source'!$A168,'Budget by Source'!$A$6:$A$330,0),MATCH(P$3,'Budget by Source'!$A$5:$I$5,0))/10,0)*10)</f>
        <v>4</v>
      </c>
      <c r="Q168" s="138">
        <f>INDEX('Budget by Source'!$A$6:$I$330,MATCH('Payment by Source'!$A168,'Budget by Source'!$A$6:$A$330,0),MATCH(Q$3,'Budget by Source'!$A$5:$I$5,0))-(ROUND(INDEX('Budget by Source'!$A$6:$I$330,MATCH('Payment by Source'!$A168,'Budget by Source'!$A$6:$A$330,0),MATCH(Q$3,'Budget by Source'!$A$5:$I$5,0))/10,0)*10)</f>
        <v>-2</v>
      </c>
      <c r="R168" s="138">
        <f>INDEX('Budget by Source'!$A$6:$I$330,MATCH('Payment by Source'!$A168,'Budget by Source'!$A$6:$A$330,0),MATCH(R$3,'Budget by Source'!$A$5:$I$5,0))-(ROUND(INDEX('Budget by Source'!$A$6:$I$330,MATCH('Payment by Source'!$A168,'Budget by Source'!$A$6:$A$330,0),MATCH(R$3,'Budget by Source'!$A$5:$I$5,0))/10,0)*10)</f>
        <v>-4</v>
      </c>
      <c r="S168" s="138">
        <f>INDEX('Budget by Source'!$A$6:$I$330,MATCH('Payment by Source'!$A168,'Budget by Source'!$A$6:$A$330,0),MATCH(S$3,'Budget by Source'!$A$5:$I$5,0))-(ROUND(INDEX('Budget by Source'!$A$6:$I$330,MATCH('Payment by Source'!$A168,'Budget by Source'!$A$6:$A$330,0),MATCH(S$3,'Budget by Source'!$A$5:$I$5,0))/10,0)*10)</f>
        <v>-1</v>
      </c>
      <c r="T168" s="138">
        <f>INDEX('Budget by Source'!$A$6:$I$330,MATCH('Payment by Source'!$A168,'Budget by Source'!$A$6:$A$330,0),MATCH(T$3,'Budget by Source'!$A$5:$I$5,0))-(ROUND(INDEX('Budget by Source'!$A$6:$I$330,MATCH('Payment by Source'!$A168,'Budget by Source'!$A$6:$A$330,0),MATCH(T$3,'Budget by Source'!$A$5:$I$5,0))/10,0)*10)</f>
        <v>-3</v>
      </c>
      <c r="U168" s="139">
        <f>INDEX('Budget by Source'!$A$6:$I$330,MATCH('Payment by Source'!$A168,'Budget by Source'!$A$6:$A$330,0),MATCH(U$3,'Budget by Source'!$A$5:$I$5,0))</f>
        <v>2724821</v>
      </c>
      <c r="V168" s="136">
        <f t="shared" si="7"/>
        <v>272482</v>
      </c>
      <c r="W168" s="136">
        <f t="shared" si="8"/>
        <v>2724820</v>
      </c>
    </row>
    <row r="169" spans="1:23" x14ac:dyDescent="0.2">
      <c r="A169" s="22" t="str">
        <f>Data!B165</f>
        <v>3645</v>
      </c>
      <c r="B169" s="20" t="str">
        <f>INDEX(Data[],MATCH($A169,Data[Dist],0),MATCH(B$5,Data[#Headers],0))</f>
        <v>Lewis Central</v>
      </c>
      <c r="C169" s="21">
        <f>IF(Notes!$B$2="June",ROUND('Budget by Source'!C169/10,0)+P169,ROUND('Budget by Source'!C169/10,0))</f>
        <v>24158</v>
      </c>
      <c r="D169" s="21">
        <f>IF(Notes!$B$2="June",ROUND('Budget by Source'!D169/10,0)+Q169,ROUND('Budget by Source'!D169/10,0))</f>
        <v>201399</v>
      </c>
      <c r="E169" s="21">
        <f>IF(Notes!$B$2="June",ROUND('Budget by Source'!E169/10,0)+R169,ROUND('Budget by Source'!E169/10,0))</f>
        <v>26263</v>
      </c>
      <c r="F169" s="21">
        <f>IF(Notes!$B$2="June",ROUND('Budget by Source'!F169/10,0)+S169,ROUND('Budget by Source'!F169/10,0))</f>
        <v>21022</v>
      </c>
      <c r="G169" s="21">
        <f>IF(Notes!$B$2="June",ROUND('Budget by Source'!G169/10,0)+T169,ROUND('Budget by Source'!G169/10,0))</f>
        <v>104196</v>
      </c>
      <c r="H169" s="21">
        <f t="shared" si="6"/>
        <v>1210865</v>
      </c>
      <c r="I169" s="21">
        <f>INDEX(Data[],MATCH($A169,Data[Dist],0),MATCH(I$5,Data[#Headers],0))</f>
        <v>1587903</v>
      </c>
      <c r="K169" s="59">
        <f>INDEX('Payment Total'!$A$7:$H$331,MATCH('Payment by Source'!$A169,'Payment Total'!$A$7:$A$331,0),4)-I169</f>
        <v>0</v>
      </c>
      <c r="P169" s="138">
        <f>INDEX('Budget by Source'!$A$6:$I$330,MATCH('Payment by Source'!$A169,'Budget by Source'!$A$6:$A$330,0),MATCH(P$3,'Budget by Source'!$A$5:$I$5,0))-(ROUND(INDEX('Budget by Source'!$A$6:$I$330,MATCH('Payment by Source'!$A169,'Budget by Source'!$A$6:$A$330,0),MATCH(P$3,'Budget by Source'!$A$5:$I$5,0))/10,0)*10)</f>
        <v>-2</v>
      </c>
      <c r="Q169" s="138">
        <f>INDEX('Budget by Source'!$A$6:$I$330,MATCH('Payment by Source'!$A169,'Budget by Source'!$A$6:$A$330,0),MATCH(Q$3,'Budget by Source'!$A$5:$I$5,0))-(ROUND(INDEX('Budget by Source'!$A$6:$I$330,MATCH('Payment by Source'!$A169,'Budget by Source'!$A$6:$A$330,0),MATCH(Q$3,'Budget by Source'!$A$5:$I$5,0))/10,0)*10)</f>
        <v>1</v>
      </c>
      <c r="R169" s="138">
        <f>INDEX('Budget by Source'!$A$6:$I$330,MATCH('Payment by Source'!$A169,'Budget by Source'!$A$6:$A$330,0),MATCH(R$3,'Budget by Source'!$A$5:$I$5,0))-(ROUND(INDEX('Budget by Source'!$A$6:$I$330,MATCH('Payment by Source'!$A169,'Budget by Source'!$A$6:$A$330,0),MATCH(R$3,'Budget by Source'!$A$5:$I$5,0))/10,0)*10)</f>
        <v>-3</v>
      </c>
      <c r="S169" s="138">
        <f>INDEX('Budget by Source'!$A$6:$I$330,MATCH('Payment by Source'!$A169,'Budget by Source'!$A$6:$A$330,0),MATCH(S$3,'Budget by Source'!$A$5:$I$5,0))-(ROUND(INDEX('Budget by Source'!$A$6:$I$330,MATCH('Payment by Source'!$A169,'Budget by Source'!$A$6:$A$330,0),MATCH(S$3,'Budget by Source'!$A$5:$I$5,0))/10,0)*10)</f>
        <v>-2</v>
      </c>
      <c r="T169" s="138">
        <f>INDEX('Budget by Source'!$A$6:$I$330,MATCH('Payment by Source'!$A169,'Budget by Source'!$A$6:$A$330,0),MATCH(T$3,'Budget by Source'!$A$5:$I$5,0))-(ROUND(INDEX('Budget by Source'!$A$6:$I$330,MATCH('Payment by Source'!$A169,'Budget by Source'!$A$6:$A$330,0),MATCH(T$3,'Budget by Source'!$A$5:$I$5,0))/10,0)*10)</f>
        <v>-2</v>
      </c>
      <c r="U169" s="139">
        <f>INDEX('Budget by Source'!$A$6:$I$330,MATCH('Payment by Source'!$A169,'Budget by Source'!$A$6:$A$330,0),MATCH(U$3,'Budget by Source'!$A$5:$I$5,0))</f>
        <v>12148788</v>
      </c>
      <c r="V169" s="136">
        <f t="shared" si="7"/>
        <v>1214879</v>
      </c>
      <c r="W169" s="136">
        <f t="shared" si="8"/>
        <v>12148790</v>
      </c>
    </row>
    <row r="170" spans="1:23" x14ac:dyDescent="0.2">
      <c r="A170" s="22" t="str">
        <f>Data!B166</f>
        <v>3691</v>
      </c>
      <c r="B170" s="20" t="str">
        <f>INDEX(Data[],MATCH($A170,Data[Dist],0),MATCH(B$5,Data[#Headers],0))</f>
        <v>North Cedar</v>
      </c>
      <c r="C170" s="21">
        <f>IF(Notes!$B$2="June",ROUND('Budget by Source'!C170/10,0)+P170,ROUND('Budget by Source'!C170/10,0))</f>
        <v>13248</v>
      </c>
      <c r="D170" s="21">
        <f>IF(Notes!$B$2="June",ROUND('Budget by Source'!D170/10,0)+Q170,ROUND('Budget by Source'!D170/10,0))</f>
        <v>100598</v>
      </c>
      <c r="E170" s="21">
        <f>IF(Notes!$B$2="June",ROUND('Budget by Source'!E170/10,0)+R170,ROUND('Budget by Source'!E170/10,0))</f>
        <v>5054</v>
      </c>
      <c r="F170" s="21">
        <f>IF(Notes!$B$2="June",ROUND('Budget by Source'!F170/10,0)+S170,ROUND('Budget by Source'!F170/10,0))</f>
        <v>5109</v>
      </c>
      <c r="G170" s="21">
        <f>IF(Notes!$B$2="June",ROUND('Budget by Source'!G170/10,0)+T170,ROUND('Budget by Source'!G170/10,0))</f>
        <v>26748</v>
      </c>
      <c r="H170" s="21">
        <f t="shared" si="6"/>
        <v>364586</v>
      </c>
      <c r="I170" s="21">
        <f>INDEX(Data[],MATCH($A170,Data[Dist],0),MATCH(I$5,Data[#Headers],0))</f>
        <v>515343</v>
      </c>
      <c r="K170" s="59">
        <f>INDEX('Payment Total'!$A$7:$H$331,MATCH('Payment by Source'!$A170,'Payment Total'!$A$7:$A$331,0),4)-I170</f>
        <v>0</v>
      </c>
      <c r="P170" s="138">
        <f>INDEX('Budget by Source'!$A$6:$I$330,MATCH('Payment by Source'!$A170,'Budget by Source'!$A$6:$A$330,0),MATCH(P$3,'Budget by Source'!$A$5:$I$5,0))-(ROUND(INDEX('Budget by Source'!$A$6:$I$330,MATCH('Payment by Source'!$A170,'Budget by Source'!$A$6:$A$330,0),MATCH(P$3,'Budget by Source'!$A$5:$I$5,0))/10,0)*10)</f>
        <v>-2</v>
      </c>
      <c r="Q170" s="138">
        <f>INDEX('Budget by Source'!$A$6:$I$330,MATCH('Payment by Source'!$A170,'Budget by Source'!$A$6:$A$330,0),MATCH(Q$3,'Budget by Source'!$A$5:$I$5,0))-(ROUND(INDEX('Budget by Source'!$A$6:$I$330,MATCH('Payment by Source'!$A170,'Budget by Source'!$A$6:$A$330,0),MATCH(Q$3,'Budget by Source'!$A$5:$I$5,0))/10,0)*10)</f>
        <v>-3</v>
      </c>
      <c r="R170" s="138">
        <f>INDEX('Budget by Source'!$A$6:$I$330,MATCH('Payment by Source'!$A170,'Budget by Source'!$A$6:$A$330,0),MATCH(R$3,'Budget by Source'!$A$5:$I$5,0))-(ROUND(INDEX('Budget by Source'!$A$6:$I$330,MATCH('Payment by Source'!$A170,'Budget by Source'!$A$6:$A$330,0),MATCH(R$3,'Budget by Source'!$A$5:$I$5,0))/10,0)*10)</f>
        <v>-3</v>
      </c>
      <c r="S170" s="138">
        <f>INDEX('Budget by Source'!$A$6:$I$330,MATCH('Payment by Source'!$A170,'Budget by Source'!$A$6:$A$330,0),MATCH(S$3,'Budget by Source'!$A$5:$I$5,0))-(ROUND(INDEX('Budget by Source'!$A$6:$I$330,MATCH('Payment by Source'!$A170,'Budget by Source'!$A$6:$A$330,0),MATCH(S$3,'Budget by Source'!$A$5:$I$5,0))/10,0)*10)</f>
        <v>-1</v>
      </c>
      <c r="T170" s="138">
        <f>INDEX('Budget by Source'!$A$6:$I$330,MATCH('Payment by Source'!$A170,'Budget by Source'!$A$6:$A$330,0),MATCH(T$3,'Budget by Source'!$A$5:$I$5,0))-(ROUND(INDEX('Budget by Source'!$A$6:$I$330,MATCH('Payment by Source'!$A170,'Budget by Source'!$A$6:$A$330,0),MATCH(T$3,'Budget by Source'!$A$5:$I$5,0))/10,0)*10)</f>
        <v>-1</v>
      </c>
      <c r="U170" s="139">
        <f>INDEX('Budget by Source'!$A$6:$I$330,MATCH('Payment by Source'!$A170,'Budget by Source'!$A$6:$A$330,0),MATCH(U$3,'Budget by Source'!$A$5:$I$5,0))</f>
        <v>3656409</v>
      </c>
      <c r="V170" s="136">
        <f t="shared" si="7"/>
        <v>365641</v>
      </c>
      <c r="W170" s="136">
        <f t="shared" si="8"/>
        <v>3656410</v>
      </c>
    </row>
    <row r="171" spans="1:23" x14ac:dyDescent="0.2">
      <c r="A171" s="22" t="str">
        <f>Data!B167</f>
        <v>3715</v>
      </c>
      <c r="B171" s="20" t="str">
        <f>INDEX(Data[],MATCH($A171,Data[Dist],0),MATCH(B$5,Data[#Headers],0))</f>
        <v>Linn-Mar</v>
      </c>
      <c r="C171" s="21">
        <f>IF(Notes!$B$2="June",ROUND('Budget by Source'!C171/10,0)+P171,ROUND('Budget by Source'!C171/10,0))</f>
        <v>95065</v>
      </c>
      <c r="D171" s="21">
        <f>IF(Notes!$B$2="June",ROUND('Budget by Source'!D171/10,0)+Q171,ROUND('Budget by Source'!D171/10,0))</f>
        <v>545200</v>
      </c>
      <c r="E171" s="21">
        <f>IF(Notes!$B$2="June",ROUND('Budget by Source'!E171/10,0)+R171,ROUND('Budget by Source'!E171/10,0))</f>
        <v>55379</v>
      </c>
      <c r="F171" s="21">
        <f>IF(Notes!$B$2="June",ROUND('Budget by Source'!F171/10,0)+S171,ROUND('Budget by Source'!F171/10,0))</f>
        <v>55332</v>
      </c>
      <c r="G171" s="21">
        <f>IF(Notes!$B$2="June",ROUND('Budget by Source'!G171/10,0)+T171,ROUND('Budget by Source'!G171/10,0))</f>
        <v>294547</v>
      </c>
      <c r="H171" s="21">
        <f t="shared" si="6"/>
        <v>4588739</v>
      </c>
      <c r="I171" s="21">
        <f>INDEX(Data[],MATCH($A171,Data[Dist],0),MATCH(I$5,Data[#Headers],0))</f>
        <v>5634262</v>
      </c>
      <c r="K171" s="59">
        <f>INDEX('Payment Total'!$A$7:$H$331,MATCH('Payment by Source'!$A171,'Payment Total'!$A$7:$A$331,0),4)-I171</f>
        <v>0</v>
      </c>
      <c r="P171" s="138">
        <f>INDEX('Budget by Source'!$A$6:$I$330,MATCH('Payment by Source'!$A171,'Budget by Source'!$A$6:$A$330,0),MATCH(P$3,'Budget by Source'!$A$5:$I$5,0))-(ROUND(INDEX('Budget by Source'!$A$6:$I$330,MATCH('Payment by Source'!$A171,'Budget by Source'!$A$6:$A$330,0),MATCH(P$3,'Budget by Source'!$A$5:$I$5,0))/10,0)*10)</f>
        <v>-3</v>
      </c>
      <c r="Q171" s="138">
        <f>INDEX('Budget by Source'!$A$6:$I$330,MATCH('Payment by Source'!$A171,'Budget by Source'!$A$6:$A$330,0),MATCH(Q$3,'Budget by Source'!$A$5:$I$5,0))-(ROUND(INDEX('Budget by Source'!$A$6:$I$330,MATCH('Payment by Source'!$A171,'Budget by Source'!$A$6:$A$330,0),MATCH(Q$3,'Budget by Source'!$A$5:$I$5,0))/10,0)*10)</f>
        <v>4</v>
      </c>
      <c r="R171" s="138">
        <f>INDEX('Budget by Source'!$A$6:$I$330,MATCH('Payment by Source'!$A171,'Budget by Source'!$A$6:$A$330,0),MATCH(R$3,'Budget by Source'!$A$5:$I$5,0))-(ROUND(INDEX('Budget by Source'!$A$6:$I$330,MATCH('Payment by Source'!$A171,'Budget by Source'!$A$6:$A$330,0),MATCH(R$3,'Budget by Source'!$A$5:$I$5,0))/10,0)*10)</f>
        <v>-4</v>
      </c>
      <c r="S171" s="138">
        <f>INDEX('Budget by Source'!$A$6:$I$330,MATCH('Payment by Source'!$A171,'Budget by Source'!$A$6:$A$330,0),MATCH(S$3,'Budget by Source'!$A$5:$I$5,0))-(ROUND(INDEX('Budget by Source'!$A$6:$I$330,MATCH('Payment by Source'!$A171,'Budget by Source'!$A$6:$A$330,0),MATCH(S$3,'Budget by Source'!$A$5:$I$5,0))/10,0)*10)</f>
        <v>-2</v>
      </c>
      <c r="T171" s="138">
        <f>INDEX('Budget by Source'!$A$6:$I$330,MATCH('Payment by Source'!$A171,'Budget by Source'!$A$6:$A$330,0),MATCH(T$3,'Budget by Source'!$A$5:$I$5,0))-(ROUND(INDEX('Budget by Source'!$A$6:$I$330,MATCH('Payment by Source'!$A171,'Budget by Source'!$A$6:$A$330,0),MATCH(T$3,'Budget by Source'!$A$5:$I$5,0))/10,0)*10)</f>
        <v>-5</v>
      </c>
      <c r="U171" s="139">
        <f>INDEX('Budget by Source'!$A$6:$I$330,MATCH('Payment by Source'!$A171,'Budget by Source'!$A$6:$A$330,0),MATCH(U$3,'Budget by Source'!$A$5:$I$5,0))</f>
        <v>46001033</v>
      </c>
      <c r="V171" s="136">
        <f t="shared" si="7"/>
        <v>4600103</v>
      </c>
      <c r="W171" s="136">
        <f t="shared" si="8"/>
        <v>46001030</v>
      </c>
    </row>
    <row r="172" spans="1:23" x14ac:dyDescent="0.2">
      <c r="A172" s="22" t="str">
        <f>Data!B168</f>
        <v>3744</v>
      </c>
      <c r="B172" s="20" t="str">
        <f>INDEX(Data[],MATCH($A172,Data[Dist],0),MATCH(B$5,Data[#Headers],0))</f>
        <v>Lisbon</v>
      </c>
      <c r="C172" s="21">
        <f>IF(Notes!$B$2="June",ROUND('Budget by Source'!C172/10,0)+P172,ROUND('Budget by Source'!C172/10,0))</f>
        <v>24158</v>
      </c>
      <c r="D172" s="21">
        <f>IF(Notes!$B$2="June",ROUND('Budget by Source'!D172/10,0)+Q172,ROUND('Budget by Source'!D172/10,0))</f>
        <v>67804</v>
      </c>
      <c r="E172" s="21">
        <f>IF(Notes!$B$2="June",ROUND('Budget by Source'!E172/10,0)+R172,ROUND('Budget by Source'!E172/10,0))</f>
        <v>4433</v>
      </c>
      <c r="F172" s="21">
        <f>IF(Notes!$B$2="June",ROUND('Budget by Source'!F172/10,0)+S172,ROUND('Budget by Source'!F172/10,0))</f>
        <v>4433</v>
      </c>
      <c r="G172" s="21">
        <f>IF(Notes!$B$2="June",ROUND('Budget by Source'!G172/10,0)+T172,ROUND('Budget by Source'!G172/10,0))</f>
        <v>25890</v>
      </c>
      <c r="H172" s="21">
        <f t="shared" si="6"/>
        <v>437617</v>
      </c>
      <c r="I172" s="21">
        <f>INDEX(Data[],MATCH($A172,Data[Dist],0),MATCH(I$5,Data[#Headers],0))</f>
        <v>564335</v>
      </c>
      <c r="K172" s="59">
        <f>INDEX('Payment Total'!$A$7:$H$331,MATCH('Payment by Source'!$A172,'Payment Total'!$A$7:$A$331,0),4)-I172</f>
        <v>0</v>
      </c>
      <c r="P172" s="138">
        <f>INDEX('Budget by Source'!$A$6:$I$330,MATCH('Payment by Source'!$A172,'Budget by Source'!$A$6:$A$330,0),MATCH(P$3,'Budget by Source'!$A$5:$I$5,0))-(ROUND(INDEX('Budget by Source'!$A$6:$I$330,MATCH('Payment by Source'!$A172,'Budget by Source'!$A$6:$A$330,0),MATCH(P$3,'Budget by Source'!$A$5:$I$5,0))/10,0)*10)</f>
        <v>-2</v>
      </c>
      <c r="Q172" s="138">
        <f>INDEX('Budget by Source'!$A$6:$I$330,MATCH('Payment by Source'!$A172,'Budget by Source'!$A$6:$A$330,0),MATCH(Q$3,'Budget by Source'!$A$5:$I$5,0))-(ROUND(INDEX('Budget by Source'!$A$6:$I$330,MATCH('Payment by Source'!$A172,'Budget by Source'!$A$6:$A$330,0),MATCH(Q$3,'Budget by Source'!$A$5:$I$5,0))/10,0)*10)</f>
        <v>-1</v>
      </c>
      <c r="R172" s="138">
        <f>INDEX('Budget by Source'!$A$6:$I$330,MATCH('Payment by Source'!$A172,'Budget by Source'!$A$6:$A$330,0),MATCH(R$3,'Budget by Source'!$A$5:$I$5,0))-(ROUND(INDEX('Budget by Source'!$A$6:$I$330,MATCH('Payment by Source'!$A172,'Budget by Source'!$A$6:$A$330,0),MATCH(R$3,'Budget by Source'!$A$5:$I$5,0))/10,0)*10)</f>
        <v>-5</v>
      </c>
      <c r="S172" s="138">
        <f>INDEX('Budget by Source'!$A$6:$I$330,MATCH('Payment by Source'!$A172,'Budget by Source'!$A$6:$A$330,0),MATCH(S$3,'Budget by Source'!$A$5:$I$5,0))-(ROUND(INDEX('Budget by Source'!$A$6:$I$330,MATCH('Payment by Source'!$A172,'Budget by Source'!$A$6:$A$330,0),MATCH(S$3,'Budget by Source'!$A$5:$I$5,0))/10,0)*10)</f>
        <v>-5</v>
      </c>
      <c r="T172" s="138">
        <f>INDEX('Budget by Source'!$A$6:$I$330,MATCH('Payment by Source'!$A172,'Budget by Source'!$A$6:$A$330,0),MATCH(T$3,'Budget by Source'!$A$5:$I$5,0))-(ROUND(INDEX('Budget by Source'!$A$6:$I$330,MATCH('Payment by Source'!$A172,'Budget by Source'!$A$6:$A$330,0),MATCH(T$3,'Budget by Source'!$A$5:$I$5,0))/10,0)*10)</f>
        <v>3</v>
      </c>
      <c r="U172" s="139">
        <f>INDEX('Budget by Source'!$A$6:$I$330,MATCH('Payment by Source'!$A172,'Budget by Source'!$A$6:$A$330,0),MATCH(U$3,'Budget by Source'!$A$5:$I$5,0))</f>
        <v>4386417</v>
      </c>
      <c r="V172" s="136">
        <f t="shared" si="7"/>
        <v>438642</v>
      </c>
      <c r="W172" s="136">
        <f t="shared" si="8"/>
        <v>4386420</v>
      </c>
    </row>
    <row r="173" spans="1:23" x14ac:dyDescent="0.2">
      <c r="A173" s="22" t="str">
        <f>Data!B169</f>
        <v>3798</v>
      </c>
      <c r="B173" s="20" t="str">
        <f>INDEX(Data[],MATCH($A173,Data[Dist],0),MATCH(B$5,Data[#Headers],0))</f>
        <v>Logan-Magnolia</v>
      </c>
      <c r="C173" s="21">
        <f>IF(Notes!$B$2="June",ROUND('Budget by Source'!C173/10,0)+P173,ROUND('Budget by Source'!C173/10,0))</f>
        <v>18313</v>
      </c>
      <c r="D173" s="21">
        <f>IF(Notes!$B$2="June",ROUND('Budget by Source'!D173/10,0)+Q173,ROUND('Budget by Source'!D173/10,0))</f>
        <v>59470</v>
      </c>
      <c r="E173" s="21">
        <f>IF(Notes!$B$2="June",ROUND('Budget by Source'!E173/10,0)+R173,ROUND('Budget by Source'!E173/10,0))</f>
        <v>4558</v>
      </c>
      <c r="F173" s="21">
        <f>IF(Notes!$B$2="June",ROUND('Budget by Source'!F173/10,0)+S173,ROUND('Budget by Source'!F173/10,0))</f>
        <v>4440</v>
      </c>
      <c r="G173" s="21">
        <f>IF(Notes!$B$2="June",ROUND('Budget by Source'!G173/10,0)+T173,ROUND('Budget by Source'!G173/10,0))</f>
        <v>22230</v>
      </c>
      <c r="H173" s="21">
        <f t="shared" si="6"/>
        <v>333220</v>
      </c>
      <c r="I173" s="21">
        <f>INDEX(Data[],MATCH($A173,Data[Dist],0),MATCH(I$5,Data[#Headers],0))</f>
        <v>442231</v>
      </c>
      <c r="K173" s="59">
        <f>INDEX('Payment Total'!$A$7:$H$331,MATCH('Payment by Source'!$A173,'Payment Total'!$A$7:$A$331,0),4)-I173</f>
        <v>0</v>
      </c>
      <c r="P173" s="138">
        <f>INDEX('Budget by Source'!$A$6:$I$330,MATCH('Payment by Source'!$A173,'Budget by Source'!$A$6:$A$330,0),MATCH(P$3,'Budget by Source'!$A$5:$I$5,0))-(ROUND(INDEX('Budget by Source'!$A$6:$I$330,MATCH('Payment by Source'!$A173,'Budget by Source'!$A$6:$A$330,0),MATCH(P$3,'Budget by Source'!$A$5:$I$5,0))/10,0)*10)</f>
        <v>2</v>
      </c>
      <c r="Q173" s="138">
        <f>INDEX('Budget by Source'!$A$6:$I$330,MATCH('Payment by Source'!$A173,'Budget by Source'!$A$6:$A$330,0),MATCH(Q$3,'Budget by Source'!$A$5:$I$5,0))-(ROUND(INDEX('Budget by Source'!$A$6:$I$330,MATCH('Payment by Source'!$A173,'Budget by Source'!$A$6:$A$330,0),MATCH(Q$3,'Budget by Source'!$A$5:$I$5,0))/10,0)*10)</f>
        <v>-3</v>
      </c>
      <c r="R173" s="138">
        <f>INDEX('Budget by Source'!$A$6:$I$330,MATCH('Payment by Source'!$A173,'Budget by Source'!$A$6:$A$330,0),MATCH(R$3,'Budget by Source'!$A$5:$I$5,0))-(ROUND(INDEX('Budget by Source'!$A$6:$I$330,MATCH('Payment by Source'!$A173,'Budget by Source'!$A$6:$A$330,0),MATCH(R$3,'Budget by Source'!$A$5:$I$5,0))/10,0)*10)</f>
        <v>-1</v>
      </c>
      <c r="S173" s="138">
        <f>INDEX('Budget by Source'!$A$6:$I$330,MATCH('Payment by Source'!$A173,'Budget by Source'!$A$6:$A$330,0),MATCH(S$3,'Budget by Source'!$A$5:$I$5,0))-(ROUND(INDEX('Budget by Source'!$A$6:$I$330,MATCH('Payment by Source'!$A173,'Budget by Source'!$A$6:$A$330,0),MATCH(S$3,'Budget by Source'!$A$5:$I$5,0))/10,0)*10)</f>
        <v>-4</v>
      </c>
      <c r="T173" s="138">
        <f>INDEX('Budget by Source'!$A$6:$I$330,MATCH('Payment by Source'!$A173,'Budget by Source'!$A$6:$A$330,0),MATCH(T$3,'Budget by Source'!$A$5:$I$5,0))-(ROUND(INDEX('Budget by Source'!$A$6:$I$330,MATCH('Payment by Source'!$A173,'Budget by Source'!$A$6:$A$330,0),MATCH(T$3,'Budget by Source'!$A$5:$I$5,0))/10,0)*10)</f>
        <v>0</v>
      </c>
      <c r="U173" s="139">
        <f>INDEX('Budget by Source'!$A$6:$I$330,MATCH('Payment by Source'!$A173,'Budget by Source'!$A$6:$A$330,0),MATCH(U$3,'Budget by Source'!$A$5:$I$5,0))</f>
        <v>3341041</v>
      </c>
      <c r="V173" s="136">
        <f t="shared" si="7"/>
        <v>334104</v>
      </c>
      <c r="W173" s="136">
        <f t="shared" si="8"/>
        <v>3341040</v>
      </c>
    </row>
    <row r="174" spans="1:23" x14ac:dyDescent="0.2">
      <c r="A174" s="22" t="str">
        <f>Data!B170</f>
        <v>3816</v>
      </c>
      <c r="B174" s="20" t="str">
        <f>INDEX(Data[],MATCH($A174,Data[Dist],0),MATCH(B$5,Data[#Headers],0))</f>
        <v>Lone Tree</v>
      </c>
      <c r="C174" s="21">
        <f>IF(Notes!$B$2="June",ROUND('Budget by Source'!C174/10,0)+P174,ROUND('Budget by Source'!C174/10,0))</f>
        <v>14027</v>
      </c>
      <c r="D174" s="21">
        <f>IF(Notes!$B$2="June",ROUND('Budget by Source'!D174/10,0)+Q174,ROUND('Budget by Source'!D174/10,0))</f>
        <v>53039</v>
      </c>
      <c r="E174" s="21">
        <f>IF(Notes!$B$2="June",ROUND('Budget by Source'!E174/10,0)+R174,ROUND('Budget by Source'!E174/10,0))</f>
        <v>2633</v>
      </c>
      <c r="F174" s="21">
        <f>IF(Notes!$B$2="June",ROUND('Budget by Source'!F174/10,0)+S174,ROUND('Budget by Source'!F174/10,0))</f>
        <v>2401</v>
      </c>
      <c r="G174" s="21">
        <f>IF(Notes!$B$2="June",ROUND('Budget by Source'!G174/10,0)+T174,ROUND('Budget by Source'!G174/10,0))</f>
        <v>11675</v>
      </c>
      <c r="H174" s="21">
        <f t="shared" si="6"/>
        <v>125995</v>
      </c>
      <c r="I174" s="21">
        <f>INDEX(Data[],MATCH($A174,Data[Dist],0),MATCH(I$5,Data[#Headers],0))</f>
        <v>209770</v>
      </c>
      <c r="K174" s="59">
        <f>INDEX('Payment Total'!$A$7:$H$331,MATCH('Payment by Source'!$A174,'Payment Total'!$A$7:$A$331,0),4)-I174</f>
        <v>0</v>
      </c>
      <c r="P174" s="138">
        <f>INDEX('Budget by Source'!$A$6:$I$330,MATCH('Payment by Source'!$A174,'Budget by Source'!$A$6:$A$330,0),MATCH(P$3,'Budget by Source'!$A$5:$I$5,0))-(ROUND(INDEX('Budget by Source'!$A$6:$I$330,MATCH('Payment by Source'!$A174,'Budget by Source'!$A$6:$A$330,0),MATCH(P$3,'Budget by Source'!$A$5:$I$5,0))/10,0)*10)</f>
        <v>1</v>
      </c>
      <c r="Q174" s="138">
        <f>INDEX('Budget by Source'!$A$6:$I$330,MATCH('Payment by Source'!$A174,'Budget by Source'!$A$6:$A$330,0),MATCH(Q$3,'Budget by Source'!$A$5:$I$5,0))-(ROUND(INDEX('Budget by Source'!$A$6:$I$330,MATCH('Payment by Source'!$A174,'Budget by Source'!$A$6:$A$330,0),MATCH(Q$3,'Budget by Source'!$A$5:$I$5,0))/10,0)*10)</f>
        <v>4</v>
      </c>
      <c r="R174" s="138">
        <f>INDEX('Budget by Source'!$A$6:$I$330,MATCH('Payment by Source'!$A174,'Budget by Source'!$A$6:$A$330,0),MATCH(R$3,'Budget by Source'!$A$5:$I$5,0))-(ROUND(INDEX('Budget by Source'!$A$6:$I$330,MATCH('Payment by Source'!$A174,'Budget by Source'!$A$6:$A$330,0),MATCH(R$3,'Budget by Source'!$A$5:$I$5,0))/10,0)*10)</f>
        <v>-1</v>
      </c>
      <c r="S174" s="138">
        <f>INDEX('Budget by Source'!$A$6:$I$330,MATCH('Payment by Source'!$A174,'Budget by Source'!$A$6:$A$330,0),MATCH(S$3,'Budget by Source'!$A$5:$I$5,0))-(ROUND(INDEX('Budget by Source'!$A$6:$I$330,MATCH('Payment by Source'!$A174,'Budget by Source'!$A$6:$A$330,0),MATCH(S$3,'Budget by Source'!$A$5:$I$5,0))/10,0)*10)</f>
        <v>3</v>
      </c>
      <c r="T174" s="138">
        <f>INDEX('Budget by Source'!$A$6:$I$330,MATCH('Payment by Source'!$A174,'Budget by Source'!$A$6:$A$330,0),MATCH(T$3,'Budget by Source'!$A$5:$I$5,0))-(ROUND(INDEX('Budget by Source'!$A$6:$I$330,MATCH('Payment by Source'!$A174,'Budget by Source'!$A$6:$A$330,0),MATCH(T$3,'Budget by Source'!$A$5:$I$5,0))/10,0)*10)</f>
        <v>0</v>
      </c>
      <c r="U174" s="139">
        <f>INDEX('Budget by Source'!$A$6:$I$330,MATCH('Payment by Source'!$A174,'Budget by Source'!$A$6:$A$330,0),MATCH(U$3,'Budget by Source'!$A$5:$I$5,0))</f>
        <v>1264568</v>
      </c>
      <c r="V174" s="136">
        <f t="shared" si="7"/>
        <v>126457</v>
      </c>
      <c r="W174" s="136">
        <f t="shared" si="8"/>
        <v>1264570</v>
      </c>
    </row>
    <row r="175" spans="1:23" x14ac:dyDescent="0.2">
      <c r="A175" s="22" t="str">
        <f>Data!B171</f>
        <v>3841</v>
      </c>
      <c r="B175" s="20" t="str">
        <f>INDEX(Data[],MATCH($A175,Data[Dist],0),MATCH(B$5,Data[#Headers],0))</f>
        <v>Louisa-Muscatine</v>
      </c>
      <c r="C175" s="21">
        <f>IF(Notes!$B$2="June",ROUND('Budget by Source'!C175/10,0)+P175,ROUND('Budget by Source'!C175/10,0))</f>
        <v>19092</v>
      </c>
      <c r="D175" s="21">
        <f>IF(Notes!$B$2="June",ROUND('Budget by Source'!D175/10,0)+Q175,ROUND('Budget by Source'!D175/10,0))</f>
        <v>61538</v>
      </c>
      <c r="E175" s="21">
        <f>IF(Notes!$B$2="June",ROUND('Budget by Source'!E175/10,0)+R175,ROUND('Budget by Source'!E175/10,0))</f>
        <v>5288</v>
      </c>
      <c r="F175" s="21">
        <f>IF(Notes!$B$2="June",ROUND('Budget by Source'!F175/10,0)+S175,ROUND('Budget by Source'!F175/10,0))</f>
        <v>5651</v>
      </c>
      <c r="G175" s="21">
        <f>IF(Notes!$B$2="June",ROUND('Budget by Source'!G175/10,0)+T175,ROUND('Budget by Source'!G175/10,0))</f>
        <v>25667</v>
      </c>
      <c r="H175" s="21">
        <f t="shared" si="6"/>
        <v>376095</v>
      </c>
      <c r="I175" s="21">
        <f>INDEX(Data[],MATCH($A175,Data[Dist],0),MATCH(I$5,Data[#Headers],0))</f>
        <v>493331</v>
      </c>
      <c r="K175" s="59">
        <f>INDEX('Payment Total'!$A$7:$H$331,MATCH('Payment by Source'!$A175,'Payment Total'!$A$7:$A$331,0),4)-I175</f>
        <v>0</v>
      </c>
      <c r="P175" s="138">
        <f>INDEX('Budget by Source'!$A$6:$I$330,MATCH('Payment by Source'!$A175,'Budget by Source'!$A$6:$A$330,0),MATCH(P$3,'Budget by Source'!$A$5:$I$5,0))-(ROUND(INDEX('Budget by Source'!$A$6:$I$330,MATCH('Payment by Source'!$A175,'Budget by Source'!$A$6:$A$330,0),MATCH(P$3,'Budget by Source'!$A$5:$I$5,0))/10,0)*10)</f>
        <v>4</v>
      </c>
      <c r="Q175" s="138">
        <f>INDEX('Budget by Source'!$A$6:$I$330,MATCH('Payment by Source'!$A175,'Budget by Source'!$A$6:$A$330,0),MATCH(Q$3,'Budget by Source'!$A$5:$I$5,0))-(ROUND(INDEX('Budget by Source'!$A$6:$I$330,MATCH('Payment by Source'!$A175,'Budget by Source'!$A$6:$A$330,0),MATCH(Q$3,'Budget by Source'!$A$5:$I$5,0))/10,0)*10)</f>
        <v>2</v>
      </c>
      <c r="R175" s="138">
        <f>INDEX('Budget by Source'!$A$6:$I$330,MATCH('Payment by Source'!$A175,'Budget by Source'!$A$6:$A$330,0),MATCH(R$3,'Budget by Source'!$A$5:$I$5,0))-(ROUND(INDEX('Budget by Source'!$A$6:$I$330,MATCH('Payment by Source'!$A175,'Budget by Source'!$A$6:$A$330,0),MATCH(R$3,'Budget by Source'!$A$5:$I$5,0))/10,0)*10)</f>
        <v>-1</v>
      </c>
      <c r="S175" s="138">
        <f>INDEX('Budget by Source'!$A$6:$I$330,MATCH('Payment by Source'!$A175,'Budget by Source'!$A$6:$A$330,0),MATCH(S$3,'Budget by Source'!$A$5:$I$5,0))-(ROUND(INDEX('Budget by Source'!$A$6:$I$330,MATCH('Payment by Source'!$A175,'Budget by Source'!$A$6:$A$330,0),MATCH(S$3,'Budget by Source'!$A$5:$I$5,0))/10,0)*10)</f>
        <v>4</v>
      </c>
      <c r="T175" s="138">
        <f>INDEX('Budget by Source'!$A$6:$I$330,MATCH('Payment by Source'!$A175,'Budget by Source'!$A$6:$A$330,0),MATCH(T$3,'Budget by Source'!$A$5:$I$5,0))-(ROUND(INDEX('Budget by Source'!$A$6:$I$330,MATCH('Payment by Source'!$A175,'Budget by Source'!$A$6:$A$330,0),MATCH(T$3,'Budget by Source'!$A$5:$I$5,0))/10,0)*10)</f>
        <v>4</v>
      </c>
      <c r="U175" s="139">
        <f>INDEX('Budget by Source'!$A$6:$I$330,MATCH('Payment by Source'!$A175,'Budget by Source'!$A$6:$A$330,0),MATCH(U$3,'Budget by Source'!$A$5:$I$5,0))</f>
        <v>3771083</v>
      </c>
      <c r="V175" s="136">
        <f t="shared" si="7"/>
        <v>377108</v>
      </c>
      <c r="W175" s="136">
        <f t="shared" si="8"/>
        <v>3771080</v>
      </c>
    </row>
    <row r="176" spans="1:23" x14ac:dyDescent="0.2">
      <c r="A176" s="22" t="str">
        <f>Data!B172</f>
        <v>3906</v>
      </c>
      <c r="B176" s="20" t="str">
        <f>INDEX(Data[],MATCH($A176,Data[Dist],0),MATCH(B$5,Data[#Headers],0))</f>
        <v>Lynnville-Sully</v>
      </c>
      <c r="C176" s="21">
        <f>IF(Notes!$B$2="June",ROUND('Budget by Source'!C176/10,0)+P176,ROUND('Budget by Source'!C176/10,0))</f>
        <v>13638</v>
      </c>
      <c r="D176" s="21">
        <f>IF(Notes!$B$2="June",ROUND('Budget by Source'!D176/10,0)+Q176,ROUND('Budget by Source'!D176/10,0))</f>
        <v>50642</v>
      </c>
      <c r="E176" s="21">
        <f>IF(Notes!$B$2="June",ROUND('Budget by Source'!E176/10,0)+R176,ROUND('Budget by Source'!E176/10,0))</f>
        <v>3367</v>
      </c>
      <c r="F176" s="21">
        <f>IF(Notes!$B$2="June",ROUND('Budget by Source'!F176/10,0)+S176,ROUND('Budget by Source'!F176/10,0))</f>
        <v>3300</v>
      </c>
      <c r="G176" s="21">
        <f>IF(Notes!$B$2="June",ROUND('Budget by Source'!G176/10,0)+T176,ROUND('Budget by Source'!G176/10,0))</f>
        <v>17886</v>
      </c>
      <c r="H176" s="21">
        <f t="shared" si="6"/>
        <v>211194</v>
      </c>
      <c r="I176" s="21">
        <f>INDEX(Data[],MATCH($A176,Data[Dist],0),MATCH(I$5,Data[#Headers],0))</f>
        <v>300027</v>
      </c>
      <c r="K176" s="59">
        <f>INDEX('Payment Total'!$A$7:$H$331,MATCH('Payment by Source'!$A176,'Payment Total'!$A$7:$A$331,0),4)-I176</f>
        <v>0</v>
      </c>
      <c r="P176" s="138">
        <f>INDEX('Budget by Source'!$A$6:$I$330,MATCH('Payment by Source'!$A176,'Budget by Source'!$A$6:$A$330,0),MATCH(P$3,'Budget by Source'!$A$5:$I$5,0))-(ROUND(INDEX('Budget by Source'!$A$6:$I$330,MATCH('Payment by Source'!$A176,'Budget by Source'!$A$6:$A$330,0),MATCH(P$3,'Budget by Source'!$A$5:$I$5,0))/10,0)*10)</f>
        <v>-5</v>
      </c>
      <c r="Q176" s="138">
        <f>INDEX('Budget by Source'!$A$6:$I$330,MATCH('Payment by Source'!$A176,'Budget by Source'!$A$6:$A$330,0),MATCH(Q$3,'Budget by Source'!$A$5:$I$5,0))-(ROUND(INDEX('Budget by Source'!$A$6:$I$330,MATCH('Payment by Source'!$A176,'Budget by Source'!$A$6:$A$330,0),MATCH(Q$3,'Budget by Source'!$A$5:$I$5,0))/10,0)*10)</f>
        <v>2</v>
      </c>
      <c r="R176" s="138">
        <f>INDEX('Budget by Source'!$A$6:$I$330,MATCH('Payment by Source'!$A176,'Budget by Source'!$A$6:$A$330,0),MATCH(R$3,'Budget by Source'!$A$5:$I$5,0))-(ROUND(INDEX('Budget by Source'!$A$6:$I$330,MATCH('Payment by Source'!$A176,'Budget by Source'!$A$6:$A$330,0),MATCH(R$3,'Budget by Source'!$A$5:$I$5,0))/10,0)*10)</f>
        <v>-4</v>
      </c>
      <c r="S176" s="138">
        <f>INDEX('Budget by Source'!$A$6:$I$330,MATCH('Payment by Source'!$A176,'Budget by Source'!$A$6:$A$330,0),MATCH(S$3,'Budget by Source'!$A$5:$I$5,0))-(ROUND(INDEX('Budget by Source'!$A$6:$I$330,MATCH('Payment by Source'!$A176,'Budget by Source'!$A$6:$A$330,0),MATCH(S$3,'Budget by Source'!$A$5:$I$5,0))/10,0)*10)</f>
        <v>-2</v>
      </c>
      <c r="T176" s="138">
        <f>INDEX('Budget by Source'!$A$6:$I$330,MATCH('Payment by Source'!$A176,'Budget by Source'!$A$6:$A$330,0),MATCH(T$3,'Budget by Source'!$A$5:$I$5,0))-(ROUND(INDEX('Budget by Source'!$A$6:$I$330,MATCH('Payment by Source'!$A176,'Budget by Source'!$A$6:$A$330,0),MATCH(T$3,'Budget by Source'!$A$5:$I$5,0))/10,0)*10)</f>
        <v>0</v>
      </c>
      <c r="U176" s="139">
        <f>INDEX('Budget by Source'!$A$6:$I$330,MATCH('Payment by Source'!$A176,'Budget by Source'!$A$6:$A$330,0),MATCH(U$3,'Budget by Source'!$A$5:$I$5,0))</f>
        <v>2118516</v>
      </c>
      <c r="V176" s="136">
        <f t="shared" si="7"/>
        <v>211852</v>
      </c>
      <c r="W176" s="136">
        <f t="shared" si="8"/>
        <v>2118520</v>
      </c>
    </row>
    <row r="177" spans="1:23" x14ac:dyDescent="0.2">
      <c r="A177" s="22" t="str">
        <f>Data!B173</f>
        <v>3942</v>
      </c>
      <c r="B177" s="20" t="str">
        <f>INDEX(Data[],MATCH($A177,Data[Dist],0),MATCH(B$5,Data[#Headers],0))</f>
        <v>Madrid</v>
      </c>
      <c r="C177" s="21">
        <f>IF(Notes!$B$2="June",ROUND('Budget by Source'!C177/10,0)+P177,ROUND('Budget by Source'!C177/10,0))</f>
        <v>13240</v>
      </c>
      <c r="D177" s="21">
        <f>IF(Notes!$B$2="June",ROUND('Budget by Source'!D177/10,0)+Q177,ROUND('Budget by Source'!D177/10,0))</f>
        <v>57485</v>
      </c>
      <c r="E177" s="21">
        <f>IF(Notes!$B$2="June",ROUND('Budget by Source'!E177/10,0)+R177,ROUND('Budget by Source'!E177/10,0))</f>
        <v>5223</v>
      </c>
      <c r="F177" s="21">
        <f>IF(Notes!$B$2="June",ROUND('Budget by Source'!F177/10,0)+S177,ROUND('Budget by Source'!F177/10,0))</f>
        <v>4783</v>
      </c>
      <c r="G177" s="21">
        <f>IF(Notes!$B$2="June",ROUND('Budget by Source'!G177/10,0)+T177,ROUND('Budget by Source'!G177/10,0))</f>
        <v>24692</v>
      </c>
      <c r="H177" s="21">
        <f t="shared" si="6"/>
        <v>420059</v>
      </c>
      <c r="I177" s="21">
        <f>INDEX(Data[],MATCH($A177,Data[Dist],0),MATCH(I$5,Data[#Headers],0))</f>
        <v>525482</v>
      </c>
      <c r="K177" s="59">
        <f>INDEX('Payment Total'!$A$7:$H$331,MATCH('Payment by Source'!$A177,'Payment Total'!$A$7:$A$331,0),4)-I177</f>
        <v>0</v>
      </c>
      <c r="P177" s="138">
        <f>INDEX('Budget by Source'!$A$6:$I$330,MATCH('Payment by Source'!$A177,'Budget by Source'!$A$6:$A$330,0),MATCH(P$3,'Budget by Source'!$A$5:$I$5,0))-(ROUND(INDEX('Budget by Source'!$A$6:$I$330,MATCH('Payment by Source'!$A177,'Budget by Source'!$A$6:$A$330,0),MATCH(P$3,'Budget by Source'!$A$5:$I$5,0))/10,0)*10)</f>
        <v>0</v>
      </c>
      <c r="Q177" s="138">
        <f>INDEX('Budget by Source'!$A$6:$I$330,MATCH('Payment by Source'!$A177,'Budget by Source'!$A$6:$A$330,0),MATCH(Q$3,'Budget by Source'!$A$5:$I$5,0))-(ROUND(INDEX('Budget by Source'!$A$6:$I$330,MATCH('Payment by Source'!$A177,'Budget by Source'!$A$6:$A$330,0),MATCH(Q$3,'Budget by Source'!$A$5:$I$5,0))/10,0)*10)</f>
        <v>3</v>
      </c>
      <c r="R177" s="138">
        <f>INDEX('Budget by Source'!$A$6:$I$330,MATCH('Payment by Source'!$A177,'Budget by Source'!$A$6:$A$330,0),MATCH(R$3,'Budget by Source'!$A$5:$I$5,0))-(ROUND(INDEX('Budget by Source'!$A$6:$I$330,MATCH('Payment by Source'!$A177,'Budget by Source'!$A$6:$A$330,0),MATCH(R$3,'Budget by Source'!$A$5:$I$5,0))/10,0)*10)</f>
        <v>-3</v>
      </c>
      <c r="S177" s="138">
        <f>INDEX('Budget by Source'!$A$6:$I$330,MATCH('Payment by Source'!$A177,'Budget by Source'!$A$6:$A$330,0),MATCH(S$3,'Budget by Source'!$A$5:$I$5,0))-(ROUND(INDEX('Budget by Source'!$A$6:$I$330,MATCH('Payment by Source'!$A177,'Budget by Source'!$A$6:$A$330,0),MATCH(S$3,'Budget by Source'!$A$5:$I$5,0))/10,0)*10)</f>
        <v>1</v>
      </c>
      <c r="T177" s="138">
        <f>INDEX('Budget by Source'!$A$6:$I$330,MATCH('Payment by Source'!$A177,'Budget by Source'!$A$6:$A$330,0),MATCH(T$3,'Budget by Source'!$A$5:$I$5,0))-(ROUND(INDEX('Budget by Source'!$A$6:$I$330,MATCH('Payment by Source'!$A177,'Budget by Source'!$A$6:$A$330,0),MATCH(T$3,'Budget by Source'!$A$5:$I$5,0))/10,0)*10)</f>
        <v>-5</v>
      </c>
      <c r="U177" s="139">
        <f>INDEX('Budget by Source'!$A$6:$I$330,MATCH('Payment by Source'!$A177,'Budget by Source'!$A$6:$A$330,0),MATCH(U$3,'Budget by Source'!$A$5:$I$5,0))</f>
        <v>4210260</v>
      </c>
      <c r="V177" s="136">
        <f t="shared" si="7"/>
        <v>421026</v>
      </c>
      <c r="W177" s="136">
        <f t="shared" si="8"/>
        <v>4210260</v>
      </c>
    </row>
    <row r="178" spans="1:23" x14ac:dyDescent="0.2">
      <c r="A178" s="22" t="str">
        <f>Data!B174</f>
        <v>3978</v>
      </c>
      <c r="B178" s="20" t="str">
        <f>INDEX(Data[],MATCH($A178,Data[Dist],0),MATCH(B$5,Data[#Headers],0))</f>
        <v>East Mills</v>
      </c>
      <c r="C178" s="21">
        <f>IF(Notes!$B$2="June",ROUND('Budget by Source'!C178/10,0)+P178,ROUND('Budget by Source'!C178/10,0))</f>
        <v>9741</v>
      </c>
      <c r="D178" s="21">
        <f>IF(Notes!$B$2="June",ROUND('Budget by Source'!D178/10,0)+Q178,ROUND('Budget by Source'!D178/10,0))</f>
        <v>60338</v>
      </c>
      <c r="E178" s="21">
        <f>IF(Notes!$B$2="June",ROUND('Budget by Source'!E178/10,0)+R178,ROUND('Budget by Source'!E178/10,0))</f>
        <v>4116</v>
      </c>
      <c r="F178" s="21">
        <f>IF(Notes!$B$2="June",ROUND('Budget by Source'!F178/10,0)+S178,ROUND('Budget by Source'!F178/10,0))</f>
        <v>4452</v>
      </c>
      <c r="G178" s="21">
        <f>IF(Notes!$B$2="June",ROUND('Budget by Source'!G178/10,0)+T178,ROUND('Budget by Source'!G178/10,0))</f>
        <v>20742</v>
      </c>
      <c r="H178" s="21">
        <f t="shared" si="6"/>
        <v>255516</v>
      </c>
      <c r="I178" s="21">
        <f>INDEX(Data[],MATCH($A178,Data[Dist],0),MATCH(I$5,Data[#Headers],0))</f>
        <v>354905</v>
      </c>
      <c r="K178" s="59">
        <f>INDEX('Payment Total'!$A$7:$H$331,MATCH('Payment by Source'!$A178,'Payment Total'!$A$7:$A$331,0),4)-I178</f>
        <v>0</v>
      </c>
      <c r="P178" s="138">
        <f>INDEX('Budget by Source'!$A$6:$I$330,MATCH('Payment by Source'!$A178,'Budget by Source'!$A$6:$A$330,0),MATCH(P$3,'Budget by Source'!$A$5:$I$5,0))-(ROUND(INDEX('Budget by Source'!$A$6:$I$330,MATCH('Payment by Source'!$A178,'Budget by Source'!$A$6:$A$330,0),MATCH(P$3,'Budget by Source'!$A$5:$I$5,0))/10,0)*10)</f>
        <v>0</v>
      </c>
      <c r="Q178" s="138">
        <f>INDEX('Budget by Source'!$A$6:$I$330,MATCH('Payment by Source'!$A178,'Budget by Source'!$A$6:$A$330,0),MATCH(Q$3,'Budget by Source'!$A$5:$I$5,0))-(ROUND(INDEX('Budget by Source'!$A$6:$I$330,MATCH('Payment by Source'!$A178,'Budget by Source'!$A$6:$A$330,0),MATCH(Q$3,'Budget by Source'!$A$5:$I$5,0))/10,0)*10)</f>
        <v>4</v>
      </c>
      <c r="R178" s="138">
        <f>INDEX('Budget by Source'!$A$6:$I$330,MATCH('Payment by Source'!$A178,'Budget by Source'!$A$6:$A$330,0),MATCH(R$3,'Budget by Source'!$A$5:$I$5,0))-(ROUND(INDEX('Budget by Source'!$A$6:$I$330,MATCH('Payment by Source'!$A178,'Budget by Source'!$A$6:$A$330,0),MATCH(R$3,'Budget by Source'!$A$5:$I$5,0))/10,0)*10)</f>
        <v>1</v>
      </c>
      <c r="S178" s="138">
        <f>INDEX('Budget by Source'!$A$6:$I$330,MATCH('Payment by Source'!$A178,'Budget by Source'!$A$6:$A$330,0),MATCH(S$3,'Budget by Source'!$A$5:$I$5,0))-(ROUND(INDEX('Budget by Source'!$A$6:$I$330,MATCH('Payment by Source'!$A178,'Budget by Source'!$A$6:$A$330,0),MATCH(S$3,'Budget by Source'!$A$5:$I$5,0))/10,0)*10)</f>
        <v>1</v>
      </c>
      <c r="T178" s="138">
        <f>INDEX('Budget by Source'!$A$6:$I$330,MATCH('Payment by Source'!$A178,'Budget by Source'!$A$6:$A$330,0),MATCH(T$3,'Budget by Source'!$A$5:$I$5,0))-(ROUND(INDEX('Budget by Source'!$A$6:$I$330,MATCH('Payment by Source'!$A178,'Budget by Source'!$A$6:$A$330,0),MATCH(T$3,'Budget by Source'!$A$5:$I$5,0))/10,0)*10)</f>
        <v>-3</v>
      </c>
      <c r="U178" s="139">
        <f>INDEX('Budget by Source'!$A$6:$I$330,MATCH('Payment by Source'!$A178,'Budget by Source'!$A$6:$A$330,0),MATCH(U$3,'Budget by Source'!$A$5:$I$5,0))</f>
        <v>2563296</v>
      </c>
      <c r="V178" s="136">
        <f t="shared" si="7"/>
        <v>256330</v>
      </c>
      <c r="W178" s="136">
        <f t="shared" si="8"/>
        <v>2563300</v>
      </c>
    </row>
    <row r="179" spans="1:23" x14ac:dyDescent="0.2">
      <c r="A179" s="22" t="str">
        <f>Data!B175</f>
        <v>4023</v>
      </c>
      <c r="B179" s="20" t="str">
        <f>INDEX(Data[],MATCH($A179,Data[Dist],0),MATCH(B$5,Data[#Headers],0))</f>
        <v>Manson-Northwest Webster</v>
      </c>
      <c r="C179" s="21">
        <f>IF(Notes!$B$2="June",ROUND('Budget by Source'!C179/10,0)+P179,ROUND('Budget by Source'!C179/10,0))</f>
        <v>15983</v>
      </c>
      <c r="D179" s="21">
        <f>IF(Notes!$B$2="June",ROUND('Budget by Source'!D179/10,0)+Q179,ROUND('Budget by Source'!D179/10,0))</f>
        <v>65271</v>
      </c>
      <c r="E179" s="21">
        <f>IF(Notes!$B$2="June",ROUND('Budget by Source'!E179/10,0)+R179,ROUND('Budget by Source'!E179/10,0))</f>
        <v>4404</v>
      </c>
      <c r="F179" s="21">
        <f>IF(Notes!$B$2="June",ROUND('Budget by Source'!F179/10,0)+S179,ROUND('Budget by Source'!F179/10,0))</f>
        <v>5223</v>
      </c>
      <c r="G179" s="21">
        <f>IF(Notes!$B$2="June",ROUND('Budget by Source'!G179/10,0)+T179,ROUND('Budget by Source'!G179/10,0))</f>
        <v>25705</v>
      </c>
      <c r="H179" s="21">
        <f t="shared" si="6"/>
        <v>271292</v>
      </c>
      <c r="I179" s="21">
        <f>INDEX(Data[],MATCH($A179,Data[Dist],0),MATCH(I$5,Data[#Headers],0))</f>
        <v>387878</v>
      </c>
      <c r="K179" s="59">
        <f>INDEX('Payment Total'!$A$7:$H$331,MATCH('Payment by Source'!$A179,'Payment Total'!$A$7:$A$331,0),4)-I179</f>
        <v>0</v>
      </c>
      <c r="P179" s="138">
        <f>INDEX('Budget by Source'!$A$6:$I$330,MATCH('Payment by Source'!$A179,'Budget by Source'!$A$6:$A$330,0),MATCH(P$3,'Budget by Source'!$A$5:$I$5,0))-(ROUND(INDEX('Budget by Source'!$A$6:$I$330,MATCH('Payment by Source'!$A179,'Budget by Source'!$A$6:$A$330,0),MATCH(P$3,'Budget by Source'!$A$5:$I$5,0))/10,0)*10)</f>
        <v>1</v>
      </c>
      <c r="Q179" s="138">
        <f>INDEX('Budget by Source'!$A$6:$I$330,MATCH('Payment by Source'!$A179,'Budget by Source'!$A$6:$A$330,0),MATCH(Q$3,'Budget by Source'!$A$5:$I$5,0))-(ROUND(INDEX('Budget by Source'!$A$6:$I$330,MATCH('Payment by Source'!$A179,'Budget by Source'!$A$6:$A$330,0),MATCH(Q$3,'Budget by Source'!$A$5:$I$5,0))/10,0)*10)</f>
        <v>-2</v>
      </c>
      <c r="R179" s="138">
        <f>INDEX('Budget by Source'!$A$6:$I$330,MATCH('Payment by Source'!$A179,'Budget by Source'!$A$6:$A$330,0),MATCH(R$3,'Budget by Source'!$A$5:$I$5,0))-(ROUND(INDEX('Budget by Source'!$A$6:$I$330,MATCH('Payment by Source'!$A179,'Budget by Source'!$A$6:$A$330,0),MATCH(R$3,'Budget by Source'!$A$5:$I$5,0))/10,0)*10)</f>
        <v>-5</v>
      </c>
      <c r="S179" s="138">
        <f>INDEX('Budget by Source'!$A$6:$I$330,MATCH('Payment by Source'!$A179,'Budget by Source'!$A$6:$A$330,0),MATCH(S$3,'Budget by Source'!$A$5:$I$5,0))-(ROUND(INDEX('Budget by Source'!$A$6:$I$330,MATCH('Payment by Source'!$A179,'Budget by Source'!$A$6:$A$330,0),MATCH(S$3,'Budget by Source'!$A$5:$I$5,0))/10,0)*10)</f>
        <v>-2</v>
      </c>
      <c r="T179" s="138">
        <f>INDEX('Budget by Source'!$A$6:$I$330,MATCH('Payment by Source'!$A179,'Budget by Source'!$A$6:$A$330,0),MATCH(T$3,'Budget by Source'!$A$5:$I$5,0))-(ROUND(INDEX('Budget by Source'!$A$6:$I$330,MATCH('Payment by Source'!$A179,'Budget by Source'!$A$6:$A$330,0),MATCH(T$3,'Budget by Source'!$A$5:$I$5,0))/10,0)*10)</f>
        <v>2</v>
      </c>
      <c r="U179" s="139">
        <f>INDEX('Budget by Source'!$A$6:$I$330,MATCH('Payment by Source'!$A179,'Budget by Source'!$A$6:$A$330,0),MATCH(U$3,'Budget by Source'!$A$5:$I$5,0))</f>
        <v>2722860</v>
      </c>
      <c r="V179" s="136">
        <f t="shared" si="7"/>
        <v>272286</v>
      </c>
      <c r="W179" s="136">
        <f t="shared" si="8"/>
        <v>2722860</v>
      </c>
    </row>
    <row r="180" spans="1:23" x14ac:dyDescent="0.2">
      <c r="A180" s="22" t="str">
        <f>Data!B176</f>
        <v>4033</v>
      </c>
      <c r="B180" s="20" t="str">
        <f>INDEX(Data[],MATCH($A180,Data[Dist],0),MATCH(B$5,Data[#Headers],0))</f>
        <v>Maple Valley-Anthon Oto</v>
      </c>
      <c r="C180" s="21">
        <f>IF(Notes!$B$2="June",ROUND('Budget by Source'!C180/10,0)+P180,ROUND('Budget by Source'!C180/10,0))</f>
        <v>10131</v>
      </c>
      <c r="D180" s="21">
        <f>IF(Notes!$B$2="June",ROUND('Budget by Source'!D180/10,0)+Q180,ROUND('Budget by Source'!D180/10,0))</f>
        <v>59895</v>
      </c>
      <c r="E180" s="21">
        <f>IF(Notes!$B$2="June",ROUND('Budget by Source'!E180/10,0)+R180,ROUND('Budget by Source'!E180/10,0))</f>
        <v>4135</v>
      </c>
      <c r="F180" s="21">
        <f>IF(Notes!$B$2="June",ROUND('Budget by Source'!F180/10,0)+S180,ROUND('Budget by Source'!F180/10,0))</f>
        <v>4260</v>
      </c>
      <c r="G180" s="21">
        <f>IF(Notes!$B$2="June",ROUND('Budget by Source'!G180/10,0)+T180,ROUND('Budget by Source'!G180/10,0))</f>
        <v>22268</v>
      </c>
      <c r="H180" s="21">
        <f t="shared" si="6"/>
        <v>216023</v>
      </c>
      <c r="I180" s="21">
        <f>INDEX(Data[],MATCH($A180,Data[Dist],0),MATCH(I$5,Data[#Headers],0))</f>
        <v>316712</v>
      </c>
      <c r="K180" s="59">
        <f>INDEX('Payment Total'!$A$7:$H$331,MATCH('Payment by Source'!$A180,'Payment Total'!$A$7:$A$331,0),4)-I180</f>
        <v>0</v>
      </c>
      <c r="P180" s="138">
        <f>INDEX('Budget by Source'!$A$6:$I$330,MATCH('Payment by Source'!$A180,'Budget by Source'!$A$6:$A$330,0),MATCH(P$3,'Budget by Source'!$A$5:$I$5,0))-(ROUND(INDEX('Budget by Source'!$A$6:$I$330,MATCH('Payment by Source'!$A180,'Budget by Source'!$A$6:$A$330,0),MATCH(P$3,'Budget by Source'!$A$5:$I$5,0))/10,0)*10)</f>
        <v>-3</v>
      </c>
      <c r="Q180" s="138">
        <f>INDEX('Budget by Source'!$A$6:$I$330,MATCH('Payment by Source'!$A180,'Budget by Source'!$A$6:$A$330,0),MATCH(Q$3,'Budget by Source'!$A$5:$I$5,0))-(ROUND(INDEX('Budget by Source'!$A$6:$I$330,MATCH('Payment by Source'!$A180,'Budget by Source'!$A$6:$A$330,0),MATCH(Q$3,'Budget by Source'!$A$5:$I$5,0))/10,0)*10)</f>
        <v>0</v>
      </c>
      <c r="R180" s="138">
        <f>INDEX('Budget by Source'!$A$6:$I$330,MATCH('Payment by Source'!$A180,'Budget by Source'!$A$6:$A$330,0),MATCH(R$3,'Budget by Source'!$A$5:$I$5,0))-(ROUND(INDEX('Budget by Source'!$A$6:$I$330,MATCH('Payment by Source'!$A180,'Budget by Source'!$A$6:$A$330,0),MATCH(R$3,'Budget by Source'!$A$5:$I$5,0))/10,0)*10)</f>
        <v>3</v>
      </c>
      <c r="S180" s="138">
        <f>INDEX('Budget by Source'!$A$6:$I$330,MATCH('Payment by Source'!$A180,'Budget by Source'!$A$6:$A$330,0),MATCH(S$3,'Budget by Source'!$A$5:$I$5,0))-(ROUND(INDEX('Budget by Source'!$A$6:$I$330,MATCH('Payment by Source'!$A180,'Budget by Source'!$A$6:$A$330,0),MATCH(S$3,'Budget by Source'!$A$5:$I$5,0))/10,0)*10)</f>
        <v>-3</v>
      </c>
      <c r="T180" s="138">
        <f>INDEX('Budget by Source'!$A$6:$I$330,MATCH('Payment by Source'!$A180,'Budget by Source'!$A$6:$A$330,0),MATCH(T$3,'Budget by Source'!$A$5:$I$5,0))-(ROUND(INDEX('Budget by Source'!$A$6:$I$330,MATCH('Payment by Source'!$A180,'Budget by Source'!$A$6:$A$330,0),MATCH(T$3,'Budget by Source'!$A$5:$I$5,0))/10,0)*10)</f>
        <v>-2</v>
      </c>
      <c r="U180" s="139">
        <f>INDEX('Budget by Source'!$A$6:$I$330,MATCH('Payment by Source'!$A180,'Budget by Source'!$A$6:$A$330,0),MATCH(U$3,'Budget by Source'!$A$5:$I$5,0))</f>
        <v>2168869</v>
      </c>
      <c r="V180" s="136">
        <f t="shared" si="7"/>
        <v>216887</v>
      </c>
      <c r="W180" s="136">
        <f t="shared" si="8"/>
        <v>2168870</v>
      </c>
    </row>
    <row r="181" spans="1:23" x14ac:dyDescent="0.2">
      <c r="A181" s="22" t="str">
        <f>Data!B177</f>
        <v>4041</v>
      </c>
      <c r="B181" s="20" t="str">
        <f>INDEX(Data[],MATCH($A181,Data[Dist],0),MATCH(B$5,Data[#Headers],0))</f>
        <v>Maquoketa</v>
      </c>
      <c r="C181" s="21">
        <f>IF(Notes!$B$2="June",ROUND('Budget by Source'!C181/10,0)+P181,ROUND('Budget by Source'!C181/10,0))</f>
        <v>19092</v>
      </c>
      <c r="D181" s="21">
        <f>IF(Notes!$B$2="June",ROUND('Budget by Source'!D181/10,0)+Q181,ROUND('Budget by Source'!D181/10,0))</f>
        <v>128393</v>
      </c>
      <c r="E181" s="21">
        <f>IF(Notes!$B$2="June",ROUND('Budget by Source'!E181/10,0)+R181,ROUND('Budget by Source'!E181/10,0))</f>
        <v>10911</v>
      </c>
      <c r="F181" s="21">
        <f>IF(Notes!$B$2="June",ROUND('Budget by Source'!F181/10,0)+S181,ROUND('Budget by Source'!F181/10,0))</f>
        <v>10546</v>
      </c>
      <c r="G181" s="21">
        <f>IF(Notes!$B$2="June",ROUND('Budget by Source'!G181/10,0)+T181,ROUND('Budget by Source'!G181/10,0))</f>
        <v>48725</v>
      </c>
      <c r="H181" s="21">
        <f t="shared" si="6"/>
        <v>835191</v>
      </c>
      <c r="I181" s="21">
        <f>INDEX(Data[],MATCH($A181,Data[Dist],0),MATCH(I$5,Data[#Headers],0))</f>
        <v>1052858</v>
      </c>
      <c r="K181" s="59">
        <f>INDEX('Payment Total'!$A$7:$H$331,MATCH('Payment by Source'!$A181,'Payment Total'!$A$7:$A$331,0),4)-I181</f>
        <v>0</v>
      </c>
      <c r="P181" s="138">
        <f>INDEX('Budget by Source'!$A$6:$I$330,MATCH('Payment by Source'!$A181,'Budget by Source'!$A$6:$A$330,0),MATCH(P$3,'Budget by Source'!$A$5:$I$5,0))-(ROUND(INDEX('Budget by Source'!$A$6:$I$330,MATCH('Payment by Source'!$A181,'Budget by Source'!$A$6:$A$330,0),MATCH(P$3,'Budget by Source'!$A$5:$I$5,0))/10,0)*10)</f>
        <v>4</v>
      </c>
      <c r="Q181" s="138">
        <f>INDEX('Budget by Source'!$A$6:$I$330,MATCH('Payment by Source'!$A181,'Budget by Source'!$A$6:$A$330,0),MATCH(Q$3,'Budget by Source'!$A$5:$I$5,0))-(ROUND(INDEX('Budget by Source'!$A$6:$I$330,MATCH('Payment by Source'!$A181,'Budget by Source'!$A$6:$A$330,0),MATCH(Q$3,'Budget by Source'!$A$5:$I$5,0))/10,0)*10)</f>
        <v>-2</v>
      </c>
      <c r="R181" s="138">
        <f>INDEX('Budget by Source'!$A$6:$I$330,MATCH('Payment by Source'!$A181,'Budget by Source'!$A$6:$A$330,0),MATCH(R$3,'Budget by Source'!$A$5:$I$5,0))-(ROUND(INDEX('Budget by Source'!$A$6:$I$330,MATCH('Payment by Source'!$A181,'Budget by Source'!$A$6:$A$330,0),MATCH(R$3,'Budget by Source'!$A$5:$I$5,0))/10,0)*10)</f>
        <v>3</v>
      </c>
      <c r="S181" s="138">
        <f>INDEX('Budget by Source'!$A$6:$I$330,MATCH('Payment by Source'!$A181,'Budget by Source'!$A$6:$A$330,0),MATCH(S$3,'Budget by Source'!$A$5:$I$5,0))-(ROUND(INDEX('Budget by Source'!$A$6:$I$330,MATCH('Payment by Source'!$A181,'Budget by Source'!$A$6:$A$330,0),MATCH(S$3,'Budget by Source'!$A$5:$I$5,0))/10,0)*10)</f>
        <v>2</v>
      </c>
      <c r="T181" s="138">
        <f>INDEX('Budget by Source'!$A$6:$I$330,MATCH('Payment by Source'!$A181,'Budget by Source'!$A$6:$A$330,0),MATCH(T$3,'Budget by Source'!$A$5:$I$5,0))-(ROUND(INDEX('Budget by Source'!$A$6:$I$330,MATCH('Payment by Source'!$A181,'Budget by Source'!$A$6:$A$330,0),MATCH(T$3,'Budget by Source'!$A$5:$I$5,0))/10,0)*10)</f>
        <v>-3</v>
      </c>
      <c r="U181" s="139">
        <f>INDEX('Budget by Source'!$A$6:$I$330,MATCH('Payment by Source'!$A181,'Budget by Source'!$A$6:$A$330,0),MATCH(U$3,'Budget by Source'!$A$5:$I$5,0))</f>
        <v>8370455</v>
      </c>
      <c r="V181" s="136">
        <f t="shared" si="7"/>
        <v>837046</v>
      </c>
      <c r="W181" s="136">
        <f t="shared" si="8"/>
        <v>8370460</v>
      </c>
    </row>
    <row r="182" spans="1:23" x14ac:dyDescent="0.2">
      <c r="A182" s="22" t="str">
        <f>Data!B178</f>
        <v>4043</v>
      </c>
      <c r="B182" s="20" t="str">
        <f>INDEX(Data[],MATCH($A182,Data[Dist],0),MATCH(B$5,Data[#Headers],0))</f>
        <v>Maquoketa Valley</v>
      </c>
      <c r="C182" s="21">
        <f>IF(Notes!$B$2="June",ROUND('Budget by Source'!C182/10,0)+P182,ROUND('Budget by Source'!C182/10,0))</f>
        <v>11689</v>
      </c>
      <c r="D182" s="21">
        <f>IF(Notes!$B$2="June",ROUND('Budget by Source'!D182/10,0)+Q182,ROUND('Budget by Source'!D182/10,0))</f>
        <v>66268</v>
      </c>
      <c r="E182" s="21">
        <f>IF(Notes!$B$2="June",ROUND('Budget by Source'!E182/10,0)+R182,ROUND('Budget by Source'!E182/10,0))</f>
        <v>5253</v>
      </c>
      <c r="F182" s="21">
        <f>IF(Notes!$B$2="June",ROUND('Budget by Source'!F182/10,0)+S182,ROUND('Budget by Source'!F182/10,0))</f>
        <v>5307</v>
      </c>
      <c r="G182" s="21">
        <f>IF(Notes!$B$2="June",ROUND('Budget by Source'!G182/10,0)+T182,ROUND('Budget by Source'!G182/10,0))</f>
        <v>26491</v>
      </c>
      <c r="H182" s="21">
        <f t="shared" si="6"/>
        <v>290858</v>
      </c>
      <c r="I182" s="21">
        <f>INDEX(Data[],MATCH($A182,Data[Dist],0),MATCH(I$5,Data[#Headers],0))</f>
        <v>405866</v>
      </c>
      <c r="K182" s="59">
        <f>INDEX('Payment Total'!$A$7:$H$331,MATCH('Payment by Source'!$A182,'Payment Total'!$A$7:$A$331,0),4)-I182</f>
        <v>0</v>
      </c>
      <c r="P182" s="138">
        <f>INDEX('Budget by Source'!$A$6:$I$330,MATCH('Payment by Source'!$A182,'Budget by Source'!$A$6:$A$330,0),MATCH(P$3,'Budget by Source'!$A$5:$I$5,0))-(ROUND(INDEX('Budget by Source'!$A$6:$I$330,MATCH('Payment by Source'!$A182,'Budget by Source'!$A$6:$A$330,0),MATCH(P$3,'Budget by Source'!$A$5:$I$5,0))/10,0)*10)</f>
        <v>2</v>
      </c>
      <c r="Q182" s="138">
        <f>INDEX('Budget by Source'!$A$6:$I$330,MATCH('Payment by Source'!$A182,'Budget by Source'!$A$6:$A$330,0),MATCH(Q$3,'Budget by Source'!$A$5:$I$5,0))-(ROUND(INDEX('Budget by Source'!$A$6:$I$330,MATCH('Payment by Source'!$A182,'Budget by Source'!$A$6:$A$330,0),MATCH(Q$3,'Budget by Source'!$A$5:$I$5,0))/10,0)*10)</f>
        <v>-1</v>
      </c>
      <c r="R182" s="138">
        <f>INDEX('Budget by Source'!$A$6:$I$330,MATCH('Payment by Source'!$A182,'Budget by Source'!$A$6:$A$330,0),MATCH(R$3,'Budget by Source'!$A$5:$I$5,0))-(ROUND(INDEX('Budget by Source'!$A$6:$I$330,MATCH('Payment by Source'!$A182,'Budget by Source'!$A$6:$A$330,0),MATCH(R$3,'Budget by Source'!$A$5:$I$5,0))/10,0)*10)</f>
        <v>4</v>
      </c>
      <c r="S182" s="138">
        <f>INDEX('Budget by Source'!$A$6:$I$330,MATCH('Payment by Source'!$A182,'Budget by Source'!$A$6:$A$330,0),MATCH(S$3,'Budget by Source'!$A$5:$I$5,0))-(ROUND(INDEX('Budget by Source'!$A$6:$I$330,MATCH('Payment by Source'!$A182,'Budget by Source'!$A$6:$A$330,0),MATCH(S$3,'Budget by Source'!$A$5:$I$5,0))/10,0)*10)</f>
        <v>4</v>
      </c>
      <c r="T182" s="138">
        <f>INDEX('Budget by Source'!$A$6:$I$330,MATCH('Payment by Source'!$A182,'Budget by Source'!$A$6:$A$330,0),MATCH(T$3,'Budget by Source'!$A$5:$I$5,0))-(ROUND(INDEX('Budget by Source'!$A$6:$I$330,MATCH('Payment by Source'!$A182,'Budget by Source'!$A$6:$A$330,0),MATCH(T$3,'Budget by Source'!$A$5:$I$5,0))/10,0)*10)</f>
        <v>-1</v>
      </c>
      <c r="U182" s="139">
        <f>INDEX('Budget by Source'!$A$6:$I$330,MATCH('Payment by Source'!$A182,'Budget by Source'!$A$6:$A$330,0),MATCH(U$3,'Budget by Source'!$A$5:$I$5,0))</f>
        <v>2918696</v>
      </c>
      <c r="V182" s="136">
        <f t="shared" si="7"/>
        <v>291870</v>
      </c>
      <c r="W182" s="136">
        <f t="shared" si="8"/>
        <v>2918700</v>
      </c>
    </row>
    <row r="183" spans="1:23" x14ac:dyDescent="0.2">
      <c r="A183" s="22" t="str">
        <f>Data!B179</f>
        <v>4068</v>
      </c>
      <c r="B183" s="20" t="str">
        <f>INDEX(Data[],MATCH($A183,Data[Dist],0),MATCH(B$5,Data[#Headers],0))</f>
        <v>Marcus-Meriden Cleghorn</v>
      </c>
      <c r="C183" s="21">
        <f>IF(Notes!$B$2="June",ROUND('Budget by Source'!C183/10,0)+P183,ROUND('Budget by Source'!C183/10,0))</f>
        <v>7014</v>
      </c>
      <c r="D183" s="21">
        <f>IF(Notes!$B$2="June",ROUND('Budget by Source'!D183/10,0)+Q183,ROUND('Budget by Source'!D183/10,0))</f>
        <v>56790</v>
      </c>
      <c r="E183" s="21">
        <f>IF(Notes!$B$2="June",ROUND('Budget by Source'!E183/10,0)+R183,ROUND('Budget by Source'!E183/10,0))</f>
        <v>2915</v>
      </c>
      <c r="F183" s="21">
        <f>IF(Notes!$B$2="June",ROUND('Budget by Source'!F183/10,0)+S183,ROUND('Budget by Source'!F183/10,0))</f>
        <v>3576</v>
      </c>
      <c r="G183" s="21">
        <f>IF(Notes!$B$2="June",ROUND('Budget by Source'!G183/10,0)+T183,ROUND('Budget by Source'!G183/10,0))</f>
        <v>17841</v>
      </c>
      <c r="H183" s="21">
        <f t="shared" si="6"/>
        <v>148183</v>
      </c>
      <c r="I183" s="21">
        <f>INDEX(Data[],MATCH($A183,Data[Dist],0),MATCH(I$5,Data[#Headers],0))</f>
        <v>236319</v>
      </c>
      <c r="K183" s="59">
        <f>INDEX('Payment Total'!$A$7:$H$331,MATCH('Payment by Source'!$A183,'Payment Total'!$A$7:$A$331,0),4)-I183</f>
        <v>0</v>
      </c>
      <c r="P183" s="138">
        <f>INDEX('Budget by Source'!$A$6:$I$330,MATCH('Payment by Source'!$A183,'Budget by Source'!$A$6:$A$330,0),MATCH(P$3,'Budget by Source'!$A$5:$I$5,0))-(ROUND(INDEX('Budget by Source'!$A$6:$I$330,MATCH('Payment by Source'!$A183,'Budget by Source'!$A$6:$A$330,0),MATCH(P$3,'Budget by Source'!$A$5:$I$5,0))/10,0)*10)</f>
        <v>-5</v>
      </c>
      <c r="Q183" s="138">
        <f>INDEX('Budget by Source'!$A$6:$I$330,MATCH('Payment by Source'!$A183,'Budget by Source'!$A$6:$A$330,0),MATCH(Q$3,'Budget by Source'!$A$5:$I$5,0))-(ROUND(INDEX('Budget by Source'!$A$6:$I$330,MATCH('Payment by Source'!$A183,'Budget by Source'!$A$6:$A$330,0),MATCH(Q$3,'Budget by Source'!$A$5:$I$5,0))/10,0)*10)</f>
        <v>-2</v>
      </c>
      <c r="R183" s="138">
        <f>INDEX('Budget by Source'!$A$6:$I$330,MATCH('Payment by Source'!$A183,'Budget by Source'!$A$6:$A$330,0),MATCH(R$3,'Budget by Source'!$A$5:$I$5,0))-(ROUND(INDEX('Budget by Source'!$A$6:$I$330,MATCH('Payment by Source'!$A183,'Budget by Source'!$A$6:$A$330,0),MATCH(R$3,'Budget by Source'!$A$5:$I$5,0))/10,0)*10)</f>
        <v>0</v>
      </c>
      <c r="S183" s="138">
        <f>INDEX('Budget by Source'!$A$6:$I$330,MATCH('Payment by Source'!$A183,'Budget by Source'!$A$6:$A$330,0),MATCH(S$3,'Budget by Source'!$A$5:$I$5,0))-(ROUND(INDEX('Budget by Source'!$A$6:$I$330,MATCH('Payment by Source'!$A183,'Budget by Source'!$A$6:$A$330,0),MATCH(S$3,'Budget by Source'!$A$5:$I$5,0))/10,0)*10)</f>
        <v>-2</v>
      </c>
      <c r="T183" s="138">
        <f>INDEX('Budget by Source'!$A$6:$I$330,MATCH('Payment by Source'!$A183,'Budget by Source'!$A$6:$A$330,0),MATCH(T$3,'Budget by Source'!$A$5:$I$5,0))-(ROUND(INDEX('Budget by Source'!$A$6:$I$330,MATCH('Payment by Source'!$A183,'Budget by Source'!$A$6:$A$330,0),MATCH(T$3,'Budget by Source'!$A$5:$I$5,0))/10,0)*10)</f>
        <v>-3</v>
      </c>
      <c r="U183" s="139">
        <f>INDEX('Budget by Source'!$A$6:$I$330,MATCH('Payment by Source'!$A183,'Budget by Source'!$A$6:$A$330,0),MATCH(U$3,'Budget by Source'!$A$5:$I$5,0))</f>
        <v>1488831</v>
      </c>
      <c r="V183" s="136">
        <f t="shared" si="7"/>
        <v>148883</v>
      </c>
      <c r="W183" s="136">
        <f t="shared" si="8"/>
        <v>1488830</v>
      </c>
    </row>
    <row r="184" spans="1:23" x14ac:dyDescent="0.2">
      <c r="A184" s="22" t="str">
        <f>Data!B180</f>
        <v>4086</v>
      </c>
      <c r="B184" s="20" t="str">
        <f>INDEX(Data[],MATCH($A184,Data[Dist],0),MATCH(B$5,Data[#Headers],0))</f>
        <v>Marion</v>
      </c>
      <c r="C184" s="21">
        <f>IF(Notes!$B$2="June",ROUND('Budget by Source'!C184/10,0)+P184,ROUND('Budget by Source'!C184/10,0))</f>
        <v>35457</v>
      </c>
      <c r="D184" s="21">
        <f>IF(Notes!$B$2="June",ROUND('Budget by Source'!D184/10,0)+Q184,ROUND('Budget by Source'!D184/10,0))</f>
        <v>145983</v>
      </c>
      <c r="E184" s="21">
        <f>IF(Notes!$B$2="June",ROUND('Budget by Source'!E184/10,0)+R184,ROUND('Budget by Source'!E184/10,0))</f>
        <v>15286</v>
      </c>
      <c r="F184" s="21">
        <f>IF(Notes!$B$2="June",ROUND('Budget by Source'!F184/10,0)+S184,ROUND('Budget by Source'!F184/10,0))</f>
        <v>14878</v>
      </c>
      <c r="G184" s="21">
        <f>IF(Notes!$B$2="June",ROUND('Budget by Source'!G184/10,0)+T184,ROUND('Budget by Source'!G184/10,0))</f>
        <v>68197</v>
      </c>
      <c r="H184" s="21">
        <f t="shared" si="6"/>
        <v>1207949</v>
      </c>
      <c r="I184" s="21">
        <f>INDEX(Data[],MATCH($A184,Data[Dist],0),MATCH(I$5,Data[#Headers],0))</f>
        <v>1487750</v>
      </c>
      <c r="K184" s="59">
        <f>INDEX('Payment Total'!$A$7:$H$331,MATCH('Payment by Source'!$A184,'Payment Total'!$A$7:$A$331,0),4)-I184</f>
        <v>0</v>
      </c>
      <c r="P184" s="138">
        <f>INDEX('Budget by Source'!$A$6:$I$330,MATCH('Payment by Source'!$A184,'Budget by Source'!$A$6:$A$330,0),MATCH(P$3,'Budget by Source'!$A$5:$I$5,0))-(ROUND(INDEX('Budget by Source'!$A$6:$I$330,MATCH('Payment by Source'!$A184,'Budget by Source'!$A$6:$A$330,0),MATCH(P$3,'Budget by Source'!$A$5:$I$5,0))/10,0)*10)</f>
        <v>4</v>
      </c>
      <c r="Q184" s="138">
        <f>INDEX('Budget by Source'!$A$6:$I$330,MATCH('Payment by Source'!$A184,'Budget by Source'!$A$6:$A$330,0),MATCH(Q$3,'Budget by Source'!$A$5:$I$5,0))-(ROUND(INDEX('Budget by Source'!$A$6:$I$330,MATCH('Payment by Source'!$A184,'Budget by Source'!$A$6:$A$330,0),MATCH(Q$3,'Budget by Source'!$A$5:$I$5,0))/10,0)*10)</f>
        <v>-2</v>
      </c>
      <c r="R184" s="138">
        <f>INDEX('Budget by Source'!$A$6:$I$330,MATCH('Payment by Source'!$A184,'Budget by Source'!$A$6:$A$330,0),MATCH(R$3,'Budget by Source'!$A$5:$I$5,0))-(ROUND(INDEX('Budget by Source'!$A$6:$I$330,MATCH('Payment by Source'!$A184,'Budget by Source'!$A$6:$A$330,0),MATCH(R$3,'Budget by Source'!$A$5:$I$5,0))/10,0)*10)</f>
        <v>3</v>
      </c>
      <c r="S184" s="138">
        <f>INDEX('Budget by Source'!$A$6:$I$330,MATCH('Payment by Source'!$A184,'Budget by Source'!$A$6:$A$330,0),MATCH(S$3,'Budget by Source'!$A$5:$I$5,0))-(ROUND(INDEX('Budget by Source'!$A$6:$I$330,MATCH('Payment by Source'!$A184,'Budget by Source'!$A$6:$A$330,0),MATCH(S$3,'Budget by Source'!$A$5:$I$5,0))/10,0)*10)</f>
        <v>3</v>
      </c>
      <c r="T184" s="138">
        <f>INDEX('Budget by Source'!$A$6:$I$330,MATCH('Payment by Source'!$A184,'Budget by Source'!$A$6:$A$330,0),MATCH(T$3,'Budget by Source'!$A$5:$I$5,0))-(ROUND(INDEX('Budget by Source'!$A$6:$I$330,MATCH('Payment by Source'!$A184,'Budget by Source'!$A$6:$A$330,0),MATCH(T$3,'Budget by Source'!$A$5:$I$5,0))/10,0)*10)</f>
        <v>2</v>
      </c>
      <c r="U184" s="139">
        <f>INDEX('Budget by Source'!$A$6:$I$330,MATCH('Payment by Source'!$A184,'Budget by Source'!$A$6:$A$330,0),MATCH(U$3,'Budget by Source'!$A$5:$I$5,0))</f>
        <v>12105766</v>
      </c>
      <c r="V184" s="136">
        <f t="shared" si="7"/>
        <v>1210577</v>
      </c>
      <c r="W184" s="136">
        <f t="shared" si="8"/>
        <v>12105770</v>
      </c>
    </row>
    <row r="185" spans="1:23" x14ac:dyDescent="0.2">
      <c r="A185" s="22" t="str">
        <f>Data!B181</f>
        <v>4104</v>
      </c>
      <c r="B185" s="20" t="str">
        <f>INDEX(Data[],MATCH($A185,Data[Dist],0),MATCH(B$5,Data[#Headers],0))</f>
        <v>Marshalltown</v>
      </c>
      <c r="C185" s="21">
        <f>IF(Notes!$B$2="June",ROUND('Budget by Source'!C185/10,0)+P185,ROUND('Budget by Source'!C185/10,0))</f>
        <v>101299</v>
      </c>
      <c r="D185" s="21">
        <f>IF(Notes!$B$2="June",ROUND('Budget by Source'!D185/10,0)+Q185,ROUND('Budget by Source'!D185/10,0))</f>
        <v>386953</v>
      </c>
      <c r="E185" s="21">
        <f>IF(Notes!$B$2="June",ROUND('Budget by Source'!E185/10,0)+R185,ROUND('Budget by Source'!E185/10,0))</f>
        <v>54452</v>
      </c>
      <c r="F185" s="21">
        <f>IF(Notes!$B$2="June",ROUND('Budget by Source'!F185/10,0)+S185,ROUND('Budget by Source'!F185/10,0))</f>
        <v>40511</v>
      </c>
      <c r="G185" s="21">
        <f>IF(Notes!$B$2="June",ROUND('Budget by Source'!G185/10,0)+T185,ROUND('Budget by Source'!G185/10,0))</f>
        <v>209053</v>
      </c>
      <c r="H185" s="21">
        <f t="shared" si="6"/>
        <v>3997063</v>
      </c>
      <c r="I185" s="21">
        <f>INDEX(Data[],MATCH($A185,Data[Dist],0),MATCH(I$5,Data[#Headers],0))</f>
        <v>4789331</v>
      </c>
      <c r="K185" s="59">
        <f>INDEX('Payment Total'!$A$7:$H$331,MATCH('Payment by Source'!$A185,'Payment Total'!$A$7:$A$331,0),4)-I185</f>
        <v>0</v>
      </c>
      <c r="P185" s="138">
        <f>INDEX('Budget by Source'!$A$6:$I$330,MATCH('Payment by Source'!$A185,'Budget by Source'!$A$6:$A$330,0),MATCH(P$3,'Budget by Source'!$A$5:$I$5,0))-(ROUND(INDEX('Budget by Source'!$A$6:$I$330,MATCH('Payment by Source'!$A185,'Budget by Source'!$A$6:$A$330,0),MATCH(P$3,'Budget by Source'!$A$5:$I$5,0))/10,0)*10)</f>
        <v>-1</v>
      </c>
      <c r="Q185" s="138">
        <f>INDEX('Budget by Source'!$A$6:$I$330,MATCH('Payment by Source'!$A185,'Budget by Source'!$A$6:$A$330,0),MATCH(Q$3,'Budget by Source'!$A$5:$I$5,0))-(ROUND(INDEX('Budget by Source'!$A$6:$I$330,MATCH('Payment by Source'!$A185,'Budget by Source'!$A$6:$A$330,0),MATCH(Q$3,'Budget by Source'!$A$5:$I$5,0))/10,0)*10)</f>
        <v>-3</v>
      </c>
      <c r="R185" s="138">
        <f>INDEX('Budget by Source'!$A$6:$I$330,MATCH('Payment by Source'!$A185,'Budget by Source'!$A$6:$A$330,0),MATCH(R$3,'Budget by Source'!$A$5:$I$5,0))-(ROUND(INDEX('Budget by Source'!$A$6:$I$330,MATCH('Payment by Source'!$A185,'Budget by Source'!$A$6:$A$330,0),MATCH(R$3,'Budget by Source'!$A$5:$I$5,0))/10,0)*10)</f>
        <v>0</v>
      </c>
      <c r="S185" s="138">
        <f>INDEX('Budget by Source'!$A$6:$I$330,MATCH('Payment by Source'!$A185,'Budget by Source'!$A$6:$A$330,0),MATCH(S$3,'Budget by Source'!$A$5:$I$5,0))-(ROUND(INDEX('Budget by Source'!$A$6:$I$330,MATCH('Payment by Source'!$A185,'Budget by Source'!$A$6:$A$330,0),MATCH(S$3,'Budget by Source'!$A$5:$I$5,0))/10,0)*10)</f>
        <v>1</v>
      </c>
      <c r="T185" s="138">
        <f>INDEX('Budget by Source'!$A$6:$I$330,MATCH('Payment by Source'!$A185,'Budget by Source'!$A$6:$A$330,0),MATCH(T$3,'Budget by Source'!$A$5:$I$5,0))-(ROUND(INDEX('Budget by Source'!$A$6:$I$330,MATCH('Payment by Source'!$A185,'Budget by Source'!$A$6:$A$330,0),MATCH(T$3,'Budget by Source'!$A$5:$I$5,0))/10,0)*10)</f>
        <v>-4</v>
      </c>
      <c r="U185" s="139">
        <f>INDEX('Budget by Source'!$A$6:$I$330,MATCH('Payment by Source'!$A185,'Budget by Source'!$A$6:$A$330,0),MATCH(U$3,'Budget by Source'!$A$5:$I$5,0))</f>
        <v>40051014</v>
      </c>
      <c r="V185" s="136">
        <f t="shared" si="7"/>
        <v>4005101</v>
      </c>
      <c r="W185" s="136">
        <f t="shared" si="8"/>
        <v>40051010</v>
      </c>
    </row>
    <row r="186" spans="1:23" x14ac:dyDescent="0.2">
      <c r="A186" s="22" t="str">
        <f>Data!B182</f>
        <v>4122</v>
      </c>
      <c r="B186" s="20" t="str">
        <f>INDEX(Data[],MATCH($A186,Data[Dist],0),MATCH(B$5,Data[#Headers],0))</f>
        <v>Martensdale-St Marys</v>
      </c>
      <c r="C186" s="21">
        <f>IF(Notes!$B$2="June",ROUND('Budget by Source'!C186/10,0)+P186,ROUND('Budget by Source'!C186/10,0))</f>
        <v>10910</v>
      </c>
      <c r="D186" s="21">
        <f>IF(Notes!$B$2="June",ROUND('Budget by Source'!D186/10,0)+Q186,ROUND('Budget by Source'!D186/10,0))</f>
        <v>52354</v>
      </c>
      <c r="E186" s="21">
        <f>IF(Notes!$B$2="June",ROUND('Budget by Source'!E186/10,0)+R186,ROUND('Budget by Source'!E186/10,0))</f>
        <v>3688</v>
      </c>
      <c r="F186" s="21">
        <f>IF(Notes!$B$2="June",ROUND('Budget by Source'!F186/10,0)+S186,ROUND('Budget by Source'!F186/10,0))</f>
        <v>3268</v>
      </c>
      <c r="G186" s="21">
        <f>IF(Notes!$B$2="June",ROUND('Budget by Source'!G186/10,0)+T186,ROUND('Budget by Source'!G186/10,0))</f>
        <v>18847</v>
      </c>
      <c r="H186" s="21">
        <f t="shared" si="6"/>
        <v>266833</v>
      </c>
      <c r="I186" s="21">
        <f>INDEX(Data[],MATCH($A186,Data[Dist],0),MATCH(I$5,Data[#Headers],0))</f>
        <v>355900</v>
      </c>
      <c r="K186" s="59">
        <f>INDEX('Payment Total'!$A$7:$H$331,MATCH('Payment by Source'!$A186,'Payment Total'!$A$7:$A$331,0),4)-I186</f>
        <v>0</v>
      </c>
      <c r="P186" s="138">
        <f>INDEX('Budget by Source'!$A$6:$I$330,MATCH('Payment by Source'!$A186,'Budget by Source'!$A$6:$A$330,0),MATCH(P$3,'Budget by Source'!$A$5:$I$5,0))-(ROUND(INDEX('Budget by Source'!$A$6:$I$330,MATCH('Payment by Source'!$A186,'Budget by Source'!$A$6:$A$330,0),MATCH(P$3,'Budget by Source'!$A$5:$I$5,0))/10,0)*10)</f>
        <v>0</v>
      </c>
      <c r="Q186" s="138">
        <f>INDEX('Budget by Source'!$A$6:$I$330,MATCH('Payment by Source'!$A186,'Budget by Source'!$A$6:$A$330,0),MATCH(Q$3,'Budget by Source'!$A$5:$I$5,0))-(ROUND(INDEX('Budget by Source'!$A$6:$I$330,MATCH('Payment by Source'!$A186,'Budget by Source'!$A$6:$A$330,0),MATCH(Q$3,'Budget by Source'!$A$5:$I$5,0))/10,0)*10)</f>
        <v>-5</v>
      </c>
      <c r="R186" s="138">
        <f>INDEX('Budget by Source'!$A$6:$I$330,MATCH('Payment by Source'!$A186,'Budget by Source'!$A$6:$A$330,0),MATCH(R$3,'Budget by Source'!$A$5:$I$5,0))-(ROUND(INDEX('Budget by Source'!$A$6:$I$330,MATCH('Payment by Source'!$A186,'Budget by Source'!$A$6:$A$330,0),MATCH(R$3,'Budget by Source'!$A$5:$I$5,0))/10,0)*10)</f>
        <v>2</v>
      </c>
      <c r="S186" s="138">
        <f>INDEX('Budget by Source'!$A$6:$I$330,MATCH('Payment by Source'!$A186,'Budget by Source'!$A$6:$A$330,0),MATCH(S$3,'Budget by Source'!$A$5:$I$5,0))-(ROUND(INDEX('Budget by Source'!$A$6:$I$330,MATCH('Payment by Source'!$A186,'Budget by Source'!$A$6:$A$330,0),MATCH(S$3,'Budget by Source'!$A$5:$I$5,0))/10,0)*10)</f>
        <v>-2</v>
      </c>
      <c r="T186" s="138">
        <f>INDEX('Budget by Source'!$A$6:$I$330,MATCH('Payment by Source'!$A186,'Budget by Source'!$A$6:$A$330,0),MATCH(T$3,'Budget by Source'!$A$5:$I$5,0))-(ROUND(INDEX('Budget by Source'!$A$6:$I$330,MATCH('Payment by Source'!$A186,'Budget by Source'!$A$6:$A$330,0),MATCH(T$3,'Budget by Source'!$A$5:$I$5,0))/10,0)*10)</f>
        <v>-4</v>
      </c>
      <c r="U186" s="139">
        <f>INDEX('Budget by Source'!$A$6:$I$330,MATCH('Payment by Source'!$A186,'Budget by Source'!$A$6:$A$330,0),MATCH(U$3,'Budget by Source'!$A$5:$I$5,0))</f>
        <v>2675665</v>
      </c>
      <c r="V186" s="136">
        <f t="shared" si="7"/>
        <v>267567</v>
      </c>
      <c r="W186" s="136">
        <f t="shared" si="8"/>
        <v>2675670</v>
      </c>
    </row>
    <row r="187" spans="1:23" x14ac:dyDescent="0.2">
      <c r="A187" s="22" t="str">
        <f>Data!B183</f>
        <v>4131</v>
      </c>
      <c r="B187" s="20" t="str">
        <f>INDEX(Data[],MATCH($A187,Data[Dist],0),MATCH(B$5,Data[#Headers],0))</f>
        <v>Mason City</v>
      </c>
      <c r="C187" s="21">
        <f>IF(Notes!$B$2="June",ROUND('Budget by Source'!C187/10,0)+P187,ROUND('Budget by Source'!C187/10,0))</f>
        <v>58446</v>
      </c>
      <c r="D187" s="21">
        <f>IF(Notes!$B$2="June",ROUND('Budget by Source'!D187/10,0)+Q187,ROUND('Budget by Source'!D187/10,0))</f>
        <v>263285</v>
      </c>
      <c r="E187" s="21">
        <f>IF(Notes!$B$2="June",ROUND('Budget by Source'!E187/10,0)+R187,ROUND('Budget by Source'!E187/10,0))</f>
        <v>31531</v>
      </c>
      <c r="F187" s="21">
        <f>IF(Notes!$B$2="June",ROUND('Budget by Source'!F187/10,0)+S187,ROUND('Budget by Source'!F187/10,0))</f>
        <v>28001</v>
      </c>
      <c r="G187" s="21">
        <f>IF(Notes!$B$2="June",ROUND('Budget by Source'!G187/10,0)+T187,ROUND('Budget by Source'!G187/10,0))</f>
        <v>136213</v>
      </c>
      <c r="H187" s="21">
        <f t="shared" si="6"/>
        <v>2040879</v>
      </c>
      <c r="I187" s="21">
        <f>INDEX(Data[],MATCH($A187,Data[Dist],0),MATCH(I$5,Data[#Headers],0))</f>
        <v>2558355</v>
      </c>
      <c r="K187" s="59">
        <f>INDEX('Payment Total'!$A$7:$H$331,MATCH('Payment by Source'!$A187,'Payment Total'!$A$7:$A$331,0),4)-I187</f>
        <v>0</v>
      </c>
      <c r="P187" s="138">
        <f>INDEX('Budget by Source'!$A$6:$I$330,MATCH('Payment by Source'!$A187,'Budget by Source'!$A$6:$A$330,0),MATCH(P$3,'Budget by Source'!$A$5:$I$5,0))-(ROUND(INDEX('Budget by Source'!$A$6:$I$330,MATCH('Payment by Source'!$A187,'Budget by Source'!$A$6:$A$330,0),MATCH(P$3,'Budget by Source'!$A$5:$I$5,0))/10,0)*10)</f>
        <v>2</v>
      </c>
      <c r="Q187" s="138">
        <f>INDEX('Budget by Source'!$A$6:$I$330,MATCH('Payment by Source'!$A187,'Budget by Source'!$A$6:$A$330,0),MATCH(Q$3,'Budget by Source'!$A$5:$I$5,0))-(ROUND(INDEX('Budget by Source'!$A$6:$I$330,MATCH('Payment by Source'!$A187,'Budget by Source'!$A$6:$A$330,0),MATCH(Q$3,'Budget by Source'!$A$5:$I$5,0))/10,0)*10)</f>
        <v>-1</v>
      </c>
      <c r="R187" s="138">
        <f>INDEX('Budget by Source'!$A$6:$I$330,MATCH('Payment by Source'!$A187,'Budget by Source'!$A$6:$A$330,0),MATCH(R$3,'Budget by Source'!$A$5:$I$5,0))-(ROUND(INDEX('Budget by Source'!$A$6:$I$330,MATCH('Payment by Source'!$A187,'Budget by Source'!$A$6:$A$330,0),MATCH(R$3,'Budget by Source'!$A$5:$I$5,0))/10,0)*10)</f>
        <v>-1</v>
      </c>
      <c r="S187" s="138">
        <f>INDEX('Budget by Source'!$A$6:$I$330,MATCH('Payment by Source'!$A187,'Budget by Source'!$A$6:$A$330,0),MATCH(S$3,'Budget by Source'!$A$5:$I$5,0))-(ROUND(INDEX('Budget by Source'!$A$6:$I$330,MATCH('Payment by Source'!$A187,'Budget by Source'!$A$6:$A$330,0),MATCH(S$3,'Budget by Source'!$A$5:$I$5,0))/10,0)*10)</f>
        <v>-4</v>
      </c>
      <c r="T187" s="138">
        <f>INDEX('Budget by Source'!$A$6:$I$330,MATCH('Payment by Source'!$A187,'Budget by Source'!$A$6:$A$330,0),MATCH(T$3,'Budget by Source'!$A$5:$I$5,0))-(ROUND(INDEX('Budget by Source'!$A$6:$I$330,MATCH('Payment by Source'!$A187,'Budget by Source'!$A$6:$A$330,0),MATCH(T$3,'Budget by Source'!$A$5:$I$5,0))/10,0)*10)</f>
        <v>0</v>
      </c>
      <c r="U187" s="139">
        <f>INDEX('Budget by Source'!$A$6:$I$330,MATCH('Payment by Source'!$A187,'Budget by Source'!$A$6:$A$330,0),MATCH(U$3,'Budget by Source'!$A$5:$I$5,0))</f>
        <v>20459115</v>
      </c>
      <c r="V187" s="136">
        <f t="shared" si="7"/>
        <v>2045912</v>
      </c>
      <c r="W187" s="136">
        <f t="shared" si="8"/>
        <v>20459120</v>
      </c>
    </row>
    <row r="188" spans="1:23" x14ac:dyDescent="0.2">
      <c r="A188" s="22" t="str">
        <f>Data!B184</f>
        <v>4149</v>
      </c>
      <c r="B188" s="20" t="str">
        <f>INDEX(Data[],MATCH($A188,Data[Dist],0),MATCH(B$5,Data[#Headers],0))</f>
        <v>Moc-Floyd Valley</v>
      </c>
      <c r="C188" s="21">
        <f>IF(Notes!$B$2="June",ROUND('Budget by Source'!C188/10,0)+P188,ROUND('Budget by Source'!C188/10,0))</f>
        <v>19872</v>
      </c>
      <c r="D188" s="21">
        <f>IF(Notes!$B$2="June",ROUND('Budget by Source'!D188/10,0)+Q188,ROUND('Budget by Source'!D188/10,0))</f>
        <v>134658</v>
      </c>
      <c r="E188" s="21">
        <f>IF(Notes!$B$2="June",ROUND('Budget by Source'!E188/10,0)+R188,ROUND('Budget by Source'!E188/10,0))</f>
        <v>14207</v>
      </c>
      <c r="F188" s="21">
        <f>IF(Notes!$B$2="June",ROUND('Budget by Source'!F188/10,0)+S188,ROUND('Budget by Source'!F188/10,0))</f>
        <v>14493</v>
      </c>
      <c r="G188" s="21">
        <f>IF(Notes!$B$2="June",ROUND('Budget by Source'!G188/10,0)+T188,ROUND('Budget by Source'!G188/10,0))</f>
        <v>69667</v>
      </c>
      <c r="H188" s="21">
        <f t="shared" si="6"/>
        <v>763151</v>
      </c>
      <c r="I188" s="21">
        <f>INDEX(Data[],MATCH($A188,Data[Dist],0),MATCH(I$5,Data[#Headers],0))</f>
        <v>1016048</v>
      </c>
      <c r="K188" s="59">
        <f>INDEX('Payment Total'!$A$7:$H$331,MATCH('Payment by Source'!$A188,'Payment Total'!$A$7:$A$331,0),4)-I188</f>
        <v>0</v>
      </c>
      <c r="P188" s="138">
        <f>INDEX('Budget by Source'!$A$6:$I$330,MATCH('Payment by Source'!$A188,'Budget by Source'!$A$6:$A$330,0),MATCH(P$3,'Budget by Source'!$A$5:$I$5,0))-(ROUND(INDEX('Budget by Source'!$A$6:$I$330,MATCH('Payment by Source'!$A188,'Budget by Source'!$A$6:$A$330,0),MATCH(P$3,'Budget by Source'!$A$5:$I$5,0))/10,0)*10)</f>
        <v>-3</v>
      </c>
      <c r="Q188" s="138">
        <f>INDEX('Budget by Source'!$A$6:$I$330,MATCH('Payment by Source'!$A188,'Budget by Source'!$A$6:$A$330,0),MATCH(Q$3,'Budget by Source'!$A$5:$I$5,0))-(ROUND(INDEX('Budget by Source'!$A$6:$I$330,MATCH('Payment by Source'!$A188,'Budget by Source'!$A$6:$A$330,0),MATCH(Q$3,'Budget by Source'!$A$5:$I$5,0))/10,0)*10)</f>
        <v>-1</v>
      </c>
      <c r="R188" s="138">
        <f>INDEX('Budget by Source'!$A$6:$I$330,MATCH('Payment by Source'!$A188,'Budget by Source'!$A$6:$A$330,0),MATCH(R$3,'Budget by Source'!$A$5:$I$5,0))-(ROUND(INDEX('Budget by Source'!$A$6:$I$330,MATCH('Payment by Source'!$A188,'Budget by Source'!$A$6:$A$330,0),MATCH(R$3,'Budget by Source'!$A$5:$I$5,0))/10,0)*10)</f>
        <v>-4</v>
      </c>
      <c r="S188" s="138">
        <f>INDEX('Budget by Source'!$A$6:$I$330,MATCH('Payment by Source'!$A188,'Budget by Source'!$A$6:$A$330,0),MATCH(S$3,'Budget by Source'!$A$5:$I$5,0))-(ROUND(INDEX('Budget by Source'!$A$6:$I$330,MATCH('Payment by Source'!$A188,'Budget by Source'!$A$6:$A$330,0),MATCH(S$3,'Budget by Source'!$A$5:$I$5,0))/10,0)*10)</f>
        <v>-5</v>
      </c>
      <c r="T188" s="138">
        <f>INDEX('Budget by Source'!$A$6:$I$330,MATCH('Payment by Source'!$A188,'Budget by Source'!$A$6:$A$330,0),MATCH(T$3,'Budget by Source'!$A$5:$I$5,0))-(ROUND(INDEX('Budget by Source'!$A$6:$I$330,MATCH('Payment by Source'!$A188,'Budget by Source'!$A$6:$A$330,0),MATCH(T$3,'Budget by Source'!$A$5:$I$5,0))/10,0)*10)</f>
        <v>-4</v>
      </c>
      <c r="U188" s="139">
        <f>INDEX('Budget by Source'!$A$6:$I$330,MATCH('Payment by Source'!$A188,'Budget by Source'!$A$6:$A$330,0),MATCH(U$3,'Budget by Source'!$A$5:$I$5,0))</f>
        <v>7654147</v>
      </c>
      <c r="V188" s="136">
        <f t="shared" si="7"/>
        <v>765415</v>
      </c>
      <c r="W188" s="136">
        <f t="shared" si="8"/>
        <v>7654150</v>
      </c>
    </row>
    <row r="189" spans="1:23" x14ac:dyDescent="0.2">
      <c r="A189" s="22" t="str">
        <f>Data!B185</f>
        <v>4203</v>
      </c>
      <c r="B189" s="20" t="str">
        <f>INDEX(Data[],MATCH($A189,Data[Dist],0),MATCH(B$5,Data[#Headers],0))</f>
        <v>Mediapolis</v>
      </c>
      <c r="C189" s="21">
        <f>IF(Notes!$B$2="June",ROUND('Budget by Source'!C189/10,0)+P189,ROUND('Budget by Source'!C189/10,0))</f>
        <v>0</v>
      </c>
      <c r="D189" s="21">
        <f>IF(Notes!$B$2="June",ROUND('Budget by Source'!D189/10,0)+Q189,ROUND('Budget by Source'!D189/10,0))</f>
        <v>78643</v>
      </c>
      <c r="E189" s="21">
        <f>IF(Notes!$B$2="June",ROUND('Budget by Source'!E189/10,0)+R189,ROUND('Budget by Source'!E189/10,0))</f>
        <v>6410</v>
      </c>
      <c r="F189" s="21">
        <f>IF(Notes!$B$2="June",ROUND('Budget by Source'!F189/10,0)+S189,ROUND('Budget by Source'!F189/10,0))</f>
        <v>6042</v>
      </c>
      <c r="G189" s="21">
        <f>IF(Notes!$B$2="June",ROUND('Budget by Source'!G189/10,0)+T189,ROUND('Budget by Source'!G189/10,0))</f>
        <v>33464</v>
      </c>
      <c r="H189" s="21">
        <f t="shared" si="6"/>
        <v>486326</v>
      </c>
      <c r="I189" s="21">
        <f>INDEX(Data[],MATCH($A189,Data[Dist],0),MATCH(I$5,Data[#Headers],0))</f>
        <v>610885</v>
      </c>
      <c r="K189" s="59">
        <f>INDEX('Payment Total'!$A$7:$H$331,MATCH('Payment by Source'!$A189,'Payment Total'!$A$7:$A$331,0),4)-I189</f>
        <v>0</v>
      </c>
      <c r="P189" s="138">
        <f>INDEX('Budget by Source'!$A$6:$I$330,MATCH('Payment by Source'!$A189,'Budget by Source'!$A$6:$A$330,0),MATCH(P$3,'Budget by Source'!$A$5:$I$5,0))-(ROUND(INDEX('Budget by Source'!$A$6:$I$330,MATCH('Payment by Source'!$A189,'Budget by Source'!$A$6:$A$330,0),MATCH(P$3,'Budget by Source'!$A$5:$I$5,0))/10,0)*10)</f>
        <v>0</v>
      </c>
      <c r="Q189" s="138">
        <f>INDEX('Budget by Source'!$A$6:$I$330,MATCH('Payment by Source'!$A189,'Budget by Source'!$A$6:$A$330,0),MATCH(Q$3,'Budget by Source'!$A$5:$I$5,0))-(ROUND(INDEX('Budget by Source'!$A$6:$I$330,MATCH('Payment by Source'!$A189,'Budget by Source'!$A$6:$A$330,0),MATCH(Q$3,'Budget by Source'!$A$5:$I$5,0))/10,0)*10)</f>
        <v>1</v>
      </c>
      <c r="R189" s="138">
        <f>INDEX('Budget by Source'!$A$6:$I$330,MATCH('Payment by Source'!$A189,'Budget by Source'!$A$6:$A$330,0),MATCH(R$3,'Budget by Source'!$A$5:$I$5,0))-(ROUND(INDEX('Budget by Source'!$A$6:$I$330,MATCH('Payment by Source'!$A189,'Budget by Source'!$A$6:$A$330,0),MATCH(R$3,'Budget by Source'!$A$5:$I$5,0))/10,0)*10)</f>
        <v>4</v>
      </c>
      <c r="S189" s="138">
        <f>INDEX('Budget by Source'!$A$6:$I$330,MATCH('Payment by Source'!$A189,'Budget by Source'!$A$6:$A$330,0),MATCH(S$3,'Budget by Source'!$A$5:$I$5,0))-(ROUND(INDEX('Budget by Source'!$A$6:$I$330,MATCH('Payment by Source'!$A189,'Budget by Source'!$A$6:$A$330,0),MATCH(S$3,'Budget by Source'!$A$5:$I$5,0))/10,0)*10)</f>
        <v>-2</v>
      </c>
      <c r="T189" s="138">
        <f>INDEX('Budget by Source'!$A$6:$I$330,MATCH('Payment by Source'!$A189,'Budget by Source'!$A$6:$A$330,0),MATCH(T$3,'Budget by Source'!$A$5:$I$5,0))-(ROUND(INDEX('Budget by Source'!$A$6:$I$330,MATCH('Payment by Source'!$A189,'Budget by Source'!$A$6:$A$330,0),MATCH(T$3,'Budget by Source'!$A$5:$I$5,0))/10,0)*10)</f>
        <v>0</v>
      </c>
      <c r="U189" s="139">
        <f>INDEX('Budget by Source'!$A$6:$I$330,MATCH('Payment by Source'!$A189,'Budget by Source'!$A$6:$A$330,0),MATCH(U$3,'Budget by Source'!$A$5:$I$5,0))</f>
        <v>4876563</v>
      </c>
      <c r="V189" s="136">
        <f t="shared" si="7"/>
        <v>487656</v>
      </c>
      <c r="W189" s="136">
        <f t="shared" si="8"/>
        <v>4876560</v>
      </c>
    </row>
    <row r="190" spans="1:23" x14ac:dyDescent="0.2">
      <c r="A190" s="22" t="str">
        <f>Data!B186</f>
        <v>4212</v>
      </c>
      <c r="B190" s="20" t="str">
        <f>INDEX(Data[],MATCH($A190,Data[Dist],0),MATCH(B$5,Data[#Headers],0))</f>
        <v>Melcher-Dallas</v>
      </c>
      <c r="C190" s="21">
        <f>IF(Notes!$B$2="June",ROUND('Budget by Source'!C190/10,0)+P190,ROUND('Budget by Source'!C190/10,0))</f>
        <v>6624</v>
      </c>
      <c r="D190" s="21">
        <f>IF(Notes!$B$2="June",ROUND('Budget by Source'!D190/10,0)+Q190,ROUND('Budget by Source'!D190/10,0))</f>
        <v>39095</v>
      </c>
      <c r="E190" s="21">
        <f>IF(Notes!$B$2="June",ROUND('Budget by Source'!E190/10,0)+R190,ROUND('Budget by Source'!E190/10,0))</f>
        <v>2828</v>
      </c>
      <c r="F190" s="21">
        <f>IF(Notes!$B$2="June",ROUND('Budget by Source'!F190/10,0)+S190,ROUND('Budget by Source'!F190/10,0))</f>
        <v>2397</v>
      </c>
      <c r="G190" s="21">
        <f>IF(Notes!$B$2="June",ROUND('Budget by Source'!G190/10,0)+T190,ROUND('Budget by Source'!G190/10,0))</f>
        <v>11340</v>
      </c>
      <c r="H190" s="21">
        <f t="shared" si="6"/>
        <v>189679</v>
      </c>
      <c r="I190" s="21">
        <f>INDEX(Data[],MATCH($A190,Data[Dist],0),MATCH(I$5,Data[#Headers],0))</f>
        <v>251963</v>
      </c>
      <c r="K190" s="59">
        <f>INDEX('Payment Total'!$A$7:$H$331,MATCH('Payment by Source'!$A190,'Payment Total'!$A$7:$A$331,0),4)-I190</f>
        <v>0</v>
      </c>
      <c r="P190" s="138">
        <f>INDEX('Budget by Source'!$A$6:$I$330,MATCH('Payment by Source'!$A190,'Budget by Source'!$A$6:$A$330,0),MATCH(P$3,'Budget by Source'!$A$5:$I$5,0))-(ROUND(INDEX('Budget by Source'!$A$6:$I$330,MATCH('Payment by Source'!$A190,'Budget by Source'!$A$6:$A$330,0),MATCH(P$3,'Budget by Source'!$A$5:$I$5,0))/10,0)*10)</f>
        <v>-1</v>
      </c>
      <c r="Q190" s="138">
        <f>INDEX('Budget by Source'!$A$6:$I$330,MATCH('Payment by Source'!$A190,'Budget by Source'!$A$6:$A$330,0),MATCH(Q$3,'Budget by Source'!$A$5:$I$5,0))-(ROUND(INDEX('Budget by Source'!$A$6:$I$330,MATCH('Payment by Source'!$A190,'Budget by Source'!$A$6:$A$330,0),MATCH(Q$3,'Budget by Source'!$A$5:$I$5,0))/10,0)*10)</f>
        <v>3</v>
      </c>
      <c r="R190" s="138">
        <f>INDEX('Budget by Source'!$A$6:$I$330,MATCH('Payment by Source'!$A190,'Budget by Source'!$A$6:$A$330,0),MATCH(R$3,'Budget by Source'!$A$5:$I$5,0))-(ROUND(INDEX('Budget by Source'!$A$6:$I$330,MATCH('Payment by Source'!$A190,'Budget by Source'!$A$6:$A$330,0),MATCH(R$3,'Budget by Source'!$A$5:$I$5,0))/10,0)*10)</f>
        <v>-5</v>
      </c>
      <c r="S190" s="138">
        <f>INDEX('Budget by Source'!$A$6:$I$330,MATCH('Payment by Source'!$A190,'Budget by Source'!$A$6:$A$330,0),MATCH(S$3,'Budget by Source'!$A$5:$I$5,0))-(ROUND(INDEX('Budget by Source'!$A$6:$I$330,MATCH('Payment by Source'!$A190,'Budget by Source'!$A$6:$A$330,0),MATCH(S$3,'Budget by Source'!$A$5:$I$5,0))/10,0)*10)</f>
        <v>3</v>
      </c>
      <c r="T190" s="138">
        <f>INDEX('Budget by Source'!$A$6:$I$330,MATCH('Payment by Source'!$A190,'Budget by Source'!$A$6:$A$330,0),MATCH(T$3,'Budget by Source'!$A$5:$I$5,0))-(ROUND(INDEX('Budget by Source'!$A$6:$I$330,MATCH('Payment by Source'!$A190,'Budget by Source'!$A$6:$A$330,0),MATCH(T$3,'Budget by Source'!$A$5:$I$5,0))/10,0)*10)</f>
        <v>-3</v>
      </c>
      <c r="U190" s="139">
        <f>INDEX('Budget by Source'!$A$6:$I$330,MATCH('Payment by Source'!$A190,'Budget by Source'!$A$6:$A$330,0),MATCH(U$3,'Budget by Source'!$A$5:$I$5,0))</f>
        <v>1901048</v>
      </c>
      <c r="V190" s="136">
        <f t="shared" si="7"/>
        <v>190105</v>
      </c>
      <c r="W190" s="136">
        <f t="shared" si="8"/>
        <v>1901050</v>
      </c>
    </row>
    <row r="191" spans="1:23" x14ac:dyDescent="0.2">
      <c r="A191" s="22" t="str">
        <f>Data!B187</f>
        <v>4269</v>
      </c>
      <c r="B191" s="20" t="str">
        <f>INDEX(Data[],MATCH($A191,Data[Dist],0),MATCH(B$5,Data[#Headers],0))</f>
        <v>Midland</v>
      </c>
      <c r="C191" s="21">
        <f>IF(Notes!$B$2="June",ROUND('Budget by Source'!C191/10,0)+P191,ROUND('Budget by Source'!C191/10,0))</f>
        <v>7014</v>
      </c>
      <c r="D191" s="21">
        <f>IF(Notes!$B$2="June",ROUND('Budget by Source'!D191/10,0)+Q191,ROUND('Budget by Source'!D191/10,0))</f>
        <v>45394</v>
      </c>
      <c r="E191" s="21">
        <f>IF(Notes!$B$2="June",ROUND('Budget by Source'!E191/10,0)+R191,ROUND('Budget by Source'!E191/10,0))</f>
        <v>3822</v>
      </c>
      <c r="F191" s="21">
        <f>IF(Notes!$B$2="June",ROUND('Budget by Source'!F191/10,0)+S191,ROUND('Budget by Source'!F191/10,0))</f>
        <v>3591</v>
      </c>
      <c r="G191" s="21">
        <f>IF(Notes!$B$2="June",ROUND('Budget by Source'!G191/10,0)+T191,ROUND('Budget by Source'!G191/10,0))</f>
        <v>18683</v>
      </c>
      <c r="H191" s="21">
        <f t="shared" si="6"/>
        <v>252051</v>
      </c>
      <c r="I191" s="21">
        <f>INDEX(Data[],MATCH($A191,Data[Dist],0),MATCH(I$5,Data[#Headers],0))</f>
        <v>330555</v>
      </c>
      <c r="K191" s="59">
        <f>INDEX('Payment Total'!$A$7:$H$331,MATCH('Payment by Source'!$A191,'Payment Total'!$A$7:$A$331,0),4)-I191</f>
        <v>0</v>
      </c>
      <c r="P191" s="138">
        <f>INDEX('Budget by Source'!$A$6:$I$330,MATCH('Payment by Source'!$A191,'Budget by Source'!$A$6:$A$330,0),MATCH(P$3,'Budget by Source'!$A$5:$I$5,0))-(ROUND(INDEX('Budget by Source'!$A$6:$I$330,MATCH('Payment by Source'!$A191,'Budget by Source'!$A$6:$A$330,0),MATCH(P$3,'Budget by Source'!$A$5:$I$5,0))/10,0)*10)</f>
        <v>-5</v>
      </c>
      <c r="Q191" s="138">
        <f>INDEX('Budget by Source'!$A$6:$I$330,MATCH('Payment by Source'!$A191,'Budget by Source'!$A$6:$A$330,0),MATCH(Q$3,'Budget by Source'!$A$5:$I$5,0))-(ROUND(INDEX('Budget by Source'!$A$6:$I$330,MATCH('Payment by Source'!$A191,'Budget by Source'!$A$6:$A$330,0),MATCH(Q$3,'Budget by Source'!$A$5:$I$5,0))/10,0)*10)</f>
        <v>4</v>
      </c>
      <c r="R191" s="138">
        <f>INDEX('Budget by Source'!$A$6:$I$330,MATCH('Payment by Source'!$A191,'Budget by Source'!$A$6:$A$330,0),MATCH(R$3,'Budget by Source'!$A$5:$I$5,0))-(ROUND(INDEX('Budget by Source'!$A$6:$I$330,MATCH('Payment by Source'!$A191,'Budget by Source'!$A$6:$A$330,0),MATCH(R$3,'Budget by Source'!$A$5:$I$5,0))/10,0)*10)</f>
        <v>3</v>
      </c>
      <c r="S191" s="138">
        <f>INDEX('Budget by Source'!$A$6:$I$330,MATCH('Payment by Source'!$A191,'Budget by Source'!$A$6:$A$330,0),MATCH(S$3,'Budget by Source'!$A$5:$I$5,0))-(ROUND(INDEX('Budget by Source'!$A$6:$I$330,MATCH('Payment by Source'!$A191,'Budget by Source'!$A$6:$A$330,0),MATCH(S$3,'Budget by Source'!$A$5:$I$5,0))/10,0)*10)</f>
        <v>-2</v>
      </c>
      <c r="T191" s="138">
        <f>INDEX('Budget by Source'!$A$6:$I$330,MATCH('Payment by Source'!$A191,'Budget by Source'!$A$6:$A$330,0),MATCH(T$3,'Budget by Source'!$A$5:$I$5,0))-(ROUND(INDEX('Budget by Source'!$A$6:$I$330,MATCH('Payment by Source'!$A191,'Budget by Source'!$A$6:$A$330,0),MATCH(T$3,'Budget by Source'!$A$5:$I$5,0))/10,0)*10)</f>
        <v>0</v>
      </c>
      <c r="U191" s="139">
        <f>INDEX('Budget by Source'!$A$6:$I$330,MATCH('Payment by Source'!$A191,'Budget by Source'!$A$6:$A$330,0),MATCH(U$3,'Budget by Source'!$A$5:$I$5,0))</f>
        <v>2527861</v>
      </c>
      <c r="V191" s="136">
        <f t="shared" si="7"/>
        <v>252786</v>
      </c>
      <c r="W191" s="136">
        <f t="shared" si="8"/>
        <v>2527860</v>
      </c>
    </row>
    <row r="192" spans="1:23" x14ac:dyDescent="0.2">
      <c r="A192" s="22" t="str">
        <f>Data!B188</f>
        <v>4271</v>
      </c>
      <c r="B192" s="20" t="str">
        <f>INDEX(Data[],MATCH($A192,Data[Dist],0),MATCH(B$5,Data[#Headers],0))</f>
        <v>Mid-Prairie</v>
      </c>
      <c r="C192" s="21">
        <f>IF(Notes!$B$2="June",ROUND('Budget by Source'!C192/10,0)+P192,ROUND('Budget by Source'!C192/10,0))</f>
        <v>24158</v>
      </c>
      <c r="D192" s="21">
        <f>IF(Notes!$B$2="June",ROUND('Budget by Source'!D192/10,0)+Q192,ROUND('Budget by Source'!D192/10,0))</f>
        <v>111785</v>
      </c>
      <c r="E192" s="21">
        <f>IF(Notes!$B$2="June",ROUND('Budget by Source'!E192/10,0)+R192,ROUND('Budget by Source'!E192/10,0))</f>
        <v>9693</v>
      </c>
      <c r="F192" s="21">
        <f>IF(Notes!$B$2="June",ROUND('Budget by Source'!F192/10,0)+S192,ROUND('Budget by Source'!F192/10,0))</f>
        <v>9347</v>
      </c>
      <c r="G192" s="21">
        <f>IF(Notes!$B$2="June",ROUND('Budget by Source'!G192/10,0)+T192,ROUND('Budget by Source'!G192/10,0))</f>
        <v>46881</v>
      </c>
      <c r="H192" s="21">
        <f t="shared" si="6"/>
        <v>625682</v>
      </c>
      <c r="I192" s="21">
        <f>INDEX(Data[],MATCH($A192,Data[Dist],0),MATCH(I$5,Data[#Headers],0))</f>
        <v>827546</v>
      </c>
      <c r="K192" s="59">
        <f>INDEX('Payment Total'!$A$7:$H$331,MATCH('Payment by Source'!$A192,'Payment Total'!$A$7:$A$331,0),4)-I192</f>
        <v>0</v>
      </c>
      <c r="P192" s="138">
        <f>INDEX('Budget by Source'!$A$6:$I$330,MATCH('Payment by Source'!$A192,'Budget by Source'!$A$6:$A$330,0),MATCH(P$3,'Budget by Source'!$A$5:$I$5,0))-(ROUND(INDEX('Budget by Source'!$A$6:$I$330,MATCH('Payment by Source'!$A192,'Budget by Source'!$A$6:$A$330,0),MATCH(P$3,'Budget by Source'!$A$5:$I$5,0))/10,0)*10)</f>
        <v>-2</v>
      </c>
      <c r="Q192" s="138">
        <f>INDEX('Budget by Source'!$A$6:$I$330,MATCH('Payment by Source'!$A192,'Budget by Source'!$A$6:$A$330,0),MATCH(Q$3,'Budget by Source'!$A$5:$I$5,0))-(ROUND(INDEX('Budget by Source'!$A$6:$I$330,MATCH('Payment by Source'!$A192,'Budget by Source'!$A$6:$A$330,0),MATCH(Q$3,'Budget by Source'!$A$5:$I$5,0))/10,0)*10)</f>
        <v>-4</v>
      </c>
      <c r="R192" s="138">
        <f>INDEX('Budget by Source'!$A$6:$I$330,MATCH('Payment by Source'!$A192,'Budget by Source'!$A$6:$A$330,0),MATCH(R$3,'Budget by Source'!$A$5:$I$5,0))-(ROUND(INDEX('Budget by Source'!$A$6:$I$330,MATCH('Payment by Source'!$A192,'Budget by Source'!$A$6:$A$330,0),MATCH(R$3,'Budget by Source'!$A$5:$I$5,0))/10,0)*10)</f>
        <v>0</v>
      </c>
      <c r="S192" s="138">
        <f>INDEX('Budget by Source'!$A$6:$I$330,MATCH('Payment by Source'!$A192,'Budget by Source'!$A$6:$A$330,0),MATCH(S$3,'Budget by Source'!$A$5:$I$5,0))-(ROUND(INDEX('Budget by Source'!$A$6:$I$330,MATCH('Payment by Source'!$A192,'Budget by Source'!$A$6:$A$330,0),MATCH(S$3,'Budget by Source'!$A$5:$I$5,0))/10,0)*10)</f>
        <v>-3</v>
      </c>
      <c r="T192" s="138">
        <f>INDEX('Budget by Source'!$A$6:$I$330,MATCH('Payment by Source'!$A192,'Budget by Source'!$A$6:$A$330,0),MATCH(T$3,'Budget by Source'!$A$5:$I$5,0))-(ROUND(INDEX('Budget by Source'!$A$6:$I$330,MATCH('Payment by Source'!$A192,'Budget by Source'!$A$6:$A$330,0),MATCH(T$3,'Budget by Source'!$A$5:$I$5,0))/10,0)*10)</f>
        <v>3</v>
      </c>
      <c r="U192" s="139">
        <f>INDEX('Budget by Source'!$A$6:$I$330,MATCH('Payment by Source'!$A192,'Budget by Source'!$A$6:$A$330,0),MATCH(U$3,'Budget by Source'!$A$5:$I$5,0))</f>
        <v>6274758</v>
      </c>
      <c r="V192" s="136">
        <f t="shared" si="7"/>
        <v>627476</v>
      </c>
      <c r="W192" s="136">
        <f t="shared" si="8"/>
        <v>6274760</v>
      </c>
    </row>
    <row r="193" spans="1:23" x14ac:dyDescent="0.2">
      <c r="A193" s="22" t="str">
        <f>Data!B189</f>
        <v>4356</v>
      </c>
      <c r="B193" s="20" t="str">
        <f>INDEX(Data[],MATCH($A193,Data[Dist],0),MATCH(B$5,Data[#Headers],0))</f>
        <v>Missouri Valley</v>
      </c>
      <c r="C193" s="21">
        <f>IF(Notes!$B$2="June",ROUND('Budget by Source'!C193/10,0)+P193,ROUND('Budget by Source'!C193/10,0))</f>
        <v>14806</v>
      </c>
      <c r="D193" s="21">
        <f>IF(Notes!$B$2="June",ROUND('Budget by Source'!D193/10,0)+Q193,ROUND('Budget by Source'!D193/10,0))</f>
        <v>68167</v>
      </c>
      <c r="E193" s="21">
        <f>IF(Notes!$B$2="June",ROUND('Budget by Source'!E193/10,0)+R193,ROUND('Budget by Source'!E193/10,0))</f>
        <v>5690</v>
      </c>
      <c r="F193" s="21">
        <f>IF(Notes!$B$2="June",ROUND('Budget by Source'!F193/10,0)+S193,ROUND('Budget by Source'!F193/10,0))</f>
        <v>4875</v>
      </c>
      <c r="G193" s="21">
        <f>IF(Notes!$B$2="June",ROUND('Budget by Source'!G193/10,0)+T193,ROUND('Budget by Source'!G193/10,0))</f>
        <v>28104</v>
      </c>
      <c r="H193" s="21">
        <f t="shared" si="6"/>
        <v>399422</v>
      </c>
      <c r="I193" s="21">
        <f>INDEX(Data[],MATCH($A193,Data[Dist],0),MATCH(I$5,Data[#Headers],0))</f>
        <v>521064</v>
      </c>
      <c r="K193" s="59">
        <f>INDEX('Payment Total'!$A$7:$H$331,MATCH('Payment by Source'!$A193,'Payment Total'!$A$7:$A$331,0),4)-I193</f>
        <v>0</v>
      </c>
      <c r="P193" s="138">
        <f>INDEX('Budget by Source'!$A$6:$I$330,MATCH('Payment by Source'!$A193,'Budget by Source'!$A$6:$A$330,0),MATCH(P$3,'Budget by Source'!$A$5:$I$5,0))-(ROUND(INDEX('Budget by Source'!$A$6:$I$330,MATCH('Payment by Source'!$A193,'Budget by Source'!$A$6:$A$330,0),MATCH(P$3,'Budget by Source'!$A$5:$I$5,0))/10,0)*10)</f>
        <v>4</v>
      </c>
      <c r="Q193" s="138">
        <f>INDEX('Budget by Source'!$A$6:$I$330,MATCH('Payment by Source'!$A193,'Budget by Source'!$A$6:$A$330,0),MATCH(Q$3,'Budget by Source'!$A$5:$I$5,0))-(ROUND(INDEX('Budget by Source'!$A$6:$I$330,MATCH('Payment by Source'!$A193,'Budget by Source'!$A$6:$A$330,0),MATCH(Q$3,'Budget by Source'!$A$5:$I$5,0))/10,0)*10)</f>
        <v>3</v>
      </c>
      <c r="R193" s="138">
        <f>INDEX('Budget by Source'!$A$6:$I$330,MATCH('Payment by Source'!$A193,'Budget by Source'!$A$6:$A$330,0),MATCH(R$3,'Budget by Source'!$A$5:$I$5,0))-(ROUND(INDEX('Budget by Source'!$A$6:$I$330,MATCH('Payment by Source'!$A193,'Budget by Source'!$A$6:$A$330,0),MATCH(R$3,'Budget by Source'!$A$5:$I$5,0))/10,0)*10)</f>
        <v>-2</v>
      </c>
      <c r="S193" s="138">
        <f>INDEX('Budget by Source'!$A$6:$I$330,MATCH('Payment by Source'!$A193,'Budget by Source'!$A$6:$A$330,0),MATCH(S$3,'Budget by Source'!$A$5:$I$5,0))-(ROUND(INDEX('Budget by Source'!$A$6:$I$330,MATCH('Payment by Source'!$A193,'Budget by Source'!$A$6:$A$330,0),MATCH(S$3,'Budget by Source'!$A$5:$I$5,0))/10,0)*10)</f>
        <v>3</v>
      </c>
      <c r="T193" s="138">
        <f>INDEX('Budget by Source'!$A$6:$I$330,MATCH('Payment by Source'!$A193,'Budget by Source'!$A$6:$A$330,0),MATCH(T$3,'Budget by Source'!$A$5:$I$5,0))-(ROUND(INDEX('Budget by Source'!$A$6:$I$330,MATCH('Payment by Source'!$A193,'Budget by Source'!$A$6:$A$330,0),MATCH(T$3,'Budget by Source'!$A$5:$I$5,0))/10,0)*10)</f>
        <v>1</v>
      </c>
      <c r="U193" s="139">
        <f>INDEX('Budget by Source'!$A$6:$I$330,MATCH('Payment by Source'!$A193,'Budget by Source'!$A$6:$A$330,0),MATCH(U$3,'Budget by Source'!$A$5:$I$5,0))</f>
        <v>4005117</v>
      </c>
      <c r="V193" s="136">
        <f t="shared" si="7"/>
        <v>400512</v>
      </c>
      <c r="W193" s="136">
        <f t="shared" si="8"/>
        <v>4005120</v>
      </c>
    </row>
    <row r="194" spans="1:23" x14ac:dyDescent="0.2">
      <c r="A194" s="22" t="str">
        <f>Data!B190</f>
        <v>4419</v>
      </c>
      <c r="B194" s="20" t="str">
        <f>INDEX(Data[],MATCH($A194,Data[Dist],0),MATCH(B$5,Data[#Headers],0))</f>
        <v>MFL Mar Mac</v>
      </c>
      <c r="C194" s="21">
        <f>IF(Notes!$B$2="June",ROUND('Budget by Source'!C194/10,0)+P194,ROUND('Budget by Source'!C194/10,0))</f>
        <v>14806</v>
      </c>
      <c r="D194" s="21">
        <f>IF(Notes!$B$2="June",ROUND('Budget by Source'!D194/10,0)+Q194,ROUND('Budget by Source'!D194/10,0))</f>
        <v>72465</v>
      </c>
      <c r="E194" s="21">
        <f>IF(Notes!$B$2="June",ROUND('Budget by Source'!E194/10,0)+R194,ROUND('Budget by Source'!E194/10,0))</f>
        <v>6907</v>
      </c>
      <c r="F194" s="21">
        <f>IF(Notes!$B$2="June",ROUND('Budget by Source'!F194/10,0)+S194,ROUND('Budget by Source'!F194/10,0))</f>
        <v>6748</v>
      </c>
      <c r="G194" s="21">
        <f>IF(Notes!$B$2="June",ROUND('Budget by Source'!G194/10,0)+T194,ROUND('Budget by Source'!G194/10,0))</f>
        <v>30835</v>
      </c>
      <c r="H194" s="21">
        <f t="shared" si="6"/>
        <v>498269</v>
      </c>
      <c r="I194" s="21">
        <f>INDEX(Data[],MATCH($A194,Data[Dist],0),MATCH(I$5,Data[#Headers],0))</f>
        <v>630030</v>
      </c>
      <c r="K194" s="59">
        <f>INDEX('Payment Total'!$A$7:$H$331,MATCH('Payment by Source'!$A194,'Payment Total'!$A$7:$A$331,0),4)-I194</f>
        <v>0</v>
      </c>
      <c r="P194" s="138">
        <f>INDEX('Budget by Source'!$A$6:$I$330,MATCH('Payment by Source'!$A194,'Budget by Source'!$A$6:$A$330,0),MATCH(P$3,'Budget by Source'!$A$5:$I$5,0))-(ROUND(INDEX('Budget by Source'!$A$6:$I$330,MATCH('Payment by Source'!$A194,'Budget by Source'!$A$6:$A$330,0),MATCH(P$3,'Budget by Source'!$A$5:$I$5,0))/10,0)*10)</f>
        <v>4</v>
      </c>
      <c r="Q194" s="138">
        <f>INDEX('Budget by Source'!$A$6:$I$330,MATCH('Payment by Source'!$A194,'Budget by Source'!$A$6:$A$330,0),MATCH(Q$3,'Budget by Source'!$A$5:$I$5,0))-(ROUND(INDEX('Budget by Source'!$A$6:$I$330,MATCH('Payment by Source'!$A194,'Budget by Source'!$A$6:$A$330,0),MATCH(Q$3,'Budget by Source'!$A$5:$I$5,0))/10,0)*10)</f>
        <v>-4</v>
      </c>
      <c r="R194" s="138">
        <f>INDEX('Budget by Source'!$A$6:$I$330,MATCH('Payment by Source'!$A194,'Budget by Source'!$A$6:$A$330,0),MATCH(R$3,'Budget by Source'!$A$5:$I$5,0))-(ROUND(INDEX('Budget by Source'!$A$6:$I$330,MATCH('Payment by Source'!$A194,'Budget by Source'!$A$6:$A$330,0),MATCH(R$3,'Budget by Source'!$A$5:$I$5,0))/10,0)*10)</f>
        <v>-3</v>
      </c>
      <c r="S194" s="138">
        <f>INDEX('Budget by Source'!$A$6:$I$330,MATCH('Payment by Source'!$A194,'Budget by Source'!$A$6:$A$330,0),MATCH(S$3,'Budget by Source'!$A$5:$I$5,0))-(ROUND(INDEX('Budget by Source'!$A$6:$I$330,MATCH('Payment by Source'!$A194,'Budget by Source'!$A$6:$A$330,0),MATCH(S$3,'Budget by Source'!$A$5:$I$5,0))/10,0)*10)</f>
        <v>-5</v>
      </c>
      <c r="T194" s="138">
        <f>INDEX('Budget by Source'!$A$6:$I$330,MATCH('Payment by Source'!$A194,'Budget by Source'!$A$6:$A$330,0),MATCH(T$3,'Budget by Source'!$A$5:$I$5,0))-(ROUND(INDEX('Budget by Source'!$A$6:$I$330,MATCH('Payment by Source'!$A194,'Budget by Source'!$A$6:$A$330,0),MATCH(T$3,'Budget by Source'!$A$5:$I$5,0))/10,0)*10)</f>
        <v>-1</v>
      </c>
      <c r="U194" s="139">
        <f>INDEX('Budget by Source'!$A$6:$I$330,MATCH('Payment by Source'!$A194,'Budget by Source'!$A$6:$A$330,0),MATCH(U$3,'Budget by Source'!$A$5:$I$5,0))</f>
        <v>4994896</v>
      </c>
      <c r="V194" s="136">
        <f t="shared" si="7"/>
        <v>499490</v>
      </c>
      <c r="W194" s="136">
        <f t="shared" si="8"/>
        <v>4994900</v>
      </c>
    </row>
    <row r="195" spans="1:23" x14ac:dyDescent="0.2">
      <c r="A195" s="22" t="str">
        <f>Data!B191</f>
        <v>4437</v>
      </c>
      <c r="B195" s="20" t="str">
        <f>INDEX(Data[],MATCH($A195,Data[Dist],0),MATCH(B$5,Data[#Headers],0))</f>
        <v>Montezuma</v>
      </c>
      <c r="C195" s="21">
        <f>IF(Notes!$B$2="June",ROUND('Budget by Source'!C195/10,0)+P195,ROUND('Budget by Source'!C195/10,0))</f>
        <v>7793</v>
      </c>
      <c r="D195" s="21">
        <f>IF(Notes!$B$2="June",ROUND('Budget by Source'!D195/10,0)+Q195,ROUND('Budget by Source'!D195/10,0))</f>
        <v>49808</v>
      </c>
      <c r="E195" s="21">
        <f>IF(Notes!$B$2="June",ROUND('Budget by Source'!E195/10,0)+R195,ROUND('Budget by Source'!E195/10,0))</f>
        <v>3815</v>
      </c>
      <c r="F195" s="21">
        <f>IF(Notes!$B$2="June",ROUND('Budget by Source'!F195/10,0)+S195,ROUND('Budget by Source'!F195/10,0))</f>
        <v>2978</v>
      </c>
      <c r="G195" s="21">
        <f>IF(Notes!$B$2="June",ROUND('Budget by Source'!G195/10,0)+T195,ROUND('Budget by Source'!G195/10,0))</f>
        <v>17591</v>
      </c>
      <c r="H195" s="21">
        <f t="shared" si="6"/>
        <v>138565</v>
      </c>
      <c r="I195" s="21">
        <f>INDEX(Data[],MATCH($A195,Data[Dist],0),MATCH(I$5,Data[#Headers],0))</f>
        <v>220550</v>
      </c>
      <c r="K195" s="59">
        <f>INDEX('Payment Total'!$A$7:$H$331,MATCH('Payment by Source'!$A195,'Payment Total'!$A$7:$A$331,0),4)-I195</f>
        <v>0</v>
      </c>
      <c r="P195" s="138">
        <f>INDEX('Budget by Source'!$A$6:$I$330,MATCH('Payment by Source'!$A195,'Budget by Source'!$A$6:$A$330,0),MATCH(P$3,'Budget by Source'!$A$5:$I$5,0))-(ROUND(INDEX('Budget by Source'!$A$6:$I$330,MATCH('Payment by Source'!$A195,'Budget by Source'!$A$6:$A$330,0),MATCH(P$3,'Budget by Source'!$A$5:$I$5,0))/10,0)*10)</f>
        <v>-2</v>
      </c>
      <c r="Q195" s="138">
        <f>INDEX('Budget by Source'!$A$6:$I$330,MATCH('Payment by Source'!$A195,'Budget by Source'!$A$6:$A$330,0),MATCH(Q$3,'Budget by Source'!$A$5:$I$5,0))-(ROUND(INDEX('Budget by Source'!$A$6:$I$330,MATCH('Payment by Source'!$A195,'Budget by Source'!$A$6:$A$330,0),MATCH(Q$3,'Budget by Source'!$A$5:$I$5,0))/10,0)*10)</f>
        <v>0</v>
      </c>
      <c r="R195" s="138">
        <f>INDEX('Budget by Source'!$A$6:$I$330,MATCH('Payment by Source'!$A195,'Budget by Source'!$A$6:$A$330,0),MATCH(R$3,'Budget by Source'!$A$5:$I$5,0))-(ROUND(INDEX('Budget by Source'!$A$6:$I$330,MATCH('Payment by Source'!$A195,'Budget by Source'!$A$6:$A$330,0),MATCH(R$3,'Budget by Source'!$A$5:$I$5,0))/10,0)*10)</f>
        <v>-5</v>
      </c>
      <c r="S195" s="138">
        <f>INDEX('Budget by Source'!$A$6:$I$330,MATCH('Payment by Source'!$A195,'Budget by Source'!$A$6:$A$330,0),MATCH(S$3,'Budget by Source'!$A$5:$I$5,0))-(ROUND(INDEX('Budget by Source'!$A$6:$I$330,MATCH('Payment by Source'!$A195,'Budget by Source'!$A$6:$A$330,0),MATCH(S$3,'Budget by Source'!$A$5:$I$5,0))/10,0)*10)</f>
        <v>2</v>
      </c>
      <c r="T195" s="138">
        <f>INDEX('Budget by Source'!$A$6:$I$330,MATCH('Payment by Source'!$A195,'Budget by Source'!$A$6:$A$330,0),MATCH(T$3,'Budget by Source'!$A$5:$I$5,0))-(ROUND(INDEX('Budget by Source'!$A$6:$I$330,MATCH('Payment by Source'!$A195,'Budget by Source'!$A$6:$A$330,0),MATCH(T$3,'Budget by Source'!$A$5:$I$5,0))/10,0)*10)</f>
        <v>4</v>
      </c>
      <c r="U195" s="139">
        <f>INDEX('Budget by Source'!$A$6:$I$330,MATCH('Payment by Source'!$A195,'Budget by Source'!$A$6:$A$330,0),MATCH(U$3,'Budget by Source'!$A$5:$I$5,0))</f>
        <v>1392640</v>
      </c>
      <c r="V195" s="136">
        <f t="shared" si="7"/>
        <v>139264</v>
      </c>
      <c r="W195" s="136">
        <f t="shared" si="8"/>
        <v>1392640</v>
      </c>
    </row>
    <row r="196" spans="1:23" x14ac:dyDescent="0.2">
      <c r="A196" s="22" t="str">
        <f>Data!B192</f>
        <v>4446</v>
      </c>
      <c r="B196" s="20" t="str">
        <f>INDEX(Data[],MATCH($A196,Data[Dist],0),MATCH(B$5,Data[#Headers],0))</f>
        <v>Monticello</v>
      </c>
      <c r="C196" s="21">
        <f>IF(Notes!$B$2="June",ROUND('Budget by Source'!C196/10,0)+P196,ROUND('Budget by Source'!C196/10,0))</f>
        <v>22989</v>
      </c>
      <c r="D196" s="21">
        <f>IF(Notes!$B$2="June",ROUND('Budget by Source'!D196/10,0)+Q196,ROUND('Budget by Source'!D196/10,0))</f>
        <v>87597</v>
      </c>
      <c r="E196" s="21">
        <f>IF(Notes!$B$2="June",ROUND('Budget by Source'!E196/10,0)+R196,ROUND('Budget by Source'!E196/10,0))</f>
        <v>7294</v>
      </c>
      <c r="F196" s="21">
        <f>IF(Notes!$B$2="June",ROUND('Budget by Source'!F196/10,0)+S196,ROUND('Budget by Source'!F196/10,0))</f>
        <v>6735</v>
      </c>
      <c r="G196" s="21">
        <f>IF(Notes!$B$2="June",ROUND('Budget by Source'!G196/10,0)+T196,ROUND('Budget by Source'!G196/10,0))</f>
        <v>37683</v>
      </c>
      <c r="H196" s="21">
        <f t="shared" si="6"/>
        <v>542576</v>
      </c>
      <c r="I196" s="21">
        <f>INDEX(Data[],MATCH($A196,Data[Dist],0),MATCH(I$5,Data[#Headers],0))</f>
        <v>704874</v>
      </c>
      <c r="K196" s="59">
        <f>INDEX('Payment Total'!$A$7:$H$331,MATCH('Payment by Source'!$A196,'Payment Total'!$A$7:$A$331,0),4)-I196</f>
        <v>0</v>
      </c>
      <c r="P196" s="138">
        <f>INDEX('Budget by Source'!$A$6:$I$330,MATCH('Payment by Source'!$A196,'Budget by Source'!$A$6:$A$330,0),MATCH(P$3,'Budget by Source'!$A$5:$I$5,0))-(ROUND(INDEX('Budget by Source'!$A$6:$I$330,MATCH('Payment by Source'!$A196,'Budget by Source'!$A$6:$A$330,0),MATCH(P$3,'Budget by Source'!$A$5:$I$5,0))/10,0)*10)</f>
        <v>-2</v>
      </c>
      <c r="Q196" s="138">
        <f>INDEX('Budget by Source'!$A$6:$I$330,MATCH('Payment by Source'!$A196,'Budget by Source'!$A$6:$A$330,0),MATCH(Q$3,'Budget by Source'!$A$5:$I$5,0))-(ROUND(INDEX('Budget by Source'!$A$6:$I$330,MATCH('Payment by Source'!$A196,'Budget by Source'!$A$6:$A$330,0),MATCH(Q$3,'Budget by Source'!$A$5:$I$5,0))/10,0)*10)</f>
        <v>3</v>
      </c>
      <c r="R196" s="138">
        <f>INDEX('Budget by Source'!$A$6:$I$330,MATCH('Payment by Source'!$A196,'Budget by Source'!$A$6:$A$330,0),MATCH(R$3,'Budget by Source'!$A$5:$I$5,0))-(ROUND(INDEX('Budget by Source'!$A$6:$I$330,MATCH('Payment by Source'!$A196,'Budget by Source'!$A$6:$A$330,0),MATCH(R$3,'Budget by Source'!$A$5:$I$5,0))/10,0)*10)</f>
        <v>-5</v>
      </c>
      <c r="S196" s="138">
        <f>INDEX('Budget by Source'!$A$6:$I$330,MATCH('Payment by Source'!$A196,'Budget by Source'!$A$6:$A$330,0),MATCH(S$3,'Budget by Source'!$A$5:$I$5,0))-(ROUND(INDEX('Budget by Source'!$A$6:$I$330,MATCH('Payment by Source'!$A196,'Budget by Source'!$A$6:$A$330,0),MATCH(S$3,'Budget by Source'!$A$5:$I$5,0))/10,0)*10)</f>
        <v>-2</v>
      </c>
      <c r="T196" s="138">
        <f>INDEX('Budget by Source'!$A$6:$I$330,MATCH('Payment by Source'!$A196,'Budget by Source'!$A$6:$A$330,0),MATCH(T$3,'Budget by Source'!$A$5:$I$5,0))-(ROUND(INDEX('Budget by Source'!$A$6:$I$330,MATCH('Payment by Source'!$A196,'Budget by Source'!$A$6:$A$330,0),MATCH(T$3,'Budget by Source'!$A$5:$I$5,0))/10,0)*10)</f>
        <v>3</v>
      </c>
      <c r="U196" s="139">
        <f>INDEX('Budget by Source'!$A$6:$I$330,MATCH('Payment by Source'!$A196,'Budget by Source'!$A$6:$A$330,0),MATCH(U$3,'Budget by Source'!$A$5:$I$5,0))</f>
        <v>5440304</v>
      </c>
      <c r="V196" s="136">
        <f t="shared" si="7"/>
        <v>544030</v>
      </c>
      <c r="W196" s="136">
        <f t="shared" si="8"/>
        <v>5440300</v>
      </c>
    </row>
    <row r="197" spans="1:23" x14ac:dyDescent="0.2">
      <c r="A197" s="22" t="str">
        <f>Data!B193</f>
        <v>4491</v>
      </c>
      <c r="B197" s="20" t="str">
        <f>INDEX(Data[],MATCH($A197,Data[Dist],0),MATCH(B$5,Data[#Headers],0))</f>
        <v>Moravia</v>
      </c>
      <c r="C197" s="21">
        <f>IF(Notes!$B$2="June",ROUND('Budget by Source'!C197/10,0)+P197,ROUND('Budget by Source'!C197/10,0))</f>
        <v>8962</v>
      </c>
      <c r="D197" s="21">
        <f>IF(Notes!$B$2="June",ROUND('Budget by Source'!D197/10,0)+Q197,ROUND('Budget by Source'!D197/10,0))</f>
        <v>44619</v>
      </c>
      <c r="E197" s="21">
        <f>IF(Notes!$B$2="June",ROUND('Budget by Source'!E197/10,0)+R197,ROUND('Budget by Source'!E197/10,0))</f>
        <v>3206</v>
      </c>
      <c r="F197" s="21">
        <f>IF(Notes!$B$2="June",ROUND('Budget by Source'!F197/10,0)+S197,ROUND('Budget by Source'!F197/10,0))</f>
        <v>2888</v>
      </c>
      <c r="G197" s="21">
        <f>IF(Notes!$B$2="June",ROUND('Budget by Source'!G197/10,0)+T197,ROUND('Budget by Source'!G197/10,0))</f>
        <v>12733</v>
      </c>
      <c r="H197" s="21">
        <f t="shared" si="6"/>
        <v>183431</v>
      </c>
      <c r="I197" s="21">
        <f>INDEX(Data[],MATCH($A197,Data[Dist],0),MATCH(I$5,Data[#Headers],0))</f>
        <v>255839</v>
      </c>
      <c r="K197" s="59">
        <f>INDEX('Payment Total'!$A$7:$H$331,MATCH('Payment by Source'!$A197,'Payment Total'!$A$7:$A$331,0),4)-I197</f>
        <v>0</v>
      </c>
      <c r="P197" s="138">
        <f>INDEX('Budget by Source'!$A$6:$I$330,MATCH('Payment by Source'!$A197,'Budget by Source'!$A$6:$A$330,0),MATCH(P$3,'Budget by Source'!$A$5:$I$5,0))-(ROUND(INDEX('Budget by Source'!$A$6:$I$330,MATCH('Payment by Source'!$A197,'Budget by Source'!$A$6:$A$330,0),MATCH(P$3,'Budget by Source'!$A$5:$I$5,0))/10,0)*10)</f>
        <v>-2</v>
      </c>
      <c r="Q197" s="138">
        <f>INDEX('Budget by Source'!$A$6:$I$330,MATCH('Payment by Source'!$A197,'Budget by Source'!$A$6:$A$330,0),MATCH(Q$3,'Budget by Source'!$A$5:$I$5,0))-(ROUND(INDEX('Budget by Source'!$A$6:$I$330,MATCH('Payment by Source'!$A197,'Budget by Source'!$A$6:$A$330,0),MATCH(Q$3,'Budget by Source'!$A$5:$I$5,0))/10,0)*10)</f>
        <v>-3</v>
      </c>
      <c r="R197" s="138">
        <f>INDEX('Budget by Source'!$A$6:$I$330,MATCH('Payment by Source'!$A197,'Budget by Source'!$A$6:$A$330,0),MATCH(R$3,'Budget by Source'!$A$5:$I$5,0))-(ROUND(INDEX('Budget by Source'!$A$6:$I$330,MATCH('Payment by Source'!$A197,'Budget by Source'!$A$6:$A$330,0),MATCH(R$3,'Budget by Source'!$A$5:$I$5,0))/10,0)*10)</f>
        <v>-1</v>
      </c>
      <c r="S197" s="138">
        <f>INDEX('Budget by Source'!$A$6:$I$330,MATCH('Payment by Source'!$A197,'Budget by Source'!$A$6:$A$330,0),MATCH(S$3,'Budget by Source'!$A$5:$I$5,0))-(ROUND(INDEX('Budget by Source'!$A$6:$I$330,MATCH('Payment by Source'!$A197,'Budget by Source'!$A$6:$A$330,0),MATCH(S$3,'Budget by Source'!$A$5:$I$5,0))/10,0)*10)</f>
        <v>-3</v>
      </c>
      <c r="T197" s="138">
        <f>INDEX('Budget by Source'!$A$6:$I$330,MATCH('Payment by Source'!$A197,'Budget by Source'!$A$6:$A$330,0),MATCH(T$3,'Budget by Source'!$A$5:$I$5,0))-(ROUND(INDEX('Budget by Source'!$A$6:$I$330,MATCH('Payment by Source'!$A197,'Budget by Source'!$A$6:$A$330,0),MATCH(T$3,'Budget by Source'!$A$5:$I$5,0))/10,0)*10)</f>
        <v>-3</v>
      </c>
      <c r="U197" s="139">
        <f>INDEX('Budget by Source'!$A$6:$I$330,MATCH('Payment by Source'!$A197,'Budget by Source'!$A$6:$A$330,0),MATCH(U$3,'Budget by Source'!$A$5:$I$5,0))</f>
        <v>1839124</v>
      </c>
      <c r="V197" s="136">
        <f t="shared" si="7"/>
        <v>183912</v>
      </c>
      <c r="W197" s="136">
        <f t="shared" si="8"/>
        <v>1839120</v>
      </c>
    </row>
    <row r="198" spans="1:23" x14ac:dyDescent="0.2">
      <c r="A198" s="22" t="str">
        <f>Data!B194</f>
        <v>4505</v>
      </c>
      <c r="B198" s="20" t="str">
        <f>INDEX(Data[],MATCH($A198,Data[Dist],0),MATCH(B$5,Data[#Headers],0))</f>
        <v>Mormon Trail</v>
      </c>
      <c r="C198" s="21">
        <f>IF(Notes!$B$2="June",ROUND('Budget by Source'!C198/10,0)+P198,ROUND('Budget by Source'!C198/10,0))</f>
        <v>2338</v>
      </c>
      <c r="D198" s="21">
        <f>IF(Notes!$B$2="June",ROUND('Budget by Source'!D198/10,0)+Q198,ROUND('Budget by Source'!D198/10,0))</f>
        <v>38113</v>
      </c>
      <c r="E198" s="21">
        <f>IF(Notes!$B$2="June",ROUND('Budget by Source'!E198/10,0)+R198,ROUND('Budget by Source'!E198/10,0))</f>
        <v>1787</v>
      </c>
      <c r="F198" s="21">
        <f>IF(Notes!$B$2="June",ROUND('Budget by Source'!F198/10,0)+S198,ROUND('Budget by Source'!F198/10,0))</f>
        <v>1435</v>
      </c>
      <c r="G198" s="21">
        <f>IF(Notes!$B$2="June",ROUND('Budget by Source'!G198/10,0)+T198,ROUND('Budget by Source'!G198/10,0))</f>
        <v>8359</v>
      </c>
      <c r="H198" s="21">
        <f t="shared" si="6"/>
        <v>139092</v>
      </c>
      <c r="I198" s="21">
        <f>INDEX(Data[],MATCH($A198,Data[Dist],0),MATCH(I$5,Data[#Headers],0))</f>
        <v>191124</v>
      </c>
      <c r="K198" s="59">
        <f>INDEX('Payment Total'!$A$7:$H$331,MATCH('Payment by Source'!$A198,'Payment Total'!$A$7:$A$331,0),4)-I198</f>
        <v>0</v>
      </c>
      <c r="P198" s="138">
        <f>INDEX('Budget by Source'!$A$6:$I$330,MATCH('Payment by Source'!$A198,'Budget by Source'!$A$6:$A$330,0),MATCH(P$3,'Budget by Source'!$A$5:$I$5,0))-(ROUND(INDEX('Budget by Source'!$A$6:$I$330,MATCH('Payment by Source'!$A198,'Budget by Source'!$A$6:$A$330,0),MATCH(P$3,'Budget by Source'!$A$5:$I$5,0))/10,0)*10)</f>
        <v>-2</v>
      </c>
      <c r="Q198" s="138">
        <f>INDEX('Budget by Source'!$A$6:$I$330,MATCH('Payment by Source'!$A198,'Budget by Source'!$A$6:$A$330,0),MATCH(Q$3,'Budget by Source'!$A$5:$I$5,0))-(ROUND(INDEX('Budget by Source'!$A$6:$I$330,MATCH('Payment by Source'!$A198,'Budget by Source'!$A$6:$A$330,0),MATCH(Q$3,'Budget by Source'!$A$5:$I$5,0))/10,0)*10)</f>
        <v>-3</v>
      </c>
      <c r="R198" s="138">
        <f>INDEX('Budget by Source'!$A$6:$I$330,MATCH('Payment by Source'!$A198,'Budget by Source'!$A$6:$A$330,0),MATCH(R$3,'Budget by Source'!$A$5:$I$5,0))-(ROUND(INDEX('Budget by Source'!$A$6:$I$330,MATCH('Payment by Source'!$A198,'Budget by Source'!$A$6:$A$330,0),MATCH(R$3,'Budget by Source'!$A$5:$I$5,0))/10,0)*10)</f>
        <v>4</v>
      </c>
      <c r="S198" s="138">
        <f>INDEX('Budget by Source'!$A$6:$I$330,MATCH('Payment by Source'!$A198,'Budget by Source'!$A$6:$A$330,0),MATCH(S$3,'Budget by Source'!$A$5:$I$5,0))-(ROUND(INDEX('Budget by Source'!$A$6:$I$330,MATCH('Payment by Source'!$A198,'Budget by Source'!$A$6:$A$330,0),MATCH(S$3,'Budget by Source'!$A$5:$I$5,0))/10,0)*10)</f>
        <v>1</v>
      </c>
      <c r="T198" s="138">
        <f>INDEX('Budget by Source'!$A$6:$I$330,MATCH('Payment by Source'!$A198,'Budget by Source'!$A$6:$A$330,0),MATCH(T$3,'Budget by Source'!$A$5:$I$5,0))-(ROUND(INDEX('Budget by Source'!$A$6:$I$330,MATCH('Payment by Source'!$A198,'Budget by Source'!$A$6:$A$330,0),MATCH(T$3,'Budget by Source'!$A$5:$I$5,0))/10,0)*10)</f>
        <v>4</v>
      </c>
      <c r="U198" s="139">
        <f>INDEX('Budget by Source'!$A$6:$I$330,MATCH('Payment by Source'!$A198,'Budget by Source'!$A$6:$A$330,0),MATCH(U$3,'Budget by Source'!$A$5:$I$5,0))</f>
        <v>1394235</v>
      </c>
      <c r="V198" s="136">
        <f t="shared" si="7"/>
        <v>139424</v>
      </c>
      <c r="W198" s="136">
        <f t="shared" si="8"/>
        <v>1394240</v>
      </c>
    </row>
    <row r="199" spans="1:23" x14ac:dyDescent="0.2">
      <c r="A199" s="22" t="str">
        <f>Data!B195</f>
        <v>4509</v>
      </c>
      <c r="B199" s="20" t="str">
        <f>INDEX(Data[],MATCH($A199,Data[Dist],0),MATCH(B$5,Data[#Headers],0))</f>
        <v>Morning Sun</v>
      </c>
      <c r="C199" s="21">
        <f>IF(Notes!$B$2="June",ROUND('Budget by Source'!C199/10,0)+P199,ROUND('Budget by Source'!C199/10,0))</f>
        <v>4286</v>
      </c>
      <c r="D199" s="21">
        <f>IF(Notes!$B$2="June",ROUND('Budget by Source'!D199/10,0)+Q199,ROUND('Budget by Source'!D199/10,0))</f>
        <v>23964</v>
      </c>
      <c r="E199" s="21">
        <f>IF(Notes!$B$2="June",ROUND('Budget by Source'!E199/10,0)+R199,ROUND('Budget by Source'!E199/10,0))</f>
        <v>1956</v>
      </c>
      <c r="F199" s="21">
        <f>IF(Notes!$B$2="June",ROUND('Budget by Source'!F199/10,0)+S199,ROUND('Budget by Source'!F199/10,0))</f>
        <v>1506</v>
      </c>
      <c r="G199" s="21">
        <f>IF(Notes!$B$2="June",ROUND('Budget by Source'!G199/10,0)+T199,ROUND('Budget by Source'!G199/10,0))</f>
        <v>7517</v>
      </c>
      <c r="H199" s="21">
        <f t="shared" ref="H199:H262" si="9">I199-SUM(C199:G199)</f>
        <v>128916</v>
      </c>
      <c r="I199" s="21">
        <f>INDEX(Data[],MATCH($A199,Data[Dist],0),MATCH(I$5,Data[#Headers],0))</f>
        <v>168145</v>
      </c>
      <c r="K199" s="59">
        <f>INDEX('Payment Total'!$A$7:$H$331,MATCH('Payment by Source'!$A199,'Payment Total'!$A$7:$A$331,0),4)-I199</f>
        <v>0</v>
      </c>
      <c r="P199" s="138">
        <f>INDEX('Budget by Source'!$A$6:$I$330,MATCH('Payment by Source'!$A199,'Budget by Source'!$A$6:$A$330,0),MATCH(P$3,'Budget by Source'!$A$5:$I$5,0))-(ROUND(INDEX('Budget by Source'!$A$6:$I$330,MATCH('Payment by Source'!$A199,'Budget by Source'!$A$6:$A$330,0),MATCH(P$3,'Budget by Source'!$A$5:$I$5,0))/10,0)*10)</f>
        <v>1</v>
      </c>
      <c r="Q199" s="138">
        <f>INDEX('Budget by Source'!$A$6:$I$330,MATCH('Payment by Source'!$A199,'Budget by Source'!$A$6:$A$330,0),MATCH(Q$3,'Budget by Source'!$A$5:$I$5,0))-(ROUND(INDEX('Budget by Source'!$A$6:$I$330,MATCH('Payment by Source'!$A199,'Budget by Source'!$A$6:$A$330,0),MATCH(Q$3,'Budget by Source'!$A$5:$I$5,0))/10,0)*10)</f>
        <v>4</v>
      </c>
      <c r="R199" s="138">
        <f>INDEX('Budget by Source'!$A$6:$I$330,MATCH('Payment by Source'!$A199,'Budget by Source'!$A$6:$A$330,0),MATCH(R$3,'Budget by Source'!$A$5:$I$5,0))-(ROUND(INDEX('Budget by Source'!$A$6:$I$330,MATCH('Payment by Source'!$A199,'Budget by Source'!$A$6:$A$330,0),MATCH(R$3,'Budget by Source'!$A$5:$I$5,0))/10,0)*10)</f>
        <v>-4</v>
      </c>
      <c r="S199" s="138">
        <f>INDEX('Budget by Source'!$A$6:$I$330,MATCH('Payment by Source'!$A199,'Budget by Source'!$A$6:$A$330,0),MATCH(S$3,'Budget by Source'!$A$5:$I$5,0))-(ROUND(INDEX('Budget by Source'!$A$6:$I$330,MATCH('Payment by Source'!$A199,'Budget by Source'!$A$6:$A$330,0),MATCH(S$3,'Budget by Source'!$A$5:$I$5,0))/10,0)*10)</f>
        <v>-4</v>
      </c>
      <c r="T199" s="138">
        <f>INDEX('Budget by Source'!$A$6:$I$330,MATCH('Payment by Source'!$A199,'Budget by Source'!$A$6:$A$330,0),MATCH(T$3,'Budget by Source'!$A$5:$I$5,0))-(ROUND(INDEX('Budget by Source'!$A$6:$I$330,MATCH('Payment by Source'!$A199,'Budget by Source'!$A$6:$A$330,0),MATCH(T$3,'Budget by Source'!$A$5:$I$5,0))/10,0)*10)</f>
        <v>0</v>
      </c>
      <c r="U199" s="139">
        <f>INDEX('Budget by Source'!$A$6:$I$330,MATCH('Payment by Source'!$A199,'Budget by Source'!$A$6:$A$330,0),MATCH(U$3,'Budget by Source'!$A$5:$I$5,0))</f>
        <v>1292148</v>
      </c>
      <c r="V199" s="136">
        <f t="shared" ref="V199:V262" si="10">ROUND(U199/10,0)</f>
        <v>129215</v>
      </c>
      <c r="W199" s="136">
        <f t="shared" ref="W199:W262" si="11">V199*10</f>
        <v>1292150</v>
      </c>
    </row>
    <row r="200" spans="1:23" x14ac:dyDescent="0.2">
      <c r="A200" s="22" t="str">
        <f>Data!B196</f>
        <v>4518</v>
      </c>
      <c r="B200" s="20" t="str">
        <f>INDEX(Data[],MATCH($A200,Data[Dist],0),MATCH(B$5,Data[#Headers],0))</f>
        <v>Moulton-Udell</v>
      </c>
      <c r="C200" s="21">
        <f>IF(Notes!$B$2="June",ROUND('Budget by Source'!C200/10,0)+P200,ROUND('Budget by Source'!C200/10,0))</f>
        <v>4286</v>
      </c>
      <c r="D200" s="21">
        <f>IF(Notes!$B$2="June",ROUND('Budget by Source'!D200/10,0)+Q200,ROUND('Budget by Source'!D200/10,0))</f>
        <v>27869</v>
      </c>
      <c r="E200" s="21">
        <f>IF(Notes!$B$2="June",ROUND('Budget by Source'!E200/10,0)+R200,ROUND('Budget by Source'!E200/10,0))</f>
        <v>1676</v>
      </c>
      <c r="F200" s="21">
        <f>IF(Notes!$B$2="June",ROUND('Budget by Source'!F200/10,0)+S200,ROUND('Budget by Source'!F200/10,0))</f>
        <v>1498</v>
      </c>
      <c r="G200" s="21">
        <f>IF(Notes!$B$2="June",ROUND('Budget by Source'!G200/10,0)+T200,ROUND('Budget by Source'!G200/10,0))</f>
        <v>7351</v>
      </c>
      <c r="H200" s="21">
        <f t="shared" si="9"/>
        <v>111875</v>
      </c>
      <c r="I200" s="21">
        <f>INDEX(Data[],MATCH($A200,Data[Dist],0),MATCH(I$5,Data[#Headers],0))</f>
        <v>154555</v>
      </c>
      <c r="K200" s="59">
        <f>INDEX('Payment Total'!$A$7:$H$331,MATCH('Payment by Source'!$A200,'Payment Total'!$A$7:$A$331,0),4)-I200</f>
        <v>0</v>
      </c>
      <c r="P200" s="138">
        <f>INDEX('Budget by Source'!$A$6:$I$330,MATCH('Payment by Source'!$A200,'Budget by Source'!$A$6:$A$330,0),MATCH(P$3,'Budget by Source'!$A$5:$I$5,0))-(ROUND(INDEX('Budget by Source'!$A$6:$I$330,MATCH('Payment by Source'!$A200,'Budget by Source'!$A$6:$A$330,0),MATCH(P$3,'Budget by Source'!$A$5:$I$5,0))/10,0)*10)</f>
        <v>1</v>
      </c>
      <c r="Q200" s="138">
        <f>INDEX('Budget by Source'!$A$6:$I$330,MATCH('Payment by Source'!$A200,'Budget by Source'!$A$6:$A$330,0),MATCH(Q$3,'Budget by Source'!$A$5:$I$5,0))-(ROUND(INDEX('Budget by Source'!$A$6:$I$330,MATCH('Payment by Source'!$A200,'Budget by Source'!$A$6:$A$330,0),MATCH(Q$3,'Budget by Source'!$A$5:$I$5,0))/10,0)*10)</f>
        <v>-5</v>
      </c>
      <c r="R200" s="138">
        <f>INDEX('Budget by Source'!$A$6:$I$330,MATCH('Payment by Source'!$A200,'Budget by Source'!$A$6:$A$330,0),MATCH(R$3,'Budget by Source'!$A$5:$I$5,0))-(ROUND(INDEX('Budget by Source'!$A$6:$I$330,MATCH('Payment by Source'!$A200,'Budget by Source'!$A$6:$A$330,0),MATCH(R$3,'Budget by Source'!$A$5:$I$5,0))/10,0)*10)</f>
        <v>1</v>
      </c>
      <c r="S200" s="138">
        <f>INDEX('Budget by Source'!$A$6:$I$330,MATCH('Payment by Source'!$A200,'Budget by Source'!$A$6:$A$330,0),MATCH(S$3,'Budget by Source'!$A$5:$I$5,0))-(ROUND(INDEX('Budget by Source'!$A$6:$I$330,MATCH('Payment by Source'!$A200,'Budget by Source'!$A$6:$A$330,0),MATCH(S$3,'Budget by Source'!$A$5:$I$5,0))/10,0)*10)</f>
        <v>0</v>
      </c>
      <c r="T200" s="138">
        <f>INDEX('Budget by Source'!$A$6:$I$330,MATCH('Payment by Source'!$A200,'Budget by Source'!$A$6:$A$330,0),MATCH(T$3,'Budget by Source'!$A$5:$I$5,0))-(ROUND(INDEX('Budget by Source'!$A$6:$I$330,MATCH('Payment by Source'!$A200,'Budget by Source'!$A$6:$A$330,0),MATCH(T$3,'Budget by Source'!$A$5:$I$5,0))/10,0)*10)</f>
        <v>-2</v>
      </c>
      <c r="U200" s="139">
        <f>INDEX('Budget by Source'!$A$6:$I$330,MATCH('Payment by Source'!$A200,'Budget by Source'!$A$6:$A$330,0),MATCH(U$3,'Budget by Source'!$A$5:$I$5,0))</f>
        <v>1121672</v>
      </c>
      <c r="V200" s="136">
        <f t="shared" si="10"/>
        <v>112167</v>
      </c>
      <c r="W200" s="136">
        <f t="shared" si="11"/>
        <v>1121670</v>
      </c>
    </row>
    <row r="201" spans="1:23" x14ac:dyDescent="0.2">
      <c r="A201" s="22" t="str">
        <f>Data!B197</f>
        <v>4527</v>
      </c>
      <c r="B201" s="20" t="str">
        <f>INDEX(Data[],MATCH($A201,Data[Dist],0),MATCH(B$5,Data[#Headers],0))</f>
        <v>Mount Ayr</v>
      </c>
      <c r="C201" s="21">
        <f>IF(Notes!$B$2="June",ROUND('Budget by Source'!C201/10,0)+P201,ROUND('Budget by Source'!C201/10,0))</f>
        <v>15196</v>
      </c>
      <c r="D201" s="21">
        <f>IF(Notes!$B$2="June",ROUND('Budget by Source'!D201/10,0)+Q201,ROUND('Budget by Source'!D201/10,0))</f>
        <v>61776</v>
      </c>
      <c r="E201" s="21">
        <f>IF(Notes!$B$2="June",ROUND('Budget by Source'!E201/10,0)+R201,ROUND('Budget by Source'!E201/10,0))</f>
        <v>5235</v>
      </c>
      <c r="F201" s="21">
        <f>IF(Notes!$B$2="June",ROUND('Budget by Source'!F201/10,0)+S201,ROUND('Budget by Source'!F201/10,0))</f>
        <v>5523</v>
      </c>
      <c r="G201" s="21">
        <f>IF(Notes!$B$2="June",ROUND('Budget by Source'!G201/10,0)+T201,ROUND('Budget by Source'!G201/10,0))</f>
        <v>22604</v>
      </c>
      <c r="H201" s="21">
        <f t="shared" si="9"/>
        <v>305983</v>
      </c>
      <c r="I201" s="21">
        <f>INDEX(Data[],MATCH($A201,Data[Dist],0),MATCH(I$5,Data[#Headers],0))</f>
        <v>416317</v>
      </c>
      <c r="K201" s="59">
        <f>INDEX('Payment Total'!$A$7:$H$331,MATCH('Payment by Source'!$A201,'Payment Total'!$A$7:$A$331,0),4)-I201</f>
        <v>0</v>
      </c>
      <c r="P201" s="138">
        <f>INDEX('Budget by Source'!$A$6:$I$330,MATCH('Payment by Source'!$A201,'Budget by Source'!$A$6:$A$330,0),MATCH(P$3,'Budget by Source'!$A$5:$I$5,0))-(ROUND(INDEX('Budget by Source'!$A$6:$I$330,MATCH('Payment by Source'!$A201,'Budget by Source'!$A$6:$A$330,0),MATCH(P$3,'Budget by Source'!$A$5:$I$5,0))/10,0)*10)</f>
        <v>0</v>
      </c>
      <c r="Q201" s="138">
        <f>INDEX('Budget by Source'!$A$6:$I$330,MATCH('Payment by Source'!$A201,'Budget by Source'!$A$6:$A$330,0),MATCH(Q$3,'Budget by Source'!$A$5:$I$5,0))-(ROUND(INDEX('Budget by Source'!$A$6:$I$330,MATCH('Payment by Source'!$A201,'Budget by Source'!$A$6:$A$330,0),MATCH(Q$3,'Budget by Source'!$A$5:$I$5,0))/10,0)*10)</f>
        <v>-2</v>
      </c>
      <c r="R201" s="138">
        <f>INDEX('Budget by Source'!$A$6:$I$330,MATCH('Payment by Source'!$A201,'Budget by Source'!$A$6:$A$330,0),MATCH(R$3,'Budget by Source'!$A$5:$I$5,0))-(ROUND(INDEX('Budget by Source'!$A$6:$I$330,MATCH('Payment by Source'!$A201,'Budget by Source'!$A$6:$A$330,0),MATCH(R$3,'Budget by Source'!$A$5:$I$5,0))/10,0)*10)</f>
        <v>4</v>
      </c>
      <c r="S201" s="138">
        <f>INDEX('Budget by Source'!$A$6:$I$330,MATCH('Payment by Source'!$A201,'Budget by Source'!$A$6:$A$330,0),MATCH(S$3,'Budget by Source'!$A$5:$I$5,0))-(ROUND(INDEX('Budget by Source'!$A$6:$I$330,MATCH('Payment by Source'!$A201,'Budget by Source'!$A$6:$A$330,0),MATCH(S$3,'Budget by Source'!$A$5:$I$5,0))/10,0)*10)</f>
        <v>-4</v>
      </c>
      <c r="T201" s="138">
        <f>INDEX('Budget by Source'!$A$6:$I$330,MATCH('Payment by Source'!$A201,'Budget by Source'!$A$6:$A$330,0),MATCH(T$3,'Budget by Source'!$A$5:$I$5,0))-(ROUND(INDEX('Budget by Source'!$A$6:$I$330,MATCH('Payment by Source'!$A201,'Budget by Source'!$A$6:$A$330,0),MATCH(T$3,'Budget by Source'!$A$5:$I$5,0))/10,0)*10)</f>
        <v>0</v>
      </c>
      <c r="U201" s="139">
        <f>INDEX('Budget by Source'!$A$6:$I$330,MATCH('Payment by Source'!$A201,'Budget by Source'!$A$6:$A$330,0),MATCH(U$3,'Budget by Source'!$A$5:$I$5,0))</f>
        <v>3068820</v>
      </c>
      <c r="V201" s="136">
        <f t="shared" si="10"/>
        <v>306882</v>
      </c>
      <c r="W201" s="136">
        <f t="shared" si="11"/>
        <v>3068820</v>
      </c>
    </row>
    <row r="202" spans="1:23" x14ac:dyDescent="0.2">
      <c r="A202" s="22" t="str">
        <f>Data!B198</f>
        <v>4536</v>
      </c>
      <c r="B202" s="20" t="str">
        <f>INDEX(Data[],MATCH($A202,Data[Dist],0),MATCH(B$5,Data[#Headers],0))</f>
        <v>Mount Pleasant</v>
      </c>
      <c r="C202" s="21">
        <f>IF(Notes!$B$2="June",ROUND('Budget by Source'!C202/10,0)+P202,ROUND('Budget by Source'!C202/10,0))</f>
        <v>33120</v>
      </c>
      <c r="D202" s="21">
        <f>IF(Notes!$B$2="June",ROUND('Budget by Source'!D202/10,0)+Q202,ROUND('Budget by Source'!D202/10,0))</f>
        <v>128873</v>
      </c>
      <c r="E202" s="21">
        <f>IF(Notes!$B$2="June",ROUND('Budget by Source'!E202/10,0)+R202,ROUND('Budget by Source'!E202/10,0))</f>
        <v>15269</v>
      </c>
      <c r="F202" s="21">
        <f>IF(Notes!$B$2="June",ROUND('Budget by Source'!F202/10,0)+S202,ROUND('Budget by Source'!F202/10,0))</f>
        <v>13719</v>
      </c>
      <c r="G202" s="21">
        <f>IF(Notes!$B$2="June",ROUND('Budget by Source'!G202/10,0)+T202,ROUND('Budget by Source'!G202/10,0))</f>
        <v>66037</v>
      </c>
      <c r="H202" s="21">
        <f t="shared" si="9"/>
        <v>1065917</v>
      </c>
      <c r="I202" s="21">
        <f>INDEX(Data[],MATCH($A202,Data[Dist],0),MATCH(I$5,Data[#Headers],0))</f>
        <v>1322935</v>
      </c>
      <c r="K202" s="59">
        <f>INDEX('Payment Total'!$A$7:$H$331,MATCH('Payment by Source'!$A202,'Payment Total'!$A$7:$A$331,0),4)-I202</f>
        <v>0</v>
      </c>
      <c r="P202" s="138">
        <f>INDEX('Budget by Source'!$A$6:$I$330,MATCH('Payment by Source'!$A202,'Budget by Source'!$A$6:$A$330,0),MATCH(P$3,'Budget by Source'!$A$5:$I$5,0))-(ROUND(INDEX('Budget by Source'!$A$6:$I$330,MATCH('Payment by Source'!$A202,'Budget by Source'!$A$6:$A$330,0),MATCH(P$3,'Budget by Source'!$A$5:$I$5,0))/10,0)*10)</f>
        <v>-5</v>
      </c>
      <c r="Q202" s="138">
        <f>INDEX('Budget by Source'!$A$6:$I$330,MATCH('Payment by Source'!$A202,'Budget by Source'!$A$6:$A$330,0),MATCH(Q$3,'Budget by Source'!$A$5:$I$5,0))-(ROUND(INDEX('Budget by Source'!$A$6:$I$330,MATCH('Payment by Source'!$A202,'Budget by Source'!$A$6:$A$330,0),MATCH(Q$3,'Budget by Source'!$A$5:$I$5,0))/10,0)*10)</f>
        <v>-1</v>
      </c>
      <c r="R202" s="138">
        <f>INDEX('Budget by Source'!$A$6:$I$330,MATCH('Payment by Source'!$A202,'Budget by Source'!$A$6:$A$330,0),MATCH(R$3,'Budget by Source'!$A$5:$I$5,0))-(ROUND(INDEX('Budget by Source'!$A$6:$I$330,MATCH('Payment by Source'!$A202,'Budget by Source'!$A$6:$A$330,0),MATCH(R$3,'Budget by Source'!$A$5:$I$5,0))/10,0)*10)</f>
        <v>-2</v>
      </c>
      <c r="S202" s="138">
        <f>INDEX('Budget by Source'!$A$6:$I$330,MATCH('Payment by Source'!$A202,'Budget by Source'!$A$6:$A$330,0),MATCH(S$3,'Budget by Source'!$A$5:$I$5,0))-(ROUND(INDEX('Budget by Source'!$A$6:$I$330,MATCH('Payment by Source'!$A202,'Budget by Source'!$A$6:$A$330,0),MATCH(S$3,'Budget by Source'!$A$5:$I$5,0))/10,0)*10)</f>
        <v>-2</v>
      </c>
      <c r="T202" s="138">
        <f>INDEX('Budget by Source'!$A$6:$I$330,MATCH('Payment by Source'!$A202,'Budget by Source'!$A$6:$A$330,0),MATCH(T$3,'Budget by Source'!$A$5:$I$5,0))-(ROUND(INDEX('Budget by Source'!$A$6:$I$330,MATCH('Payment by Source'!$A202,'Budget by Source'!$A$6:$A$330,0),MATCH(T$3,'Budget by Source'!$A$5:$I$5,0))/10,0)*10)</f>
        <v>-1</v>
      </c>
      <c r="U202" s="139">
        <f>INDEX('Budget by Source'!$A$6:$I$330,MATCH('Payment by Source'!$A202,'Budget by Source'!$A$6:$A$330,0),MATCH(U$3,'Budget by Source'!$A$5:$I$5,0))</f>
        <v>10685214</v>
      </c>
      <c r="V202" s="136">
        <f t="shared" si="10"/>
        <v>1068521</v>
      </c>
      <c r="W202" s="136">
        <f t="shared" si="11"/>
        <v>10685210</v>
      </c>
    </row>
    <row r="203" spans="1:23" x14ac:dyDescent="0.2">
      <c r="A203" s="22" t="str">
        <f>Data!B199</f>
        <v>4554</v>
      </c>
      <c r="B203" s="20" t="str">
        <f>INDEX(Data[],MATCH($A203,Data[Dist],0),MATCH(B$5,Data[#Headers],0))</f>
        <v>Mount Vernon</v>
      </c>
      <c r="C203" s="21">
        <f>IF(Notes!$B$2="June",ROUND('Budget by Source'!C203/10,0)+P203,ROUND('Budget by Source'!C203/10,0))</f>
        <v>22989</v>
      </c>
      <c r="D203" s="21">
        <f>IF(Notes!$B$2="June",ROUND('Budget by Source'!D203/10,0)+Q203,ROUND('Budget by Source'!D203/10,0))</f>
        <v>88739</v>
      </c>
      <c r="E203" s="21">
        <f>IF(Notes!$B$2="June",ROUND('Budget by Source'!E203/10,0)+R203,ROUND('Budget by Source'!E203/10,0))</f>
        <v>9216</v>
      </c>
      <c r="F203" s="21">
        <f>IF(Notes!$B$2="June",ROUND('Budget by Source'!F203/10,0)+S203,ROUND('Budget by Source'!F203/10,0))</f>
        <v>8479</v>
      </c>
      <c r="G203" s="21">
        <f>IF(Notes!$B$2="June",ROUND('Budget by Source'!G203/10,0)+T203,ROUND('Budget by Source'!G203/10,0))</f>
        <v>41876</v>
      </c>
      <c r="H203" s="21">
        <f t="shared" si="9"/>
        <v>642997</v>
      </c>
      <c r="I203" s="21">
        <f>INDEX(Data[],MATCH($A203,Data[Dist],0),MATCH(I$5,Data[#Headers],0))</f>
        <v>814296</v>
      </c>
      <c r="K203" s="59">
        <f>INDEX('Payment Total'!$A$7:$H$331,MATCH('Payment by Source'!$A203,'Payment Total'!$A$7:$A$331,0),4)-I203</f>
        <v>0</v>
      </c>
      <c r="P203" s="138">
        <f>INDEX('Budget by Source'!$A$6:$I$330,MATCH('Payment by Source'!$A203,'Budget by Source'!$A$6:$A$330,0),MATCH(P$3,'Budget by Source'!$A$5:$I$5,0))-(ROUND(INDEX('Budget by Source'!$A$6:$I$330,MATCH('Payment by Source'!$A203,'Budget by Source'!$A$6:$A$330,0),MATCH(P$3,'Budget by Source'!$A$5:$I$5,0))/10,0)*10)</f>
        <v>-2</v>
      </c>
      <c r="Q203" s="138">
        <f>INDEX('Budget by Source'!$A$6:$I$330,MATCH('Payment by Source'!$A203,'Budget by Source'!$A$6:$A$330,0),MATCH(Q$3,'Budget by Source'!$A$5:$I$5,0))-(ROUND(INDEX('Budget by Source'!$A$6:$I$330,MATCH('Payment by Source'!$A203,'Budget by Source'!$A$6:$A$330,0),MATCH(Q$3,'Budget by Source'!$A$5:$I$5,0))/10,0)*10)</f>
        <v>0</v>
      </c>
      <c r="R203" s="138">
        <f>INDEX('Budget by Source'!$A$6:$I$330,MATCH('Payment by Source'!$A203,'Budget by Source'!$A$6:$A$330,0),MATCH(R$3,'Budget by Source'!$A$5:$I$5,0))-(ROUND(INDEX('Budget by Source'!$A$6:$I$330,MATCH('Payment by Source'!$A203,'Budget by Source'!$A$6:$A$330,0),MATCH(R$3,'Budget by Source'!$A$5:$I$5,0))/10,0)*10)</f>
        <v>-2</v>
      </c>
      <c r="S203" s="138">
        <f>INDEX('Budget by Source'!$A$6:$I$330,MATCH('Payment by Source'!$A203,'Budget by Source'!$A$6:$A$330,0),MATCH(S$3,'Budget by Source'!$A$5:$I$5,0))-(ROUND(INDEX('Budget by Source'!$A$6:$I$330,MATCH('Payment by Source'!$A203,'Budget by Source'!$A$6:$A$330,0),MATCH(S$3,'Budget by Source'!$A$5:$I$5,0))/10,0)*10)</f>
        <v>-4</v>
      </c>
      <c r="T203" s="138">
        <f>INDEX('Budget by Source'!$A$6:$I$330,MATCH('Payment by Source'!$A203,'Budget by Source'!$A$6:$A$330,0),MATCH(T$3,'Budget by Source'!$A$5:$I$5,0))-(ROUND(INDEX('Budget by Source'!$A$6:$I$330,MATCH('Payment by Source'!$A203,'Budget by Source'!$A$6:$A$330,0),MATCH(T$3,'Budget by Source'!$A$5:$I$5,0))/10,0)*10)</f>
        <v>3</v>
      </c>
      <c r="U203" s="139">
        <f>INDEX('Budget by Source'!$A$6:$I$330,MATCH('Payment by Source'!$A203,'Budget by Source'!$A$6:$A$330,0),MATCH(U$3,'Budget by Source'!$A$5:$I$5,0))</f>
        <v>6446461</v>
      </c>
      <c r="V203" s="136">
        <f t="shared" si="10"/>
        <v>644646</v>
      </c>
      <c r="W203" s="136">
        <f t="shared" si="11"/>
        <v>6446460</v>
      </c>
    </row>
    <row r="204" spans="1:23" x14ac:dyDescent="0.2">
      <c r="A204" s="22" t="str">
        <f>Data!B200</f>
        <v>4572</v>
      </c>
      <c r="B204" s="20" t="str">
        <f>INDEX(Data[],MATCH($A204,Data[Dist],0),MATCH(B$5,Data[#Headers],0))</f>
        <v>Murray</v>
      </c>
      <c r="C204" s="21">
        <f>IF(Notes!$B$2="June",ROUND('Budget by Source'!C204/10,0)+P204,ROUND('Budget by Source'!C204/10,0))</f>
        <v>9741</v>
      </c>
      <c r="D204" s="21">
        <f>IF(Notes!$B$2="June",ROUND('Budget by Source'!D204/10,0)+Q204,ROUND('Budget by Source'!D204/10,0))</f>
        <v>31003</v>
      </c>
      <c r="E204" s="21">
        <f>IF(Notes!$B$2="June",ROUND('Budget by Source'!E204/10,0)+R204,ROUND('Budget by Source'!E204/10,0))</f>
        <v>2093</v>
      </c>
      <c r="F204" s="21">
        <f>IF(Notes!$B$2="June",ROUND('Budget by Source'!F204/10,0)+S204,ROUND('Budget by Source'!F204/10,0))</f>
        <v>1734</v>
      </c>
      <c r="G204" s="21">
        <f>IF(Notes!$B$2="June",ROUND('Budget by Source'!G204/10,0)+T204,ROUND('Budget by Source'!G204/10,0))</f>
        <v>8325</v>
      </c>
      <c r="H204" s="21">
        <f t="shared" si="9"/>
        <v>150108</v>
      </c>
      <c r="I204" s="21">
        <f>INDEX(Data[],MATCH($A204,Data[Dist],0),MATCH(I$5,Data[#Headers],0))</f>
        <v>203004</v>
      </c>
      <c r="K204" s="59">
        <f>INDEX('Payment Total'!$A$7:$H$331,MATCH('Payment by Source'!$A204,'Payment Total'!$A$7:$A$331,0),4)-I204</f>
        <v>0</v>
      </c>
      <c r="P204" s="138">
        <f>INDEX('Budget by Source'!$A$6:$I$330,MATCH('Payment by Source'!$A204,'Budget by Source'!$A$6:$A$330,0),MATCH(P$3,'Budget by Source'!$A$5:$I$5,0))-(ROUND(INDEX('Budget by Source'!$A$6:$I$330,MATCH('Payment by Source'!$A204,'Budget by Source'!$A$6:$A$330,0),MATCH(P$3,'Budget by Source'!$A$5:$I$5,0))/10,0)*10)</f>
        <v>0</v>
      </c>
      <c r="Q204" s="138">
        <f>INDEX('Budget by Source'!$A$6:$I$330,MATCH('Payment by Source'!$A204,'Budget by Source'!$A$6:$A$330,0),MATCH(Q$3,'Budget by Source'!$A$5:$I$5,0))-(ROUND(INDEX('Budget by Source'!$A$6:$I$330,MATCH('Payment by Source'!$A204,'Budget by Source'!$A$6:$A$330,0),MATCH(Q$3,'Budget by Source'!$A$5:$I$5,0))/10,0)*10)</f>
        <v>-4</v>
      </c>
      <c r="R204" s="138">
        <f>INDEX('Budget by Source'!$A$6:$I$330,MATCH('Payment by Source'!$A204,'Budget by Source'!$A$6:$A$330,0),MATCH(R$3,'Budget by Source'!$A$5:$I$5,0))-(ROUND(INDEX('Budget by Source'!$A$6:$I$330,MATCH('Payment by Source'!$A204,'Budget by Source'!$A$6:$A$330,0),MATCH(R$3,'Budget by Source'!$A$5:$I$5,0))/10,0)*10)</f>
        <v>-1</v>
      </c>
      <c r="S204" s="138">
        <f>INDEX('Budget by Source'!$A$6:$I$330,MATCH('Payment by Source'!$A204,'Budget by Source'!$A$6:$A$330,0),MATCH(S$3,'Budget by Source'!$A$5:$I$5,0))-(ROUND(INDEX('Budget by Source'!$A$6:$I$330,MATCH('Payment by Source'!$A204,'Budget by Source'!$A$6:$A$330,0),MATCH(S$3,'Budget by Source'!$A$5:$I$5,0))/10,0)*10)</f>
        <v>3</v>
      </c>
      <c r="T204" s="138">
        <f>INDEX('Budget by Source'!$A$6:$I$330,MATCH('Payment by Source'!$A204,'Budget by Source'!$A$6:$A$330,0),MATCH(T$3,'Budget by Source'!$A$5:$I$5,0))-(ROUND(INDEX('Budget by Source'!$A$6:$I$330,MATCH('Payment by Source'!$A204,'Budget by Source'!$A$6:$A$330,0),MATCH(T$3,'Budget by Source'!$A$5:$I$5,0))/10,0)*10)</f>
        <v>4</v>
      </c>
      <c r="U204" s="139">
        <f>INDEX('Budget by Source'!$A$6:$I$330,MATCH('Payment by Source'!$A204,'Budget by Source'!$A$6:$A$330,0),MATCH(U$3,'Budget by Source'!$A$5:$I$5,0))</f>
        <v>1504391</v>
      </c>
      <c r="V204" s="136">
        <f t="shared" si="10"/>
        <v>150439</v>
      </c>
      <c r="W204" s="136">
        <f t="shared" si="11"/>
        <v>1504390</v>
      </c>
    </row>
    <row r="205" spans="1:23" x14ac:dyDescent="0.2">
      <c r="A205" s="22" t="str">
        <f>Data!B201</f>
        <v>4581</v>
      </c>
      <c r="B205" s="20" t="str">
        <f>INDEX(Data[],MATCH($A205,Data[Dist],0),MATCH(B$5,Data[#Headers],0))</f>
        <v>Muscatine</v>
      </c>
      <c r="C205" s="21">
        <f>IF(Notes!$B$2="June",ROUND('Budget by Source'!C205/10,0)+P205,ROUND('Budget by Source'!C205/10,0))</f>
        <v>93514</v>
      </c>
      <c r="D205" s="21">
        <f>IF(Notes!$B$2="June",ROUND('Budget by Source'!D205/10,0)+Q205,ROUND('Budget by Source'!D205/10,0))</f>
        <v>343337</v>
      </c>
      <c r="E205" s="21">
        <f>IF(Notes!$B$2="June",ROUND('Budget by Source'!E205/10,0)+R205,ROUND('Budget by Source'!E205/10,0))</f>
        <v>39724</v>
      </c>
      <c r="F205" s="21">
        <f>IF(Notes!$B$2="June",ROUND('Budget by Source'!F205/10,0)+S205,ROUND('Budget by Source'!F205/10,0))</f>
        <v>32918</v>
      </c>
      <c r="G205" s="21">
        <f>IF(Notes!$B$2="June",ROUND('Budget by Source'!G205/10,0)+T205,ROUND('Budget by Source'!G205/10,0))</f>
        <v>171864</v>
      </c>
      <c r="H205" s="21">
        <f t="shared" si="9"/>
        <v>2844108</v>
      </c>
      <c r="I205" s="21">
        <f>INDEX(Data[],MATCH($A205,Data[Dist],0),MATCH(I$5,Data[#Headers],0))</f>
        <v>3525465</v>
      </c>
      <c r="K205" s="59">
        <f>INDEX('Payment Total'!$A$7:$H$331,MATCH('Payment by Source'!$A205,'Payment Total'!$A$7:$A$331,0),4)-I205</f>
        <v>0</v>
      </c>
      <c r="P205" s="138">
        <f>INDEX('Budget by Source'!$A$6:$I$330,MATCH('Payment by Source'!$A205,'Budget by Source'!$A$6:$A$330,0),MATCH(P$3,'Budget by Source'!$A$5:$I$5,0))-(ROUND(INDEX('Budget by Source'!$A$6:$I$330,MATCH('Payment by Source'!$A205,'Budget by Source'!$A$6:$A$330,0),MATCH(P$3,'Budget by Source'!$A$5:$I$5,0))/10,0)*10)</f>
        <v>0</v>
      </c>
      <c r="Q205" s="138">
        <f>INDEX('Budget by Source'!$A$6:$I$330,MATCH('Payment by Source'!$A205,'Budget by Source'!$A$6:$A$330,0),MATCH(Q$3,'Budget by Source'!$A$5:$I$5,0))-(ROUND(INDEX('Budget by Source'!$A$6:$I$330,MATCH('Payment by Source'!$A205,'Budget by Source'!$A$6:$A$330,0),MATCH(Q$3,'Budget by Source'!$A$5:$I$5,0))/10,0)*10)</f>
        <v>0</v>
      </c>
      <c r="R205" s="138">
        <f>INDEX('Budget by Source'!$A$6:$I$330,MATCH('Payment by Source'!$A205,'Budget by Source'!$A$6:$A$330,0),MATCH(R$3,'Budget by Source'!$A$5:$I$5,0))-(ROUND(INDEX('Budget by Source'!$A$6:$I$330,MATCH('Payment by Source'!$A205,'Budget by Source'!$A$6:$A$330,0),MATCH(R$3,'Budget by Source'!$A$5:$I$5,0))/10,0)*10)</f>
        <v>3</v>
      </c>
      <c r="S205" s="138">
        <f>INDEX('Budget by Source'!$A$6:$I$330,MATCH('Payment by Source'!$A205,'Budget by Source'!$A$6:$A$330,0),MATCH(S$3,'Budget by Source'!$A$5:$I$5,0))-(ROUND(INDEX('Budget by Source'!$A$6:$I$330,MATCH('Payment by Source'!$A205,'Budget by Source'!$A$6:$A$330,0),MATCH(S$3,'Budget by Source'!$A$5:$I$5,0))/10,0)*10)</f>
        <v>-2</v>
      </c>
      <c r="T205" s="138">
        <f>INDEX('Budget by Source'!$A$6:$I$330,MATCH('Payment by Source'!$A205,'Budget by Source'!$A$6:$A$330,0),MATCH(T$3,'Budget by Source'!$A$5:$I$5,0))-(ROUND(INDEX('Budget by Source'!$A$6:$I$330,MATCH('Payment by Source'!$A205,'Budget by Source'!$A$6:$A$330,0),MATCH(T$3,'Budget by Source'!$A$5:$I$5,0))/10,0)*10)</f>
        <v>1</v>
      </c>
      <c r="U205" s="139">
        <f>INDEX('Budget by Source'!$A$6:$I$330,MATCH('Payment by Source'!$A205,'Budget by Source'!$A$6:$A$330,0),MATCH(U$3,'Budget by Source'!$A$5:$I$5,0))</f>
        <v>28507492</v>
      </c>
      <c r="V205" s="136">
        <f t="shared" si="10"/>
        <v>2850749</v>
      </c>
      <c r="W205" s="136">
        <f t="shared" si="11"/>
        <v>28507490</v>
      </c>
    </row>
    <row r="206" spans="1:23" x14ac:dyDescent="0.2">
      <c r="A206" s="22" t="str">
        <f>Data!B202</f>
        <v>4599</v>
      </c>
      <c r="B206" s="20" t="str">
        <f>INDEX(Data[],MATCH($A206,Data[Dist],0),MATCH(B$5,Data[#Headers],0))</f>
        <v>Nashua-Plainfield</v>
      </c>
      <c r="C206" s="21">
        <f>IF(Notes!$B$2="June",ROUND('Budget by Source'!C206/10,0)+P206,ROUND('Budget by Source'!C206/10,0))</f>
        <v>13248</v>
      </c>
      <c r="D206" s="21">
        <f>IF(Notes!$B$2="June",ROUND('Budget by Source'!D206/10,0)+Q206,ROUND('Budget by Source'!D206/10,0))</f>
        <v>55050</v>
      </c>
      <c r="E206" s="21">
        <f>IF(Notes!$B$2="June",ROUND('Budget by Source'!E206/10,0)+R206,ROUND('Budget by Source'!E206/10,0))</f>
        <v>4067</v>
      </c>
      <c r="F206" s="21">
        <f>IF(Notes!$B$2="June",ROUND('Budget by Source'!F206/10,0)+S206,ROUND('Budget by Source'!F206/10,0))</f>
        <v>4482</v>
      </c>
      <c r="G206" s="21">
        <f>IF(Notes!$B$2="June",ROUND('Budget by Source'!G206/10,0)+T206,ROUND('Budget by Source'!G206/10,0))</f>
        <v>22657</v>
      </c>
      <c r="H206" s="21">
        <f t="shared" si="9"/>
        <v>320534</v>
      </c>
      <c r="I206" s="21">
        <f>INDEX(Data[],MATCH($A206,Data[Dist],0),MATCH(I$5,Data[#Headers],0))</f>
        <v>420038</v>
      </c>
      <c r="K206" s="59">
        <f>INDEX('Payment Total'!$A$7:$H$331,MATCH('Payment by Source'!$A206,'Payment Total'!$A$7:$A$331,0),4)-I206</f>
        <v>0</v>
      </c>
      <c r="P206" s="138">
        <f>INDEX('Budget by Source'!$A$6:$I$330,MATCH('Payment by Source'!$A206,'Budget by Source'!$A$6:$A$330,0),MATCH(P$3,'Budget by Source'!$A$5:$I$5,0))-(ROUND(INDEX('Budget by Source'!$A$6:$I$330,MATCH('Payment by Source'!$A206,'Budget by Source'!$A$6:$A$330,0),MATCH(P$3,'Budget by Source'!$A$5:$I$5,0))/10,0)*10)</f>
        <v>-2</v>
      </c>
      <c r="Q206" s="138">
        <f>INDEX('Budget by Source'!$A$6:$I$330,MATCH('Payment by Source'!$A206,'Budget by Source'!$A$6:$A$330,0),MATCH(Q$3,'Budget by Source'!$A$5:$I$5,0))-(ROUND(INDEX('Budget by Source'!$A$6:$I$330,MATCH('Payment by Source'!$A206,'Budget by Source'!$A$6:$A$330,0),MATCH(Q$3,'Budget by Source'!$A$5:$I$5,0))/10,0)*10)</f>
        <v>-4</v>
      </c>
      <c r="R206" s="138">
        <f>INDEX('Budget by Source'!$A$6:$I$330,MATCH('Payment by Source'!$A206,'Budget by Source'!$A$6:$A$330,0),MATCH(R$3,'Budget by Source'!$A$5:$I$5,0))-(ROUND(INDEX('Budget by Source'!$A$6:$I$330,MATCH('Payment by Source'!$A206,'Budget by Source'!$A$6:$A$330,0),MATCH(R$3,'Budget by Source'!$A$5:$I$5,0))/10,0)*10)</f>
        <v>2</v>
      </c>
      <c r="S206" s="138">
        <f>INDEX('Budget by Source'!$A$6:$I$330,MATCH('Payment by Source'!$A206,'Budget by Source'!$A$6:$A$330,0),MATCH(S$3,'Budget by Source'!$A$5:$I$5,0))-(ROUND(INDEX('Budget by Source'!$A$6:$I$330,MATCH('Payment by Source'!$A206,'Budget by Source'!$A$6:$A$330,0),MATCH(S$3,'Budget by Source'!$A$5:$I$5,0))/10,0)*10)</f>
        <v>3</v>
      </c>
      <c r="T206" s="138">
        <f>INDEX('Budget by Source'!$A$6:$I$330,MATCH('Payment by Source'!$A206,'Budget by Source'!$A$6:$A$330,0),MATCH(T$3,'Budget by Source'!$A$5:$I$5,0))-(ROUND(INDEX('Budget by Source'!$A$6:$I$330,MATCH('Payment by Source'!$A206,'Budget by Source'!$A$6:$A$330,0),MATCH(T$3,'Budget by Source'!$A$5:$I$5,0))/10,0)*10)</f>
        <v>-2</v>
      </c>
      <c r="U206" s="139">
        <f>INDEX('Budget by Source'!$A$6:$I$330,MATCH('Payment by Source'!$A206,'Budget by Source'!$A$6:$A$330,0),MATCH(U$3,'Budget by Source'!$A$5:$I$5,0))</f>
        <v>3214257</v>
      </c>
      <c r="V206" s="136">
        <f t="shared" si="10"/>
        <v>321426</v>
      </c>
      <c r="W206" s="136">
        <f t="shared" si="11"/>
        <v>3214260</v>
      </c>
    </row>
    <row r="207" spans="1:23" x14ac:dyDescent="0.2">
      <c r="A207" s="22" t="str">
        <f>Data!B203</f>
        <v>4617</v>
      </c>
      <c r="B207" s="20" t="str">
        <f>INDEX(Data[],MATCH($A207,Data[Dist],0),MATCH(B$5,Data[#Headers],0))</f>
        <v>Nevada</v>
      </c>
      <c r="C207" s="21">
        <f>IF(Notes!$B$2="June",ROUND('Budget by Source'!C207/10,0)+P207,ROUND('Budget by Source'!C207/10,0))</f>
        <v>36237</v>
      </c>
      <c r="D207" s="21">
        <f>IF(Notes!$B$2="June",ROUND('Budget by Source'!D207/10,0)+Q207,ROUND('Budget by Source'!D207/10,0))</f>
        <v>111656</v>
      </c>
      <c r="E207" s="21">
        <f>IF(Notes!$B$2="June",ROUND('Budget by Source'!E207/10,0)+R207,ROUND('Budget by Source'!E207/10,0))</f>
        <v>12525</v>
      </c>
      <c r="F207" s="21">
        <f>IF(Notes!$B$2="June",ROUND('Budget by Source'!F207/10,0)+S207,ROUND('Budget by Source'!F207/10,0))</f>
        <v>11194</v>
      </c>
      <c r="G207" s="21">
        <f>IF(Notes!$B$2="June",ROUND('Budget by Source'!G207/10,0)+T207,ROUND('Budget by Source'!G207/10,0))</f>
        <v>52691</v>
      </c>
      <c r="H207" s="21">
        <f t="shared" si="9"/>
        <v>794720</v>
      </c>
      <c r="I207" s="21">
        <f>INDEX(Data[],MATCH($A207,Data[Dist],0),MATCH(I$5,Data[#Headers],0))</f>
        <v>1019023</v>
      </c>
      <c r="K207" s="59">
        <f>INDEX('Payment Total'!$A$7:$H$331,MATCH('Payment by Source'!$A207,'Payment Total'!$A$7:$A$331,0),4)-I207</f>
        <v>0</v>
      </c>
      <c r="P207" s="138">
        <f>INDEX('Budget by Source'!$A$6:$I$330,MATCH('Payment by Source'!$A207,'Budget by Source'!$A$6:$A$330,0),MATCH(P$3,'Budget by Source'!$A$5:$I$5,0))-(ROUND(INDEX('Budget by Source'!$A$6:$I$330,MATCH('Payment by Source'!$A207,'Budget by Source'!$A$6:$A$330,0),MATCH(P$3,'Budget by Source'!$A$5:$I$5,0))/10,0)*10)</f>
        <v>-3</v>
      </c>
      <c r="Q207" s="138">
        <f>INDEX('Budget by Source'!$A$6:$I$330,MATCH('Payment by Source'!$A207,'Budget by Source'!$A$6:$A$330,0),MATCH(Q$3,'Budget by Source'!$A$5:$I$5,0))-(ROUND(INDEX('Budget by Source'!$A$6:$I$330,MATCH('Payment by Source'!$A207,'Budget by Source'!$A$6:$A$330,0),MATCH(Q$3,'Budget by Source'!$A$5:$I$5,0))/10,0)*10)</f>
        <v>2</v>
      </c>
      <c r="R207" s="138">
        <f>INDEX('Budget by Source'!$A$6:$I$330,MATCH('Payment by Source'!$A207,'Budget by Source'!$A$6:$A$330,0),MATCH(R$3,'Budget by Source'!$A$5:$I$5,0))-(ROUND(INDEX('Budget by Source'!$A$6:$I$330,MATCH('Payment by Source'!$A207,'Budget by Source'!$A$6:$A$330,0),MATCH(R$3,'Budget by Source'!$A$5:$I$5,0))/10,0)*10)</f>
        <v>-2</v>
      </c>
      <c r="S207" s="138">
        <f>INDEX('Budget by Source'!$A$6:$I$330,MATCH('Payment by Source'!$A207,'Budget by Source'!$A$6:$A$330,0),MATCH(S$3,'Budget by Source'!$A$5:$I$5,0))-(ROUND(INDEX('Budget by Source'!$A$6:$I$330,MATCH('Payment by Source'!$A207,'Budget by Source'!$A$6:$A$330,0),MATCH(S$3,'Budget by Source'!$A$5:$I$5,0))/10,0)*10)</f>
        <v>1</v>
      </c>
      <c r="T207" s="138">
        <f>INDEX('Budget by Source'!$A$6:$I$330,MATCH('Payment by Source'!$A207,'Budget by Source'!$A$6:$A$330,0),MATCH(T$3,'Budget by Source'!$A$5:$I$5,0))-(ROUND(INDEX('Budget by Source'!$A$6:$I$330,MATCH('Payment by Source'!$A207,'Budget by Source'!$A$6:$A$330,0),MATCH(T$3,'Budget by Source'!$A$5:$I$5,0))/10,0)*10)</f>
        <v>0</v>
      </c>
      <c r="U207" s="139">
        <f>INDEX('Budget by Source'!$A$6:$I$330,MATCH('Payment by Source'!$A207,'Budget by Source'!$A$6:$A$330,0),MATCH(U$3,'Budget by Source'!$A$5:$I$5,0))</f>
        <v>7968013</v>
      </c>
      <c r="V207" s="136">
        <f t="shared" si="10"/>
        <v>796801</v>
      </c>
      <c r="W207" s="136">
        <f t="shared" si="11"/>
        <v>7968010</v>
      </c>
    </row>
    <row r="208" spans="1:23" x14ac:dyDescent="0.2">
      <c r="A208" s="22" t="str">
        <f>Data!B204</f>
        <v>4644</v>
      </c>
      <c r="B208" s="20" t="str">
        <f>INDEX(Data[],MATCH($A208,Data[Dist],0),MATCH(B$5,Data[#Headers],0))</f>
        <v>Newell-Fonda</v>
      </c>
      <c r="C208" s="21">
        <f>IF(Notes!$B$2="June",ROUND('Budget by Source'!C208/10,0)+P208,ROUND('Budget by Source'!C208/10,0))</f>
        <v>11300</v>
      </c>
      <c r="D208" s="21">
        <f>IF(Notes!$B$2="June",ROUND('Budget by Source'!D208/10,0)+Q208,ROUND('Budget by Source'!D208/10,0))</f>
        <v>51284</v>
      </c>
      <c r="E208" s="21">
        <f>IF(Notes!$B$2="June",ROUND('Budget by Source'!E208/10,0)+R208,ROUND('Budget by Source'!E208/10,0))</f>
        <v>4220</v>
      </c>
      <c r="F208" s="21">
        <f>IF(Notes!$B$2="June",ROUND('Budget by Source'!F208/10,0)+S208,ROUND('Budget by Source'!F208/10,0))</f>
        <v>3547</v>
      </c>
      <c r="G208" s="21">
        <f>IF(Notes!$B$2="June",ROUND('Budget by Source'!G208/10,0)+T208,ROUND('Budget by Source'!G208/10,0))</f>
        <v>18275</v>
      </c>
      <c r="H208" s="21">
        <f t="shared" si="9"/>
        <v>211704</v>
      </c>
      <c r="I208" s="21">
        <f>INDEX(Data[],MATCH($A208,Data[Dist],0),MATCH(I$5,Data[#Headers],0))</f>
        <v>300330</v>
      </c>
      <c r="K208" s="59">
        <f>INDEX('Payment Total'!$A$7:$H$331,MATCH('Payment by Source'!$A208,'Payment Total'!$A$7:$A$331,0),4)-I208</f>
        <v>0</v>
      </c>
      <c r="P208" s="138">
        <f>INDEX('Budget by Source'!$A$6:$I$330,MATCH('Payment by Source'!$A208,'Budget by Source'!$A$6:$A$330,0),MATCH(P$3,'Budget by Source'!$A$5:$I$5,0))-(ROUND(INDEX('Budget by Source'!$A$6:$I$330,MATCH('Payment by Source'!$A208,'Budget by Source'!$A$6:$A$330,0),MATCH(P$3,'Budget by Source'!$A$5:$I$5,0))/10,0)*10)</f>
        <v>-4</v>
      </c>
      <c r="Q208" s="138">
        <f>INDEX('Budget by Source'!$A$6:$I$330,MATCH('Payment by Source'!$A208,'Budget by Source'!$A$6:$A$330,0),MATCH(Q$3,'Budget by Source'!$A$5:$I$5,0))-(ROUND(INDEX('Budget by Source'!$A$6:$I$330,MATCH('Payment by Source'!$A208,'Budget by Source'!$A$6:$A$330,0),MATCH(Q$3,'Budget by Source'!$A$5:$I$5,0))/10,0)*10)</f>
        <v>0</v>
      </c>
      <c r="R208" s="138">
        <f>INDEX('Budget by Source'!$A$6:$I$330,MATCH('Payment by Source'!$A208,'Budget by Source'!$A$6:$A$330,0),MATCH(R$3,'Budget by Source'!$A$5:$I$5,0))-(ROUND(INDEX('Budget by Source'!$A$6:$I$330,MATCH('Payment by Source'!$A208,'Budget by Source'!$A$6:$A$330,0),MATCH(R$3,'Budget by Source'!$A$5:$I$5,0))/10,0)*10)</f>
        <v>-4</v>
      </c>
      <c r="S208" s="138">
        <f>INDEX('Budget by Source'!$A$6:$I$330,MATCH('Payment by Source'!$A208,'Budget by Source'!$A$6:$A$330,0),MATCH(S$3,'Budget by Source'!$A$5:$I$5,0))-(ROUND(INDEX('Budget by Source'!$A$6:$I$330,MATCH('Payment by Source'!$A208,'Budget by Source'!$A$6:$A$330,0),MATCH(S$3,'Budget by Source'!$A$5:$I$5,0))/10,0)*10)</f>
        <v>-3</v>
      </c>
      <c r="T208" s="138">
        <f>INDEX('Budget by Source'!$A$6:$I$330,MATCH('Payment by Source'!$A208,'Budget by Source'!$A$6:$A$330,0),MATCH(T$3,'Budget by Source'!$A$5:$I$5,0))-(ROUND(INDEX('Budget by Source'!$A$6:$I$330,MATCH('Payment by Source'!$A208,'Budget by Source'!$A$6:$A$330,0),MATCH(T$3,'Budget by Source'!$A$5:$I$5,0))/10,0)*10)</f>
        <v>4</v>
      </c>
      <c r="U208" s="139">
        <f>INDEX('Budget by Source'!$A$6:$I$330,MATCH('Payment by Source'!$A208,'Budget by Source'!$A$6:$A$330,0),MATCH(U$3,'Budget by Source'!$A$5:$I$5,0))</f>
        <v>2124209</v>
      </c>
      <c r="V208" s="136">
        <f t="shared" si="10"/>
        <v>212421</v>
      </c>
      <c r="W208" s="136">
        <f t="shared" si="11"/>
        <v>2124210</v>
      </c>
    </row>
    <row r="209" spans="1:23" x14ac:dyDescent="0.2">
      <c r="A209" s="22" t="str">
        <f>Data!B205</f>
        <v>4662</v>
      </c>
      <c r="B209" s="20" t="str">
        <f>INDEX(Data[],MATCH($A209,Data[Dist],0),MATCH(B$5,Data[#Headers],0))</f>
        <v>New Hampton</v>
      </c>
      <c r="C209" s="21">
        <f>IF(Notes!$B$2="June",ROUND('Budget by Source'!C209/10,0)+P209,ROUND('Budget by Source'!C209/10,0))</f>
        <v>26496</v>
      </c>
      <c r="D209" s="21">
        <f>IF(Notes!$B$2="June",ROUND('Budget by Source'!D209/10,0)+Q209,ROUND('Budget by Source'!D209/10,0))</f>
        <v>84481</v>
      </c>
      <c r="E209" s="21">
        <f>IF(Notes!$B$2="June",ROUND('Budget by Source'!E209/10,0)+R209,ROUND('Budget by Source'!E209/10,0))</f>
        <v>6448</v>
      </c>
      <c r="F209" s="21">
        <f>IF(Notes!$B$2="June",ROUND('Budget by Source'!F209/10,0)+S209,ROUND('Budget by Source'!F209/10,0))</f>
        <v>7538</v>
      </c>
      <c r="G209" s="21">
        <f>IF(Notes!$B$2="June",ROUND('Budget by Source'!G209/10,0)+T209,ROUND('Budget by Source'!G209/10,0))</f>
        <v>37872</v>
      </c>
      <c r="H209" s="21">
        <f t="shared" si="9"/>
        <v>476200</v>
      </c>
      <c r="I209" s="21">
        <f>INDEX(Data[],MATCH($A209,Data[Dist],0),MATCH(I$5,Data[#Headers],0))</f>
        <v>639035</v>
      </c>
      <c r="K209" s="59">
        <f>INDEX('Payment Total'!$A$7:$H$331,MATCH('Payment by Source'!$A209,'Payment Total'!$A$7:$A$331,0),4)-I209</f>
        <v>0</v>
      </c>
      <c r="P209" s="138">
        <f>INDEX('Budget by Source'!$A$6:$I$330,MATCH('Payment by Source'!$A209,'Budget by Source'!$A$6:$A$330,0),MATCH(P$3,'Budget by Source'!$A$5:$I$5,0))-(ROUND(INDEX('Budget by Source'!$A$6:$I$330,MATCH('Payment by Source'!$A209,'Budget by Source'!$A$6:$A$330,0),MATCH(P$3,'Budget by Source'!$A$5:$I$5,0))/10,0)*10)</f>
        <v>-4</v>
      </c>
      <c r="Q209" s="138">
        <f>INDEX('Budget by Source'!$A$6:$I$330,MATCH('Payment by Source'!$A209,'Budget by Source'!$A$6:$A$330,0),MATCH(Q$3,'Budget by Source'!$A$5:$I$5,0))-(ROUND(INDEX('Budget by Source'!$A$6:$I$330,MATCH('Payment by Source'!$A209,'Budget by Source'!$A$6:$A$330,0),MATCH(Q$3,'Budget by Source'!$A$5:$I$5,0))/10,0)*10)</f>
        <v>1</v>
      </c>
      <c r="R209" s="138">
        <f>INDEX('Budget by Source'!$A$6:$I$330,MATCH('Payment by Source'!$A209,'Budget by Source'!$A$6:$A$330,0),MATCH(R$3,'Budget by Source'!$A$5:$I$5,0))-(ROUND(INDEX('Budget by Source'!$A$6:$I$330,MATCH('Payment by Source'!$A209,'Budget by Source'!$A$6:$A$330,0),MATCH(R$3,'Budget by Source'!$A$5:$I$5,0))/10,0)*10)</f>
        <v>-3</v>
      </c>
      <c r="S209" s="138">
        <f>INDEX('Budget by Source'!$A$6:$I$330,MATCH('Payment by Source'!$A209,'Budget by Source'!$A$6:$A$330,0),MATCH(S$3,'Budget by Source'!$A$5:$I$5,0))-(ROUND(INDEX('Budget by Source'!$A$6:$I$330,MATCH('Payment by Source'!$A209,'Budget by Source'!$A$6:$A$330,0),MATCH(S$3,'Budget by Source'!$A$5:$I$5,0))/10,0)*10)</f>
        <v>-5</v>
      </c>
      <c r="T209" s="138">
        <f>INDEX('Budget by Source'!$A$6:$I$330,MATCH('Payment by Source'!$A209,'Budget by Source'!$A$6:$A$330,0),MATCH(T$3,'Budget by Source'!$A$5:$I$5,0))-(ROUND(INDEX('Budget by Source'!$A$6:$I$330,MATCH('Payment by Source'!$A209,'Budget by Source'!$A$6:$A$330,0),MATCH(T$3,'Budget by Source'!$A$5:$I$5,0))/10,0)*10)</f>
        <v>2</v>
      </c>
      <c r="U209" s="139">
        <f>INDEX('Budget by Source'!$A$6:$I$330,MATCH('Payment by Source'!$A209,'Budget by Source'!$A$6:$A$330,0),MATCH(U$3,'Budget by Source'!$A$5:$I$5,0))</f>
        <v>4776583</v>
      </c>
      <c r="V209" s="136">
        <f t="shared" si="10"/>
        <v>477658</v>
      </c>
      <c r="W209" s="136">
        <f t="shared" si="11"/>
        <v>4776580</v>
      </c>
    </row>
    <row r="210" spans="1:23" x14ac:dyDescent="0.2">
      <c r="A210" s="22" t="str">
        <f>Data!B206</f>
        <v>4689</v>
      </c>
      <c r="B210" s="20" t="str">
        <f>INDEX(Data[],MATCH($A210,Data[Dist],0),MATCH(B$5,Data[#Headers],0))</f>
        <v>New London</v>
      </c>
      <c r="C210" s="21">
        <f>IF(Notes!$B$2="June",ROUND('Budget by Source'!C210/10,0)+P210,ROUND('Budget by Source'!C210/10,0))</f>
        <v>12469</v>
      </c>
      <c r="D210" s="21">
        <f>IF(Notes!$B$2="June",ROUND('Budget by Source'!D210/10,0)+Q210,ROUND('Budget by Source'!D210/10,0))</f>
        <v>48928</v>
      </c>
      <c r="E210" s="21">
        <f>IF(Notes!$B$2="June",ROUND('Budget by Source'!E210/10,0)+R210,ROUND('Budget by Source'!E210/10,0))</f>
        <v>4417</v>
      </c>
      <c r="F210" s="21">
        <f>IF(Notes!$B$2="June",ROUND('Budget by Source'!F210/10,0)+S210,ROUND('Budget by Source'!F210/10,0))</f>
        <v>3923</v>
      </c>
      <c r="G210" s="21">
        <f>IF(Notes!$B$2="June",ROUND('Budget by Source'!G210/10,0)+T210,ROUND('Budget by Source'!G210/10,0))</f>
        <v>20137</v>
      </c>
      <c r="H210" s="21">
        <f t="shared" si="9"/>
        <v>363874</v>
      </c>
      <c r="I210" s="21">
        <f>INDEX(Data[],MATCH($A210,Data[Dist],0),MATCH(I$5,Data[#Headers],0))</f>
        <v>453748</v>
      </c>
      <c r="K210" s="59">
        <f>INDEX('Payment Total'!$A$7:$H$331,MATCH('Payment by Source'!$A210,'Payment Total'!$A$7:$A$331,0),4)-I210</f>
        <v>0</v>
      </c>
      <c r="P210" s="138">
        <f>INDEX('Budget by Source'!$A$6:$I$330,MATCH('Payment by Source'!$A210,'Budget by Source'!$A$6:$A$330,0),MATCH(P$3,'Budget by Source'!$A$5:$I$5,0))-(ROUND(INDEX('Budget by Source'!$A$6:$I$330,MATCH('Payment by Source'!$A210,'Budget by Source'!$A$6:$A$330,0),MATCH(P$3,'Budget by Source'!$A$5:$I$5,0))/10,0)*10)</f>
        <v>-5</v>
      </c>
      <c r="Q210" s="138">
        <f>INDEX('Budget by Source'!$A$6:$I$330,MATCH('Payment by Source'!$A210,'Budget by Source'!$A$6:$A$330,0),MATCH(Q$3,'Budget by Source'!$A$5:$I$5,0))-(ROUND(INDEX('Budget by Source'!$A$6:$I$330,MATCH('Payment by Source'!$A210,'Budget by Source'!$A$6:$A$330,0),MATCH(Q$3,'Budget by Source'!$A$5:$I$5,0))/10,0)*10)</f>
        <v>-1</v>
      </c>
      <c r="R210" s="138">
        <f>INDEX('Budget by Source'!$A$6:$I$330,MATCH('Payment by Source'!$A210,'Budget by Source'!$A$6:$A$330,0),MATCH(R$3,'Budget by Source'!$A$5:$I$5,0))-(ROUND(INDEX('Budget by Source'!$A$6:$I$330,MATCH('Payment by Source'!$A210,'Budget by Source'!$A$6:$A$330,0),MATCH(R$3,'Budget by Source'!$A$5:$I$5,0))/10,0)*10)</f>
        <v>3</v>
      </c>
      <c r="S210" s="138">
        <f>INDEX('Budget by Source'!$A$6:$I$330,MATCH('Payment by Source'!$A210,'Budget by Source'!$A$6:$A$330,0),MATCH(S$3,'Budget by Source'!$A$5:$I$5,0))-(ROUND(INDEX('Budget by Source'!$A$6:$I$330,MATCH('Payment by Source'!$A210,'Budget by Source'!$A$6:$A$330,0),MATCH(S$3,'Budget by Source'!$A$5:$I$5,0))/10,0)*10)</f>
        <v>1</v>
      </c>
      <c r="T210" s="138">
        <f>INDEX('Budget by Source'!$A$6:$I$330,MATCH('Payment by Source'!$A210,'Budget by Source'!$A$6:$A$330,0),MATCH(T$3,'Budget by Source'!$A$5:$I$5,0))-(ROUND(INDEX('Budget by Source'!$A$6:$I$330,MATCH('Payment by Source'!$A210,'Budget by Source'!$A$6:$A$330,0),MATCH(T$3,'Budget by Source'!$A$5:$I$5,0))/10,0)*10)</f>
        <v>3</v>
      </c>
      <c r="U210" s="139">
        <f>INDEX('Budget by Source'!$A$6:$I$330,MATCH('Payment by Source'!$A210,'Budget by Source'!$A$6:$A$330,0),MATCH(U$3,'Budget by Source'!$A$5:$I$5,0))</f>
        <v>3646747</v>
      </c>
      <c r="V210" s="136">
        <f t="shared" si="10"/>
        <v>364675</v>
      </c>
      <c r="W210" s="136">
        <f t="shared" si="11"/>
        <v>3646750</v>
      </c>
    </row>
    <row r="211" spans="1:23" x14ac:dyDescent="0.2">
      <c r="A211" s="22" t="str">
        <f>Data!B207</f>
        <v>4725</v>
      </c>
      <c r="B211" s="20" t="str">
        <f>INDEX(Data[],MATCH($A211,Data[Dist],0),MATCH(B$5,Data[#Headers],0))</f>
        <v>Newton</v>
      </c>
      <c r="C211" s="21">
        <f>IF(Notes!$B$2="June",ROUND('Budget by Source'!C211/10,0)+P211,ROUND('Budget by Source'!C211/10,0))</f>
        <v>40912</v>
      </c>
      <c r="D211" s="21">
        <f>IF(Notes!$B$2="June",ROUND('Budget by Source'!D211/10,0)+Q211,ROUND('Budget by Source'!D211/10,0))</f>
        <v>217630</v>
      </c>
      <c r="E211" s="21">
        <f>IF(Notes!$B$2="June",ROUND('Budget by Source'!E211/10,0)+R211,ROUND('Budget by Source'!E211/10,0))</f>
        <v>25443</v>
      </c>
      <c r="F211" s="21">
        <f>IF(Notes!$B$2="June",ROUND('Budget by Source'!F211/10,0)+S211,ROUND('Budget by Source'!F211/10,0))</f>
        <v>21950</v>
      </c>
      <c r="G211" s="21">
        <f>IF(Notes!$B$2="June",ROUND('Budget by Source'!G211/10,0)+T211,ROUND('Budget by Source'!G211/10,0))</f>
        <v>112593</v>
      </c>
      <c r="H211" s="21">
        <f t="shared" si="9"/>
        <v>1990911</v>
      </c>
      <c r="I211" s="21">
        <f>INDEX(Data[],MATCH($A211,Data[Dist],0),MATCH(I$5,Data[#Headers],0))</f>
        <v>2409439</v>
      </c>
      <c r="K211" s="59">
        <f>INDEX('Payment Total'!$A$7:$H$331,MATCH('Payment by Source'!$A211,'Payment Total'!$A$7:$A$331,0),4)-I211</f>
        <v>0</v>
      </c>
      <c r="P211" s="138">
        <f>INDEX('Budget by Source'!$A$6:$I$330,MATCH('Payment by Source'!$A211,'Budget by Source'!$A$6:$A$330,0),MATCH(P$3,'Budget by Source'!$A$5:$I$5,0))-(ROUND(INDEX('Budget by Source'!$A$6:$I$330,MATCH('Payment by Source'!$A211,'Budget by Source'!$A$6:$A$330,0),MATCH(P$3,'Budget by Source'!$A$5:$I$5,0))/10,0)*10)</f>
        <v>4</v>
      </c>
      <c r="Q211" s="138">
        <f>INDEX('Budget by Source'!$A$6:$I$330,MATCH('Payment by Source'!$A211,'Budget by Source'!$A$6:$A$330,0),MATCH(Q$3,'Budget by Source'!$A$5:$I$5,0))-(ROUND(INDEX('Budget by Source'!$A$6:$I$330,MATCH('Payment by Source'!$A211,'Budget by Source'!$A$6:$A$330,0),MATCH(Q$3,'Budget by Source'!$A$5:$I$5,0))/10,0)*10)</f>
        <v>-2</v>
      </c>
      <c r="R211" s="138">
        <f>INDEX('Budget by Source'!$A$6:$I$330,MATCH('Payment by Source'!$A211,'Budget by Source'!$A$6:$A$330,0),MATCH(R$3,'Budget by Source'!$A$5:$I$5,0))-(ROUND(INDEX('Budget by Source'!$A$6:$I$330,MATCH('Payment by Source'!$A211,'Budget by Source'!$A$6:$A$330,0),MATCH(R$3,'Budget by Source'!$A$5:$I$5,0))/10,0)*10)</f>
        <v>3</v>
      </c>
      <c r="S211" s="138">
        <f>INDEX('Budget by Source'!$A$6:$I$330,MATCH('Payment by Source'!$A211,'Budget by Source'!$A$6:$A$330,0),MATCH(S$3,'Budget by Source'!$A$5:$I$5,0))-(ROUND(INDEX('Budget by Source'!$A$6:$I$330,MATCH('Payment by Source'!$A211,'Budget by Source'!$A$6:$A$330,0),MATCH(S$3,'Budget by Source'!$A$5:$I$5,0))/10,0)*10)</f>
        <v>-1</v>
      </c>
      <c r="T211" s="138">
        <f>INDEX('Budget by Source'!$A$6:$I$330,MATCH('Payment by Source'!$A211,'Budget by Source'!$A$6:$A$330,0),MATCH(T$3,'Budget by Source'!$A$5:$I$5,0))-(ROUND(INDEX('Budget by Source'!$A$6:$I$330,MATCH('Payment by Source'!$A211,'Budget by Source'!$A$6:$A$330,0),MATCH(T$3,'Budget by Source'!$A$5:$I$5,0))/10,0)*10)</f>
        <v>0</v>
      </c>
      <c r="U211" s="139">
        <f>INDEX('Budget by Source'!$A$6:$I$330,MATCH('Payment by Source'!$A211,'Budget by Source'!$A$6:$A$330,0),MATCH(U$3,'Budget by Source'!$A$5:$I$5,0))</f>
        <v>19952827</v>
      </c>
      <c r="V211" s="136">
        <f t="shared" si="10"/>
        <v>1995283</v>
      </c>
      <c r="W211" s="136">
        <f t="shared" si="11"/>
        <v>19952830</v>
      </c>
    </row>
    <row r="212" spans="1:23" x14ac:dyDescent="0.2">
      <c r="A212" s="22" t="str">
        <f>Data!B208</f>
        <v>4772</v>
      </c>
      <c r="B212" s="20" t="str">
        <f>INDEX(Data[],MATCH($A212,Data[Dist],0),MATCH(B$5,Data[#Headers],0))</f>
        <v>Central Springs</v>
      </c>
      <c r="C212" s="21">
        <f>IF(Notes!$B$2="June",ROUND('Budget by Source'!C212/10,0)+P212,ROUND('Budget by Source'!C212/10,0))</f>
        <v>13638</v>
      </c>
      <c r="D212" s="21">
        <f>IF(Notes!$B$2="June",ROUND('Budget by Source'!D212/10,0)+Q212,ROUND('Budget by Source'!D212/10,0))</f>
        <v>76264</v>
      </c>
      <c r="E212" s="21">
        <f>IF(Notes!$B$2="June",ROUND('Budget by Source'!E212/10,0)+R212,ROUND('Budget by Source'!E212/10,0))</f>
        <v>5963</v>
      </c>
      <c r="F212" s="21">
        <f>IF(Notes!$B$2="June",ROUND('Budget by Source'!F212/10,0)+S212,ROUND('Budget by Source'!F212/10,0))</f>
        <v>6362</v>
      </c>
      <c r="G212" s="21">
        <f>IF(Notes!$B$2="June",ROUND('Budget by Source'!G212/10,0)+T212,ROUND('Budget by Source'!G212/10,0))</f>
        <v>30476</v>
      </c>
      <c r="H212" s="21">
        <f t="shared" si="9"/>
        <v>390132</v>
      </c>
      <c r="I212" s="21">
        <f>INDEX(Data[],MATCH($A212,Data[Dist],0),MATCH(I$5,Data[#Headers],0))</f>
        <v>522835</v>
      </c>
      <c r="K212" s="59">
        <f>INDEX('Payment Total'!$A$7:$H$331,MATCH('Payment by Source'!$A212,'Payment Total'!$A$7:$A$331,0),4)-I212</f>
        <v>0</v>
      </c>
      <c r="P212" s="138">
        <f>INDEX('Budget by Source'!$A$6:$I$330,MATCH('Payment by Source'!$A212,'Budget by Source'!$A$6:$A$330,0),MATCH(P$3,'Budget by Source'!$A$5:$I$5,0))-(ROUND(INDEX('Budget by Source'!$A$6:$I$330,MATCH('Payment by Source'!$A212,'Budget by Source'!$A$6:$A$330,0),MATCH(P$3,'Budget by Source'!$A$5:$I$5,0))/10,0)*10)</f>
        <v>-5</v>
      </c>
      <c r="Q212" s="138">
        <f>INDEX('Budget by Source'!$A$6:$I$330,MATCH('Payment by Source'!$A212,'Budget by Source'!$A$6:$A$330,0),MATCH(Q$3,'Budget by Source'!$A$5:$I$5,0))-(ROUND(INDEX('Budget by Source'!$A$6:$I$330,MATCH('Payment by Source'!$A212,'Budget by Source'!$A$6:$A$330,0),MATCH(Q$3,'Budget by Source'!$A$5:$I$5,0))/10,0)*10)</f>
        <v>4</v>
      </c>
      <c r="R212" s="138">
        <f>INDEX('Budget by Source'!$A$6:$I$330,MATCH('Payment by Source'!$A212,'Budget by Source'!$A$6:$A$330,0),MATCH(R$3,'Budget by Source'!$A$5:$I$5,0))-(ROUND(INDEX('Budget by Source'!$A$6:$I$330,MATCH('Payment by Source'!$A212,'Budget by Source'!$A$6:$A$330,0),MATCH(R$3,'Budget by Source'!$A$5:$I$5,0))/10,0)*10)</f>
        <v>1</v>
      </c>
      <c r="S212" s="138">
        <f>INDEX('Budget by Source'!$A$6:$I$330,MATCH('Payment by Source'!$A212,'Budget by Source'!$A$6:$A$330,0),MATCH(S$3,'Budget by Source'!$A$5:$I$5,0))-(ROUND(INDEX('Budget by Source'!$A$6:$I$330,MATCH('Payment by Source'!$A212,'Budget by Source'!$A$6:$A$330,0),MATCH(S$3,'Budget by Source'!$A$5:$I$5,0))/10,0)*10)</f>
        <v>4</v>
      </c>
      <c r="T212" s="138">
        <f>INDEX('Budget by Source'!$A$6:$I$330,MATCH('Payment by Source'!$A212,'Budget by Source'!$A$6:$A$330,0),MATCH(T$3,'Budget by Source'!$A$5:$I$5,0))-(ROUND(INDEX('Budget by Source'!$A$6:$I$330,MATCH('Payment by Source'!$A212,'Budget by Source'!$A$6:$A$330,0),MATCH(T$3,'Budget by Source'!$A$5:$I$5,0))/10,0)*10)</f>
        <v>1</v>
      </c>
      <c r="U212" s="139">
        <f>INDEX('Budget by Source'!$A$6:$I$330,MATCH('Payment by Source'!$A212,'Budget by Source'!$A$6:$A$330,0),MATCH(U$3,'Budget by Source'!$A$5:$I$5,0))</f>
        <v>3913069</v>
      </c>
      <c r="V212" s="136">
        <f t="shared" si="10"/>
        <v>391307</v>
      </c>
      <c r="W212" s="136">
        <f t="shared" si="11"/>
        <v>3913070</v>
      </c>
    </row>
    <row r="213" spans="1:23" x14ac:dyDescent="0.2">
      <c r="A213" s="22" t="str">
        <f>Data!B209</f>
        <v>4773</v>
      </c>
      <c r="B213" s="20" t="str">
        <f>INDEX(Data[],MATCH($A213,Data[Dist],0),MATCH(B$5,Data[#Headers],0))</f>
        <v>Northeast</v>
      </c>
      <c r="C213" s="21">
        <f>IF(Notes!$B$2="June",ROUND('Budget by Source'!C213/10,0)+P213,ROUND('Budget by Source'!C213/10,0))</f>
        <v>14806</v>
      </c>
      <c r="D213" s="21">
        <f>IF(Notes!$B$2="June",ROUND('Budget by Source'!D213/10,0)+Q213,ROUND('Budget by Source'!D213/10,0))</f>
        <v>63891</v>
      </c>
      <c r="E213" s="21">
        <f>IF(Notes!$B$2="June",ROUND('Budget by Source'!E213/10,0)+R213,ROUND('Budget by Source'!E213/10,0))</f>
        <v>4489</v>
      </c>
      <c r="F213" s="21">
        <f>IF(Notes!$B$2="June",ROUND('Budget by Source'!F213/10,0)+S213,ROUND('Budget by Source'!F213/10,0))</f>
        <v>4181</v>
      </c>
      <c r="G213" s="21">
        <f>IF(Notes!$B$2="June",ROUND('Budget by Source'!G213/10,0)+T213,ROUND('Budget by Source'!G213/10,0))</f>
        <v>19422</v>
      </c>
      <c r="H213" s="21">
        <f t="shared" si="9"/>
        <v>270039</v>
      </c>
      <c r="I213" s="21">
        <f>INDEX(Data[],MATCH($A213,Data[Dist],0),MATCH(I$5,Data[#Headers],0))</f>
        <v>376828</v>
      </c>
      <c r="K213" s="59">
        <f>INDEX('Payment Total'!$A$7:$H$331,MATCH('Payment by Source'!$A213,'Payment Total'!$A$7:$A$331,0),4)-I213</f>
        <v>0</v>
      </c>
      <c r="P213" s="138">
        <f>INDEX('Budget by Source'!$A$6:$I$330,MATCH('Payment by Source'!$A213,'Budget by Source'!$A$6:$A$330,0),MATCH(P$3,'Budget by Source'!$A$5:$I$5,0))-(ROUND(INDEX('Budget by Source'!$A$6:$I$330,MATCH('Payment by Source'!$A213,'Budget by Source'!$A$6:$A$330,0),MATCH(P$3,'Budget by Source'!$A$5:$I$5,0))/10,0)*10)</f>
        <v>4</v>
      </c>
      <c r="Q213" s="138">
        <f>INDEX('Budget by Source'!$A$6:$I$330,MATCH('Payment by Source'!$A213,'Budget by Source'!$A$6:$A$330,0),MATCH(Q$3,'Budget by Source'!$A$5:$I$5,0))-(ROUND(INDEX('Budget by Source'!$A$6:$I$330,MATCH('Payment by Source'!$A213,'Budget by Source'!$A$6:$A$330,0),MATCH(Q$3,'Budget by Source'!$A$5:$I$5,0))/10,0)*10)</f>
        <v>-1</v>
      </c>
      <c r="R213" s="138">
        <f>INDEX('Budget by Source'!$A$6:$I$330,MATCH('Payment by Source'!$A213,'Budget by Source'!$A$6:$A$330,0),MATCH(R$3,'Budget by Source'!$A$5:$I$5,0))-(ROUND(INDEX('Budget by Source'!$A$6:$I$330,MATCH('Payment by Source'!$A213,'Budget by Source'!$A$6:$A$330,0),MATCH(R$3,'Budget by Source'!$A$5:$I$5,0))/10,0)*10)</f>
        <v>0</v>
      </c>
      <c r="S213" s="138">
        <f>INDEX('Budget by Source'!$A$6:$I$330,MATCH('Payment by Source'!$A213,'Budget by Source'!$A$6:$A$330,0),MATCH(S$3,'Budget by Source'!$A$5:$I$5,0))-(ROUND(INDEX('Budget by Source'!$A$6:$I$330,MATCH('Payment by Source'!$A213,'Budget by Source'!$A$6:$A$330,0),MATCH(S$3,'Budget by Source'!$A$5:$I$5,0))/10,0)*10)</f>
        <v>2</v>
      </c>
      <c r="T213" s="138">
        <f>INDEX('Budget by Source'!$A$6:$I$330,MATCH('Payment by Source'!$A213,'Budget by Source'!$A$6:$A$330,0),MATCH(T$3,'Budget by Source'!$A$5:$I$5,0))-(ROUND(INDEX('Budget by Source'!$A$6:$I$330,MATCH('Payment by Source'!$A213,'Budget by Source'!$A$6:$A$330,0),MATCH(T$3,'Budget by Source'!$A$5:$I$5,0))/10,0)*10)</f>
        <v>-5</v>
      </c>
      <c r="U213" s="139">
        <f>INDEX('Budget by Source'!$A$6:$I$330,MATCH('Payment by Source'!$A213,'Budget by Source'!$A$6:$A$330,0),MATCH(U$3,'Budget by Source'!$A$5:$I$5,0))</f>
        <v>2707997</v>
      </c>
      <c r="V213" s="136">
        <f t="shared" si="10"/>
        <v>270800</v>
      </c>
      <c r="W213" s="136">
        <f t="shared" si="11"/>
        <v>2708000</v>
      </c>
    </row>
    <row r="214" spans="1:23" x14ac:dyDescent="0.2">
      <c r="A214" s="22" t="str">
        <f>Data!B210</f>
        <v>4774</v>
      </c>
      <c r="B214" s="20" t="str">
        <f>INDEX(Data[],MATCH($A214,Data[Dist],0),MATCH(B$5,Data[#Headers],0))</f>
        <v>North Fayette Valley</v>
      </c>
      <c r="C214" s="21">
        <f>IF(Notes!$B$2="June",ROUND('Budget by Source'!C214/10,0)+P214,ROUND('Budget by Source'!C214/10,0))</f>
        <v>19482</v>
      </c>
      <c r="D214" s="21">
        <f>IF(Notes!$B$2="June",ROUND('Budget by Source'!D214/10,0)+Q214,ROUND('Budget by Source'!D214/10,0))</f>
        <v>88819</v>
      </c>
      <c r="E214" s="21">
        <f>IF(Notes!$B$2="June",ROUND('Budget by Source'!E214/10,0)+R214,ROUND('Budget by Source'!E214/10,0))</f>
        <v>8389</v>
      </c>
      <c r="F214" s="21">
        <f>IF(Notes!$B$2="June",ROUND('Budget by Source'!F214/10,0)+S214,ROUND('Budget by Source'!F214/10,0))</f>
        <v>8309</v>
      </c>
      <c r="G214" s="21">
        <f>IF(Notes!$B$2="June",ROUND('Budget by Source'!G214/10,0)+T214,ROUND('Budget by Source'!G214/10,0))</f>
        <v>41939</v>
      </c>
      <c r="H214" s="21">
        <f t="shared" si="9"/>
        <v>658537</v>
      </c>
      <c r="I214" s="21">
        <f>INDEX(Data[],MATCH($A214,Data[Dist],0),MATCH(I$5,Data[#Headers],0))</f>
        <v>825475</v>
      </c>
      <c r="K214" s="59">
        <f>INDEX('Payment Total'!$A$7:$H$331,MATCH('Payment by Source'!$A214,'Payment Total'!$A$7:$A$331,0),4)-I214</f>
        <v>0</v>
      </c>
      <c r="P214" s="138">
        <f>INDEX('Budget by Source'!$A$6:$I$330,MATCH('Payment by Source'!$A214,'Budget by Source'!$A$6:$A$330,0),MATCH(P$3,'Budget by Source'!$A$5:$I$5,0))-(ROUND(INDEX('Budget by Source'!$A$6:$I$330,MATCH('Payment by Source'!$A214,'Budget by Source'!$A$6:$A$330,0),MATCH(P$3,'Budget by Source'!$A$5:$I$5,0))/10,0)*10)</f>
        <v>1</v>
      </c>
      <c r="Q214" s="138">
        <f>INDEX('Budget by Source'!$A$6:$I$330,MATCH('Payment by Source'!$A214,'Budget by Source'!$A$6:$A$330,0),MATCH(Q$3,'Budget by Source'!$A$5:$I$5,0))-(ROUND(INDEX('Budget by Source'!$A$6:$I$330,MATCH('Payment by Source'!$A214,'Budget by Source'!$A$6:$A$330,0),MATCH(Q$3,'Budget by Source'!$A$5:$I$5,0))/10,0)*10)</f>
        <v>0</v>
      </c>
      <c r="R214" s="138">
        <f>INDEX('Budget by Source'!$A$6:$I$330,MATCH('Payment by Source'!$A214,'Budget by Source'!$A$6:$A$330,0),MATCH(R$3,'Budget by Source'!$A$5:$I$5,0))-(ROUND(INDEX('Budget by Source'!$A$6:$I$330,MATCH('Payment by Source'!$A214,'Budget by Source'!$A$6:$A$330,0),MATCH(R$3,'Budget by Source'!$A$5:$I$5,0))/10,0)*10)</f>
        <v>-4</v>
      </c>
      <c r="S214" s="138">
        <f>INDEX('Budget by Source'!$A$6:$I$330,MATCH('Payment by Source'!$A214,'Budget by Source'!$A$6:$A$330,0),MATCH(S$3,'Budget by Source'!$A$5:$I$5,0))-(ROUND(INDEX('Budget by Source'!$A$6:$I$330,MATCH('Payment by Source'!$A214,'Budget by Source'!$A$6:$A$330,0),MATCH(S$3,'Budget by Source'!$A$5:$I$5,0))/10,0)*10)</f>
        <v>-5</v>
      </c>
      <c r="T214" s="138">
        <f>INDEX('Budget by Source'!$A$6:$I$330,MATCH('Payment by Source'!$A214,'Budget by Source'!$A$6:$A$330,0),MATCH(T$3,'Budget by Source'!$A$5:$I$5,0))-(ROUND(INDEX('Budget by Source'!$A$6:$I$330,MATCH('Payment by Source'!$A214,'Budget by Source'!$A$6:$A$330,0),MATCH(T$3,'Budget by Source'!$A$5:$I$5,0))/10,0)*10)</f>
        <v>-3</v>
      </c>
      <c r="U214" s="139">
        <f>INDEX('Budget by Source'!$A$6:$I$330,MATCH('Payment by Source'!$A214,'Budget by Source'!$A$6:$A$330,0),MATCH(U$3,'Budget by Source'!$A$5:$I$5,0))</f>
        <v>6601994</v>
      </c>
      <c r="V214" s="136">
        <f t="shared" si="10"/>
        <v>660199</v>
      </c>
      <c r="W214" s="136">
        <f t="shared" si="11"/>
        <v>6601990</v>
      </c>
    </row>
    <row r="215" spans="1:23" x14ac:dyDescent="0.2">
      <c r="A215" s="22" t="str">
        <f>Data!B211</f>
        <v>4776</v>
      </c>
      <c r="B215" s="20" t="str">
        <f>INDEX(Data[],MATCH($A215,Data[Dist],0),MATCH(B$5,Data[#Headers],0))</f>
        <v>North Mahaska</v>
      </c>
      <c r="C215" s="21">
        <f>IF(Notes!$B$2="June",ROUND('Budget by Source'!C215/10,0)+P215,ROUND('Budget by Source'!C215/10,0))</f>
        <v>14417</v>
      </c>
      <c r="D215" s="21">
        <f>IF(Notes!$B$2="June",ROUND('Budget by Source'!D215/10,0)+Q215,ROUND('Budget by Source'!D215/10,0))</f>
        <v>62756</v>
      </c>
      <c r="E215" s="21">
        <f>IF(Notes!$B$2="June",ROUND('Budget by Source'!E215/10,0)+R215,ROUND('Budget by Source'!E215/10,0))</f>
        <v>4327</v>
      </c>
      <c r="F215" s="21">
        <f>IF(Notes!$B$2="June",ROUND('Budget by Source'!F215/10,0)+S215,ROUND('Budget by Source'!F215/10,0))</f>
        <v>3731</v>
      </c>
      <c r="G215" s="21">
        <f>IF(Notes!$B$2="June",ROUND('Budget by Source'!G215/10,0)+T215,ROUND('Budget by Source'!G215/10,0))</f>
        <v>18604</v>
      </c>
      <c r="H215" s="21">
        <f t="shared" si="9"/>
        <v>219464</v>
      </c>
      <c r="I215" s="21">
        <f>INDEX(Data[],MATCH($A215,Data[Dist],0),MATCH(I$5,Data[#Headers],0))</f>
        <v>323299</v>
      </c>
      <c r="K215" s="59">
        <f>INDEX('Payment Total'!$A$7:$H$331,MATCH('Payment by Source'!$A215,'Payment Total'!$A$7:$A$331,0),4)-I215</f>
        <v>0</v>
      </c>
      <c r="P215" s="138">
        <f>INDEX('Budget by Source'!$A$6:$I$330,MATCH('Payment by Source'!$A215,'Budget by Source'!$A$6:$A$330,0),MATCH(P$3,'Budget by Source'!$A$5:$I$5,0))-(ROUND(INDEX('Budget by Source'!$A$6:$I$330,MATCH('Payment by Source'!$A215,'Budget by Source'!$A$6:$A$330,0),MATCH(P$3,'Budget by Source'!$A$5:$I$5,0))/10,0)*10)</f>
        <v>-3</v>
      </c>
      <c r="Q215" s="138">
        <f>INDEX('Budget by Source'!$A$6:$I$330,MATCH('Payment by Source'!$A215,'Budget by Source'!$A$6:$A$330,0),MATCH(Q$3,'Budget by Source'!$A$5:$I$5,0))-(ROUND(INDEX('Budget by Source'!$A$6:$I$330,MATCH('Payment by Source'!$A215,'Budget by Source'!$A$6:$A$330,0),MATCH(Q$3,'Budget by Source'!$A$5:$I$5,0))/10,0)*10)</f>
        <v>3</v>
      </c>
      <c r="R215" s="138">
        <f>INDEX('Budget by Source'!$A$6:$I$330,MATCH('Payment by Source'!$A215,'Budget by Source'!$A$6:$A$330,0),MATCH(R$3,'Budget by Source'!$A$5:$I$5,0))-(ROUND(INDEX('Budget by Source'!$A$6:$I$330,MATCH('Payment by Source'!$A215,'Budget by Source'!$A$6:$A$330,0),MATCH(R$3,'Budget by Source'!$A$5:$I$5,0))/10,0)*10)</f>
        <v>-4</v>
      </c>
      <c r="S215" s="138">
        <f>INDEX('Budget by Source'!$A$6:$I$330,MATCH('Payment by Source'!$A215,'Budget by Source'!$A$6:$A$330,0),MATCH(S$3,'Budget by Source'!$A$5:$I$5,0))-(ROUND(INDEX('Budget by Source'!$A$6:$I$330,MATCH('Payment by Source'!$A215,'Budget by Source'!$A$6:$A$330,0),MATCH(S$3,'Budget by Source'!$A$5:$I$5,0))/10,0)*10)</f>
        <v>2</v>
      </c>
      <c r="T215" s="138">
        <f>INDEX('Budget by Source'!$A$6:$I$330,MATCH('Payment by Source'!$A215,'Budget by Source'!$A$6:$A$330,0),MATCH(T$3,'Budget by Source'!$A$5:$I$5,0))-(ROUND(INDEX('Budget by Source'!$A$6:$I$330,MATCH('Payment by Source'!$A215,'Budget by Source'!$A$6:$A$330,0),MATCH(T$3,'Budget by Source'!$A$5:$I$5,0))/10,0)*10)</f>
        <v>-3</v>
      </c>
      <c r="U215" s="139">
        <f>INDEX('Budget by Source'!$A$6:$I$330,MATCH('Payment by Source'!$A215,'Budget by Source'!$A$6:$A$330,0),MATCH(U$3,'Budget by Source'!$A$5:$I$5,0))</f>
        <v>2201724</v>
      </c>
      <c r="V215" s="136">
        <f t="shared" si="10"/>
        <v>220172</v>
      </c>
      <c r="W215" s="136">
        <f t="shared" si="11"/>
        <v>2201720</v>
      </c>
    </row>
    <row r="216" spans="1:23" x14ac:dyDescent="0.2">
      <c r="A216" s="22" t="str">
        <f>Data!B212</f>
        <v>4777</v>
      </c>
      <c r="B216" s="20" t="str">
        <f>INDEX(Data[],MATCH($A216,Data[Dist],0),MATCH(B$5,Data[#Headers],0))</f>
        <v>North Linn</v>
      </c>
      <c r="C216" s="21">
        <f>IF(Notes!$B$2="June",ROUND('Budget by Source'!C216/10,0)+P216,ROUND('Budget by Source'!C216/10,0))</f>
        <v>14417</v>
      </c>
      <c r="D216" s="21">
        <f>IF(Notes!$B$2="June",ROUND('Budget by Source'!D216/10,0)+Q216,ROUND('Budget by Source'!D216/10,0))</f>
        <v>50130</v>
      </c>
      <c r="E216" s="21">
        <f>IF(Notes!$B$2="June",ROUND('Budget by Source'!E216/10,0)+R216,ROUND('Budget by Source'!E216/10,0))</f>
        <v>3855</v>
      </c>
      <c r="F216" s="21">
        <f>IF(Notes!$B$2="June",ROUND('Budget by Source'!F216/10,0)+S216,ROUND('Budget by Source'!F216/10,0))</f>
        <v>3817</v>
      </c>
      <c r="G216" s="21">
        <f>IF(Notes!$B$2="June",ROUND('Budget by Source'!G216/10,0)+T216,ROUND('Budget by Source'!G216/10,0))</f>
        <v>20632</v>
      </c>
      <c r="H216" s="21">
        <f t="shared" si="9"/>
        <v>273795</v>
      </c>
      <c r="I216" s="21">
        <f>INDEX(Data[],MATCH($A216,Data[Dist],0),MATCH(I$5,Data[#Headers],0))</f>
        <v>366646</v>
      </c>
      <c r="K216" s="59">
        <f>INDEX('Payment Total'!$A$7:$H$331,MATCH('Payment by Source'!$A216,'Payment Total'!$A$7:$A$331,0),4)-I216</f>
        <v>0</v>
      </c>
      <c r="P216" s="138">
        <f>INDEX('Budget by Source'!$A$6:$I$330,MATCH('Payment by Source'!$A216,'Budget by Source'!$A$6:$A$330,0),MATCH(P$3,'Budget by Source'!$A$5:$I$5,0))-(ROUND(INDEX('Budget by Source'!$A$6:$I$330,MATCH('Payment by Source'!$A216,'Budget by Source'!$A$6:$A$330,0),MATCH(P$3,'Budget by Source'!$A$5:$I$5,0))/10,0)*10)</f>
        <v>-3</v>
      </c>
      <c r="Q216" s="138">
        <f>INDEX('Budget by Source'!$A$6:$I$330,MATCH('Payment by Source'!$A216,'Budget by Source'!$A$6:$A$330,0),MATCH(Q$3,'Budget by Source'!$A$5:$I$5,0))-(ROUND(INDEX('Budget by Source'!$A$6:$I$330,MATCH('Payment by Source'!$A216,'Budget by Source'!$A$6:$A$330,0),MATCH(Q$3,'Budget by Source'!$A$5:$I$5,0))/10,0)*10)</f>
        <v>2</v>
      </c>
      <c r="R216" s="138">
        <f>INDEX('Budget by Source'!$A$6:$I$330,MATCH('Payment by Source'!$A216,'Budget by Source'!$A$6:$A$330,0),MATCH(R$3,'Budget by Source'!$A$5:$I$5,0))-(ROUND(INDEX('Budget by Source'!$A$6:$I$330,MATCH('Payment by Source'!$A216,'Budget by Source'!$A$6:$A$330,0),MATCH(R$3,'Budget by Source'!$A$5:$I$5,0))/10,0)*10)</f>
        <v>1</v>
      </c>
      <c r="S216" s="138">
        <f>INDEX('Budget by Source'!$A$6:$I$330,MATCH('Payment by Source'!$A216,'Budget by Source'!$A$6:$A$330,0),MATCH(S$3,'Budget by Source'!$A$5:$I$5,0))-(ROUND(INDEX('Budget by Source'!$A$6:$I$330,MATCH('Payment by Source'!$A216,'Budget by Source'!$A$6:$A$330,0),MATCH(S$3,'Budget by Source'!$A$5:$I$5,0))/10,0)*10)</f>
        <v>-2</v>
      </c>
      <c r="T216" s="138">
        <f>INDEX('Budget by Source'!$A$6:$I$330,MATCH('Payment by Source'!$A216,'Budget by Source'!$A$6:$A$330,0),MATCH(T$3,'Budget by Source'!$A$5:$I$5,0))-(ROUND(INDEX('Budget by Source'!$A$6:$I$330,MATCH('Payment by Source'!$A216,'Budget by Source'!$A$6:$A$330,0),MATCH(T$3,'Budget by Source'!$A$5:$I$5,0))/10,0)*10)</f>
        <v>2</v>
      </c>
      <c r="U216" s="139">
        <f>INDEX('Budget by Source'!$A$6:$I$330,MATCH('Payment by Source'!$A216,'Budget by Source'!$A$6:$A$330,0),MATCH(U$3,'Budget by Source'!$A$5:$I$5,0))</f>
        <v>2746132</v>
      </c>
      <c r="V216" s="136">
        <f t="shared" si="10"/>
        <v>274613</v>
      </c>
      <c r="W216" s="136">
        <f t="shared" si="11"/>
        <v>2746130</v>
      </c>
    </row>
    <row r="217" spans="1:23" x14ac:dyDescent="0.2">
      <c r="A217" s="22" t="str">
        <f>Data!B213</f>
        <v>4778</v>
      </c>
      <c r="B217" s="20" t="str">
        <f>INDEX(Data[],MATCH($A217,Data[Dist],0),MATCH(B$5,Data[#Headers],0))</f>
        <v>North Kossuth</v>
      </c>
      <c r="C217" s="21">
        <f>IF(Notes!$B$2="June",ROUND('Budget by Source'!C217/10,0)+P217,ROUND('Budget by Source'!C217/10,0))</f>
        <v>8572</v>
      </c>
      <c r="D217" s="21">
        <f>IF(Notes!$B$2="June",ROUND('Budget by Source'!D217/10,0)+Q217,ROUND('Budget by Source'!D217/10,0))</f>
        <v>30732</v>
      </c>
      <c r="E217" s="21">
        <f>IF(Notes!$B$2="June",ROUND('Budget by Source'!E217/10,0)+R217,ROUND('Budget by Source'!E217/10,0))</f>
        <v>1811</v>
      </c>
      <c r="F217" s="21">
        <f>IF(Notes!$B$2="June",ROUND('Budget by Source'!F217/10,0)+S217,ROUND('Budget by Source'!F217/10,0))</f>
        <v>1970</v>
      </c>
      <c r="G217" s="21">
        <f>IF(Notes!$B$2="June",ROUND('Budget by Source'!G217/10,0)+T217,ROUND('Budget by Source'!G217/10,0))</f>
        <v>9640</v>
      </c>
      <c r="H217" s="21">
        <f t="shared" si="9"/>
        <v>44587</v>
      </c>
      <c r="I217" s="21">
        <f>INDEX(Data[],MATCH($A217,Data[Dist],0),MATCH(I$5,Data[#Headers],0))</f>
        <v>97312</v>
      </c>
      <c r="K217" s="59">
        <f>INDEX('Payment Total'!$A$7:$H$331,MATCH('Payment by Source'!$A217,'Payment Total'!$A$7:$A$331,0),4)-I217</f>
        <v>0</v>
      </c>
      <c r="P217" s="138">
        <f>INDEX('Budget by Source'!$A$6:$I$330,MATCH('Payment by Source'!$A217,'Budget by Source'!$A$6:$A$330,0),MATCH(P$3,'Budget by Source'!$A$5:$I$5,0))-(ROUND(INDEX('Budget by Source'!$A$6:$I$330,MATCH('Payment by Source'!$A217,'Budget by Source'!$A$6:$A$330,0),MATCH(P$3,'Budget by Source'!$A$5:$I$5,0))/10,0)*10)</f>
        <v>1</v>
      </c>
      <c r="Q217" s="138">
        <f>INDEX('Budget by Source'!$A$6:$I$330,MATCH('Payment by Source'!$A217,'Budget by Source'!$A$6:$A$330,0),MATCH(Q$3,'Budget by Source'!$A$5:$I$5,0))-(ROUND(INDEX('Budget by Source'!$A$6:$I$330,MATCH('Payment by Source'!$A217,'Budget by Source'!$A$6:$A$330,0),MATCH(Q$3,'Budget by Source'!$A$5:$I$5,0))/10,0)*10)</f>
        <v>2</v>
      </c>
      <c r="R217" s="138">
        <f>INDEX('Budget by Source'!$A$6:$I$330,MATCH('Payment by Source'!$A217,'Budget by Source'!$A$6:$A$330,0),MATCH(R$3,'Budget by Source'!$A$5:$I$5,0))-(ROUND(INDEX('Budget by Source'!$A$6:$I$330,MATCH('Payment by Source'!$A217,'Budget by Source'!$A$6:$A$330,0),MATCH(R$3,'Budget by Source'!$A$5:$I$5,0))/10,0)*10)</f>
        <v>-4</v>
      </c>
      <c r="S217" s="138">
        <f>INDEX('Budget by Source'!$A$6:$I$330,MATCH('Payment by Source'!$A217,'Budget by Source'!$A$6:$A$330,0),MATCH(S$3,'Budget by Source'!$A$5:$I$5,0))-(ROUND(INDEX('Budget by Source'!$A$6:$I$330,MATCH('Payment by Source'!$A217,'Budget by Source'!$A$6:$A$330,0),MATCH(S$3,'Budget by Source'!$A$5:$I$5,0))/10,0)*10)</f>
        <v>4</v>
      </c>
      <c r="T217" s="138">
        <f>INDEX('Budget by Source'!$A$6:$I$330,MATCH('Payment by Source'!$A217,'Budget by Source'!$A$6:$A$330,0),MATCH(T$3,'Budget by Source'!$A$5:$I$5,0))-(ROUND(INDEX('Budget by Source'!$A$6:$I$330,MATCH('Payment by Source'!$A217,'Budget by Source'!$A$6:$A$330,0),MATCH(T$3,'Budget by Source'!$A$5:$I$5,0))/10,0)*10)</f>
        <v>-1</v>
      </c>
      <c r="U217" s="139">
        <f>INDEX('Budget by Source'!$A$6:$I$330,MATCH('Payment by Source'!$A217,'Budget by Source'!$A$6:$A$330,0),MATCH(U$3,'Budget by Source'!$A$5:$I$5,0))</f>
        <v>449522</v>
      </c>
      <c r="V217" s="136">
        <f t="shared" si="10"/>
        <v>44952</v>
      </c>
      <c r="W217" s="136">
        <f t="shared" si="11"/>
        <v>449520</v>
      </c>
    </row>
    <row r="218" spans="1:23" x14ac:dyDescent="0.2">
      <c r="A218" s="22" t="str">
        <f>Data!B214</f>
        <v>4779</v>
      </c>
      <c r="B218" s="20" t="str">
        <f>INDEX(Data[],MATCH($A218,Data[Dist],0),MATCH(B$5,Data[#Headers],0))</f>
        <v>North Polk</v>
      </c>
      <c r="C218" s="21">
        <f>IF(Notes!$B$2="June",ROUND('Budget by Source'!C218/10,0)+P218,ROUND('Budget by Source'!C218/10,0))</f>
        <v>38964</v>
      </c>
      <c r="D218" s="21">
        <f>IF(Notes!$B$2="June",ROUND('Budget by Source'!D218/10,0)+Q218,ROUND('Budget by Source'!D218/10,0))</f>
        <v>157672</v>
      </c>
      <c r="E218" s="21">
        <f>IF(Notes!$B$2="June",ROUND('Budget by Source'!E218/10,0)+R218,ROUND('Budget by Source'!E218/10,0))</f>
        <v>14367</v>
      </c>
      <c r="F218" s="21">
        <f>IF(Notes!$B$2="June",ROUND('Budget by Source'!F218/10,0)+S218,ROUND('Budget by Source'!F218/10,0))</f>
        <v>14348</v>
      </c>
      <c r="G218" s="21">
        <f>IF(Notes!$B$2="June",ROUND('Budget by Source'!G218/10,0)+T218,ROUND('Budget by Source'!G218/10,0))</f>
        <v>81573</v>
      </c>
      <c r="H218" s="21">
        <f t="shared" si="9"/>
        <v>1293351</v>
      </c>
      <c r="I218" s="21">
        <f>INDEX(Data[],MATCH($A218,Data[Dist],0),MATCH(I$5,Data[#Headers],0))</f>
        <v>1600275</v>
      </c>
      <c r="K218" s="59">
        <f>INDEX('Payment Total'!$A$7:$H$331,MATCH('Payment by Source'!$A218,'Payment Total'!$A$7:$A$331,0),4)-I218</f>
        <v>0</v>
      </c>
      <c r="P218" s="138">
        <f>INDEX('Budget by Source'!$A$6:$I$330,MATCH('Payment by Source'!$A218,'Budget by Source'!$A$6:$A$330,0),MATCH(P$3,'Budget by Source'!$A$5:$I$5,0))-(ROUND(INDEX('Budget by Source'!$A$6:$I$330,MATCH('Payment by Source'!$A218,'Budget by Source'!$A$6:$A$330,0),MATCH(P$3,'Budget by Source'!$A$5:$I$5,0))/10,0)*10)</f>
        <v>1</v>
      </c>
      <c r="Q218" s="138">
        <f>INDEX('Budget by Source'!$A$6:$I$330,MATCH('Payment by Source'!$A218,'Budget by Source'!$A$6:$A$330,0),MATCH(Q$3,'Budget by Source'!$A$5:$I$5,0))-(ROUND(INDEX('Budget by Source'!$A$6:$I$330,MATCH('Payment by Source'!$A218,'Budget by Source'!$A$6:$A$330,0),MATCH(Q$3,'Budget by Source'!$A$5:$I$5,0))/10,0)*10)</f>
        <v>-4</v>
      </c>
      <c r="R218" s="138">
        <f>INDEX('Budget by Source'!$A$6:$I$330,MATCH('Payment by Source'!$A218,'Budget by Source'!$A$6:$A$330,0),MATCH(R$3,'Budget by Source'!$A$5:$I$5,0))-(ROUND(INDEX('Budget by Source'!$A$6:$I$330,MATCH('Payment by Source'!$A218,'Budget by Source'!$A$6:$A$330,0),MATCH(R$3,'Budget by Source'!$A$5:$I$5,0))/10,0)*10)</f>
        <v>2</v>
      </c>
      <c r="S218" s="138">
        <f>INDEX('Budget by Source'!$A$6:$I$330,MATCH('Payment by Source'!$A218,'Budget by Source'!$A$6:$A$330,0),MATCH(S$3,'Budget by Source'!$A$5:$I$5,0))-(ROUND(INDEX('Budget by Source'!$A$6:$I$330,MATCH('Payment by Source'!$A218,'Budget by Source'!$A$6:$A$330,0),MATCH(S$3,'Budget by Source'!$A$5:$I$5,0))/10,0)*10)</f>
        <v>-3</v>
      </c>
      <c r="T218" s="138">
        <f>INDEX('Budget by Source'!$A$6:$I$330,MATCH('Payment by Source'!$A218,'Budget by Source'!$A$6:$A$330,0),MATCH(T$3,'Budget by Source'!$A$5:$I$5,0))-(ROUND(INDEX('Budget by Source'!$A$6:$I$330,MATCH('Payment by Source'!$A218,'Budget by Source'!$A$6:$A$330,0),MATCH(T$3,'Budget by Source'!$A$5:$I$5,0))/10,0)*10)</f>
        <v>0</v>
      </c>
      <c r="U218" s="139">
        <f>INDEX('Budget by Source'!$A$6:$I$330,MATCH('Payment by Source'!$A218,'Budget by Source'!$A$6:$A$330,0),MATCH(U$3,'Budget by Source'!$A$5:$I$5,0))</f>
        <v>12965732</v>
      </c>
      <c r="V218" s="136">
        <f t="shared" si="10"/>
        <v>1296573</v>
      </c>
      <c r="W218" s="136">
        <f t="shared" si="11"/>
        <v>12965730</v>
      </c>
    </row>
    <row r="219" spans="1:23" x14ac:dyDescent="0.2">
      <c r="A219" s="22" t="str">
        <f>Data!B215</f>
        <v>4784</v>
      </c>
      <c r="B219" s="20" t="str">
        <f>INDEX(Data[],MATCH($A219,Data[Dist],0),MATCH(B$5,Data[#Headers],0))</f>
        <v>North Scott</v>
      </c>
      <c r="C219" s="21">
        <f>IF(Notes!$B$2="June",ROUND('Budget by Source'!C219/10,0)+P219,ROUND('Budget by Source'!C219/10,0))</f>
        <v>60410</v>
      </c>
      <c r="D219" s="21">
        <f>IF(Notes!$B$2="June",ROUND('Budget by Source'!D219/10,0)+Q219,ROUND('Budget by Source'!D219/10,0))</f>
        <v>221901</v>
      </c>
      <c r="E219" s="21">
        <f>IF(Notes!$B$2="June",ROUND('Budget by Source'!E219/10,0)+R219,ROUND('Budget by Source'!E219/10,0))</f>
        <v>22159</v>
      </c>
      <c r="F219" s="21">
        <f>IF(Notes!$B$2="June",ROUND('Budget by Source'!F219/10,0)+S219,ROUND('Budget by Source'!F219/10,0))</f>
        <v>22581</v>
      </c>
      <c r="G219" s="21">
        <f>IF(Notes!$B$2="June",ROUND('Budget by Source'!G219/10,0)+T219,ROUND('Budget by Source'!G219/10,0))</f>
        <v>114803</v>
      </c>
      <c r="H219" s="21">
        <f t="shared" si="9"/>
        <v>1579474</v>
      </c>
      <c r="I219" s="21">
        <f>INDEX(Data[],MATCH($A219,Data[Dist],0),MATCH(I$5,Data[#Headers],0))</f>
        <v>2021328</v>
      </c>
      <c r="K219" s="59">
        <f>INDEX('Payment Total'!$A$7:$H$331,MATCH('Payment by Source'!$A219,'Payment Total'!$A$7:$A$331,0),4)-I219</f>
        <v>0</v>
      </c>
      <c r="P219" s="138">
        <f>INDEX('Budget by Source'!$A$6:$I$330,MATCH('Payment by Source'!$A219,'Budget by Source'!$A$6:$A$330,0),MATCH(P$3,'Budget by Source'!$A$5:$I$5,0))-(ROUND(INDEX('Budget by Source'!$A$6:$I$330,MATCH('Payment by Source'!$A219,'Budget by Source'!$A$6:$A$330,0),MATCH(P$3,'Budget by Source'!$A$5:$I$5,0))/10,0)*10)</f>
        <v>2</v>
      </c>
      <c r="Q219" s="138">
        <f>INDEX('Budget by Source'!$A$6:$I$330,MATCH('Payment by Source'!$A219,'Budget by Source'!$A$6:$A$330,0),MATCH(Q$3,'Budget by Source'!$A$5:$I$5,0))-(ROUND(INDEX('Budget by Source'!$A$6:$I$330,MATCH('Payment by Source'!$A219,'Budget by Source'!$A$6:$A$330,0),MATCH(Q$3,'Budget by Source'!$A$5:$I$5,0))/10,0)*10)</f>
        <v>1</v>
      </c>
      <c r="R219" s="138">
        <f>INDEX('Budget by Source'!$A$6:$I$330,MATCH('Payment by Source'!$A219,'Budget by Source'!$A$6:$A$330,0),MATCH(R$3,'Budget by Source'!$A$5:$I$5,0))-(ROUND(INDEX('Budget by Source'!$A$6:$I$330,MATCH('Payment by Source'!$A219,'Budget by Source'!$A$6:$A$330,0),MATCH(R$3,'Budget by Source'!$A$5:$I$5,0))/10,0)*10)</f>
        <v>-2</v>
      </c>
      <c r="S219" s="138">
        <f>INDEX('Budget by Source'!$A$6:$I$330,MATCH('Payment by Source'!$A219,'Budget by Source'!$A$6:$A$330,0),MATCH(S$3,'Budget by Source'!$A$5:$I$5,0))-(ROUND(INDEX('Budget by Source'!$A$6:$I$330,MATCH('Payment by Source'!$A219,'Budget by Source'!$A$6:$A$330,0),MATCH(S$3,'Budget by Source'!$A$5:$I$5,0))/10,0)*10)</f>
        <v>3</v>
      </c>
      <c r="T219" s="138">
        <f>INDEX('Budget by Source'!$A$6:$I$330,MATCH('Payment by Source'!$A219,'Budget by Source'!$A$6:$A$330,0),MATCH(T$3,'Budget by Source'!$A$5:$I$5,0))-(ROUND(INDEX('Budget by Source'!$A$6:$I$330,MATCH('Payment by Source'!$A219,'Budget by Source'!$A$6:$A$330,0),MATCH(T$3,'Budget by Source'!$A$5:$I$5,0))/10,0)*10)</f>
        <v>-3</v>
      </c>
      <c r="U219" s="139">
        <f>INDEX('Budget by Source'!$A$6:$I$330,MATCH('Payment by Source'!$A219,'Budget by Source'!$A$6:$A$330,0),MATCH(U$3,'Budget by Source'!$A$5:$I$5,0))</f>
        <v>15840061</v>
      </c>
      <c r="V219" s="136">
        <f t="shared" si="10"/>
        <v>1584006</v>
      </c>
      <c r="W219" s="136">
        <f t="shared" si="11"/>
        <v>15840060</v>
      </c>
    </row>
    <row r="220" spans="1:23" x14ac:dyDescent="0.2">
      <c r="A220" s="22" t="str">
        <f>Data!B216</f>
        <v>4785</v>
      </c>
      <c r="B220" s="20" t="str">
        <f>INDEX(Data[],MATCH($A220,Data[Dist],0),MATCH(B$5,Data[#Headers],0))</f>
        <v>North Tama</v>
      </c>
      <c r="C220" s="21">
        <f>IF(Notes!$B$2="June",ROUND('Budget by Source'!C220/10,0)+P220,ROUND('Budget by Source'!C220/10,0))</f>
        <v>10910</v>
      </c>
      <c r="D220" s="21">
        <f>IF(Notes!$B$2="June",ROUND('Budget by Source'!D220/10,0)+Q220,ROUND('Budget by Source'!D220/10,0))</f>
        <v>48257</v>
      </c>
      <c r="E220" s="21">
        <f>IF(Notes!$B$2="June",ROUND('Budget by Source'!E220/10,0)+R220,ROUND('Budget by Source'!E220/10,0))</f>
        <v>3438</v>
      </c>
      <c r="F220" s="21">
        <f>IF(Notes!$B$2="June",ROUND('Budget by Source'!F220/10,0)+S220,ROUND('Budget by Source'!F220/10,0))</f>
        <v>3565</v>
      </c>
      <c r="G220" s="21">
        <f>IF(Notes!$B$2="June",ROUND('Budget by Source'!G220/10,0)+T220,ROUND('Budget by Source'!G220/10,0))</f>
        <v>17044</v>
      </c>
      <c r="H220" s="21">
        <f t="shared" si="9"/>
        <v>223337</v>
      </c>
      <c r="I220" s="21">
        <f>INDEX(Data[],MATCH($A220,Data[Dist],0),MATCH(I$5,Data[#Headers],0))</f>
        <v>306551</v>
      </c>
      <c r="K220" s="59">
        <f>INDEX('Payment Total'!$A$7:$H$331,MATCH('Payment by Source'!$A220,'Payment Total'!$A$7:$A$331,0),4)-I220</f>
        <v>0</v>
      </c>
      <c r="P220" s="138">
        <f>INDEX('Budget by Source'!$A$6:$I$330,MATCH('Payment by Source'!$A220,'Budget by Source'!$A$6:$A$330,0),MATCH(P$3,'Budget by Source'!$A$5:$I$5,0))-(ROUND(INDEX('Budget by Source'!$A$6:$I$330,MATCH('Payment by Source'!$A220,'Budget by Source'!$A$6:$A$330,0),MATCH(P$3,'Budget by Source'!$A$5:$I$5,0))/10,0)*10)</f>
        <v>0</v>
      </c>
      <c r="Q220" s="138">
        <f>INDEX('Budget by Source'!$A$6:$I$330,MATCH('Payment by Source'!$A220,'Budget by Source'!$A$6:$A$330,0),MATCH(Q$3,'Budget by Source'!$A$5:$I$5,0))-(ROUND(INDEX('Budget by Source'!$A$6:$I$330,MATCH('Payment by Source'!$A220,'Budget by Source'!$A$6:$A$330,0),MATCH(Q$3,'Budget by Source'!$A$5:$I$5,0))/10,0)*10)</f>
        <v>2</v>
      </c>
      <c r="R220" s="138">
        <f>INDEX('Budget by Source'!$A$6:$I$330,MATCH('Payment by Source'!$A220,'Budget by Source'!$A$6:$A$330,0),MATCH(R$3,'Budget by Source'!$A$5:$I$5,0))-(ROUND(INDEX('Budget by Source'!$A$6:$I$330,MATCH('Payment by Source'!$A220,'Budget by Source'!$A$6:$A$330,0),MATCH(R$3,'Budget by Source'!$A$5:$I$5,0))/10,0)*10)</f>
        <v>1</v>
      </c>
      <c r="S220" s="138">
        <f>INDEX('Budget by Source'!$A$6:$I$330,MATCH('Payment by Source'!$A220,'Budget by Source'!$A$6:$A$330,0),MATCH(S$3,'Budget by Source'!$A$5:$I$5,0))-(ROUND(INDEX('Budget by Source'!$A$6:$I$330,MATCH('Payment by Source'!$A220,'Budget by Source'!$A$6:$A$330,0),MATCH(S$3,'Budget by Source'!$A$5:$I$5,0))/10,0)*10)</f>
        <v>-1</v>
      </c>
      <c r="T220" s="138">
        <f>INDEX('Budget by Source'!$A$6:$I$330,MATCH('Payment by Source'!$A220,'Budget by Source'!$A$6:$A$330,0),MATCH(T$3,'Budget by Source'!$A$5:$I$5,0))-(ROUND(INDEX('Budget by Source'!$A$6:$I$330,MATCH('Payment by Source'!$A220,'Budget by Source'!$A$6:$A$330,0),MATCH(T$3,'Budget by Source'!$A$5:$I$5,0))/10,0)*10)</f>
        <v>-4</v>
      </c>
      <c r="U220" s="139">
        <f>INDEX('Budget by Source'!$A$6:$I$330,MATCH('Payment by Source'!$A220,'Budget by Source'!$A$6:$A$330,0),MATCH(U$3,'Budget by Source'!$A$5:$I$5,0))</f>
        <v>2240132</v>
      </c>
      <c r="V220" s="136">
        <f t="shared" si="10"/>
        <v>224013</v>
      </c>
      <c r="W220" s="136">
        <f t="shared" si="11"/>
        <v>2240130</v>
      </c>
    </row>
    <row r="221" spans="1:23" x14ac:dyDescent="0.2">
      <c r="A221" s="22" t="str">
        <f>Data!B217</f>
        <v>4788</v>
      </c>
      <c r="B221" s="20" t="str">
        <f>INDEX(Data[],MATCH($A221,Data[Dist],0),MATCH(B$5,Data[#Headers],0))</f>
        <v>Northwood-Kensett</v>
      </c>
      <c r="C221" s="21">
        <f>IF(Notes!$B$2="June",ROUND('Budget by Source'!C221/10,0)+P221,ROUND('Budget by Source'!C221/10,0))</f>
        <v>12469</v>
      </c>
      <c r="D221" s="21">
        <f>IF(Notes!$B$2="June",ROUND('Budget by Source'!D221/10,0)+Q221,ROUND('Budget by Source'!D221/10,0))</f>
        <v>47046</v>
      </c>
      <c r="E221" s="21">
        <f>IF(Notes!$B$2="June",ROUND('Budget by Source'!E221/10,0)+R221,ROUND('Budget by Source'!E221/10,0))</f>
        <v>3485</v>
      </c>
      <c r="F221" s="21">
        <f>IF(Notes!$B$2="June",ROUND('Budget by Source'!F221/10,0)+S221,ROUND('Budget by Source'!F221/10,0))</f>
        <v>3905</v>
      </c>
      <c r="G221" s="21">
        <f>IF(Notes!$B$2="June",ROUND('Budget by Source'!G221/10,0)+T221,ROUND('Budget by Source'!G221/10,0))</f>
        <v>19363</v>
      </c>
      <c r="H221" s="21">
        <f t="shared" si="9"/>
        <v>261769</v>
      </c>
      <c r="I221" s="21">
        <f>INDEX(Data[],MATCH($A221,Data[Dist],0),MATCH(I$5,Data[#Headers],0))</f>
        <v>348037</v>
      </c>
      <c r="K221" s="59">
        <f>INDEX('Payment Total'!$A$7:$H$331,MATCH('Payment by Source'!$A221,'Payment Total'!$A$7:$A$331,0),4)-I221</f>
        <v>0</v>
      </c>
      <c r="P221" s="138">
        <f>INDEX('Budget by Source'!$A$6:$I$330,MATCH('Payment by Source'!$A221,'Budget by Source'!$A$6:$A$330,0),MATCH(P$3,'Budget by Source'!$A$5:$I$5,0))-(ROUND(INDEX('Budget by Source'!$A$6:$I$330,MATCH('Payment by Source'!$A221,'Budget by Source'!$A$6:$A$330,0),MATCH(P$3,'Budget by Source'!$A$5:$I$5,0))/10,0)*10)</f>
        <v>-5</v>
      </c>
      <c r="Q221" s="138">
        <f>INDEX('Budget by Source'!$A$6:$I$330,MATCH('Payment by Source'!$A221,'Budget by Source'!$A$6:$A$330,0),MATCH(Q$3,'Budget by Source'!$A$5:$I$5,0))-(ROUND(INDEX('Budget by Source'!$A$6:$I$330,MATCH('Payment by Source'!$A221,'Budget by Source'!$A$6:$A$330,0),MATCH(Q$3,'Budget by Source'!$A$5:$I$5,0))/10,0)*10)</f>
        <v>4</v>
      </c>
      <c r="R221" s="138">
        <f>INDEX('Budget by Source'!$A$6:$I$330,MATCH('Payment by Source'!$A221,'Budget by Source'!$A$6:$A$330,0),MATCH(R$3,'Budget by Source'!$A$5:$I$5,0))-(ROUND(INDEX('Budget by Source'!$A$6:$I$330,MATCH('Payment by Source'!$A221,'Budget by Source'!$A$6:$A$330,0),MATCH(R$3,'Budget by Source'!$A$5:$I$5,0))/10,0)*10)</f>
        <v>2</v>
      </c>
      <c r="S221" s="138">
        <f>INDEX('Budget by Source'!$A$6:$I$330,MATCH('Payment by Source'!$A221,'Budget by Source'!$A$6:$A$330,0),MATCH(S$3,'Budget by Source'!$A$5:$I$5,0))-(ROUND(INDEX('Budget by Source'!$A$6:$I$330,MATCH('Payment by Source'!$A221,'Budget by Source'!$A$6:$A$330,0),MATCH(S$3,'Budget by Source'!$A$5:$I$5,0))/10,0)*10)</f>
        <v>-5</v>
      </c>
      <c r="T221" s="138">
        <f>INDEX('Budget by Source'!$A$6:$I$330,MATCH('Payment by Source'!$A221,'Budget by Source'!$A$6:$A$330,0),MATCH(T$3,'Budget by Source'!$A$5:$I$5,0))-(ROUND(INDEX('Budget by Source'!$A$6:$I$330,MATCH('Payment by Source'!$A221,'Budget by Source'!$A$6:$A$330,0),MATCH(T$3,'Budget by Source'!$A$5:$I$5,0))/10,0)*10)</f>
        <v>0</v>
      </c>
      <c r="U221" s="139">
        <f>INDEX('Budget by Source'!$A$6:$I$330,MATCH('Payment by Source'!$A221,'Budget by Source'!$A$6:$A$330,0),MATCH(U$3,'Budget by Source'!$A$5:$I$5,0))</f>
        <v>2625393</v>
      </c>
      <c r="V221" s="136">
        <f t="shared" si="10"/>
        <v>262539</v>
      </c>
      <c r="W221" s="136">
        <f t="shared" si="11"/>
        <v>2625390</v>
      </c>
    </row>
    <row r="222" spans="1:23" x14ac:dyDescent="0.2">
      <c r="A222" s="22" t="str">
        <f>Data!B218</f>
        <v>4797</v>
      </c>
      <c r="B222" s="20" t="str">
        <f>INDEX(Data[],MATCH($A222,Data[Dist],0),MATCH(B$5,Data[#Headers],0))</f>
        <v>Norwalk</v>
      </c>
      <c r="C222" s="21">
        <f>IF(Notes!$B$2="June",ROUND('Budget by Source'!C222/10,0)+P222,ROUND('Budget by Source'!C222/10,0))</f>
        <v>57667</v>
      </c>
      <c r="D222" s="21">
        <f>IF(Notes!$B$2="June",ROUND('Budget by Source'!D222/10,0)+Q222,ROUND('Budget by Source'!D222/10,0))</f>
        <v>252975</v>
      </c>
      <c r="E222" s="21">
        <f>IF(Notes!$B$2="June",ROUND('Budget by Source'!E222/10,0)+R222,ROUND('Budget by Source'!E222/10,0))</f>
        <v>25085</v>
      </c>
      <c r="F222" s="21">
        <f>IF(Notes!$B$2="June",ROUND('Budget by Source'!F222/10,0)+S222,ROUND('Budget by Source'!F222/10,0))</f>
        <v>24822</v>
      </c>
      <c r="G222" s="21">
        <f>IF(Notes!$B$2="June",ROUND('Budget by Source'!G222/10,0)+T222,ROUND('Budget by Source'!G222/10,0))</f>
        <v>130879</v>
      </c>
      <c r="H222" s="21">
        <f t="shared" si="9"/>
        <v>2230719</v>
      </c>
      <c r="I222" s="21">
        <f>INDEX(Data[],MATCH($A222,Data[Dist],0),MATCH(I$5,Data[#Headers],0))</f>
        <v>2722147</v>
      </c>
      <c r="K222" s="59">
        <f>INDEX('Payment Total'!$A$7:$H$331,MATCH('Payment by Source'!$A222,'Payment Total'!$A$7:$A$331,0),4)-I222</f>
        <v>0</v>
      </c>
      <c r="P222" s="138">
        <f>INDEX('Budget by Source'!$A$6:$I$330,MATCH('Payment by Source'!$A222,'Budget by Source'!$A$6:$A$330,0),MATCH(P$3,'Budget by Source'!$A$5:$I$5,0))-(ROUND(INDEX('Budget by Source'!$A$6:$I$330,MATCH('Payment by Source'!$A222,'Budget by Source'!$A$6:$A$330,0),MATCH(P$3,'Budget by Source'!$A$5:$I$5,0))/10,0)*10)</f>
        <v>-1</v>
      </c>
      <c r="Q222" s="138">
        <f>INDEX('Budget by Source'!$A$6:$I$330,MATCH('Payment by Source'!$A222,'Budget by Source'!$A$6:$A$330,0),MATCH(Q$3,'Budget by Source'!$A$5:$I$5,0))-(ROUND(INDEX('Budget by Source'!$A$6:$I$330,MATCH('Payment by Source'!$A222,'Budget by Source'!$A$6:$A$330,0),MATCH(Q$3,'Budget by Source'!$A$5:$I$5,0))/10,0)*10)</f>
        <v>4</v>
      </c>
      <c r="R222" s="138">
        <f>INDEX('Budget by Source'!$A$6:$I$330,MATCH('Payment by Source'!$A222,'Budget by Source'!$A$6:$A$330,0),MATCH(R$3,'Budget by Source'!$A$5:$I$5,0))-(ROUND(INDEX('Budget by Source'!$A$6:$I$330,MATCH('Payment by Source'!$A222,'Budget by Source'!$A$6:$A$330,0),MATCH(R$3,'Budget by Source'!$A$5:$I$5,0))/10,0)*10)</f>
        <v>2</v>
      </c>
      <c r="S222" s="138">
        <f>INDEX('Budget by Source'!$A$6:$I$330,MATCH('Payment by Source'!$A222,'Budget by Source'!$A$6:$A$330,0),MATCH(S$3,'Budget by Source'!$A$5:$I$5,0))-(ROUND(INDEX('Budget by Source'!$A$6:$I$330,MATCH('Payment by Source'!$A222,'Budget by Source'!$A$6:$A$330,0),MATCH(S$3,'Budget by Source'!$A$5:$I$5,0))/10,0)*10)</f>
        <v>-2</v>
      </c>
      <c r="T222" s="138">
        <f>INDEX('Budget by Source'!$A$6:$I$330,MATCH('Payment by Source'!$A222,'Budget by Source'!$A$6:$A$330,0),MATCH(T$3,'Budget by Source'!$A$5:$I$5,0))-(ROUND(INDEX('Budget by Source'!$A$6:$I$330,MATCH('Payment by Source'!$A222,'Budget by Source'!$A$6:$A$330,0),MATCH(T$3,'Budget by Source'!$A$5:$I$5,0))/10,0)*10)</f>
        <v>4</v>
      </c>
      <c r="U222" s="139">
        <f>INDEX('Budget by Source'!$A$6:$I$330,MATCH('Payment by Source'!$A222,'Budget by Source'!$A$6:$A$330,0),MATCH(U$3,'Budget by Source'!$A$5:$I$5,0))</f>
        <v>22358709</v>
      </c>
      <c r="V222" s="136">
        <f t="shared" si="10"/>
        <v>2235871</v>
      </c>
      <c r="W222" s="136">
        <f t="shared" si="11"/>
        <v>22358710</v>
      </c>
    </row>
    <row r="223" spans="1:23" x14ac:dyDescent="0.2">
      <c r="A223" s="22" t="str">
        <f>Data!B219</f>
        <v>4824</v>
      </c>
      <c r="B223" s="20" t="str">
        <f>INDEX(Data[],MATCH($A223,Data[Dist],0),MATCH(B$5,Data[#Headers],0))</f>
        <v>Riverside</v>
      </c>
      <c r="C223" s="21">
        <f>IF(Notes!$B$2="June",ROUND('Budget by Source'!C223/10,0)+P223,ROUND('Budget by Source'!C223/10,0))</f>
        <v>12079</v>
      </c>
      <c r="D223" s="21">
        <f>IF(Notes!$B$2="June",ROUND('Budget by Source'!D223/10,0)+Q223,ROUND('Budget by Source'!D223/10,0))</f>
        <v>65358</v>
      </c>
      <c r="E223" s="21">
        <f>IF(Notes!$B$2="June",ROUND('Budget by Source'!E223/10,0)+R223,ROUND('Budget by Source'!E223/10,0))</f>
        <v>5006</v>
      </c>
      <c r="F223" s="21">
        <f>IF(Notes!$B$2="June",ROUND('Budget by Source'!F223/10,0)+S223,ROUND('Budget by Source'!F223/10,0))</f>
        <v>5211</v>
      </c>
      <c r="G223" s="21">
        <f>IF(Notes!$B$2="June",ROUND('Budget by Source'!G223/10,0)+T223,ROUND('Budget by Source'!G223/10,0))</f>
        <v>26835</v>
      </c>
      <c r="H223" s="21">
        <f t="shared" si="9"/>
        <v>358419</v>
      </c>
      <c r="I223" s="21">
        <f>INDEX(Data[],MATCH($A223,Data[Dist],0),MATCH(I$5,Data[#Headers],0))</f>
        <v>472908</v>
      </c>
      <c r="K223" s="59">
        <f>INDEX('Payment Total'!$A$7:$H$331,MATCH('Payment by Source'!$A223,'Payment Total'!$A$7:$A$331,0),4)-I223</f>
        <v>0</v>
      </c>
      <c r="P223" s="138">
        <f>INDEX('Budget by Source'!$A$6:$I$330,MATCH('Payment by Source'!$A223,'Budget by Source'!$A$6:$A$330,0),MATCH(P$3,'Budget by Source'!$A$5:$I$5,0))-(ROUND(INDEX('Budget by Source'!$A$6:$I$330,MATCH('Payment by Source'!$A223,'Budget by Source'!$A$6:$A$330,0),MATCH(P$3,'Budget by Source'!$A$5:$I$5,0))/10,0)*10)</f>
        <v>-1</v>
      </c>
      <c r="Q223" s="138">
        <f>INDEX('Budget by Source'!$A$6:$I$330,MATCH('Payment by Source'!$A223,'Budget by Source'!$A$6:$A$330,0),MATCH(Q$3,'Budget by Source'!$A$5:$I$5,0))-(ROUND(INDEX('Budget by Source'!$A$6:$I$330,MATCH('Payment by Source'!$A223,'Budget by Source'!$A$6:$A$330,0),MATCH(Q$3,'Budget by Source'!$A$5:$I$5,0))/10,0)*10)</f>
        <v>-5</v>
      </c>
      <c r="R223" s="138">
        <f>INDEX('Budget by Source'!$A$6:$I$330,MATCH('Payment by Source'!$A223,'Budget by Source'!$A$6:$A$330,0),MATCH(R$3,'Budget by Source'!$A$5:$I$5,0))-(ROUND(INDEX('Budget by Source'!$A$6:$I$330,MATCH('Payment by Source'!$A223,'Budget by Source'!$A$6:$A$330,0),MATCH(R$3,'Budget by Source'!$A$5:$I$5,0))/10,0)*10)</f>
        <v>2</v>
      </c>
      <c r="S223" s="138">
        <f>INDEX('Budget by Source'!$A$6:$I$330,MATCH('Payment by Source'!$A223,'Budget by Source'!$A$6:$A$330,0),MATCH(S$3,'Budget by Source'!$A$5:$I$5,0))-(ROUND(INDEX('Budget by Source'!$A$6:$I$330,MATCH('Payment by Source'!$A223,'Budget by Source'!$A$6:$A$330,0),MATCH(S$3,'Budget by Source'!$A$5:$I$5,0))/10,0)*10)</f>
        <v>-2</v>
      </c>
      <c r="T223" s="138">
        <f>INDEX('Budget by Source'!$A$6:$I$330,MATCH('Payment by Source'!$A223,'Budget by Source'!$A$6:$A$330,0),MATCH(T$3,'Budget by Source'!$A$5:$I$5,0))-(ROUND(INDEX('Budget by Source'!$A$6:$I$330,MATCH('Payment by Source'!$A223,'Budget by Source'!$A$6:$A$330,0),MATCH(T$3,'Budget by Source'!$A$5:$I$5,0))/10,0)*10)</f>
        <v>-4</v>
      </c>
      <c r="U223" s="139">
        <f>INDEX('Budget by Source'!$A$6:$I$330,MATCH('Payment by Source'!$A223,'Budget by Source'!$A$6:$A$330,0),MATCH(U$3,'Budget by Source'!$A$5:$I$5,0))</f>
        <v>3594865</v>
      </c>
      <c r="V223" s="136">
        <f t="shared" si="10"/>
        <v>359487</v>
      </c>
      <c r="W223" s="136">
        <f t="shared" si="11"/>
        <v>3594870</v>
      </c>
    </row>
    <row r="224" spans="1:23" x14ac:dyDescent="0.2">
      <c r="A224" s="22" t="str">
        <f>Data!B220</f>
        <v>4860</v>
      </c>
      <c r="B224" s="20" t="str">
        <f>INDEX(Data[],MATCH($A224,Data[Dist],0),MATCH(B$5,Data[#Headers],0))</f>
        <v>Odebolt Arthur Battle Creek Ida Gr</v>
      </c>
      <c r="C224" s="21">
        <f>IF(Notes!$B$2="June",ROUND('Budget by Source'!C224/10,0)+P224,ROUND('Budget by Source'!C224/10,0))</f>
        <v>18313</v>
      </c>
      <c r="D224" s="21">
        <f>IF(Notes!$B$2="June",ROUND('Budget by Source'!D224/10,0)+Q224,ROUND('Budget by Source'!D224/10,0))</f>
        <v>78440</v>
      </c>
      <c r="E224" s="21">
        <f>IF(Notes!$B$2="June",ROUND('Budget by Source'!E224/10,0)+R224,ROUND('Budget by Source'!E224/10,0))</f>
        <v>7110</v>
      </c>
      <c r="F224" s="21">
        <f>IF(Notes!$B$2="June",ROUND('Budget by Source'!F224/10,0)+S224,ROUND('Budget by Source'!F224/10,0))</f>
        <v>7540</v>
      </c>
      <c r="G224" s="21">
        <f>IF(Notes!$B$2="June",ROUND('Budget by Source'!G224/10,0)+T224,ROUND('Budget by Source'!G224/10,0))</f>
        <v>34658</v>
      </c>
      <c r="H224" s="21">
        <f t="shared" si="9"/>
        <v>414222</v>
      </c>
      <c r="I224" s="21">
        <f>INDEX(Data[],MATCH($A224,Data[Dist],0),MATCH(I$5,Data[#Headers],0))</f>
        <v>560283</v>
      </c>
      <c r="K224" s="59">
        <f>INDEX('Payment Total'!$A$7:$H$331,MATCH('Payment by Source'!$A224,'Payment Total'!$A$7:$A$331,0),4)-I224</f>
        <v>0</v>
      </c>
      <c r="P224" s="138">
        <f>INDEX('Budget by Source'!$A$6:$I$330,MATCH('Payment by Source'!$A224,'Budget by Source'!$A$6:$A$330,0),MATCH(P$3,'Budget by Source'!$A$5:$I$5,0))-(ROUND(INDEX('Budget by Source'!$A$6:$I$330,MATCH('Payment by Source'!$A224,'Budget by Source'!$A$6:$A$330,0),MATCH(P$3,'Budget by Source'!$A$5:$I$5,0))/10,0)*10)</f>
        <v>2</v>
      </c>
      <c r="Q224" s="138">
        <f>INDEX('Budget by Source'!$A$6:$I$330,MATCH('Payment by Source'!$A224,'Budget by Source'!$A$6:$A$330,0),MATCH(Q$3,'Budget by Source'!$A$5:$I$5,0))-(ROUND(INDEX('Budget by Source'!$A$6:$I$330,MATCH('Payment by Source'!$A224,'Budget by Source'!$A$6:$A$330,0),MATCH(Q$3,'Budget by Source'!$A$5:$I$5,0))/10,0)*10)</f>
        <v>-2</v>
      </c>
      <c r="R224" s="138">
        <f>INDEX('Budget by Source'!$A$6:$I$330,MATCH('Payment by Source'!$A224,'Budget by Source'!$A$6:$A$330,0),MATCH(R$3,'Budget by Source'!$A$5:$I$5,0))-(ROUND(INDEX('Budget by Source'!$A$6:$I$330,MATCH('Payment by Source'!$A224,'Budget by Source'!$A$6:$A$330,0),MATCH(R$3,'Budget by Source'!$A$5:$I$5,0))/10,0)*10)</f>
        <v>-3</v>
      </c>
      <c r="S224" s="138">
        <f>INDEX('Budget by Source'!$A$6:$I$330,MATCH('Payment by Source'!$A224,'Budget by Source'!$A$6:$A$330,0),MATCH(S$3,'Budget by Source'!$A$5:$I$5,0))-(ROUND(INDEX('Budget by Source'!$A$6:$I$330,MATCH('Payment by Source'!$A224,'Budget by Source'!$A$6:$A$330,0),MATCH(S$3,'Budget by Source'!$A$5:$I$5,0))/10,0)*10)</f>
        <v>0</v>
      </c>
      <c r="T224" s="138">
        <f>INDEX('Budget by Source'!$A$6:$I$330,MATCH('Payment by Source'!$A224,'Budget by Source'!$A$6:$A$330,0),MATCH(T$3,'Budget by Source'!$A$5:$I$5,0))-(ROUND(INDEX('Budget by Source'!$A$6:$I$330,MATCH('Payment by Source'!$A224,'Budget by Source'!$A$6:$A$330,0),MATCH(T$3,'Budget by Source'!$A$5:$I$5,0))/10,0)*10)</f>
        <v>-4</v>
      </c>
      <c r="U224" s="139">
        <f>INDEX('Budget by Source'!$A$6:$I$330,MATCH('Payment by Source'!$A224,'Budget by Source'!$A$6:$A$330,0),MATCH(U$3,'Budget by Source'!$A$5:$I$5,0))</f>
        <v>4155792</v>
      </c>
      <c r="V224" s="136">
        <f t="shared" si="10"/>
        <v>415579</v>
      </c>
      <c r="W224" s="136">
        <f t="shared" si="11"/>
        <v>4155790</v>
      </c>
    </row>
    <row r="225" spans="1:23" x14ac:dyDescent="0.2">
      <c r="A225" s="22" t="str">
        <f>Data!B221</f>
        <v>4869</v>
      </c>
      <c r="B225" s="20" t="str">
        <f>INDEX(Data[],MATCH($A225,Data[Dist],0),MATCH(B$5,Data[#Headers],0))</f>
        <v>Oelwein</v>
      </c>
      <c r="C225" s="21">
        <f>IF(Notes!$B$2="June",ROUND('Budget by Source'!C225/10,0)+P225,ROUND('Budget by Source'!C225/10,0))</f>
        <v>15196</v>
      </c>
      <c r="D225" s="21">
        <f>IF(Notes!$B$2="June",ROUND('Budget by Source'!D225/10,0)+Q225,ROUND('Budget by Source'!D225/10,0))</f>
        <v>106213</v>
      </c>
      <c r="E225" s="21">
        <f>IF(Notes!$B$2="June",ROUND('Budget by Source'!E225/10,0)+R225,ROUND('Budget by Source'!E225/10,0))</f>
        <v>10601</v>
      </c>
      <c r="F225" s="21">
        <f>IF(Notes!$B$2="June",ROUND('Budget by Source'!F225/10,0)+S225,ROUND('Budget by Source'!F225/10,0))</f>
        <v>10335</v>
      </c>
      <c r="G225" s="21">
        <f>IF(Notes!$B$2="June",ROUND('Budget by Source'!G225/10,0)+T225,ROUND('Budget by Source'!G225/10,0))</f>
        <v>50122</v>
      </c>
      <c r="H225" s="21">
        <f t="shared" si="9"/>
        <v>960231</v>
      </c>
      <c r="I225" s="21">
        <f>INDEX(Data[],MATCH($A225,Data[Dist],0),MATCH(I$5,Data[#Headers],0))</f>
        <v>1152698</v>
      </c>
      <c r="K225" s="59">
        <f>INDEX('Payment Total'!$A$7:$H$331,MATCH('Payment by Source'!$A225,'Payment Total'!$A$7:$A$331,0),4)-I225</f>
        <v>0</v>
      </c>
      <c r="P225" s="138">
        <f>INDEX('Budget by Source'!$A$6:$I$330,MATCH('Payment by Source'!$A225,'Budget by Source'!$A$6:$A$330,0),MATCH(P$3,'Budget by Source'!$A$5:$I$5,0))-(ROUND(INDEX('Budget by Source'!$A$6:$I$330,MATCH('Payment by Source'!$A225,'Budget by Source'!$A$6:$A$330,0),MATCH(P$3,'Budget by Source'!$A$5:$I$5,0))/10,0)*10)</f>
        <v>0</v>
      </c>
      <c r="Q225" s="138">
        <f>INDEX('Budget by Source'!$A$6:$I$330,MATCH('Payment by Source'!$A225,'Budget by Source'!$A$6:$A$330,0),MATCH(Q$3,'Budget by Source'!$A$5:$I$5,0))-(ROUND(INDEX('Budget by Source'!$A$6:$I$330,MATCH('Payment by Source'!$A225,'Budget by Source'!$A$6:$A$330,0),MATCH(Q$3,'Budget by Source'!$A$5:$I$5,0))/10,0)*10)</f>
        <v>0</v>
      </c>
      <c r="R225" s="138">
        <f>INDEX('Budget by Source'!$A$6:$I$330,MATCH('Payment by Source'!$A225,'Budget by Source'!$A$6:$A$330,0),MATCH(R$3,'Budget by Source'!$A$5:$I$5,0))-(ROUND(INDEX('Budget by Source'!$A$6:$I$330,MATCH('Payment by Source'!$A225,'Budget by Source'!$A$6:$A$330,0),MATCH(R$3,'Budget by Source'!$A$5:$I$5,0))/10,0)*10)</f>
        <v>-4</v>
      </c>
      <c r="S225" s="138">
        <f>INDEX('Budget by Source'!$A$6:$I$330,MATCH('Payment by Source'!$A225,'Budget by Source'!$A$6:$A$330,0),MATCH(S$3,'Budget by Source'!$A$5:$I$5,0))-(ROUND(INDEX('Budget by Source'!$A$6:$I$330,MATCH('Payment by Source'!$A225,'Budget by Source'!$A$6:$A$330,0),MATCH(S$3,'Budget by Source'!$A$5:$I$5,0))/10,0)*10)</f>
        <v>2</v>
      </c>
      <c r="T225" s="138">
        <f>INDEX('Budget by Source'!$A$6:$I$330,MATCH('Payment by Source'!$A225,'Budget by Source'!$A$6:$A$330,0),MATCH(T$3,'Budget by Source'!$A$5:$I$5,0))-(ROUND(INDEX('Budget by Source'!$A$6:$I$330,MATCH('Payment by Source'!$A225,'Budget by Source'!$A$6:$A$330,0),MATCH(T$3,'Budget by Source'!$A$5:$I$5,0))/10,0)*10)</f>
        <v>3</v>
      </c>
      <c r="U225" s="139">
        <f>INDEX('Budget by Source'!$A$6:$I$330,MATCH('Payment by Source'!$A225,'Budget by Source'!$A$6:$A$330,0),MATCH(U$3,'Budget by Source'!$A$5:$I$5,0))</f>
        <v>9622117</v>
      </c>
      <c r="V225" s="136">
        <f t="shared" si="10"/>
        <v>962212</v>
      </c>
      <c r="W225" s="136">
        <f t="shared" si="11"/>
        <v>9622120</v>
      </c>
    </row>
    <row r="226" spans="1:23" x14ac:dyDescent="0.2">
      <c r="A226" s="22" t="str">
        <f>Data!B222</f>
        <v>4878</v>
      </c>
      <c r="B226" s="20" t="str">
        <f>INDEX(Data[],MATCH($A226,Data[Dist],0),MATCH(B$5,Data[#Headers],0))</f>
        <v>Ogden</v>
      </c>
      <c r="C226" s="21">
        <f>IF(Notes!$B$2="June",ROUND('Budget by Source'!C226/10,0)+P226,ROUND('Budget by Source'!C226/10,0))</f>
        <v>14027</v>
      </c>
      <c r="D226" s="21">
        <f>IF(Notes!$B$2="June",ROUND('Budget by Source'!D226/10,0)+Q226,ROUND('Budget by Source'!D226/10,0))</f>
        <v>54912</v>
      </c>
      <c r="E226" s="21">
        <f>IF(Notes!$B$2="June",ROUND('Budget by Source'!E226/10,0)+R226,ROUND('Budget by Source'!E226/10,0))</f>
        <v>4533</v>
      </c>
      <c r="F226" s="21">
        <f>IF(Notes!$B$2="June",ROUND('Budget by Source'!F226/10,0)+S226,ROUND('Budget by Source'!F226/10,0))</f>
        <v>4539</v>
      </c>
      <c r="G226" s="21">
        <f>IF(Notes!$B$2="June",ROUND('Budget by Source'!G226/10,0)+T226,ROUND('Budget by Source'!G226/10,0))</f>
        <v>22600</v>
      </c>
      <c r="H226" s="21">
        <f t="shared" si="9"/>
        <v>232004</v>
      </c>
      <c r="I226" s="21">
        <f>INDEX(Data[],MATCH($A226,Data[Dist],0),MATCH(I$5,Data[#Headers],0))</f>
        <v>332615</v>
      </c>
      <c r="K226" s="59">
        <f>INDEX('Payment Total'!$A$7:$H$331,MATCH('Payment by Source'!$A226,'Payment Total'!$A$7:$A$331,0),4)-I226</f>
        <v>0</v>
      </c>
      <c r="P226" s="138">
        <f>INDEX('Budget by Source'!$A$6:$I$330,MATCH('Payment by Source'!$A226,'Budget by Source'!$A$6:$A$330,0),MATCH(P$3,'Budget by Source'!$A$5:$I$5,0))-(ROUND(INDEX('Budget by Source'!$A$6:$I$330,MATCH('Payment by Source'!$A226,'Budget by Source'!$A$6:$A$330,0),MATCH(P$3,'Budget by Source'!$A$5:$I$5,0))/10,0)*10)</f>
        <v>1</v>
      </c>
      <c r="Q226" s="138">
        <f>INDEX('Budget by Source'!$A$6:$I$330,MATCH('Payment by Source'!$A226,'Budget by Source'!$A$6:$A$330,0),MATCH(Q$3,'Budget by Source'!$A$5:$I$5,0))-(ROUND(INDEX('Budget by Source'!$A$6:$I$330,MATCH('Payment by Source'!$A226,'Budget by Source'!$A$6:$A$330,0),MATCH(Q$3,'Budget by Source'!$A$5:$I$5,0))/10,0)*10)</f>
        <v>0</v>
      </c>
      <c r="R226" s="138">
        <f>INDEX('Budget by Source'!$A$6:$I$330,MATCH('Payment by Source'!$A226,'Budget by Source'!$A$6:$A$330,0),MATCH(R$3,'Budget by Source'!$A$5:$I$5,0))-(ROUND(INDEX('Budget by Source'!$A$6:$I$330,MATCH('Payment by Source'!$A226,'Budget by Source'!$A$6:$A$330,0),MATCH(R$3,'Budget by Source'!$A$5:$I$5,0))/10,0)*10)</f>
        <v>-3</v>
      </c>
      <c r="S226" s="138">
        <f>INDEX('Budget by Source'!$A$6:$I$330,MATCH('Payment by Source'!$A226,'Budget by Source'!$A$6:$A$330,0),MATCH(S$3,'Budget by Source'!$A$5:$I$5,0))-(ROUND(INDEX('Budget by Source'!$A$6:$I$330,MATCH('Payment by Source'!$A226,'Budget by Source'!$A$6:$A$330,0),MATCH(S$3,'Budget by Source'!$A$5:$I$5,0))/10,0)*10)</f>
        <v>-3</v>
      </c>
      <c r="T226" s="138">
        <f>INDEX('Budget by Source'!$A$6:$I$330,MATCH('Payment by Source'!$A226,'Budget by Source'!$A$6:$A$330,0),MATCH(T$3,'Budget by Source'!$A$5:$I$5,0))-(ROUND(INDEX('Budget by Source'!$A$6:$I$330,MATCH('Payment by Source'!$A226,'Budget by Source'!$A$6:$A$330,0),MATCH(T$3,'Budget by Source'!$A$5:$I$5,0))/10,0)*10)</f>
        <v>2</v>
      </c>
      <c r="U226" s="139">
        <f>INDEX('Budget by Source'!$A$6:$I$330,MATCH('Payment by Source'!$A226,'Budget by Source'!$A$6:$A$330,0),MATCH(U$3,'Budget by Source'!$A$5:$I$5,0))</f>
        <v>2328907</v>
      </c>
      <c r="V226" s="136">
        <f t="shared" si="10"/>
        <v>232891</v>
      </c>
      <c r="W226" s="136">
        <f t="shared" si="11"/>
        <v>2328910</v>
      </c>
    </row>
    <row r="227" spans="1:23" x14ac:dyDescent="0.2">
      <c r="A227" s="22" t="str">
        <f>Data!B223</f>
        <v>4890</v>
      </c>
      <c r="B227" s="20" t="str">
        <f>INDEX(Data[],MATCH($A227,Data[Dist],0),MATCH(B$5,Data[#Headers],0))</f>
        <v>Okoboji</v>
      </c>
      <c r="C227" s="21">
        <f>IF(Notes!$B$2="June",ROUND('Budget by Source'!C227/10,0)+P227,ROUND('Budget by Source'!C227/10,0))</f>
        <v>24158</v>
      </c>
      <c r="D227" s="21">
        <f>IF(Notes!$B$2="June",ROUND('Budget by Source'!D227/10,0)+Q227,ROUND('Budget by Source'!D227/10,0))</f>
        <v>88737</v>
      </c>
      <c r="E227" s="21">
        <f>IF(Notes!$B$2="June",ROUND('Budget by Source'!E227/10,0)+R227,ROUND('Budget by Source'!E227/10,0))</f>
        <v>7952</v>
      </c>
      <c r="F227" s="21">
        <f>IF(Notes!$B$2="June",ROUND('Budget by Source'!F227/10,0)+S227,ROUND('Budget by Source'!F227/10,0))</f>
        <v>8073</v>
      </c>
      <c r="G227" s="21">
        <f>IF(Notes!$B$2="June",ROUND('Budget by Source'!G227/10,0)+T227,ROUND('Budget by Source'!G227/10,0))</f>
        <v>39278</v>
      </c>
      <c r="H227" s="21">
        <f t="shared" si="9"/>
        <v>-136216</v>
      </c>
      <c r="I227" s="21">
        <f>INDEX(Data[],MATCH($A227,Data[Dist],0),MATCH(I$5,Data[#Headers],0))</f>
        <v>31982</v>
      </c>
      <c r="K227" s="59">
        <f>INDEX('Payment Total'!$A$7:$H$331,MATCH('Payment by Source'!$A227,'Payment Total'!$A$7:$A$331,0),4)-I227</f>
        <v>0</v>
      </c>
      <c r="P227" s="138">
        <f>INDEX('Budget by Source'!$A$6:$I$330,MATCH('Payment by Source'!$A227,'Budget by Source'!$A$6:$A$330,0),MATCH(P$3,'Budget by Source'!$A$5:$I$5,0))-(ROUND(INDEX('Budget by Source'!$A$6:$I$330,MATCH('Payment by Source'!$A227,'Budget by Source'!$A$6:$A$330,0),MATCH(P$3,'Budget by Source'!$A$5:$I$5,0))/10,0)*10)</f>
        <v>-2</v>
      </c>
      <c r="Q227" s="138">
        <f>INDEX('Budget by Source'!$A$6:$I$330,MATCH('Payment by Source'!$A227,'Budget by Source'!$A$6:$A$330,0),MATCH(Q$3,'Budget by Source'!$A$5:$I$5,0))-(ROUND(INDEX('Budget by Source'!$A$6:$I$330,MATCH('Payment by Source'!$A227,'Budget by Source'!$A$6:$A$330,0),MATCH(Q$3,'Budget by Source'!$A$5:$I$5,0))/10,0)*10)</f>
        <v>0</v>
      </c>
      <c r="R227" s="138">
        <f>INDEX('Budget by Source'!$A$6:$I$330,MATCH('Payment by Source'!$A227,'Budget by Source'!$A$6:$A$330,0),MATCH(R$3,'Budget by Source'!$A$5:$I$5,0))-(ROUND(INDEX('Budget by Source'!$A$6:$I$330,MATCH('Payment by Source'!$A227,'Budget by Source'!$A$6:$A$330,0),MATCH(R$3,'Budget by Source'!$A$5:$I$5,0))/10,0)*10)</f>
        <v>-1</v>
      </c>
      <c r="S227" s="138">
        <f>INDEX('Budget by Source'!$A$6:$I$330,MATCH('Payment by Source'!$A227,'Budget by Source'!$A$6:$A$330,0),MATCH(S$3,'Budget by Source'!$A$5:$I$5,0))-(ROUND(INDEX('Budget by Source'!$A$6:$I$330,MATCH('Payment by Source'!$A227,'Budget by Source'!$A$6:$A$330,0),MATCH(S$3,'Budget by Source'!$A$5:$I$5,0))/10,0)*10)</f>
        <v>4</v>
      </c>
      <c r="T227" s="138">
        <f>INDEX('Budget by Source'!$A$6:$I$330,MATCH('Payment by Source'!$A227,'Budget by Source'!$A$6:$A$330,0),MATCH(T$3,'Budget by Source'!$A$5:$I$5,0))-(ROUND(INDEX('Budget by Source'!$A$6:$I$330,MATCH('Payment by Source'!$A227,'Budget by Source'!$A$6:$A$330,0),MATCH(T$3,'Budget by Source'!$A$5:$I$5,0))/10,0)*10)</f>
        <v>-1</v>
      </c>
      <c r="U227" s="139">
        <f>INDEX('Budget by Source'!$A$6:$I$330,MATCH('Payment by Source'!$A227,'Budget by Source'!$A$6:$A$330,0),MATCH(U$3,'Budget by Source'!$A$5:$I$5,0))</f>
        <v>-1346776</v>
      </c>
      <c r="V227" s="136">
        <f t="shared" si="10"/>
        <v>-134678</v>
      </c>
      <c r="W227" s="136">
        <f t="shared" si="11"/>
        <v>-1346780</v>
      </c>
    </row>
    <row r="228" spans="1:23" x14ac:dyDescent="0.2">
      <c r="A228" s="22" t="str">
        <f>Data!B224</f>
        <v>4905</v>
      </c>
      <c r="B228" s="20" t="str">
        <f>INDEX(Data[],MATCH($A228,Data[Dist],0),MATCH(B$5,Data[#Headers],0))</f>
        <v>Olin</v>
      </c>
      <c r="C228" s="21">
        <f>IF(Notes!$B$2="June",ROUND('Budget by Source'!C228/10,0)+P228,ROUND('Budget by Source'!C228/10,0))</f>
        <v>3896</v>
      </c>
      <c r="D228" s="21">
        <f>IF(Notes!$B$2="June",ROUND('Budget by Source'!D228/10,0)+Q228,ROUND('Budget by Source'!D228/10,0))</f>
        <v>28443</v>
      </c>
      <c r="E228" s="21">
        <f>IF(Notes!$B$2="June",ROUND('Budget by Source'!E228/10,0)+R228,ROUND('Budget by Source'!E228/10,0))</f>
        <v>1744</v>
      </c>
      <c r="F228" s="21">
        <f>IF(Notes!$B$2="June",ROUND('Budget by Source'!F228/10,0)+S228,ROUND('Budget by Source'!F228/10,0))</f>
        <v>1768</v>
      </c>
      <c r="G228" s="21">
        <f>IF(Notes!$B$2="June",ROUND('Budget by Source'!G228/10,0)+T228,ROUND('Budget by Source'!G228/10,0))</f>
        <v>7942</v>
      </c>
      <c r="H228" s="21">
        <f t="shared" si="9"/>
        <v>103064</v>
      </c>
      <c r="I228" s="21">
        <f>INDEX(Data[],MATCH($A228,Data[Dist],0),MATCH(I$5,Data[#Headers],0))</f>
        <v>146857</v>
      </c>
      <c r="K228" s="59">
        <f>INDEX('Payment Total'!$A$7:$H$331,MATCH('Payment by Source'!$A228,'Payment Total'!$A$7:$A$331,0),4)-I228</f>
        <v>0</v>
      </c>
      <c r="P228" s="138">
        <f>INDEX('Budget by Source'!$A$6:$I$330,MATCH('Payment by Source'!$A228,'Budget by Source'!$A$6:$A$330,0),MATCH(P$3,'Budget by Source'!$A$5:$I$5,0))-(ROUND(INDEX('Budget by Source'!$A$6:$I$330,MATCH('Payment by Source'!$A228,'Budget by Source'!$A$6:$A$330,0),MATCH(P$3,'Budget by Source'!$A$5:$I$5,0))/10,0)*10)</f>
        <v>4</v>
      </c>
      <c r="Q228" s="138">
        <f>INDEX('Budget by Source'!$A$6:$I$330,MATCH('Payment by Source'!$A228,'Budget by Source'!$A$6:$A$330,0),MATCH(Q$3,'Budget by Source'!$A$5:$I$5,0))-(ROUND(INDEX('Budget by Source'!$A$6:$I$330,MATCH('Payment by Source'!$A228,'Budget by Source'!$A$6:$A$330,0),MATCH(Q$3,'Budget by Source'!$A$5:$I$5,0))/10,0)*10)</f>
        <v>-1</v>
      </c>
      <c r="R228" s="138">
        <f>INDEX('Budget by Source'!$A$6:$I$330,MATCH('Payment by Source'!$A228,'Budget by Source'!$A$6:$A$330,0),MATCH(R$3,'Budget by Source'!$A$5:$I$5,0))-(ROUND(INDEX('Budget by Source'!$A$6:$I$330,MATCH('Payment by Source'!$A228,'Budget by Source'!$A$6:$A$330,0),MATCH(R$3,'Budget by Source'!$A$5:$I$5,0))/10,0)*10)</f>
        <v>-2</v>
      </c>
      <c r="S228" s="138">
        <f>INDEX('Budget by Source'!$A$6:$I$330,MATCH('Payment by Source'!$A228,'Budget by Source'!$A$6:$A$330,0),MATCH(S$3,'Budget by Source'!$A$5:$I$5,0))-(ROUND(INDEX('Budget by Source'!$A$6:$I$330,MATCH('Payment by Source'!$A228,'Budget by Source'!$A$6:$A$330,0),MATCH(S$3,'Budget by Source'!$A$5:$I$5,0))/10,0)*10)</f>
        <v>0</v>
      </c>
      <c r="T228" s="138">
        <f>INDEX('Budget by Source'!$A$6:$I$330,MATCH('Payment by Source'!$A228,'Budget by Source'!$A$6:$A$330,0),MATCH(T$3,'Budget by Source'!$A$5:$I$5,0))-(ROUND(INDEX('Budget by Source'!$A$6:$I$330,MATCH('Payment by Source'!$A228,'Budget by Source'!$A$6:$A$330,0),MATCH(T$3,'Budget by Source'!$A$5:$I$5,0))/10,0)*10)</f>
        <v>-2</v>
      </c>
      <c r="U228" s="139">
        <f>INDEX('Budget by Source'!$A$6:$I$330,MATCH('Payment by Source'!$A228,'Budget by Source'!$A$6:$A$330,0),MATCH(U$3,'Budget by Source'!$A$5:$I$5,0))</f>
        <v>1033543</v>
      </c>
      <c r="V228" s="136">
        <f t="shared" si="10"/>
        <v>103354</v>
      </c>
      <c r="W228" s="136">
        <f t="shared" si="11"/>
        <v>1033540</v>
      </c>
    </row>
    <row r="229" spans="1:23" x14ac:dyDescent="0.2">
      <c r="A229" s="22" t="str">
        <f>Data!B225</f>
        <v>4978</v>
      </c>
      <c r="B229" s="20" t="str">
        <f>INDEX(Data[],MATCH($A229,Data[Dist],0),MATCH(B$5,Data[#Headers],0))</f>
        <v>Orient-Macksburg</v>
      </c>
      <c r="C229" s="21">
        <f>IF(Notes!$B$2="June",ROUND('Budget by Source'!C229/10,0)+P229,ROUND('Budget by Source'!C229/10,0))</f>
        <v>3896</v>
      </c>
      <c r="D229" s="21">
        <f>IF(Notes!$B$2="June",ROUND('Budget by Source'!D229/10,0)+Q229,ROUND('Budget by Source'!D229/10,0))</f>
        <v>26470</v>
      </c>
      <c r="E229" s="21">
        <f>IF(Notes!$B$2="June",ROUND('Budget by Source'!E229/10,0)+R229,ROUND('Budget by Source'!E229/10,0))</f>
        <v>1150</v>
      </c>
      <c r="F229" s="21">
        <f>IF(Notes!$B$2="June",ROUND('Budget by Source'!F229/10,0)+S229,ROUND('Budget by Source'!F229/10,0))</f>
        <v>1593</v>
      </c>
      <c r="G229" s="21">
        <f>IF(Notes!$B$2="June",ROUND('Budget by Source'!G229/10,0)+T229,ROUND('Budget by Source'!G229/10,0))</f>
        <v>6564</v>
      </c>
      <c r="H229" s="21">
        <f t="shared" si="9"/>
        <v>31397</v>
      </c>
      <c r="I229" s="21">
        <f>INDEX(Data[],MATCH($A229,Data[Dist],0),MATCH(I$5,Data[#Headers],0))</f>
        <v>71070</v>
      </c>
      <c r="K229" s="59">
        <f>INDEX('Payment Total'!$A$7:$H$331,MATCH('Payment by Source'!$A229,'Payment Total'!$A$7:$A$331,0),4)-I229</f>
        <v>0</v>
      </c>
      <c r="P229" s="138">
        <f>INDEX('Budget by Source'!$A$6:$I$330,MATCH('Payment by Source'!$A229,'Budget by Source'!$A$6:$A$330,0),MATCH(P$3,'Budget by Source'!$A$5:$I$5,0))-(ROUND(INDEX('Budget by Source'!$A$6:$I$330,MATCH('Payment by Source'!$A229,'Budget by Source'!$A$6:$A$330,0),MATCH(P$3,'Budget by Source'!$A$5:$I$5,0))/10,0)*10)</f>
        <v>4</v>
      </c>
      <c r="Q229" s="138">
        <f>INDEX('Budget by Source'!$A$6:$I$330,MATCH('Payment by Source'!$A229,'Budget by Source'!$A$6:$A$330,0),MATCH(Q$3,'Budget by Source'!$A$5:$I$5,0))-(ROUND(INDEX('Budget by Source'!$A$6:$I$330,MATCH('Payment by Source'!$A229,'Budget by Source'!$A$6:$A$330,0),MATCH(Q$3,'Budget by Source'!$A$5:$I$5,0))/10,0)*10)</f>
        <v>2</v>
      </c>
      <c r="R229" s="138">
        <f>INDEX('Budget by Source'!$A$6:$I$330,MATCH('Payment by Source'!$A229,'Budget by Source'!$A$6:$A$330,0),MATCH(R$3,'Budget by Source'!$A$5:$I$5,0))-(ROUND(INDEX('Budget by Source'!$A$6:$I$330,MATCH('Payment by Source'!$A229,'Budget by Source'!$A$6:$A$330,0),MATCH(R$3,'Budget by Source'!$A$5:$I$5,0))/10,0)*10)</f>
        <v>2</v>
      </c>
      <c r="S229" s="138">
        <f>INDEX('Budget by Source'!$A$6:$I$330,MATCH('Payment by Source'!$A229,'Budget by Source'!$A$6:$A$330,0),MATCH(S$3,'Budget by Source'!$A$5:$I$5,0))-(ROUND(INDEX('Budget by Source'!$A$6:$I$330,MATCH('Payment by Source'!$A229,'Budget by Source'!$A$6:$A$330,0),MATCH(S$3,'Budget by Source'!$A$5:$I$5,0))/10,0)*10)</f>
        <v>-4</v>
      </c>
      <c r="T229" s="138">
        <f>INDEX('Budget by Source'!$A$6:$I$330,MATCH('Payment by Source'!$A229,'Budget by Source'!$A$6:$A$330,0),MATCH(T$3,'Budget by Source'!$A$5:$I$5,0))-(ROUND(INDEX('Budget by Source'!$A$6:$I$330,MATCH('Payment by Source'!$A229,'Budget by Source'!$A$6:$A$330,0),MATCH(T$3,'Budget by Source'!$A$5:$I$5,0))/10,0)*10)</f>
        <v>-5</v>
      </c>
      <c r="U229" s="139">
        <f>INDEX('Budget by Source'!$A$6:$I$330,MATCH('Payment by Source'!$A229,'Budget by Source'!$A$6:$A$330,0),MATCH(U$3,'Budget by Source'!$A$5:$I$5,0))</f>
        <v>316435</v>
      </c>
      <c r="V229" s="136">
        <f t="shared" si="10"/>
        <v>31644</v>
      </c>
      <c r="W229" s="136">
        <f t="shared" si="11"/>
        <v>316440</v>
      </c>
    </row>
    <row r="230" spans="1:23" x14ac:dyDescent="0.2">
      <c r="A230" s="22" t="str">
        <f>Data!B226</f>
        <v>4995</v>
      </c>
      <c r="B230" s="20" t="str">
        <f>INDEX(Data[],MATCH($A230,Data[Dist],0),MATCH(B$5,Data[#Headers],0))</f>
        <v>Osage</v>
      </c>
      <c r="C230" s="21">
        <f>IF(Notes!$B$2="June",ROUND('Budget by Source'!C230/10,0)+P230,ROUND('Budget by Source'!C230/10,0))</f>
        <v>20261</v>
      </c>
      <c r="D230" s="21">
        <f>IF(Notes!$B$2="June",ROUND('Budget by Source'!D230/10,0)+Q230,ROUND('Budget by Source'!D230/10,0))</f>
        <v>80081</v>
      </c>
      <c r="E230" s="21">
        <f>IF(Notes!$B$2="June",ROUND('Budget by Source'!E230/10,0)+R230,ROUND('Budget by Source'!E230/10,0))</f>
        <v>6597</v>
      </c>
      <c r="F230" s="21">
        <f>IF(Notes!$B$2="June",ROUND('Budget by Source'!F230/10,0)+S230,ROUND('Budget by Source'!F230/10,0))</f>
        <v>6881</v>
      </c>
      <c r="G230" s="21">
        <f>IF(Notes!$B$2="June",ROUND('Budget by Source'!G230/10,0)+T230,ROUND('Budget by Source'!G230/10,0))</f>
        <v>34076</v>
      </c>
      <c r="H230" s="21">
        <f t="shared" si="9"/>
        <v>477213</v>
      </c>
      <c r="I230" s="21">
        <f>INDEX(Data[],MATCH($A230,Data[Dist],0),MATCH(I$5,Data[#Headers],0))</f>
        <v>625109</v>
      </c>
      <c r="K230" s="59">
        <f>INDEX('Payment Total'!$A$7:$H$331,MATCH('Payment by Source'!$A230,'Payment Total'!$A$7:$A$331,0),4)-I230</f>
        <v>0</v>
      </c>
      <c r="P230" s="138">
        <f>INDEX('Budget by Source'!$A$6:$I$330,MATCH('Payment by Source'!$A230,'Budget by Source'!$A$6:$A$330,0),MATCH(P$3,'Budget by Source'!$A$5:$I$5,0))-(ROUND(INDEX('Budget by Source'!$A$6:$I$330,MATCH('Payment by Source'!$A230,'Budget by Source'!$A$6:$A$330,0),MATCH(P$3,'Budget by Source'!$A$5:$I$5,0))/10,0)*10)</f>
        <v>4</v>
      </c>
      <c r="Q230" s="138">
        <f>INDEX('Budget by Source'!$A$6:$I$330,MATCH('Payment by Source'!$A230,'Budget by Source'!$A$6:$A$330,0),MATCH(Q$3,'Budget by Source'!$A$5:$I$5,0))-(ROUND(INDEX('Budget by Source'!$A$6:$I$330,MATCH('Payment by Source'!$A230,'Budget by Source'!$A$6:$A$330,0),MATCH(Q$3,'Budget by Source'!$A$5:$I$5,0))/10,0)*10)</f>
        <v>2</v>
      </c>
      <c r="R230" s="138">
        <f>INDEX('Budget by Source'!$A$6:$I$330,MATCH('Payment by Source'!$A230,'Budget by Source'!$A$6:$A$330,0),MATCH(R$3,'Budget by Source'!$A$5:$I$5,0))-(ROUND(INDEX('Budget by Source'!$A$6:$I$330,MATCH('Payment by Source'!$A230,'Budget by Source'!$A$6:$A$330,0),MATCH(R$3,'Budget by Source'!$A$5:$I$5,0))/10,0)*10)</f>
        <v>1</v>
      </c>
      <c r="S230" s="138">
        <f>INDEX('Budget by Source'!$A$6:$I$330,MATCH('Payment by Source'!$A230,'Budget by Source'!$A$6:$A$330,0),MATCH(S$3,'Budget by Source'!$A$5:$I$5,0))-(ROUND(INDEX('Budget by Source'!$A$6:$I$330,MATCH('Payment by Source'!$A230,'Budget by Source'!$A$6:$A$330,0),MATCH(S$3,'Budget by Source'!$A$5:$I$5,0))/10,0)*10)</f>
        <v>2</v>
      </c>
      <c r="T230" s="138">
        <f>INDEX('Budget by Source'!$A$6:$I$330,MATCH('Payment by Source'!$A230,'Budget by Source'!$A$6:$A$330,0),MATCH(T$3,'Budget by Source'!$A$5:$I$5,0))-(ROUND(INDEX('Budget by Source'!$A$6:$I$330,MATCH('Payment by Source'!$A230,'Budget by Source'!$A$6:$A$330,0),MATCH(T$3,'Budget by Source'!$A$5:$I$5,0))/10,0)*10)</f>
        <v>-1</v>
      </c>
      <c r="U230" s="139">
        <f>INDEX('Budget by Source'!$A$6:$I$330,MATCH('Payment by Source'!$A230,'Budget by Source'!$A$6:$A$330,0),MATCH(U$3,'Budget by Source'!$A$5:$I$5,0))</f>
        <v>4785668</v>
      </c>
      <c r="V230" s="136">
        <f t="shared" si="10"/>
        <v>478567</v>
      </c>
      <c r="W230" s="136">
        <f t="shared" si="11"/>
        <v>4785670</v>
      </c>
    </row>
    <row r="231" spans="1:23" x14ac:dyDescent="0.2">
      <c r="A231" s="22" t="str">
        <f>Data!B227</f>
        <v>5013</v>
      </c>
      <c r="B231" s="20" t="str">
        <f>INDEX(Data[],MATCH($A231,Data[Dist],0),MATCH(B$5,Data[#Headers],0))</f>
        <v>Oskaloosa</v>
      </c>
      <c r="C231" s="21">
        <f>IF(Notes!$B$2="June",ROUND('Budget by Source'!C231/10,0)+P231,ROUND('Budget by Source'!C231/10,0))</f>
        <v>58057</v>
      </c>
      <c r="D231" s="21">
        <f>IF(Notes!$B$2="June",ROUND('Budget by Source'!D231/10,0)+Q231,ROUND('Budget by Source'!D231/10,0))</f>
        <v>190549</v>
      </c>
      <c r="E231" s="21">
        <f>IF(Notes!$B$2="June",ROUND('Budget by Source'!E231/10,0)+R231,ROUND('Budget by Source'!E231/10,0))</f>
        <v>19957</v>
      </c>
      <c r="F231" s="21">
        <f>IF(Notes!$B$2="June",ROUND('Budget by Source'!F231/10,0)+S231,ROUND('Budget by Source'!F231/10,0))</f>
        <v>17985</v>
      </c>
      <c r="G231" s="21">
        <f>IF(Notes!$B$2="June",ROUND('Budget by Source'!G231/10,0)+T231,ROUND('Budget by Source'!G231/10,0))</f>
        <v>88346</v>
      </c>
      <c r="H231" s="21">
        <f t="shared" si="9"/>
        <v>1389855</v>
      </c>
      <c r="I231" s="21">
        <f>INDEX(Data[],MATCH($A231,Data[Dist],0),MATCH(I$5,Data[#Headers],0))</f>
        <v>1764749</v>
      </c>
      <c r="K231" s="59">
        <f>INDEX('Payment Total'!$A$7:$H$331,MATCH('Payment by Source'!$A231,'Payment Total'!$A$7:$A$331,0),4)-I231</f>
        <v>0</v>
      </c>
      <c r="P231" s="138">
        <f>INDEX('Budget by Source'!$A$6:$I$330,MATCH('Payment by Source'!$A231,'Budget by Source'!$A$6:$A$330,0),MATCH(P$3,'Budget by Source'!$A$5:$I$5,0))-(ROUND(INDEX('Budget by Source'!$A$6:$I$330,MATCH('Payment by Source'!$A231,'Budget by Source'!$A$6:$A$330,0),MATCH(P$3,'Budget by Source'!$A$5:$I$5,0))/10,0)*10)</f>
        <v>-4</v>
      </c>
      <c r="Q231" s="138">
        <f>INDEX('Budget by Source'!$A$6:$I$330,MATCH('Payment by Source'!$A231,'Budget by Source'!$A$6:$A$330,0),MATCH(Q$3,'Budget by Source'!$A$5:$I$5,0))-(ROUND(INDEX('Budget by Source'!$A$6:$I$330,MATCH('Payment by Source'!$A231,'Budget by Source'!$A$6:$A$330,0),MATCH(Q$3,'Budget by Source'!$A$5:$I$5,0))/10,0)*10)</f>
        <v>1</v>
      </c>
      <c r="R231" s="138">
        <f>INDEX('Budget by Source'!$A$6:$I$330,MATCH('Payment by Source'!$A231,'Budget by Source'!$A$6:$A$330,0),MATCH(R$3,'Budget by Source'!$A$5:$I$5,0))-(ROUND(INDEX('Budget by Source'!$A$6:$I$330,MATCH('Payment by Source'!$A231,'Budget by Source'!$A$6:$A$330,0),MATCH(R$3,'Budget by Source'!$A$5:$I$5,0))/10,0)*10)</f>
        <v>0</v>
      </c>
      <c r="S231" s="138">
        <f>INDEX('Budget by Source'!$A$6:$I$330,MATCH('Payment by Source'!$A231,'Budget by Source'!$A$6:$A$330,0),MATCH(S$3,'Budget by Source'!$A$5:$I$5,0))-(ROUND(INDEX('Budget by Source'!$A$6:$I$330,MATCH('Payment by Source'!$A231,'Budget by Source'!$A$6:$A$330,0),MATCH(S$3,'Budget by Source'!$A$5:$I$5,0))/10,0)*10)</f>
        <v>4</v>
      </c>
      <c r="T231" s="138">
        <f>INDEX('Budget by Source'!$A$6:$I$330,MATCH('Payment by Source'!$A231,'Budget by Source'!$A$6:$A$330,0),MATCH(T$3,'Budget by Source'!$A$5:$I$5,0))-(ROUND(INDEX('Budget by Source'!$A$6:$I$330,MATCH('Payment by Source'!$A231,'Budget by Source'!$A$6:$A$330,0),MATCH(T$3,'Budget by Source'!$A$5:$I$5,0))/10,0)*10)</f>
        <v>-2</v>
      </c>
      <c r="U231" s="139">
        <f>INDEX('Budget by Source'!$A$6:$I$330,MATCH('Payment by Source'!$A231,'Budget by Source'!$A$6:$A$330,0),MATCH(U$3,'Budget by Source'!$A$5:$I$5,0))</f>
        <v>13931913</v>
      </c>
      <c r="V231" s="136">
        <f t="shared" si="10"/>
        <v>1393191</v>
      </c>
      <c r="W231" s="136">
        <f t="shared" si="11"/>
        <v>13931910</v>
      </c>
    </row>
    <row r="232" spans="1:23" x14ac:dyDescent="0.2">
      <c r="A232" s="22" t="str">
        <f>Data!B228</f>
        <v>5049</v>
      </c>
      <c r="B232" s="20" t="str">
        <f>INDEX(Data[],MATCH($A232,Data[Dist],0),MATCH(B$5,Data[#Headers],0))</f>
        <v>Ottumwa</v>
      </c>
      <c r="C232" s="21">
        <f>IF(Notes!$B$2="June",ROUND('Budget by Source'!C232/10,0)+P232,ROUND('Budget by Source'!C232/10,0))</f>
        <v>96631</v>
      </c>
      <c r="D232" s="21">
        <f>IF(Notes!$B$2="June",ROUND('Budget by Source'!D232/10,0)+Q232,ROUND('Budget by Source'!D232/10,0))</f>
        <v>363257</v>
      </c>
      <c r="E232" s="21">
        <f>IF(Notes!$B$2="June",ROUND('Budget by Source'!E232/10,0)+R232,ROUND('Budget by Source'!E232/10,0))</f>
        <v>47720</v>
      </c>
      <c r="F232" s="21">
        <f>IF(Notes!$B$2="June",ROUND('Budget by Source'!F232/10,0)+S232,ROUND('Budget by Source'!F232/10,0))</f>
        <v>38337</v>
      </c>
      <c r="G232" s="21">
        <f>IF(Notes!$B$2="June",ROUND('Budget by Source'!G232/10,0)+T232,ROUND('Budget by Source'!G232/10,0))</f>
        <v>196251</v>
      </c>
      <c r="H232" s="21">
        <f t="shared" si="9"/>
        <v>3946383</v>
      </c>
      <c r="I232" s="21">
        <f>INDEX(Data[],MATCH($A232,Data[Dist],0),MATCH(I$5,Data[#Headers],0))</f>
        <v>4688579</v>
      </c>
      <c r="K232" s="59">
        <f>INDEX('Payment Total'!$A$7:$H$331,MATCH('Payment by Source'!$A232,'Payment Total'!$A$7:$A$331,0),4)-I232</f>
        <v>0</v>
      </c>
      <c r="P232" s="138">
        <f>INDEX('Budget by Source'!$A$6:$I$330,MATCH('Payment by Source'!$A232,'Budget by Source'!$A$6:$A$330,0),MATCH(P$3,'Budget by Source'!$A$5:$I$5,0))-(ROUND(INDEX('Budget by Source'!$A$6:$I$330,MATCH('Payment by Source'!$A232,'Budget by Source'!$A$6:$A$330,0),MATCH(P$3,'Budget by Source'!$A$5:$I$5,0))/10,0)*10)</f>
        <v>1</v>
      </c>
      <c r="Q232" s="138">
        <f>INDEX('Budget by Source'!$A$6:$I$330,MATCH('Payment by Source'!$A232,'Budget by Source'!$A$6:$A$330,0),MATCH(Q$3,'Budget by Source'!$A$5:$I$5,0))-(ROUND(INDEX('Budget by Source'!$A$6:$I$330,MATCH('Payment by Source'!$A232,'Budget by Source'!$A$6:$A$330,0),MATCH(Q$3,'Budget by Source'!$A$5:$I$5,0))/10,0)*10)</f>
        <v>2</v>
      </c>
      <c r="R232" s="138">
        <f>INDEX('Budget by Source'!$A$6:$I$330,MATCH('Payment by Source'!$A232,'Budget by Source'!$A$6:$A$330,0),MATCH(R$3,'Budget by Source'!$A$5:$I$5,0))-(ROUND(INDEX('Budget by Source'!$A$6:$I$330,MATCH('Payment by Source'!$A232,'Budget by Source'!$A$6:$A$330,0),MATCH(R$3,'Budget by Source'!$A$5:$I$5,0))/10,0)*10)</f>
        <v>-3</v>
      </c>
      <c r="S232" s="138">
        <f>INDEX('Budget by Source'!$A$6:$I$330,MATCH('Payment by Source'!$A232,'Budget by Source'!$A$6:$A$330,0),MATCH(S$3,'Budget by Source'!$A$5:$I$5,0))-(ROUND(INDEX('Budget by Source'!$A$6:$I$330,MATCH('Payment by Source'!$A232,'Budget by Source'!$A$6:$A$330,0),MATCH(S$3,'Budget by Source'!$A$5:$I$5,0))/10,0)*10)</f>
        <v>-1</v>
      </c>
      <c r="T232" s="138">
        <f>INDEX('Budget by Source'!$A$6:$I$330,MATCH('Payment by Source'!$A232,'Budget by Source'!$A$6:$A$330,0),MATCH(T$3,'Budget by Source'!$A$5:$I$5,0))-(ROUND(INDEX('Budget by Source'!$A$6:$I$330,MATCH('Payment by Source'!$A232,'Budget by Source'!$A$6:$A$330,0),MATCH(T$3,'Budget by Source'!$A$5:$I$5,0))/10,0)*10)</f>
        <v>0</v>
      </c>
      <c r="U232" s="139">
        <f>INDEX('Budget by Source'!$A$6:$I$330,MATCH('Payment by Source'!$A232,'Budget by Source'!$A$6:$A$330,0),MATCH(U$3,'Budget by Source'!$A$5:$I$5,0))</f>
        <v>39540619</v>
      </c>
      <c r="V232" s="136">
        <f t="shared" si="10"/>
        <v>3954062</v>
      </c>
      <c r="W232" s="136">
        <f t="shared" si="11"/>
        <v>39540620</v>
      </c>
    </row>
    <row r="233" spans="1:23" x14ac:dyDescent="0.2">
      <c r="A233" s="22" t="str">
        <f>Data!B229</f>
        <v>5121</v>
      </c>
      <c r="B233" s="20" t="str">
        <f>INDEX(Data[],MATCH($A233,Data[Dist],0),MATCH(B$5,Data[#Headers],0))</f>
        <v>Panorama</v>
      </c>
      <c r="C233" s="21">
        <f>IF(Notes!$B$2="June",ROUND('Budget by Source'!C233/10,0)+P233,ROUND('Budget by Source'!C233/10,0))</f>
        <v>13248</v>
      </c>
      <c r="D233" s="21">
        <f>IF(Notes!$B$2="June",ROUND('Budget by Source'!D233/10,0)+Q233,ROUND('Budget by Source'!D233/10,0))</f>
        <v>57125</v>
      </c>
      <c r="E233" s="21">
        <f>IF(Notes!$B$2="June",ROUND('Budget by Source'!E233/10,0)+R233,ROUND('Budget by Source'!E233/10,0))</f>
        <v>4535</v>
      </c>
      <c r="F233" s="21">
        <f>IF(Notes!$B$2="June",ROUND('Budget by Source'!F233/10,0)+S233,ROUND('Budget by Source'!F233/10,0))</f>
        <v>4269</v>
      </c>
      <c r="G233" s="21">
        <f>IF(Notes!$B$2="June",ROUND('Budget by Source'!G233/10,0)+T233,ROUND('Budget by Source'!G233/10,0))</f>
        <v>24308</v>
      </c>
      <c r="H233" s="21">
        <f t="shared" si="9"/>
        <v>241619</v>
      </c>
      <c r="I233" s="21">
        <f>INDEX(Data[],MATCH($A233,Data[Dist],0),MATCH(I$5,Data[#Headers],0))</f>
        <v>345104</v>
      </c>
      <c r="K233" s="59">
        <f>INDEX('Payment Total'!$A$7:$H$331,MATCH('Payment by Source'!$A233,'Payment Total'!$A$7:$A$331,0),4)-I233</f>
        <v>0</v>
      </c>
      <c r="P233" s="138">
        <f>INDEX('Budget by Source'!$A$6:$I$330,MATCH('Payment by Source'!$A233,'Budget by Source'!$A$6:$A$330,0),MATCH(P$3,'Budget by Source'!$A$5:$I$5,0))-(ROUND(INDEX('Budget by Source'!$A$6:$I$330,MATCH('Payment by Source'!$A233,'Budget by Source'!$A$6:$A$330,0),MATCH(P$3,'Budget by Source'!$A$5:$I$5,0))/10,0)*10)</f>
        <v>-2</v>
      </c>
      <c r="Q233" s="138">
        <f>INDEX('Budget by Source'!$A$6:$I$330,MATCH('Payment by Source'!$A233,'Budget by Source'!$A$6:$A$330,0),MATCH(Q$3,'Budget by Source'!$A$5:$I$5,0))-(ROUND(INDEX('Budget by Source'!$A$6:$I$330,MATCH('Payment by Source'!$A233,'Budget by Source'!$A$6:$A$330,0),MATCH(Q$3,'Budget by Source'!$A$5:$I$5,0))/10,0)*10)</f>
        <v>-2</v>
      </c>
      <c r="R233" s="138">
        <f>INDEX('Budget by Source'!$A$6:$I$330,MATCH('Payment by Source'!$A233,'Budget by Source'!$A$6:$A$330,0),MATCH(R$3,'Budget by Source'!$A$5:$I$5,0))-(ROUND(INDEX('Budget by Source'!$A$6:$I$330,MATCH('Payment by Source'!$A233,'Budget by Source'!$A$6:$A$330,0),MATCH(R$3,'Budget by Source'!$A$5:$I$5,0))/10,0)*10)</f>
        <v>4</v>
      </c>
      <c r="S233" s="138">
        <f>INDEX('Budget by Source'!$A$6:$I$330,MATCH('Payment by Source'!$A233,'Budget by Source'!$A$6:$A$330,0),MATCH(S$3,'Budget by Source'!$A$5:$I$5,0))-(ROUND(INDEX('Budget by Source'!$A$6:$I$330,MATCH('Payment by Source'!$A233,'Budget by Source'!$A$6:$A$330,0),MATCH(S$3,'Budget by Source'!$A$5:$I$5,0))/10,0)*10)</f>
        <v>0</v>
      </c>
      <c r="T233" s="138">
        <f>INDEX('Budget by Source'!$A$6:$I$330,MATCH('Payment by Source'!$A233,'Budget by Source'!$A$6:$A$330,0),MATCH(T$3,'Budget by Source'!$A$5:$I$5,0))-(ROUND(INDEX('Budget by Source'!$A$6:$I$330,MATCH('Payment by Source'!$A233,'Budget by Source'!$A$6:$A$330,0),MATCH(T$3,'Budget by Source'!$A$5:$I$5,0))/10,0)*10)</f>
        <v>-4</v>
      </c>
      <c r="U233" s="139">
        <f>INDEX('Budget by Source'!$A$6:$I$330,MATCH('Payment by Source'!$A233,'Budget by Source'!$A$6:$A$330,0),MATCH(U$3,'Budget by Source'!$A$5:$I$5,0))</f>
        <v>2425839</v>
      </c>
      <c r="V233" s="136">
        <f t="shared" si="10"/>
        <v>242584</v>
      </c>
      <c r="W233" s="136">
        <f t="shared" si="11"/>
        <v>2425840</v>
      </c>
    </row>
    <row r="234" spans="1:23" x14ac:dyDescent="0.2">
      <c r="A234" s="22" t="str">
        <f>Data!B230</f>
        <v>5139</v>
      </c>
      <c r="B234" s="20" t="str">
        <f>INDEX(Data[],MATCH($A234,Data[Dist],0),MATCH(B$5,Data[#Headers],0))</f>
        <v>Paton-Churdan</v>
      </c>
      <c r="C234" s="21">
        <f>IF(Notes!$B$2="June",ROUND('Budget by Source'!C234/10,0)+P234,ROUND('Budget by Source'!C234/10,0))</f>
        <v>3896</v>
      </c>
      <c r="D234" s="21">
        <f>IF(Notes!$B$2="June",ROUND('Budget by Source'!D234/10,0)+Q234,ROUND('Budget by Source'!D234/10,0))</f>
        <v>23146</v>
      </c>
      <c r="E234" s="21">
        <f>IF(Notes!$B$2="June",ROUND('Budget by Source'!E234/10,0)+R234,ROUND('Budget by Source'!E234/10,0))</f>
        <v>1597</v>
      </c>
      <c r="F234" s="21">
        <f>IF(Notes!$B$2="June",ROUND('Budget by Source'!F234/10,0)+S234,ROUND('Budget by Source'!F234/10,0))</f>
        <v>1221</v>
      </c>
      <c r="G234" s="21">
        <f>IF(Notes!$B$2="June",ROUND('Budget by Source'!G234/10,0)+T234,ROUND('Budget by Source'!G234/10,0))</f>
        <v>7260</v>
      </c>
      <c r="H234" s="21">
        <f t="shared" si="9"/>
        <v>75538</v>
      </c>
      <c r="I234" s="21">
        <f>INDEX(Data[],MATCH($A234,Data[Dist],0),MATCH(I$5,Data[#Headers],0))</f>
        <v>112658</v>
      </c>
      <c r="K234" s="59">
        <f>INDEX('Payment Total'!$A$7:$H$331,MATCH('Payment by Source'!$A234,'Payment Total'!$A$7:$A$331,0),4)-I234</f>
        <v>0</v>
      </c>
      <c r="P234" s="138">
        <f>INDEX('Budget by Source'!$A$6:$I$330,MATCH('Payment by Source'!$A234,'Budget by Source'!$A$6:$A$330,0),MATCH(P$3,'Budget by Source'!$A$5:$I$5,0))-(ROUND(INDEX('Budget by Source'!$A$6:$I$330,MATCH('Payment by Source'!$A234,'Budget by Source'!$A$6:$A$330,0),MATCH(P$3,'Budget by Source'!$A$5:$I$5,0))/10,0)*10)</f>
        <v>4</v>
      </c>
      <c r="Q234" s="138">
        <f>INDEX('Budget by Source'!$A$6:$I$330,MATCH('Payment by Source'!$A234,'Budget by Source'!$A$6:$A$330,0),MATCH(Q$3,'Budget by Source'!$A$5:$I$5,0))-(ROUND(INDEX('Budget by Source'!$A$6:$I$330,MATCH('Payment by Source'!$A234,'Budget by Source'!$A$6:$A$330,0),MATCH(Q$3,'Budget by Source'!$A$5:$I$5,0))/10,0)*10)</f>
        <v>-5</v>
      </c>
      <c r="R234" s="138">
        <f>INDEX('Budget by Source'!$A$6:$I$330,MATCH('Payment by Source'!$A234,'Budget by Source'!$A$6:$A$330,0),MATCH(R$3,'Budget by Source'!$A$5:$I$5,0))-(ROUND(INDEX('Budget by Source'!$A$6:$I$330,MATCH('Payment by Source'!$A234,'Budget by Source'!$A$6:$A$330,0),MATCH(R$3,'Budget by Source'!$A$5:$I$5,0))/10,0)*10)</f>
        <v>4</v>
      </c>
      <c r="S234" s="138">
        <f>INDEX('Budget by Source'!$A$6:$I$330,MATCH('Payment by Source'!$A234,'Budget by Source'!$A$6:$A$330,0),MATCH(S$3,'Budget by Source'!$A$5:$I$5,0))-(ROUND(INDEX('Budget by Source'!$A$6:$I$330,MATCH('Payment by Source'!$A234,'Budget by Source'!$A$6:$A$330,0),MATCH(S$3,'Budget by Source'!$A$5:$I$5,0))/10,0)*10)</f>
        <v>-3</v>
      </c>
      <c r="T234" s="138">
        <f>INDEX('Budget by Source'!$A$6:$I$330,MATCH('Payment by Source'!$A234,'Budget by Source'!$A$6:$A$330,0),MATCH(T$3,'Budget by Source'!$A$5:$I$5,0))-(ROUND(INDEX('Budget by Source'!$A$6:$I$330,MATCH('Payment by Source'!$A234,'Budget by Source'!$A$6:$A$330,0),MATCH(T$3,'Budget by Source'!$A$5:$I$5,0))/10,0)*10)</f>
        <v>2</v>
      </c>
      <c r="U234" s="139">
        <f>INDEX('Budget by Source'!$A$6:$I$330,MATCH('Payment by Source'!$A234,'Budget by Source'!$A$6:$A$330,0),MATCH(U$3,'Budget by Source'!$A$5:$I$5,0))</f>
        <v>758206</v>
      </c>
      <c r="V234" s="136">
        <f t="shared" si="10"/>
        <v>75821</v>
      </c>
      <c r="W234" s="136">
        <f t="shared" si="11"/>
        <v>758210</v>
      </c>
    </row>
    <row r="235" spans="1:23" x14ac:dyDescent="0.2">
      <c r="A235" s="22" t="str">
        <f>Data!B231</f>
        <v>5157</v>
      </c>
      <c r="B235" s="20" t="str">
        <f>INDEX(Data[],MATCH($A235,Data[Dist],0),MATCH(B$5,Data[#Headers],0))</f>
        <v>South O'Brien</v>
      </c>
      <c r="C235" s="21">
        <f>IF(Notes!$B$2="June",ROUND('Budget by Source'!C235/10,0)+P235,ROUND('Budget by Source'!C235/10,0))</f>
        <v>10131</v>
      </c>
      <c r="D235" s="21">
        <f>IF(Notes!$B$2="June",ROUND('Budget by Source'!D235/10,0)+Q235,ROUND('Budget by Source'!D235/10,0))</f>
        <v>59832</v>
      </c>
      <c r="E235" s="21">
        <f>IF(Notes!$B$2="June",ROUND('Budget by Source'!E235/10,0)+R235,ROUND('Budget by Source'!E235/10,0))</f>
        <v>4459</v>
      </c>
      <c r="F235" s="21">
        <f>IF(Notes!$B$2="June",ROUND('Budget by Source'!F235/10,0)+S235,ROUND('Budget by Source'!F235/10,0))</f>
        <v>5052</v>
      </c>
      <c r="G235" s="21">
        <f>IF(Notes!$B$2="June",ROUND('Budget by Source'!G235/10,0)+T235,ROUND('Budget by Source'!G235/10,0))</f>
        <v>23684</v>
      </c>
      <c r="H235" s="21">
        <f t="shared" si="9"/>
        <v>82840</v>
      </c>
      <c r="I235" s="21">
        <f>INDEX(Data[],MATCH($A235,Data[Dist],0),MATCH(I$5,Data[#Headers],0))</f>
        <v>185998</v>
      </c>
      <c r="K235" s="59">
        <f>INDEX('Payment Total'!$A$7:$H$331,MATCH('Payment by Source'!$A235,'Payment Total'!$A$7:$A$331,0),4)-I235</f>
        <v>0</v>
      </c>
      <c r="P235" s="138">
        <f>INDEX('Budget by Source'!$A$6:$I$330,MATCH('Payment by Source'!$A235,'Budget by Source'!$A$6:$A$330,0),MATCH(P$3,'Budget by Source'!$A$5:$I$5,0))-(ROUND(INDEX('Budget by Source'!$A$6:$I$330,MATCH('Payment by Source'!$A235,'Budget by Source'!$A$6:$A$330,0),MATCH(P$3,'Budget by Source'!$A$5:$I$5,0))/10,0)*10)</f>
        <v>-3</v>
      </c>
      <c r="Q235" s="138">
        <f>INDEX('Budget by Source'!$A$6:$I$330,MATCH('Payment by Source'!$A235,'Budget by Source'!$A$6:$A$330,0),MATCH(Q$3,'Budget by Source'!$A$5:$I$5,0))-(ROUND(INDEX('Budget by Source'!$A$6:$I$330,MATCH('Payment by Source'!$A235,'Budget by Source'!$A$6:$A$330,0),MATCH(Q$3,'Budget by Source'!$A$5:$I$5,0))/10,0)*10)</f>
        <v>1</v>
      </c>
      <c r="R235" s="138">
        <f>INDEX('Budget by Source'!$A$6:$I$330,MATCH('Payment by Source'!$A235,'Budget by Source'!$A$6:$A$330,0),MATCH(R$3,'Budget by Source'!$A$5:$I$5,0))-(ROUND(INDEX('Budget by Source'!$A$6:$I$330,MATCH('Payment by Source'!$A235,'Budget by Source'!$A$6:$A$330,0),MATCH(R$3,'Budget by Source'!$A$5:$I$5,0))/10,0)*10)</f>
        <v>2</v>
      </c>
      <c r="S235" s="138">
        <f>INDEX('Budget by Source'!$A$6:$I$330,MATCH('Payment by Source'!$A235,'Budget by Source'!$A$6:$A$330,0),MATCH(S$3,'Budget by Source'!$A$5:$I$5,0))-(ROUND(INDEX('Budget by Source'!$A$6:$I$330,MATCH('Payment by Source'!$A235,'Budget by Source'!$A$6:$A$330,0),MATCH(S$3,'Budget by Source'!$A$5:$I$5,0))/10,0)*10)</f>
        <v>4</v>
      </c>
      <c r="T235" s="138">
        <f>INDEX('Budget by Source'!$A$6:$I$330,MATCH('Payment by Source'!$A235,'Budget by Source'!$A$6:$A$330,0),MATCH(T$3,'Budget by Source'!$A$5:$I$5,0))-(ROUND(INDEX('Budget by Source'!$A$6:$I$330,MATCH('Payment by Source'!$A235,'Budget by Source'!$A$6:$A$330,0),MATCH(T$3,'Budget by Source'!$A$5:$I$5,0))/10,0)*10)</f>
        <v>3</v>
      </c>
      <c r="U235" s="139">
        <f>INDEX('Budget by Source'!$A$6:$I$330,MATCH('Payment by Source'!$A235,'Budget by Source'!$A$6:$A$330,0),MATCH(U$3,'Budget by Source'!$A$5:$I$5,0))</f>
        <v>837085</v>
      </c>
      <c r="V235" s="136">
        <f t="shared" si="10"/>
        <v>83709</v>
      </c>
      <c r="W235" s="136">
        <f t="shared" si="11"/>
        <v>837090</v>
      </c>
    </row>
    <row r="236" spans="1:23" x14ac:dyDescent="0.2">
      <c r="A236" s="22" t="str">
        <f>Data!B232</f>
        <v>5163</v>
      </c>
      <c r="B236" s="20" t="str">
        <f>INDEX(Data[],MATCH($A236,Data[Dist],0),MATCH(B$5,Data[#Headers],0))</f>
        <v>Pekin</v>
      </c>
      <c r="C236" s="21">
        <f>IF(Notes!$B$2="June",ROUND('Budget by Source'!C236/10,0)+P236,ROUND('Budget by Source'!C236/10,0))</f>
        <v>12469</v>
      </c>
      <c r="D236" s="21">
        <f>IF(Notes!$B$2="June",ROUND('Budget by Source'!D236/10,0)+Q236,ROUND('Budget by Source'!D236/10,0))</f>
        <v>48708</v>
      </c>
      <c r="E236" s="21">
        <f>IF(Notes!$B$2="June",ROUND('Budget by Source'!E236/10,0)+R236,ROUND('Budget by Source'!E236/10,0))</f>
        <v>4183</v>
      </c>
      <c r="F236" s="21">
        <f>IF(Notes!$B$2="June",ROUND('Budget by Source'!F236/10,0)+S236,ROUND('Budget by Source'!F236/10,0))</f>
        <v>4031</v>
      </c>
      <c r="G236" s="21">
        <f>IF(Notes!$B$2="June",ROUND('Budget by Source'!G236/10,0)+T236,ROUND('Budget by Source'!G236/10,0))</f>
        <v>20236</v>
      </c>
      <c r="H236" s="21">
        <f t="shared" si="9"/>
        <v>235731</v>
      </c>
      <c r="I236" s="21">
        <f>INDEX(Data[],MATCH($A236,Data[Dist],0),MATCH(I$5,Data[#Headers],0))</f>
        <v>325358</v>
      </c>
      <c r="K236" s="59">
        <f>INDEX('Payment Total'!$A$7:$H$331,MATCH('Payment by Source'!$A236,'Payment Total'!$A$7:$A$331,0),4)-I236</f>
        <v>0</v>
      </c>
      <c r="P236" s="138">
        <f>INDEX('Budget by Source'!$A$6:$I$330,MATCH('Payment by Source'!$A236,'Budget by Source'!$A$6:$A$330,0),MATCH(P$3,'Budget by Source'!$A$5:$I$5,0))-(ROUND(INDEX('Budget by Source'!$A$6:$I$330,MATCH('Payment by Source'!$A236,'Budget by Source'!$A$6:$A$330,0),MATCH(P$3,'Budget by Source'!$A$5:$I$5,0))/10,0)*10)</f>
        <v>-5</v>
      </c>
      <c r="Q236" s="138">
        <f>INDEX('Budget by Source'!$A$6:$I$330,MATCH('Payment by Source'!$A236,'Budget by Source'!$A$6:$A$330,0),MATCH(Q$3,'Budget by Source'!$A$5:$I$5,0))-(ROUND(INDEX('Budget by Source'!$A$6:$I$330,MATCH('Payment by Source'!$A236,'Budget by Source'!$A$6:$A$330,0),MATCH(Q$3,'Budget by Source'!$A$5:$I$5,0))/10,0)*10)</f>
        <v>-4</v>
      </c>
      <c r="R236" s="138">
        <f>INDEX('Budget by Source'!$A$6:$I$330,MATCH('Payment by Source'!$A236,'Budget by Source'!$A$6:$A$330,0),MATCH(R$3,'Budget by Source'!$A$5:$I$5,0))-(ROUND(INDEX('Budget by Source'!$A$6:$I$330,MATCH('Payment by Source'!$A236,'Budget by Source'!$A$6:$A$330,0),MATCH(R$3,'Budget by Source'!$A$5:$I$5,0))/10,0)*10)</f>
        <v>0</v>
      </c>
      <c r="S236" s="138">
        <f>INDEX('Budget by Source'!$A$6:$I$330,MATCH('Payment by Source'!$A236,'Budget by Source'!$A$6:$A$330,0),MATCH(S$3,'Budget by Source'!$A$5:$I$5,0))-(ROUND(INDEX('Budget by Source'!$A$6:$I$330,MATCH('Payment by Source'!$A236,'Budget by Source'!$A$6:$A$330,0),MATCH(S$3,'Budget by Source'!$A$5:$I$5,0))/10,0)*10)</f>
        <v>-1</v>
      </c>
      <c r="T236" s="138">
        <f>INDEX('Budget by Source'!$A$6:$I$330,MATCH('Payment by Source'!$A236,'Budget by Source'!$A$6:$A$330,0),MATCH(T$3,'Budget by Source'!$A$5:$I$5,0))-(ROUND(INDEX('Budget by Source'!$A$6:$I$330,MATCH('Payment by Source'!$A236,'Budget by Source'!$A$6:$A$330,0),MATCH(T$3,'Budget by Source'!$A$5:$I$5,0))/10,0)*10)</f>
        <v>0</v>
      </c>
      <c r="U236" s="139">
        <f>INDEX('Budget by Source'!$A$6:$I$330,MATCH('Payment by Source'!$A236,'Budget by Source'!$A$6:$A$330,0),MATCH(U$3,'Budget by Source'!$A$5:$I$5,0))</f>
        <v>2365292</v>
      </c>
      <c r="V236" s="136">
        <f t="shared" si="10"/>
        <v>236529</v>
      </c>
      <c r="W236" s="136">
        <f t="shared" si="11"/>
        <v>2365290</v>
      </c>
    </row>
    <row r="237" spans="1:23" x14ac:dyDescent="0.2">
      <c r="A237" s="22" t="str">
        <f>Data!B233</f>
        <v>5166</v>
      </c>
      <c r="B237" s="20" t="str">
        <f>INDEX(Data[],MATCH($A237,Data[Dist],0),MATCH(B$5,Data[#Headers],0))</f>
        <v>Pella</v>
      </c>
      <c r="C237" s="21">
        <f>IF(Notes!$B$2="June",ROUND('Budget by Source'!C237/10,0)+P237,ROUND('Budget by Source'!C237/10,0))</f>
        <v>52220</v>
      </c>
      <c r="D237" s="21">
        <f>IF(Notes!$B$2="June",ROUND('Budget by Source'!D237/10,0)+Q237,ROUND('Budget by Source'!D237/10,0))</f>
        <v>178071</v>
      </c>
      <c r="E237" s="21">
        <f>IF(Notes!$B$2="June",ROUND('Budget by Source'!E237/10,0)+R237,ROUND('Budget by Source'!E237/10,0))</f>
        <v>18297</v>
      </c>
      <c r="F237" s="21">
        <f>IF(Notes!$B$2="June",ROUND('Budget by Source'!F237/10,0)+S237,ROUND('Budget by Source'!F237/10,0))</f>
        <v>16970</v>
      </c>
      <c r="G237" s="21">
        <f>IF(Notes!$B$2="June",ROUND('Budget by Source'!G237/10,0)+T237,ROUND('Budget by Source'!G237/10,0))</f>
        <v>92127</v>
      </c>
      <c r="H237" s="21">
        <f t="shared" si="9"/>
        <v>1107055</v>
      </c>
      <c r="I237" s="21">
        <f>INDEX(Data[],MATCH($A237,Data[Dist],0),MATCH(I$5,Data[#Headers],0))</f>
        <v>1464740</v>
      </c>
      <c r="K237" s="59">
        <f>INDEX('Payment Total'!$A$7:$H$331,MATCH('Payment by Source'!$A237,'Payment Total'!$A$7:$A$331,0),4)-I237</f>
        <v>0</v>
      </c>
      <c r="P237" s="138">
        <f>INDEX('Budget by Source'!$A$6:$I$330,MATCH('Payment by Source'!$A237,'Budget by Source'!$A$6:$A$330,0),MATCH(P$3,'Budget by Source'!$A$5:$I$5,0))-(ROUND(INDEX('Budget by Source'!$A$6:$I$330,MATCH('Payment by Source'!$A237,'Budget by Source'!$A$6:$A$330,0),MATCH(P$3,'Budget by Source'!$A$5:$I$5,0))/10,0)*10)</f>
        <v>-2</v>
      </c>
      <c r="Q237" s="138">
        <f>INDEX('Budget by Source'!$A$6:$I$330,MATCH('Payment by Source'!$A237,'Budget by Source'!$A$6:$A$330,0),MATCH(Q$3,'Budget by Source'!$A$5:$I$5,0))-(ROUND(INDEX('Budget by Source'!$A$6:$I$330,MATCH('Payment by Source'!$A237,'Budget by Source'!$A$6:$A$330,0),MATCH(Q$3,'Budget by Source'!$A$5:$I$5,0))/10,0)*10)</f>
        <v>4</v>
      </c>
      <c r="R237" s="138">
        <f>INDEX('Budget by Source'!$A$6:$I$330,MATCH('Payment by Source'!$A237,'Budget by Source'!$A$6:$A$330,0),MATCH(R$3,'Budget by Source'!$A$5:$I$5,0))-(ROUND(INDEX('Budget by Source'!$A$6:$I$330,MATCH('Payment by Source'!$A237,'Budget by Source'!$A$6:$A$330,0),MATCH(R$3,'Budget by Source'!$A$5:$I$5,0))/10,0)*10)</f>
        <v>-4</v>
      </c>
      <c r="S237" s="138">
        <f>INDEX('Budget by Source'!$A$6:$I$330,MATCH('Payment by Source'!$A237,'Budget by Source'!$A$6:$A$330,0),MATCH(S$3,'Budget by Source'!$A$5:$I$5,0))-(ROUND(INDEX('Budget by Source'!$A$6:$I$330,MATCH('Payment by Source'!$A237,'Budget by Source'!$A$6:$A$330,0),MATCH(S$3,'Budget by Source'!$A$5:$I$5,0))/10,0)*10)</f>
        <v>-1</v>
      </c>
      <c r="T237" s="138">
        <f>INDEX('Budget by Source'!$A$6:$I$330,MATCH('Payment by Source'!$A237,'Budget by Source'!$A$6:$A$330,0),MATCH(T$3,'Budget by Source'!$A$5:$I$5,0))-(ROUND(INDEX('Budget by Source'!$A$6:$I$330,MATCH('Payment by Source'!$A237,'Budget by Source'!$A$6:$A$330,0),MATCH(T$3,'Budget by Source'!$A$5:$I$5,0))/10,0)*10)</f>
        <v>0</v>
      </c>
      <c r="U237" s="139">
        <f>INDEX('Budget by Source'!$A$6:$I$330,MATCH('Payment by Source'!$A237,'Budget by Source'!$A$6:$A$330,0),MATCH(U$3,'Budget by Source'!$A$5:$I$5,0))</f>
        <v>11102628</v>
      </c>
      <c r="V237" s="136">
        <f t="shared" si="10"/>
        <v>1110263</v>
      </c>
      <c r="W237" s="136">
        <f t="shared" si="11"/>
        <v>11102630</v>
      </c>
    </row>
    <row r="238" spans="1:23" x14ac:dyDescent="0.2">
      <c r="A238" s="22" t="str">
        <f>Data!B234</f>
        <v>5184</v>
      </c>
      <c r="B238" s="20" t="str">
        <f>INDEX(Data[],MATCH($A238,Data[Dist],0),MATCH(B$5,Data[#Headers],0))</f>
        <v>Perry</v>
      </c>
      <c r="C238" s="21">
        <f>IF(Notes!$B$2="June",ROUND('Budget by Source'!C238/10,0)+P238,ROUND('Budget by Source'!C238/10,0))</f>
        <v>33120</v>
      </c>
      <c r="D238" s="21">
        <f>IF(Notes!$B$2="June",ROUND('Budget by Source'!D238/10,0)+Q238,ROUND('Budget by Source'!D238/10,0))</f>
        <v>150025</v>
      </c>
      <c r="E238" s="21">
        <f>IF(Notes!$B$2="June",ROUND('Budget by Source'!E238/10,0)+R238,ROUND('Budget by Source'!E238/10,0))</f>
        <v>19530</v>
      </c>
      <c r="F238" s="21">
        <f>IF(Notes!$B$2="June",ROUND('Budget by Source'!F238/10,0)+S238,ROUND('Budget by Source'!F238/10,0))</f>
        <v>14746</v>
      </c>
      <c r="G238" s="21">
        <f>IF(Notes!$B$2="June",ROUND('Budget by Source'!G238/10,0)+T238,ROUND('Budget by Source'!G238/10,0))</f>
        <v>74555</v>
      </c>
      <c r="H238" s="21">
        <f t="shared" si="9"/>
        <v>1450279</v>
      </c>
      <c r="I238" s="21">
        <f>INDEX(Data[],MATCH($A238,Data[Dist],0),MATCH(I$5,Data[#Headers],0))</f>
        <v>1742255</v>
      </c>
      <c r="K238" s="59">
        <f>INDEX('Payment Total'!$A$7:$H$331,MATCH('Payment by Source'!$A238,'Payment Total'!$A$7:$A$331,0),4)-I238</f>
        <v>0</v>
      </c>
      <c r="P238" s="138">
        <f>INDEX('Budget by Source'!$A$6:$I$330,MATCH('Payment by Source'!$A238,'Budget by Source'!$A$6:$A$330,0),MATCH(P$3,'Budget by Source'!$A$5:$I$5,0))-(ROUND(INDEX('Budget by Source'!$A$6:$I$330,MATCH('Payment by Source'!$A238,'Budget by Source'!$A$6:$A$330,0),MATCH(P$3,'Budget by Source'!$A$5:$I$5,0))/10,0)*10)</f>
        <v>-5</v>
      </c>
      <c r="Q238" s="138">
        <f>INDEX('Budget by Source'!$A$6:$I$330,MATCH('Payment by Source'!$A238,'Budget by Source'!$A$6:$A$330,0),MATCH(Q$3,'Budget by Source'!$A$5:$I$5,0))-(ROUND(INDEX('Budget by Source'!$A$6:$I$330,MATCH('Payment by Source'!$A238,'Budget by Source'!$A$6:$A$330,0),MATCH(Q$3,'Budget by Source'!$A$5:$I$5,0))/10,0)*10)</f>
        <v>-1</v>
      </c>
      <c r="R238" s="138">
        <f>INDEX('Budget by Source'!$A$6:$I$330,MATCH('Payment by Source'!$A238,'Budget by Source'!$A$6:$A$330,0),MATCH(R$3,'Budget by Source'!$A$5:$I$5,0))-(ROUND(INDEX('Budget by Source'!$A$6:$I$330,MATCH('Payment by Source'!$A238,'Budget by Source'!$A$6:$A$330,0),MATCH(R$3,'Budget by Source'!$A$5:$I$5,0))/10,0)*10)</f>
        <v>-2</v>
      </c>
      <c r="S238" s="138">
        <f>INDEX('Budget by Source'!$A$6:$I$330,MATCH('Payment by Source'!$A238,'Budget by Source'!$A$6:$A$330,0),MATCH(S$3,'Budget by Source'!$A$5:$I$5,0))-(ROUND(INDEX('Budget by Source'!$A$6:$I$330,MATCH('Payment by Source'!$A238,'Budget by Source'!$A$6:$A$330,0),MATCH(S$3,'Budget by Source'!$A$5:$I$5,0))/10,0)*10)</f>
        <v>-5</v>
      </c>
      <c r="T238" s="138">
        <f>INDEX('Budget by Source'!$A$6:$I$330,MATCH('Payment by Source'!$A238,'Budget by Source'!$A$6:$A$330,0),MATCH(T$3,'Budget by Source'!$A$5:$I$5,0))-(ROUND(INDEX('Budget by Source'!$A$6:$I$330,MATCH('Payment by Source'!$A238,'Budget by Source'!$A$6:$A$330,0),MATCH(T$3,'Budget by Source'!$A$5:$I$5,0))/10,0)*10)</f>
        <v>-5</v>
      </c>
      <c r="U238" s="139">
        <f>INDEX('Budget by Source'!$A$6:$I$330,MATCH('Payment by Source'!$A238,'Budget by Source'!$A$6:$A$330,0),MATCH(U$3,'Budget by Source'!$A$5:$I$5,0))</f>
        <v>14531620</v>
      </c>
      <c r="V238" s="136">
        <f t="shared" si="10"/>
        <v>1453162</v>
      </c>
      <c r="W238" s="136">
        <f t="shared" si="11"/>
        <v>14531620</v>
      </c>
    </row>
    <row r="239" spans="1:23" x14ac:dyDescent="0.2">
      <c r="A239" s="22" t="str">
        <f>Data!B235</f>
        <v>5250</v>
      </c>
      <c r="B239" s="20" t="str">
        <f>INDEX(Data[],MATCH($A239,Data[Dist],0),MATCH(B$5,Data[#Headers],0))</f>
        <v>Pleasant Valley</v>
      </c>
      <c r="C239" s="21">
        <f>IF(Notes!$B$2="June",ROUND('Budget by Source'!C239/10,0)+P239,ROUND('Budget by Source'!C239/10,0))</f>
        <v>79511</v>
      </c>
      <c r="D239" s="21">
        <f>IF(Notes!$B$2="June",ROUND('Budget by Source'!D239/10,0)+Q239,ROUND('Budget by Source'!D239/10,0))</f>
        <v>390561</v>
      </c>
      <c r="E239" s="21">
        <f>IF(Notes!$B$2="June",ROUND('Budget by Source'!E239/10,0)+R239,ROUND('Budget by Source'!E239/10,0))</f>
        <v>37979</v>
      </c>
      <c r="F239" s="21">
        <f>IF(Notes!$B$2="June",ROUND('Budget by Source'!F239/10,0)+S239,ROUND('Budget by Source'!F239/10,0))</f>
        <v>40598</v>
      </c>
      <c r="G239" s="21">
        <f>IF(Notes!$B$2="June",ROUND('Budget by Source'!G239/10,0)+T239,ROUND('Budget by Source'!G239/10,0))</f>
        <v>211002</v>
      </c>
      <c r="H239" s="21">
        <f t="shared" si="9"/>
        <v>3109259</v>
      </c>
      <c r="I239" s="21">
        <f>INDEX(Data[],MATCH($A239,Data[Dist],0),MATCH(I$5,Data[#Headers],0))</f>
        <v>3868910</v>
      </c>
      <c r="K239" s="59">
        <f>INDEX('Payment Total'!$A$7:$H$331,MATCH('Payment by Source'!$A239,'Payment Total'!$A$7:$A$331,0),4)-I239</f>
        <v>0</v>
      </c>
      <c r="P239" s="138">
        <f>INDEX('Budget by Source'!$A$6:$I$330,MATCH('Payment by Source'!$A239,'Budget by Source'!$A$6:$A$330,0),MATCH(P$3,'Budget by Source'!$A$5:$I$5,0))-(ROUND(INDEX('Budget by Source'!$A$6:$I$330,MATCH('Payment by Source'!$A239,'Budget by Source'!$A$6:$A$330,0),MATCH(P$3,'Budget by Source'!$A$5:$I$5,0))/10,0)*10)</f>
        <v>-5</v>
      </c>
      <c r="Q239" s="138">
        <f>INDEX('Budget by Source'!$A$6:$I$330,MATCH('Payment by Source'!$A239,'Budget by Source'!$A$6:$A$330,0),MATCH(Q$3,'Budget by Source'!$A$5:$I$5,0))-(ROUND(INDEX('Budget by Source'!$A$6:$I$330,MATCH('Payment by Source'!$A239,'Budget by Source'!$A$6:$A$330,0),MATCH(Q$3,'Budget by Source'!$A$5:$I$5,0))/10,0)*10)</f>
        <v>-5</v>
      </c>
      <c r="R239" s="138">
        <f>INDEX('Budget by Source'!$A$6:$I$330,MATCH('Payment by Source'!$A239,'Budget by Source'!$A$6:$A$330,0),MATCH(R$3,'Budget by Source'!$A$5:$I$5,0))-(ROUND(INDEX('Budget by Source'!$A$6:$I$330,MATCH('Payment by Source'!$A239,'Budget by Source'!$A$6:$A$330,0),MATCH(R$3,'Budget by Source'!$A$5:$I$5,0))/10,0)*10)</f>
        <v>-5</v>
      </c>
      <c r="S239" s="138">
        <f>INDEX('Budget by Source'!$A$6:$I$330,MATCH('Payment by Source'!$A239,'Budget by Source'!$A$6:$A$330,0),MATCH(S$3,'Budget by Source'!$A$5:$I$5,0))-(ROUND(INDEX('Budget by Source'!$A$6:$I$330,MATCH('Payment by Source'!$A239,'Budget by Source'!$A$6:$A$330,0),MATCH(S$3,'Budget by Source'!$A$5:$I$5,0))/10,0)*10)</f>
        <v>3</v>
      </c>
      <c r="T239" s="138">
        <f>INDEX('Budget by Source'!$A$6:$I$330,MATCH('Payment by Source'!$A239,'Budget by Source'!$A$6:$A$330,0),MATCH(T$3,'Budget by Source'!$A$5:$I$5,0))-(ROUND(INDEX('Budget by Source'!$A$6:$I$330,MATCH('Payment by Source'!$A239,'Budget by Source'!$A$6:$A$330,0),MATCH(T$3,'Budget by Source'!$A$5:$I$5,0))/10,0)*10)</f>
        <v>-2</v>
      </c>
      <c r="U239" s="139">
        <f>INDEX('Budget by Source'!$A$6:$I$330,MATCH('Payment by Source'!$A239,'Budget by Source'!$A$6:$A$330,0),MATCH(U$3,'Budget by Source'!$A$5:$I$5,0))</f>
        <v>31175769</v>
      </c>
      <c r="V239" s="136">
        <f t="shared" si="10"/>
        <v>3117577</v>
      </c>
      <c r="W239" s="136">
        <f t="shared" si="11"/>
        <v>31175770</v>
      </c>
    </row>
    <row r="240" spans="1:23" x14ac:dyDescent="0.2">
      <c r="A240" s="22" t="str">
        <f>Data!B236</f>
        <v>5256</v>
      </c>
      <c r="B240" s="20" t="str">
        <f>INDEX(Data[],MATCH($A240,Data[Dist],0),MATCH(B$5,Data[#Headers],0))</f>
        <v>Pleasantville</v>
      </c>
      <c r="C240" s="21">
        <f>IF(Notes!$B$2="June",ROUND('Budget by Source'!C240/10,0)+P240,ROUND('Budget by Source'!C240/10,0))</f>
        <v>19872</v>
      </c>
      <c r="D240" s="21">
        <f>IF(Notes!$B$2="June",ROUND('Budget by Source'!D240/10,0)+Q240,ROUND('Budget by Source'!D240/10,0))</f>
        <v>61519</v>
      </c>
      <c r="E240" s="21">
        <f>IF(Notes!$B$2="June",ROUND('Budget by Source'!E240/10,0)+R240,ROUND('Budget by Source'!E240/10,0))</f>
        <v>6102</v>
      </c>
      <c r="F240" s="21">
        <f>IF(Notes!$B$2="June",ROUND('Budget by Source'!F240/10,0)+S240,ROUND('Budget by Source'!F240/10,0))</f>
        <v>4939</v>
      </c>
      <c r="G240" s="21">
        <f>IF(Notes!$B$2="June",ROUND('Budget by Source'!G240/10,0)+T240,ROUND('Budget by Source'!G240/10,0))</f>
        <v>26232</v>
      </c>
      <c r="H240" s="21">
        <f t="shared" si="9"/>
        <v>470447</v>
      </c>
      <c r="I240" s="21">
        <f>INDEX(Data[],MATCH($A240,Data[Dist],0),MATCH(I$5,Data[#Headers],0))</f>
        <v>589111</v>
      </c>
      <c r="K240" s="59">
        <f>INDEX('Payment Total'!$A$7:$H$331,MATCH('Payment by Source'!$A240,'Payment Total'!$A$7:$A$331,0),4)-I240</f>
        <v>0</v>
      </c>
      <c r="P240" s="138">
        <f>INDEX('Budget by Source'!$A$6:$I$330,MATCH('Payment by Source'!$A240,'Budget by Source'!$A$6:$A$330,0),MATCH(P$3,'Budget by Source'!$A$5:$I$5,0))-(ROUND(INDEX('Budget by Source'!$A$6:$I$330,MATCH('Payment by Source'!$A240,'Budget by Source'!$A$6:$A$330,0),MATCH(P$3,'Budget by Source'!$A$5:$I$5,0))/10,0)*10)</f>
        <v>-3</v>
      </c>
      <c r="Q240" s="138">
        <f>INDEX('Budget by Source'!$A$6:$I$330,MATCH('Payment by Source'!$A240,'Budget by Source'!$A$6:$A$330,0),MATCH(Q$3,'Budget by Source'!$A$5:$I$5,0))-(ROUND(INDEX('Budget by Source'!$A$6:$I$330,MATCH('Payment by Source'!$A240,'Budget by Source'!$A$6:$A$330,0),MATCH(Q$3,'Budget by Source'!$A$5:$I$5,0))/10,0)*10)</f>
        <v>0</v>
      </c>
      <c r="R240" s="138">
        <f>INDEX('Budget by Source'!$A$6:$I$330,MATCH('Payment by Source'!$A240,'Budget by Source'!$A$6:$A$330,0),MATCH(R$3,'Budget by Source'!$A$5:$I$5,0))-(ROUND(INDEX('Budget by Source'!$A$6:$I$330,MATCH('Payment by Source'!$A240,'Budget by Source'!$A$6:$A$330,0),MATCH(R$3,'Budget by Source'!$A$5:$I$5,0))/10,0)*10)</f>
        <v>-5</v>
      </c>
      <c r="S240" s="138">
        <f>INDEX('Budget by Source'!$A$6:$I$330,MATCH('Payment by Source'!$A240,'Budget by Source'!$A$6:$A$330,0),MATCH(S$3,'Budget by Source'!$A$5:$I$5,0))-(ROUND(INDEX('Budget by Source'!$A$6:$I$330,MATCH('Payment by Source'!$A240,'Budget by Source'!$A$6:$A$330,0),MATCH(S$3,'Budget by Source'!$A$5:$I$5,0))/10,0)*10)</f>
        <v>2</v>
      </c>
      <c r="T240" s="138">
        <f>INDEX('Budget by Source'!$A$6:$I$330,MATCH('Payment by Source'!$A240,'Budget by Source'!$A$6:$A$330,0),MATCH(T$3,'Budget by Source'!$A$5:$I$5,0))-(ROUND(INDEX('Budget by Source'!$A$6:$I$330,MATCH('Payment by Source'!$A240,'Budget by Source'!$A$6:$A$330,0),MATCH(T$3,'Budget by Source'!$A$5:$I$5,0))/10,0)*10)</f>
        <v>0</v>
      </c>
      <c r="U240" s="139">
        <f>INDEX('Budget by Source'!$A$6:$I$330,MATCH('Payment by Source'!$A240,'Budget by Source'!$A$6:$A$330,0),MATCH(U$3,'Budget by Source'!$A$5:$I$5,0))</f>
        <v>4714881</v>
      </c>
      <c r="V240" s="136">
        <f t="shared" si="10"/>
        <v>471488</v>
      </c>
      <c r="W240" s="136">
        <f t="shared" si="11"/>
        <v>4714880</v>
      </c>
    </row>
    <row r="241" spans="1:23" x14ac:dyDescent="0.2">
      <c r="A241" s="22" t="str">
        <f>Data!B237</f>
        <v>5283</v>
      </c>
      <c r="B241" s="20" t="str">
        <f>INDEX(Data[],MATCH($A241,Data[Dist],0),MATCH(B$5,Data[#Headers],0))</f>
        <v>Pocahontas Area</v>
      </c>
      <c r="C241" s="21">
        <f>IF(Notes!$B$2="June",ROUND('Budget by Source'!C241/10,0)+P241,ROUND('Budget by Source'!C241/10,0))</f>
        <v>15196</v>
      </c>
      <c r="D241" s="21">
        <f>IF(Notes!$B$2="June",ROUND('Budget by Source'!D241/10,0)+Q241,ROUND('Budget by Source'!D241/10,0))</f>
        <v>61785</v>
      </c>
      <c r="E241" s="21">
        <f>IF(Notes!$B$2="June",ROUND('Budget by Source'!E241/10,0)+R241,ROUND('Budget by Source'!E241/10,0))</f>
        <v>5146</v>
      </c>
      <c r="F241" s="21">
        <f>IF(Notes!$B$2="June",ROUND('Budget by Source'!F241/10,0)+S241,ROUND('Budget by Source'!F241/10,0))</f>
        <v>6663</v>
      </c>
      <c r="G241" s="21">
        <f>IF(Notes!$B$2="June",ROUND('Budget by Source'!G241/10,0)+T241,ROUND('Budget by Source'!G241/10,0))</f>
        <v>26291</v>
      </c>
      <c r="H241" s="21">
        <f t="shared" si="9"/>
        <v>144359</v>
      </c>
      <c r="I241" s="21">
        <f>INDEX(Data[],MATCH($A241,Data[Dist],0),MATCH(I$5,Data[#Headers],0))</f>
        <v>259440</v>
      </c>
      <c r="K241" s="59">
        <f>INDEX('Payment Total'!$A$7:$H$331,MATCH('Payment by Source'!$A241,'Payment Total'!$A$7:$A$331,0),4)-I241</f>
        <v>0</v>
      </c>
      <c r="P241" s="138">
        <f>INDEX('Budget by Source'!$A$6:$I$330,MATCH('Payment by Source'!$A241,'Budget by Source'!$A$6:$A$330,0),MATCH(P$3,'Budget by Source'!$A$5:$I$5,0))-(ROUND(INDEX('Budget by Source'!$A$6:$I$330,MATCH('Payment by Source'!$A241,'Budget by Source'!$A$6:$A$330,0),MATCH(P$3,'Budget by Source'!$A$5:$I$5,0))/10,0)*10)</f>
        <v>0</v>
      </c>
      <c r="Q241" s="138">
        <f>INDEX('Budget by Source'!$A$6:$I$330,MATCH('Payment by Source'!$A241,'Budget by Source'!$A$6:$A$330,0),MATCH(Q$3,'Budget by Source'!$A$5:$I$5,0))-(ROUND(INDEX('Budget by Source'!$A$6:$I$330,MATCH('Payment by Source'!$A241,'Budget by Source'!$A$6:$A$330,0),MATCH(Q$3,'Budget by Source'!$A$5:$I$5,0))/10,0)*10)</f>
        <v>3</v>
      </c>
      <c r="R241" s="138">
        <f>INDEX('Budget by Source'!$A$6:$I$330,MATCH('Payment by Source'!$A241,'Budget by Source'!$A$6:$A$330,0),MATCH(R$3,'Budget by Source'!$A$5:$I$5,0))-(ROUND(INDEX('Budget by Source'!$A$6:$I$330,MATCH('Payment by Source'!$A241,'Budget by Source'!$A$6:$A$330,0),MATCH(R$3,'Budget by Source'!$A$5:$I$5,0))/10,0)*10)</f>
        <v>-5</v>
      </c>
      <c r="S241" s="138">
        <f>INDEX('Budget by Source'!$A$6:$I$330,MATCH('Payment by Source'!$A241,'Budget by Source'!$A$6:$A$330,0),MATCH(S$3,'Budget by Source'!$A$5:$I$5,0))-(ROUND(INDEX('Budget by Source'!$A$6:$I$330,MATCH('Payment by Source'!$A241,'Budget by Source'!$A$6:$A$330,0),MATCH(S$3,'Budget by Source'!$A$5:$I$5,0))/10,0)*10)</f>
        <v>-2</v>
      </c>
      <c r="T241" s="138">
        <f>INDEX('Budget by Source'!$A$6:$I$330,MATCH('Payment by Source'!$A241,'Budget by Source'!$A$6:$A$330,0),MATCH(T$3,'Budget by Source'!$A$5:$I$5,0))-(ROUND(INDEX('Budget by Source'!$A$6:$I$330,MATCH('Payment by Source'!$A241,'Budget by Source'!$A$6:$A$330,0),MATCH(T$3,'Budget by Source'!$A$5:$I$5,0))/10,0)*10)</f>
        <v>-3</v>
      </c>
      <c r="U241" s="139">
        <f>INDEX('Budget by Source'!$A$6:$I$330,MATCH('Payment by Source'!$A241,'Budget by Source'!$A$6:$A$330,0),MATCH(U$3,'Budget by Source'!$A$5:$I$5,0))</f>
        <v>1453357</v>
      </c>
      <c r="V241" s="136">
        <f t="shared" si="10"/>
        <v>145336</v>
      </c>
      <c r="W241" s="136">
        <f t="shared" si="11"/>
        <v>1453360</v>
      </c>
    </row>
    <row r="242" spans="1:23" x14ac:dyDescent="0.2">
      <c r="A242" s="22" t="str">
        <f>Data!B238</f>
        <v>5310</v>
      </c>
      <c r="B242" s="20" t="str">
        <f>INDEX(Data[],MATCH($A242,Data[Dist],0),MATCH(B$5,Data[#Headers],0))</f>
        <v>Postville</v>
      </c>
      <c r="C242" s="21">
        <f>IF(Notes!$B$2="June",ROUND('Budget by Source'!C242/10,0)+P242,ROUND('Budget by Source'!C242/10,0))</f>
        <v>6624</v>
      </c>
      <c r="D242" s="21">
        <f>IF(Notes!$B$2="June",ROUND('Budget by Source'!D242/10,0)+Q242,ROUND('Budget by Source'!D242/10,0))</f>
        <v>67582</v>
      </c>
      <c r="E242" s="21">
        <f>IF(Notes!$B$2="June",ROUND('Budget by Source'!E242/10,0)+R242,ROUND('Budget by Source'!E242/10,0))</f>
        <v>7845</v>
      </c>
      <c r="F242" s="21">
        <f>IF(Notes!$B$2="June",ROUND('Budget by Source'!F242/10,0)+S242,ROUND('Budget by Source'!F242/10,0))</f>
        <v>5276</v>
      </c>
      <c r="G242" s="21">
        <f>IF(Notes!$B$2="June",ROUND('Budget by Source'!G242/10,0)+T242,ROUND('Budget by Source'!G242/10,0))</f>
        <v>28757</v>
      </c>
      <c r="H242" s="21">
        <f t="shared" si="9"/>
        <v>566092</v>
      </c>
      <c r="I242" s="21">
        <f>INDEX(Data[],MATCH($A242,Data[Dist],0),MATCH(I$5,Data[#Headers],0))</f>
        <v>682176</v>
      </c>
      <c r="K242" s="59">
        <f>INDEX('Payment Total'!$A$7:$H$331,MATCH('Payment by Source'!$A242,'Payment Total'!$A$7:$A$331,0),4)-I242</f>
        <v>0</v>
      </c>
      <c r="P242" s="138">
        <f>INDEX('Budget by Source'!$A$6:$I$330,MATCH('Payment by Source'!$A242,'Budget by Source'!$A$6:$A$330,0),MATCH(P$3,'Budget by Source'!$A$5:$I$5,0))-(ROUND(INDEX('Budget by Source'!$A$6:$I$330,MATCH('Payment by Source'!$A242,'Budget by Source'!$A$6:$A$330,0),MATCH(P$3,'Budget by Source'!$A$5:$I$5,0))/10,0)*10)</f>
        <v>-1</v>
      </c>
      <c r="Q242" s="138">
        <f>INDEX('Budget by Source'!$A$6:$I$330,MATCH('Payment by Source'!$A242,'Budget by Source'!$A$6:$A$330,0),MATCH(Q$3,'Budget by Source'!$A$5:$I$5,0))-(ROUND(INDEX('Budget by Source'!$A$6:$I$330,MATCH('Payment by Source'!$A242,'Budget by Source'!$A$6:$A$330,0),MATCH(Q$3,'Budget by Source'!$A$5:$I$5,0))/10,0)*10)</f>
        <v>1</v>
      </c>
      <c r="R242" s="138">
        <f>INDEX('Budget by Source'!$A$6:$I$330,MATCH('Payment by Source'!$A242,'Budget by Source'!$A$6:$A$330,0),MATCH(R$3,'Budget by Source'!$A$5:$I$5,0))-(ROUND(INDEX('Budget by Source'!$A$6:$I$330,MATCH('Payment by Source'!$A242,'Budget by Source'!$A$6:$A$330,0),MATCH(R$3,'Budget by Source'!$A$5:$I$5,0))/10,0)*10)</f>
        <v>2</v>
      </c>
      <c r="S242" s="138">
        <f>INDEX('Budget by Source'!$A$6:$I$330,MATCH('Payment by Source'!$A242,'Budget by Source'!$A$6:$A$330,0),MATCH(S$3,'Budget by Source'!$A$5:$I$5,0))-(ROUND(INDEX('Budget by Source'!$A$6:$I$330,MATCH('Payment by Source'!$A242,'Budget by Source'!$A$6:$A$330,0),MATCH(S$3,'Budget by Source'!$A$5:$I$5,0))/10,0)*10)</f>
        <v>-2</v>
      </c>
      <c r="T242" s="138">
        <f>INDEX('Budget by Source'!$A$6:$I$330,MATCH('Payment by Source'!$A242,'Budget by Source'!$A$6:$A$330,0),MATCH(T$3,'Budget by Source'!$A$5:$I$5,0))-(ROUND(INDEX('Budget by Source'!$A$6:$I$330,MATCH('Payment by Source'!$A242,'Budget by Source'!$A$6:$A$330,0),MATCH(T$3,'Budget by Source'!$A$5:$I$5,0))/10,0)*10)</f>
        <v>3</v>
      </c>
      <c r="U242" s="139">
        <f>INDEX('Budget by Source'!$A$6:$I$330,MATCH('Payment by Source'!$A242,'Budget by Source'!$A$6:$A$330,0),MATCH(U$3,'Budget by Source'!$A$5:$I$5,0))</f>
        <v>5672293</v>
      </c>
      <c r="V242" s="136">
        <f t="shared" si="10"/>
        <v>567229</v>
      </c>
      <c r="W242" s="136">
        <f t="shared" si="11"/>
        <v>5672290</v>
      </c>
    </row>
    <row r="243" spans="1:23" x14ac:dyDescent="0.2">
      <c r="A243" s="22" t="str">
        <f>Data!B239</f>
        <v>5319</v>
      </c>
      <c r="B243" s="20" t="str">
        <f>INDEX(Data[],MATCH($A243,Data[Dist],0),MATCH(B$5,Data[#Headers],0))</f>
        <v>PCM</v>
      </c>
      <c r="C243" s="21">
        <f>IF(Notes!$B$2="June",ROUND('Budget by Source'!C243/10,0)+P243,ROUND('Budget by Source'!C243/10,0))</f>
        <v>22210</v>
      </c>
      <c r="D243" s="21">
        <f>IF(Notes!$B$2="June",ROUND('Budget by Source'!D243/10,0)+Q243,ROUND('Budget by Source'!D243/10,0))</f>
        <v>93243</v>
      </c>
      <c r="E243" s="21">
        <f>IF(Notes!$B$2="June",ROUND('Budget by Source'!E243/10,0)+R243,ROUND('Budget by Source'!E243/10,0))</f>
        <v>7426</v>
      </c>
      <c r="F243" s="21">
        <f>IF(Notes!$B$2="June",ROUND('Budget by Source'!F243/10,0)+S243,ROUND('Budget by Source'!F243/10,0))</f>
        <v>7182</v>
      </c>
      <c r="G243" s="21">
        <f>IF(Notes!$B$2="June",ROUND('Budget by Source'!G243/10,0)+T243,ROUND('Budget by Source'!G243/10,0))</f>
        <v>38125</v>
      </c>
      <c r="H243" s="21">
        <f t="shared" si="9"/>
        <v>578467</v>
      </c>
      <c r="I243" s="21">
        <f>INDEX(Data[],MATCH($A243,Data[Dist],0),MATCH(I$5,Data[#Headers],0))</f>
        <v>746653</v>
      </c>
      <c r="K243" s="59">
        <f>INDEX('Payment Total'!$A$7:$H$331,MATCH('Payment by Source'!$A243,'Payment Total'!$A$7:$A$331,0),4)-I243</f>
        <v>0</v>
      </c>
      <c r="P243" s="138">
        <f>INDEX('Budget by Source'!$A$6:$I$330,MATCH('Payment by Source'!$A243,'Budget by Source'!$A$6:$A$330,0),MATCH(P$3,'Budget by Source'!$A$5:$I$5,0))-(ROUND(INDEX('Budget by Source'!$A$6:$I$330,MATCH('Payment by Source'!$A243,'Budget by Source'!$A$6:$A$330,0),MATCH(P$3,'Budget by Source'!$A$5:$I$5,0))/10,0)*10)</f>
        <v>-4</v>
      </c>
      <c r="Q243" s="138">
        <f>INDEX('Budget by Source'!$A$6:$I$330,MATCH('Payment by Source'!$A243,'Budget by Source'!$A$6:$A$330,0),MATCH(Q$3,'Budget by Source'!$A$5:$I$5,0))-(ROUND(INDEX('Budget by Source'!$A$6:$I$330,MATCH('Payment by Source'!$A243,'Budget by Source'!$A$6:$A$330,0),MATCH(Q$3,'Budget by Source'!$A$5:$I$5,0))/10,0)*10)</f>
        <v>2</v>
      </c>
      <c r="R243" s="138">
        <f>INDEX('Budget by Source'!$A$6:$I$330,MATCH('Payment by Source'!$A243,'Budget by Source'!$A$6:$A$330,0),MATCH(R$3,'Budget by Source'!$A$5:$I$5,0))-(ROUND(INDEX('Budget by Source'!$A$6:$I$330,MATCH('Payment by Source'!$A243,'Budget by Source'!$A$6:$A$330,0),MATCH(R$3,'Budget by Source'!$A$5:$I$5,0))/10,0)*10)</f>
        <v>4</v>
      </c>
      <c r="S243" s="138">
        <f>INDEX('Budget by Source'!$A$6:$I$330,MATCH('Payment by Source'!$A243,'Budget by Source'!$A$6:$A$330,0),MATCH(S$3,'Budget by Source'!$A$5:$I$5,0))-(ROUND(INDEX('Budget by Source'!$A$6:$I$330,MATCH('Payment by Source'!$A243,'Budget by Source'!$A$6:$A$330,0),MATCH(S$3,'Budget by Source'!$A$5:$I$5,0))/10,0)*10)</f>
        <v>2</v>
      </c>
      <c r="T243" s="138">
        <f>INDEX('Budget by Source'!$A$6:$I$330,MATCH('Payment by Source'!$A243,'Budget by Source'!$A$6:$A$330,0),MATCH(T$3,'Budget by Source'!$A$5:$I$5,0))-(ROUND(INDEX('Budget by Source'!$A$6:$I$330,MATCH('Payment by Source'!$A243,'Budget by Source'!$A$6:$A$330,0),MATCH(T$3,'Budget by Source'!$A$5:$I$5,0))/10,0)*10)</f>
        <v>3</v>
      </c>
      <c r="U243" s="139">
        <f>INDEX('Budget by Source'!$A$6:$I$330,MATCH('Payment by Source'!$A243,'Budget by Source'!$A$6:$A$330,0),MATCH(U$3,'Budget by Source'!$A$5:$I$5,0))</f>
        <v>5799671</v>
      </c>
      <c r="V243" s="136">
        <f t="shared" si="10"/>
        <v>579967</v>
      </c>
      <c r="W243" s="136">
        <f t="shared" si="11"/>
        <v>5799670</v>
      </c>
    </row>
    <row r="244" spans="1:23" x14ac:dyDescent="0.2">
      <c r="A244" s="22" t="str">
        <f>Data!B240</f>
        <v>5463</v>
      </c>
      <c r="B244" s="20" t="str">
        <f>INDEX(Data[],MATCH($A244,Data[Dist],0),MATCH(B$5,Data[#Headers],0))</f>
        <v>Red Oak</v>
      </c>
      <c r="C244" s="21">
        <f>IF(Notes!$B$2="June",ROUND('Budget by Source'!C244/10,0)+P244,ROUND('Budget by Source'!C244/10,0))</f>
        <v>18321</v>
      </c>
      <c r="D244" s="21">
        <f>IF(Notes!$B$2="June",ROUND('Budget by Source'!D244/10,0)+Q244,ROUND('Budget by Source'!D244/10,0))</f>
        <v>91120</v>
      </c>
      <c r="E244" s="21">
        <f>IF(Notes!$B$2="June",ROUND('Budget by Source'!E244/10,0)+R244,ROUND('Budget by Source'!E244/10,0))</f>
        <v>9621</v>
      </c>
      <c r="F244" s="21">
        <f>IF(Notes!$B$2="June",ROUND('Budget by Source'!F244/10,0)+S244,ROUND('Budget by Source'!F244/10,0))</f>
        <v>8055</v>
      </c>
      <c r="G244" s="21">
        <f>IF(Notes!$B$2="June",ROUND('Budget by Source'!G244/10,0)+T244,ROUND('Budget by Source'!G244/10,0))</f>
        <v>40025</v>
      </c>
      <c r="H244" s="21">
        <f t="shared" si="9"/>
        <v>607376</v>
      </c>
      <c r="I244" s="21">
        <f>INDEX(Data[],MATCH($A244,Data[Dist],0),MATCH(I$5,Data[#Headers],0))</f>
        <v>774518</v>
      </c>
      <c r="K244" s="59">
        <f>INDEX('Payment Total'!$A$7:$H$331,MATCH('Payment by Source'!$A244,'Payment Total'!$A$7:$A$331,0),4)-I244</f>
        <v>0</v>
      </c>
      <c r="P244" s="138">
        <f>INDEX('Budget by Source'!$A$6:$I$330,MATCH('Payment by Source'!$A244,'Budget by Source'!$A$6:$A$330,0),MATCH(P$3,'Budget by Source'!$A$5:$I$5,0))-(ROUND(INDEX('Budget by Source'!$A$6:$I$330,MATCH('Payment by Source'!$A244,'Budget by Source'!$A$6:$A$330,0),MATCH(P$3,'Budget by Source'!$A$5:$I$5,0))/10,0)*10)</f>
        <v>0</v>
      </c>
      <c r="Q244" s="138">
        <f>INDEX('Budget by Source'!$A$6:$I$330,MATCH('Payment by Source'!$A244,'Budget by Source'!$A$6:$A$330,0),MATCH(Q$3,'Budget by Source'!$A$5:$I$5,0))-(ROUND(INDEX('Budget by Source'!$A$6:$I$330,MATCH('Payment by Source'!$A244,'Budget by Source'!$A$6:$A$330,0),MATCH(Q$3,'Budget by Source'!$A$5:$I$5,0))/10,0)*10)</f>
        <v>3</v>
      </c>
      <c r="R244" s="138">
        <f>INDEX('Budget by Source'!$A$6:$I$330,MATCH('Payment by Source'!$A244,'Budget by Source'!$A$6:$A$330,0),MATCH(R$3,'Budget by Source'!$A$5:$I$5,0))-(ROUND(INDEX('Budget by Source'!$A$6:$I$330,MATCH('Payment by Source'!$A244,'Budget by Source'!$A$6:$A$330,0),MATCH(R$3,'Budget by Source'!$A$5:$I$5,0))/10,0)*10)</f>
        <v>2</v>
      </c>
      <c r="S244" s="138">
        <f>INDEX('Budget by Source'!$A$6:$I$330,MATCH('Payment by Source'!$A244,'Budget by Source'!$A$6:$A$330,0),MATCH(S$3,'Budget by Source'!$A$5:$I$5,0))-(ROUND(INDEX('Budget by Source'!$A$6:$I$330,MATCH('Payment by Source'!$A244,'Budget by Source'!$A$6:$A$330,0),MATCH(S$3,'Budget by Source'!$A$5:$I$5,0))/10,0)*10)</f>
        <v>1</v>
      </c>
      <c r="T244" s="138">
        <f>INDEX('Budget by Source'!$A$6:$I$330,MATCH('Payment by Source'!$A244,'Budget by Source'!$A$6:$A$330,0),MATCH(T$3,'Budget by Source'!$A$5:$I$5,0))-(ROUND(INDEX('Budget by Source'!$A$6:$I$330,MATCH('Payment by Source'!$A244,'Budget by Source'!$A$6:$A$330,0),MATCH(T$3,'Budget by Source'!$A$5:$I$5,0))/10,0)*10)</f>
        <v>3</v>
      </c>
      <c r="U244" s="139">
        <f>INDEX('Budget by Source'!$A$6:$I$330,MATCH('Payment by Source'!$A244,'Budget by Source'!$A$6:$A$330,0),MATCH(U$3,'Budget by Source'!$A$5:$I$5,0))</f>
        <v>6089662</v>
      </c>
      <c r="V244" s="136">
        <f t="shared" si="10"/>
        <v>608966</v>
      </c>
      <c r="W244" s="136">
        <f t="shared" si="11"/>
        <v>6089660</v>
      </c>
    </row>
    <row r="245" spans="1:23" x14ac:dyDescent="0.2">
      <c r="A245" s="22" t="str">
        <f>Data!B241</f>
        <v>5486</v>
      </c>
      <c r="B245" s="20" t="str">
        <f>INDEX(Data[],MATCH($A245,Data[Dist],0),MATCH(B$5,Data[#Headers],0))</f>
        <v>Remsen-Union</v>
      </c>
      <c r="C245" s="21">
        <f>IF(Notes!$B$2="June",ROUND('Budget by Source'!C245/10,0)+P245,ROUND('Budget by Source'!C245/10,0))</f>
        <v>8183</v>
      </c>
      <c r="D245" s="21">
        <f>IF(Notes!$B$2="June",ROUND('Budget by Source'!D245/10,0)+Q245,ROUND('Budget by Source'!D245/10,0))</f>
        <v>50337</v>
      </c>
      <c r="E245" s="21">
        <f>IF(Notes!$B$2="June",ROUND('Budget by Source'!E245/10,0)+R245,ROUND('Budget by Source'!E245/10,0))</f>
        <v>2902</v>
      </c>
      <c r="F245" s="21">
        <f>IF(Notes!$B$2="June",ROUND('Budget by Source'!F245/10,0)+S245,ROUND('Budget by Source'!F245/10,0))</f>
        <v>3039</v>
      </c>
      <c r="G245" s="21">
        <f>IF(Notes!$B$2="June",ROUND('Budget by Source'!G245/10,0)+T245,ROUND('Budget by Source'!G245/10,0))</f>
        <v>15790</v>
      </c>
      <c r="H245" s="21">
        <f t="shared" si="9"/>
        <v>85193</v>
      </c>
      <c r="I245" s="21">
        <f>INDEX(Data[],MATCH($A245,Data[Dist],0),MATCH(I$5,Data[#Headers],0))</f>
        <v>165444</v>
      </c>
      <c r="K245" s="59">
        <f>INDEX('Payment Total'!$A$7:$H$331,MATCH('Payment by Source'!$A245,'Payment Total'!$A$7:$A$331,0),4)-I245</f>
        <v>0</v>
      </c>
      <c r="P245" s="138">
        <f>INDEX('Budget by Source'!$A$6:$I$330,MATCH('Payment by Source'!$A245,'Budget by Source'!$A$6:$A$330,0),MATCH(P$3,'Budget by Source'!$A$5:$I$5,0))-(ROUND(INDEX('Budget by Source'!$A$6:$I$330,MATCH('Payment by Source'!$A245,'Budget by Source'!$A$6:$A$330,0),MATCH(P$3,'Budget by Source'!$A$5:$I$5,0))/10,0)*10)</f>
        <v>-5</v>
      </c>
      <c r="Q245" s="138">
        <f>INDEX('Budget by Source'!$A$6:$I$330,MATCH('Payment by Source'!$A245,'Budget by Source'!$A$6:$A$330,0),MATCH(Q$3,'Budget by Source'!$A$5:$I$5,0))-(ROUND(INDEX('Budget by Source'!$A$6:$I$330,MATCH('Payment by Source'!$A245,'Budget by Source'!$A$6:$A$330,0),MATCH(Q$3,'Budget by Source'!$A$5:$I$5,0))/10,0)*10)</f>
        <v>2</v>
      </c>
      <c r="R245" s="138">
        <f>INDEX('Budget by Source'!$A$6:$I$330,MATCH('Payment by Source'!$A245,'Budget by Source'!$A$6:$A$330,0),MATCH(R$3,'Budget by Source'!$A$5:$I$5,0))-(ROUND(INDEX('Budget by Source'!$A$6:$I$330,MATCH('Payment by Source'!$A245,'Budget by Source'!$A$6:$A$330,0),MATCH(R$3,'Budget by Source'!$A$5:$I$5,0))/10,0)*10)</f>
        <v>-2</v>
      </c>
      <c r="S245" s="138">
        <f>INDEX('Budget by Source'!$A$6:$I$330,MATCH('Payment by Source'!$A245,'Budget by Source'!$A$6:$A$330,0),MATCH(S$3,'Budget by Source'!$A$5:$I$5,0))-(ROUND(INDEX('Budget by Source'!$A$6:$I$330,MATCH('Payment by Source'!$A245,'Budget by Source'!$A$6:$A$330,0),MATCH(S$3,'Budget by Source'!$A$5:$I$5,0))/10,0)*10)</f>
        <v>3</v>
      </c>
      <c r="T245" s="138">
        <f>INDEX('Budget by Source'!$A$6:$I$330,MATCH('Payment by Source'!$A245,'Budget by Source'!$A$6:$A$330,0),MATCH(T$3,'Budget by Source'!$A$5:$I$5,0))-(ROUND(INDEX('Budget by Source'!$A$6:$I$330,MATCH('Payment by Source'!$A245,'Budget by Source'!$A$6:$A$330,0),MATCH(T$3,'Budget by Source'!$A$5:$I$5,0))/10,0)*10)</f>
        <v>-5</v>
      </c>
      <c r="U245" s="139">
        <f>INDEX('Budget by Source'!$A$6:$I$330,MATCH('Payment by Source'!$A245,'Budget by Source'!$A$6:$A$330,0),MATCH(U$3,'Budget by Source'!$A$5:$I$5,0))</f>
        <v>856694</v>
      </c>
      <c r="V245" s="136">
        <f t="shared" si="10"/>
        <v>85669</v>
      </c>
      <c r="W245" s="136">
        <f t="shared" si="11"/>
        <v>856690</v>
      </c>
    </row>
    <row r="246" spans="1:23" x14ac:dyDescent="0.2">
      <c r="A246" s="22" t="str">
        <f>Data!B242</f>
        <v>5508</v>
      </c>
      <c r="B246" s="20" t="str">
        <f>INDEX(Data[],MATCH($A246,Data[Dist],0),MATCH(B$5,Data[#Headers],0))</f>
        <v>Riceville</v>
      </c>
      <c r="C246" s="21">
        <f>IF(Notes!$B$2="June",ROUND('Budget by Source'!C246/10,0)+P246,ROUND('Budget by Source'!C246/10,0))</f>
        <v>12469</v>
      </c>
      <c r="D246" s="21">
        <f>IF(Notes!$B$2="June",ROUND('Budget by Source'!D246/10,0)+Q246,ROUND('Budget by Source'!D246/10,0))</f>
        <v>52393</v>
      </c>
      <c r="E246" s="21">
        <f>IF(Notes!$B$2="June",ROUND('Budget by Source'!E246/10,0)+R246,ROUND('Budget by Source'!E246/10,0))</f>
        <v>2634</v>
      </c>
      <c r="F246" s="21">
        <f>IF(Notes!$B$2="June",ROUND('Budget by Source'!F246/10,0)+S246,ROUND('Budget by Source'!F246/10,0))</f>
        <v>3503</v>
      </c>
      <c r="G246" s="21">
        <f>IF(Notes!$B$2="June",ROUND('Budget by Source'!G246/10,0)+T246,ROUND('Budget by Source'!G246/10,0))</f>
        <v>13077</v>
      </c>
      <c r="H246" s="21">
        <f t="shared" si="9"/>
        <v>112526</v>
      </c>
      <c r="I246" s="21">
        <f>INDEX(Data[],MATCH($A246,Data[Dist],0),MATCH(I$5,Data[#Headers],0))</f>
        <v>196602</v>
      </c>
      <c r="K246" s="59">
        <f>INDEX('Payment Total'!$A$7:$H$331,MATCH('Payment by Source'!$A246,'Payment Total'!$A$7:$A$331,0),4)-I246</f>
        <v>0</v>
      </c>
      <c r="P246" s="138">
        <f>INDEX('Budget by Source'!$A$6:$I$330,MATCH('Payment by Source'!$A246,'Budget by Source'!$A$6:$A$330,0),MATCH(P$3,'Budget by Source'!$A$5:$I$5,0))-(ROUND(INDEX('Budget by Source'!$A$6:$I$330,MATCH('Payment by Source'!$A246,'Budget by Source'!$A$6:$A$330,0),MATCH(P$3,'Budget by Source'!$A$5:$I$5,0))/10,0)*10)</f>
        <v>-5</v>
      </c>
      <c r="Q246" s="138">
        <f>INDEX('Budget by Source'!$A$6:$I$330,MATCH('Payment by Source'!$A246,'Budget by Source'!$A$6:$A$330,0),MATCH(Q$3,'Budget by Source'!$A$5:$I$5,0))-(ROUND(INDEX('Budget by Source'!$A$6:$I$330,MATCH('Payment by Source'!$A246,'Budget by Source'!$A$6:$A$330,0),MATCH(Q$3,'Budget by Source'!$A$5:$I$5,0))/10,0)*10)</f>
        <v>-1</v>
      </c>
      <c r="R246" s="138">
        <f>INDEX('Budget by Source'!$A$6:$I$330,MATCH('Payment by Source'!$A246,'Budget by Source'!$A$6:$A$330,0),MATCH(R$3,'Budget by Source'!$A$5:$I$5,0))-(ROUND(INDEX('Budget by Source'!$A$6:$I$330,MATCH('Payment by Source'!$A246,'Budget by Source'!$A$6:$A$330,0),MATCH(R$3,'Budget by Source'!$A$5:$I$5,0))/10,0)*10)</f>
        <v>-1</v>
      </c>
      <c r="S246" s="138">
        <f>INDEX('Budget by Source'!$A$6:$I$330,MATCH('Payment by Source'!$A246,'Budget by Source'!$A$6:$A$330,0),MATCH(S$3,'Budget by Source'!$A$5:$I$5,0))-(ROUND(INDEX('Budget by Source'!$A$6:$I$330,MATCH('Payment by Source'!$A246,'Budget by Source'!$A$6:$A$330,0),MATCH(S$3,'Budget by Source'!$A$5:$I$5,0))/10,0)*10)</f>
        <v>-1</v>
      </c>
      <c r="T246" s="138">
        <f>INDEX('Budget by Source'!$A$6:$I$330,MATCH('Payment by Source'!$A246,'Budget by Source'!$A$6:$A$330,0),MATCH(T$3,'Budget by Source'!$A$5:$I$5,0))-(ROUND(INDEX('Budget by Source'!$A$6:$I$330,MATCH('Payment by Source'!$A246,'Budget by Source'!$A$6:$A$330,0),MATCH(T$3,'Budget by Source'!$A$5:$I$5,0))/10,0)*10)</f>
        <v>4</v>
      </c>
      <c r="U246" s="139">
        <f>INDEX('Budget by Source'!$A$6:$I$330,MATCH('Payment by Source'!$A246,'Budget by Source'!$A$6:$A$330,0),MATCH(U$3,'Budget by Source'!$A$5:$I$5,0))</f>
        <v>1130429</v>
      </c>
      <c r="V246" s="136">
        <f t="shared" si="10"/>
        <v>113043</v>
      </c>
      <c r="W246" s="136">
        <f t="shared" si="11"/>
        <v>1130430</v>
      </c>
    </row>
    <row r="247" spans="1:23" x14ac:dyDescent="0.2">
      <c r="A247" s="22" t="str">
        <f>Data!B243</f>
        <v>5607</v>
      </c>
      <c r="B247" s="20" t="str">
        <f>INDEX(Data[],MATCH($A247,Data[Dist],0),MATCH(B$5,Data[#Headers],0))</f>
        <v>Rock Valley</v>
      </c>
      <c r="C247" s="21">
        <f>IF(Notes!$B$2="June",ROUND('Budget by Source'!C247/10,0)+P247,ROUND('Budget by Source'!C247/10,0))</f>
        <v>31561</v>
      </c>
      <c r="D247" s="21">
        <f>IF(Notes!$B$2="June",ROUND('Budget by Source'!D247/10,0)+Q247,ROUND('Budget by Source'!D247/10,0))</f>
        <v>91506</v>
      </c>
      <c r="E247" s="21">
        <f>IF(Notes!$B$2="June",ROUND('Budget by Source'!E247/10,0)+R247,ROUND('Budget by Source'!E247/10,0))</f>
        <v>9685</v>
      </c>
      <c r="F247" s="21">
        <f>IF(Notes!$B$2="June",ROUND('Budget by Source'!F247/10,0)+S247,ROUND('Budget by Source'!F247/10,0))</f>
        <v>7541</v>
      </c>
      <c r="G247" s="21">
        <f>IF(Notes!$B$2="June",ROUND('Budget by Source'!G247/10,0)+T247,ROUND('Budget by Source'!G247/10,0))</f>
        <v>38937</v>
      </c>
      <c r="H247" s="21">
        <f t="shared" si="9"/>
        <v>450249</v>
      </c>
      <c r="I247" s="21">
        <f>INDEX(Data[],MATCH($A247,Data[Dist],0),MATCH(I$5,Data[#Headers],0))</f>
        <v>629479</v>
      </c>
      <c r="K247" s="59">
        <f>INDEX('Payment Total'!$A$7:$H$331,MATCH('Payment by Source'!$A247,'Payment Total'!$A$7:$A$331,0),4)-I247</f>
        <v>0</v>
      </c>
      <c r="P247" s="138">
        <f>INDEX('Budget by Source'!$A$6:$I$330,MATCH('Payment by Source'!$A247,'Budget by Source'!$A$6:$A$330,0),MATCH(P$3,'Budget by Source'!$A$5:$I$5,0))-(ROUND(INDEX('Budget by Source'!$A$6:$I$330,MATCH('Payment by Source'!$A247,'Budget by Source'!$A$6:$A$330,0),MATCH(P$3,'Budget by Source'!$A$5:$I$5,0))/10,0)*10)</f>
        <v>0</v>
      </c>
      <c r="Q247" s="138">
        <f>INDEX('Budget by Source'!$A$6:$I$330,MATCH('Payment by Source'!$A247,'Budget by Source'!$A$6:$A$330,0),MATCH(Q$3,'Budget by Source'!$A$5:$I$5,0))-(ROUND(INDEX('Budget by Source'!$A$6:$I$330,MATCH('Payment by Source'!$A247,'Budget by Source'!$A$6:$A$330,0),MATCH(Q$3,'Budget by Source'!$A$5:$I$5,0))/10,0)*10)</f>
        <v>2</v>
      </c>
      <c r="R247" s="138">
        <f>INDEX('Budget by Source'!$A$6:$I$330,MATCH('Payment by Source'!$A247,'Budget by Source'!$A$6:$A$330,0),MATCH(R$3,'Budget by Source'!$A$5:$I$5,0))-(ROUND(INDEX('Budget by Source'!$A$6:$I$330,MATCH('Payment by Source'!$A247,'Budget by Source'!$A$6:$A$330,0),MATCH(R$3,'Budget by Source'!$A$5:$I$5,0))/10,0)*10)</f>
        <v>4</v>
      </c>
      <c r="S247" s="138">
        <f>INDEX('Budget by Source'!$A$6:$I$330,MATCH('Payment by Source'!$A247,'Budget by Source'!$A$6:$A$330,0),MATCH(S$3,'Budget by Source'!$A$5:$I$5,0))-(ROUND(INDEX('Budget by Source'!$A$6:$I$330,MATCH('Payment by Source'!$A247,'Budget by Source'!$A$6:$A$330,0),MATCH(S$3,'Budget by Source'!$A$5:$I$5,0))/10,0)*10)</f>
        <v>3</v>
      </c>
      <c r="T247" s="138">
        <f>INDEX('Budget by Source'!$A$6:$I$330,MATCH('Payment by Source'!$A247,'Budget by Source'!$A$6:$A$330,0),MATCH(T$3,'Budget by Source'!$A$5:$I$5,0))-(ROUND(INDEX('Budget by Source'!$A$6:$I$330,MATCH('Payment by Source'!$A247,'Budget by Source'!$A$6:$A$330,0),MATCH(T$3,'Budget by Source'!$A$5:$I$5,0))/10,0)*10)</f>
        <v>4</v>
      </c>
      <c r="U247" s="139">
        <f>INDEX('Budget by Source'!$A$6:$I$330,MATCH('Payment by Source'!$A247,'Budget by Source'!$A$6:$A$330,0),MATCH(U$3,'Budget by Source'!$A$5:$I$5,0))</f>
        <v>4514799</v>
      </c>
      <c r="V247" s="136">
        <f t="shared" si="10"/>
        <v>451480</v>
      </c>
      <c r="W247" s="136">
        <f t="shared" si="11"/>
        <v>4514800</v>
      </c>
    </row>
    <row r="248" spans="1:23" x14ac:dyDescent="0.2">
      <c r="A248" s="22" t="str">
        <f>Data!B244</f>
        <v>5643</v>
      </c>
      <c r="B248" s="20" t="str">
        <f>INDEX(Data[],MATCH($A248,Data[Dist],0),MATCH(B$5,Data[#Headers],0))</f>
        <v>Roland-Story</v>
      </c>
      <c r="C248" s="21">
        <f>IF(Notes!$B$2="June",ROUND('Budget by Source'!C248/10,0)+P248,ROUND('Budget by Source'!C248/10,0))</f>
        <v>25327</v>
      </c>
      <c r="D248" s="21">
        <f>IF(Notes!$B$2="June",ROUND('Budget by Source'!D248/10,0)+Q248,ROUND('Budget by Source'!D248/10,0))</f>
        <v>78781</v>
      </c>
      <c r="E248" s="21">
        <f>IF(Notes!$B$2="June",ROUND('Budget by Source'!E248/10,0)+R248,ROUND('Budget by Source'!E248/10,0))</f>
        <v>7477</v>
      </c>
      <c r="F248" s="21">
        <f>IF(Notes!$B$2="June",ROUND('Budget by Source'!F248/10,0)+S248,ROUND('Budget by Source'!F248/10,0))</f>
        <v>7949</v>
      </c>
      <c r="G248" s="21">
        <f>IF(Notes!$B$2="June",ROUND('Budget by Source'!G248/10,0)+T248,ROUND('Budget by Source'!G248/10,0))</f>
        <v>37177</v>
      </c>
      <c r="H248" s="21">
        <f t="shared" si="9"/>
        <v>536009</v>
      </c>
      <c r="I248" s="21">
        <f>INDEX(Data[],MATCH($A248,Data[Dist],0),MATCH(I$5,Data[#Headers],0))</f>
        <v>692720</v>
      </c>
      <c r="K248" s="59">
        <f>INDEX('Payment Total'!$A$7:$H$331,MATCH('Payment by Source'!$A248,'Payment Total'!$A$7:$A$331,0),4)-I248</f>
        <v>0</v>
      </c>
      <c r="P248" s="138">
        <f>INDEX('Budget by Source'!$A$6:$I$330,MATCH('Payment by Source'!$A248,'Budget by Source'!$A$6:$A$330,0),MATCH(P$3,'Budget by Source'!$A$5:$I$5,0))-(ROUND(INDEX('Budget by Source'!$A$6:$I$330,MATCH('Payment by Source'!$A248,'Budget by Source'!$A$6:$A$330,0),MATCH(P$3,'Budget by Source'!$A$5:$I$5,0))/10,0)*10)</f>
        <v>-3</v>
      </c>
      <c r="Q248" s="138">
        <f>INDEX('Budget by Source'!$A$6:$I$330,MATCH('Payment by Source'!$A248,'Budget by Source'!$A$6:$A$330,0),MATCH(Q$3,'Budget by Source'!$A$5:$I$5,0))-(ROUND(INDEX('Budget by Source'!$A$6:$I$330,MATCH('Payment by Source'!$A248,'Budget by Source'!$A$6:$A$330,0),MATCH(Q$3,'Budget by Source'!$A$5:$I$5,0))/10,0)*10)</f>
        <v>3</v>
      </c>
      <c r="R248" s="138">
        <f>INDEX('Budget by Source'!$A$6:$I$330,MATCH('Payment by Source'!$A248,'Budget by Source'!$A$6:$A$330,0),MATCH(R$3,'Budget by Source'!$A$5:$I$5,0))-(ROUND(INDEX('Budget by Source'!$A$6:$I$330,MATCH('Payment by Source'!$A248,'Budget by Source'!$A$6:$A$330,0),MATCH(R$3,'Budget by Source'!$A$5:$I$5,0))/10,0)*10)</f>
        <v>0</v>
      </c>
      <c r="S248" s="138">
        <f>INDEX('Budget by Source'!$A$6:$I$330,MATCH('Payment by Source'!$A248,'Budget by Source'!$A$6:$A$330,0),MATCH(S$3,'Budget by Source'!$A$5:$I$5,0))-(ROUND(INDEX('Budget by Source'!$A$6:$I$330,MATCH('Payment by Source'!$A248,'Budget by Source'!$A$6:$A$330,0),MATCH(S$3,'Budget by Source'!$A$5:$I$5,0))/10,0)*10)</f>
        <v>4</v>
      </c>
      <c r="T248" s="138">
        <f>INDEX('Budget by Source'!$A$6:$I$330,MATCH('Payment by Source'!$A248,'Budget by Source'!$A$6:$A$330,0),MATCH(T$3,'Budget by Source'!$A$5:$I$5,0))-(ROUND(INDEX('Budget by Source'!$A$6:$I$330,MATCH('Payment by Source'!$A248,'Budget by Source'!$A$6:$A$330,0),MATCH(T$3,'Budget by Source'!$A$5:$I$5,0))/10,0)*10)</f>
        <v>2</v>
      </c>
      <c r="U248" s="139">
        <f>INDEX('Budget by Source'!$A$6:$I$330,MATCH('Payment by Source'!$A248,'Budget by Source'!$A$6:$A$330,0),MATCH(U$3,'Budget by Source'!$A$5:$I$5,0))</f>
        <v>5374852</v>
      </c>
      <c r="V248" s="136">
        <f t="shared" si="10"/>
        <v>537485</v>
      </c>
      <c r="W248" s="136">
        <f t="shared" si="11"/>
        <v>5374850</v>
      </c>
    </row>
    <row r="249" spans="1:23" x14ac:dyDescent="0.2">
      <c r="A249" s="22" t="str">
        <f>Data!B245</f>
        <v>5697</v>
      </c>
      <c r="B249" s="20" t="str">
        <f>INDEX(Data[],MATCH($A249,Data[Dist],0),MATCH(B$5,Data[#Headers],0))</f>
        <v>Rudd-Rockford-Marble Rock</v>
      </c>
      <c r="C249" s="21">
        <f>IF(Notes!$B$2="June",ROUND('Budget by Source'!C249/10,0)+P249,ROUND('Budget by Source'!C249/10,0))</f>
        <v>7403</v>
      </c>
      <c r="D249" s="21">
        <f>IF(Notes!$B$2="June",ROUND('Budget by Source'!D249/10,0)+Q249,ROUND('Budget by Source'!D249/10,0))</f>
        <v>52223</v>
      </c>
      <c r="E249" s="21">
        <f>IF(Notes!$B$2="June",ROUND('Budget by Source'!E249/10,0)+R249,ROUND('Budget by Source'!E249/10,0))</f>
        <v>3169</v>
      </c>
      <c r="F249" s="21">
        <f>IF(Notes!$B$2="June",ROUND('Budget by Source'!F249/10,0)+S249,ROUND('Budget by Source'!F249/10,0))</f>
        <v>3313</v>
      </c>
      <c r="G249" s="21">
        <f>IF(Notes!$B$2="June",ROUND('Budget by Source'!G249/10,0)+T249,ROUND('Budget by Source'!G249/10,0))</f>
        <v>15903</v>
      </c>
      <c r="H249" s="21">
        <f t="shared" si="9"/>
        <v>222739</v>
      </c>
      <c r="I249" s="21">
        <f>INDEX(Data[],MATCH($A249,Data[Dist],0),MATCH(I$5,Data[#Headers],0))</f>
        <v>304750</v>
      </c>
      <c r="K249" s="59">
        <f>INDEX('Payment Total'!$A$7:$H$331,MATCH('Payment by Source'!$A249,'Payment Total'!$A$7:$A$331,0),4)-I249</f>
        <v>0</v>
      </c>
      <c r="P249" s="138">
        <f>INDEX('Budget by Source'!$A$6:$I$330,MATCH('Payment by Source'!$A249,'Budget by Source'!$A$6:$A$330,0),MATCH(P$3,'Budget by Source'!$A$5:$I$5,0))-(ROUND(INDEX('Budget by Source'!$A$6:$I$330,MATCH('Payment by Source'!$A249,'Budget by Source'!$A$6:$A$330,0),MATCH(P$3,'Budget by Source'!$A$5:$I$5,0))/10,0)*10)</f>
        <v>2</v>
      </c>
      <c r="Q249" s="138">
        <f>INDEX('Budget by Source'!$A$6:$I$330,MATCH('Payment by Source'!$A249,'Budget by Source'!$A$6:$A$330,0),MATCH(Q$3,'Budget by Source'!$A$5:$I$5,0))-(ROUND(INDEX('Budget by Source'!$A$6:$I$330,MATCH('Payment by Source'!$A249,'Budget by Source'!$A$6:$A$330,0),MATCH(Q$3,'Budget by Source'!$A$5:$I$5,0))/10,0)*10)</f>
        <v>-5</v>
      </c>
      <c r="R249" s="138">
        <f>INDEX('Budget by Source'!$A$6:$I$330,MATCH('Payment by Source'!$A249,'Budget by Source'!$A$6:$A$330,0),MATCH(R$3,'Budget by Source'!$A$5:$I$5,0))-(ROUND(INDEX('Budget by Source'!$A$6:$I$330,MATCH('Payment by Source'!$A249,'Budget by Source'!$A$6:$A$330,0),MATCH(R$3,'Budget by Source'!$A$5:$I$5,0))/10,0)*10)</f>
        <v>-1</v>
      </c>
      <c r="S249" s="138">
        <f>INDEX('Budget by Source'!$A$6:$I$330,MATCH('Payment by Source'!$A249,'Budget by Source'!$A$6:$A$330,0),MATCH(S$3,'Budget by Source'!$A$5:$I$5,0))-(ROUND(INDEX('Budget by Source'!$A$6:$I$330,MATCH('Payment by Source'!$A249,'Budget by Source'!$A$6:$A$330,0),MATCH(S$3,'Budget by Source'!$A$5:$I$5,0))/10,0)*10)</f>
        <v>3</v>
      </c>
      <c r="T249" s="138">
        <f>INDEX('Budget by Source'!$A$6:$I$330,MATCH('Payment by Source'!$A249,'Budget by Source'!$A$6:$A$330,0),MATCH(T$3,'Budget by Source'!$A$5:$I$5,0))-(ROUND(INDEX('Budget by Source'!$A$6:$I$330,MATCH('Payment by Source'!$A249,'Budget by Source'!$A$6:$A$330,0),MATCH(T$3,'Budget by Source'!$A$5:$I$5,0))/10,0)*10)</f>
        <v>-1</v>
      </c>
      <c r="U249" s="139">
        <f>INDEX('Budget by Source'!$A$6:$I$330,MATCH('Payment by Source'!$A249,'Budget by Source'!$A$6:$A$330,0),MATCH(U$3,'Budget by Source'!$A$5:$I$5,0))</f>
        <v>2233699</v>
      </c>
      <c r="V249" s="136">
        <f t="shared" si="10"/>
        <v>223370</v>
      </c>
      <c r="W249" s="136">
        <f t="shared" si="11"/>
        <v>2233700</v>
      </c>
    </row>
    <row r="250" spans="1:23" x14ac:dyDescent="0.2">
      <c r="A250" s="22" t="str">
        <f>Data!B246</f>
        <v>5724</v>
      </c>
      <c r="B250" s="20" t="str">
        <f>INDEX(Data[],MATCH($A250,Data[Dist],0),MATCH(B$5,Data[#Headers],0))</f>
        <v>Ruthven-Ayrshire</v>
      </c>
      <c r="C250" s="21">
        <f>IF(Notes!$B$2="June",ROUND('Budget by Source'!C250/10,0)+P250,ROUND('Budget by Source'!C250/10,0))</f>
        <v>3896</v>
      </c>
      <c r="D250" s="21">
        <f>IF(Notes!$B$2="June",ROUND('Budget by Source'!D250/10,0)+Q250,ROUND('Budget by Source'!D250/10,0))</f>
        <v>24027</v>
      </c>
      <c r="E250" s="21">
        <f>IF(Notes!$B$2="June",ROUND('Budget by Source'!E250/10,0)+R250,ROUND('Budget by Source'!E250/10,0))</f>
        <v>1665</v>
      </c>
      <c r="F250" s="21">
        <f>IF(Notes!$B$2="June",ROUND('Budget by Source'!F250/10,0)+S250,ROUND('Budget by Source'!F250/10,0))</f>
        <v>1528</v>
      </c>
      <c r="G250" s="21">
        <f>IF(Notes!$B$2="June",ROUND('Budget by Source'!G250/10,0)+T250,ROUND('Budget by Source'!G250/10,0))</f>
        <v>7113</v>
      </c>
      <c r="H250" s="21">
        <f t="shared" si="9"/>
        <v>77804</v>
      </c>
      <c r="I250" s="21">
        <f>INDEX(Data[],MATCH($A250,Data[Dist],0),MATCH(I$5,Data[#Headers],0))</f>
        <v>116033</v>
      </c>
      <c r="K250" s="59">
        <f>INDEX('Payment Total'!$A$7:$H$331,MATCH('Payment by Source'!$A250,'Payment Total'!$A$7:$A$331,0),4)-I250</f>
        <v>0</v>
      </c>
      <c r="P250" s="138">
        <f>INDEX('Budget by Source'!$A$6:$I$330,MATCH('Payment by Source'!$A250,'Budget by Source'!$A$6:$A$330,0),MATCH(P$3,'Budget by Source'!$A$5:$I$5,0))-(ROUND(INDEX('Budget by Source'!$A$6:$I$330,MATCH('Payment by Source'!$A250,'Budget by Source'!$A$6:$A$330,0),MATCH(P$3,'Budget by Source'!$A$5:$I$5,0))/10,0)*10)</f>
        <v>4</v>
      </c>
      <c r="Q250" s="138">
        <f>INDEX('Budget by Source'!$A$6:$I$330,MATCH('Payment by Source'!$A250,'Budget by Source'!$A$6:$A$330,0),MATCH(Q$3,'Budget by Source'!$A$5:$I$5,0))-(ROUND(INDEX('Budget by Source'!$A$6:$I$330,MATCH('Payment by Source'!$A250,'Budget by Source'!$A$6:$A$330,0),MATCH(Q$3,'Budget by Source'!$A$5:$I$5,0))/10,0)*10)</f>
        <v>-3</v>
      </c>
      <c r="R250" s="138">
        <f>INDEX('Budget by Source'!$A$6:$I$330,MATCH('Payment by Source'!$A250,'Budget by Source'!$A$6:$A$330,0),MATCH(R$3,'Budget by Source'!$A$5:$I$5,0))-(ROUND(INDEX('Budget by Source'!$A$6:$I$330,MATCH('Payment by Source'!$A250,'Budget by Source'!$A$6:$A$330,0),MATCH(R$3,'Budget by Source'!$A$5:$I$5,0))/10,0)*10)</f>
        <v>-2</v>
      </c>
      <c r="S250" s="138">
        <f>INDEX('Budget by Source'!$A$6:$I$330,MATCH('Payment by Source'!$A250,'Budget by Source'!$A$6:$A$330,0),MATCH(S$3,'Budget by Source'!$A$5:$I$5,0))-(ROUND(INDEX('Budget by Source'!$A$6:$I$330,MATCH('Payment by Source'!$A250,'Budget by Source'!$A$6:$A$330,0),MATCH(S$3,'Budget by Source'!$A$5:$I$5,0))/10,0)*10)</f>
        <v>2</v>
      </c>
      <c r="T250" s="138">
        <f>INDEX('Budget by Source'!$A$6:$I$330,MATCH('Payment by Source'!$A250,'Budget by Source'!$A$6:$A$330,0),MATCH(T$3,'Budget by Source'!$A$5:$I$5,0))-(ROUND(INDEX('Budget by Source'!$A$6:$I$330,MATCH('Payment by Source'!$A250,'Budget by Source'!$A$6:$A$330,0),MATCH(T$3,'Budget by Source'!$A$5:$I$5,0))/10,0)*10)</f>
        <v>-4</v>
      </c>
      <c r="U250" s="139">
        <f>INDEX('Budget by Source'!$A$6:$I$330,MATCH('Payment by Source'!$A250,'Budget by Source'!$A$6:$A$330,0),MATCH(U$3,'Budget by Source'!$A$5:$I$5,0))</f>
        <v>780699</v>
      </c>
      <c r="V250" s="136">
        <f t="shared" si="10"/>
        <v>78070</v>
      </c>
      <c r="W250" s="136">
        <f t="shared" si="11"/>
        <v>780700</v>
      </c>
    </row>
    <row r="251" spans="1:23" x14ac:dyDescent="0.2">
      <c r="A251" s="22" t="str">
        <f>Data!B247</f>
        <v>5751</v>
      </c>
      <c r="B251" s="20" t="str">
        <f>INDEX(Data[],MATCH($A251,Data[Dist],0),MATCH(B$5,Data[#Headers],0))</f>
        <v>St Ansgar</v>
      </c>
      <c r="C251" s="21">
        <f>IF(Notes!$B$2="June",ROUND('Budget by Source'!C251/10,0)+P251,ROUND('Budget by Source'!C251/10,0))</f>
        <v>13638</v>
      </c>
      <c r="D251" s="21">
        <f>IF(Notes!$B$2="June",ROUND('Budget by Source'!D251/10,0)+Q251,ROUND('Budget by Source'!D251/10,0))</f>
        <v>52700</v>
      </c>
      <c r="E251" s="21">
        <f>IF(Notes!$B$2="June",ROUND('Budget by Source'!E251/10,0)+R251,ROUND('Budget by Source'!E251/10,0))</f>
        <v>4286</v>
      </c>
      <c r="F251" s="21">
        <f>IF(Notes!$B$2="June",ROUND('Budget by Source'!F251/10,0)+S251,ROUND('Budget by Source'!F251/10,0))</f>
        <v>4424</v>
      </c>
      <c r="G251" s="21">
        <f>IF(Notes!$B$2="June",ROUND('Budget by Source'!G251/10,0)+T251,ROUND('Budget by Source'!G251/10,0))</f>
        <v>21690</v>
      </c>
      <c r="H251" s="21">
        <f t="shared" si="9"/>
        <v>233041</v>
      </c>
      <c r="I251" s="21">
        <f>INDEX(Data[],MATCH($A251,Data[Dist],0),MATCH(I$5,Data[#Headers],0))</f>
        <v>329779</v>
      </c>
      <c r="K251" s="59">
        <f>INDEX('Payment Total'!$A$7:$H$331,MATCH('Payment by Source'!$A251,'Payment Total'!$A$7:$A$331,0),4)-I251</f>
        <v>0</v>
      </c>
      <c r="P251" s="138">
        <f>INDEX('Budget by Source'!$A$6:$I$330,MATCH('Payment by Source'!$A251,'Budget by Source'!$A$6:$A$330,0),MATCH(P$3,'Budget by Source'!$A$5:$I$5,0))-(ROUND(INDEX('Budget by Source'!$A$6:$I$330,MATCH('Payment by Source'!$A251,'Budget by Source'!$A$6:$A$330,0),MATCH(P$3,'Budget by Source'!$A$5:$I$5,0))/10,0)*10)</f>
        <v>-5</v>
      </c>
      <c r="Q251" s="138">
        <f>INDEX('Budget by Source'!$A$6:$I$330,MATCH('Payment by Source'!$A251,'Budget by Source'!$A$6:$A$330,0),MATCH(Q$3,'Budget by Source'!$A$5:$I$5,0))-(ROUND(INDEX('Budget by Source'!$A$6:$I$330,MATCH('Payment by Source'!$A251,'Budget by Source'!$A$6:$A$330,0),MATCH(Q$3,'Budget by Source'!$A$5:$I$5,0))/10,0)*10)</f>
        <v>1</v>
      </c>
      <c r="R251" s="138">
        <f>INDEX('Budget by Source'!$A$6:$I$330,MATCH('Payment by Source'!$A251,'Budget by Source'!$A$6:$A$330,0),MATCH(R$3,'Budget by Source'!$A$5:$I$5,0))-(ROUND(INDEX('Budget by Source'!$A$6:$I$330,MATCH('Payment by Source'!$A251,'Budget by Source'!$A$6:$A$330,0),MATCH(R$3,'Budget by Source'!$A$5:$I$5,0))/10,0)*10)</f>
        <v>-2</v>
      </c>
      <c r="S251" s="138">
        <f>INDEX('Budget by Source'!$A$6:$I$330,MATCH('Payment by Source'!$A251,'Budget by Source'!$A$6:$A$330,0),MATCH(S$3,'Budget by Source'!$A$5:$I$5,0))-(ROUND(INDEX('Budget by Source'!$A$6:$I$330,MATCH('Payment by Source'!$A251,'Budget by Source'!$A$6:$A$330,0),MATCH(S$3,'Budget by Source'!$A$5:$I$5,0))/10,0)*10)</f>
        <v>2</v>
      </c>
      <c r="T251" s="138">
        <f>INDEX('Budget by Source'!$A$6:$I$330,MATCH('Payment by Source'!$A251,'Budget by Source'!$A$6:$A$330,0),MATCH(T$3,'Budget by Source'!$A$5:$I$5,0))-(ROUND(INDEX('Budget by Source'!$A$6:$I$330,MATCH('Payment by Source'!$A251,'Budget by Source'!$A$6:$A$330,0),MATCH(T$3,'Budget by Source'!$A$5:$I$5,0))/10,0)*10)</f>
        <v>-2</v>
      </c>
      <c r="U251" s="139">
        <f>INDEX('Budget by Source'!$A$6:$I$330,MATCH('Payment by Source'!$A251,'Budget by Source'!$A$6:$A$330,0),MATCH(U$3,'Budget by Source'!$A$5:$I$5,0))</f>
        <v>2339041</v>
      </c>
      <c r="V251" s="136">
        <f t="shared" si="10"/>
        <v>233904</v>
      </c>
      <c r="W251" s="136">
        <f t="shared" si="11"/>
        <v>2339040</v>
      </c>
    </row>
    <row r="252" spans="1:23" x14ac:dyDescent="0.2">
      <c r="A252" s="22" t="str">
        <f>Data!B248</f>
        <v>5805</v>
      </c>
      <c r="B252" s="20" t="str">
        <f>INDEX(Data[],MATCH($A252,Data[Dist],0),MATCH(B$5,Data[#Headers],0))</f>
        <v>Saydel</v>
      </c>
      <c r="C252" s="21">
        <f>IF(Notes!$B$2="June",ROUND('Budget by Source'!C252/10,0)+P252,ROUND('Budget by Source'!C252/10,0))</f>
        <v>21820</v>
      </c>
      <c r="D252" s="21">
        <f>IF(Notes!$B$2="June",ROUND('Budget by Source'!D252/10,0)+Q252,ROUND('Budget by Source'!D252/10,0))</f>
        <v>84423</v>
      </c>
      <c r="E252" s="21">
        <f>IF(Notes!$B$2="June",ROUND('Budget by Source'!E252/10,0)+R252,ROUND('Budget by Source'!E252/10,0))</f>
        <v>9590</v>
      </c>
      <c r="F252" s="21">
        <f>IF(Notes!$B$2="June",ROUND('Budget by Source'!F252/10,0)+S252,ROUND('Budget by Source'!F252/10,0))</f>
        <v>8100</v>
      </c>
      <c r="G252" s="21">
        <f>IF(Notes!$B$2="June",ROUND('Budget by Source'!G252/10,0)+T252,ROUND('Budget by Source'!G252/10,0))</f>
        <v>39701</v>
      </c>
      <c r="H252" s="21">
        <f t="shared" si="9"/>
        <v>4583</v>
      </c>
      <c r="I252" s="21">
        <f>INDEX(Data[],MATCH($A252,Data[Dist],0),MATCH(I$5,Data[#Headers],0))</f>
        <v>168217</v>
      </c>
      <c r="K252" s="59">
        <f>INDEX('Payment Total'!$A$7:$H$331,MATCH('Payment by Source'!$A252,'Payment Total'!$A$7:$A$331,0),4)-I252</f>
        <v>0</v>
      </c>
      <c r="P252" s="138">
        <f>INDEX('Budget by Source'!$A$6:$I$330,MATCH('Payment by Source'!$A252,'Budget by Source'!$A$6:$A$330,0),MATCH(P$3,'Budget by Source'!$A$5:$I$5,0))-(ROUND(INDEX('Budget by Source'!$A$6:$I$330,MATCH('Payment by Source'!$A252,'Budget by Source'!$A$6:$A$330,0),MATCH(P$3,'Budget by Source'!$A$5:$I$5,0))/10,0)*10)</f>
        <v>-1</v>
      </c>
      <c r="Q252" s="138">
        <f>INDEX('Budget by Source'!$A$6:$I$330,MATCH('Payment by Source'!$A252,'Budget by Source'!$A$6:$A$330,0),MATCH(Q$3,'Budget by Source'!$A$5:$I$5,0))-(ROUND(INDEX('Budget by Source'!$A$6:$I$330,MATCH('Payment by Source'!$A252,'Budget by Source'!$A$6:$A$330,0),MATCH(Q$3,'Budget by Source'!$A$5:$I$5,0))/10,0)*10)</f>
        <v>-4</v>
      </c>
      <c r="R252" s="138">
        <f>INDEX('Budget by Source'!$A$6:$I$330,MATCH('Payment by Source'!$A252,'Budget by Source'!$A$6:$A$330,0),MATCH(R$3,'Budget by Source'!$A$5:$I$5,0))-(ROUND(INDEX('Budget by Source'!$A$6:$I$330,MATCH('Payment by Source'!$A252,'Budget by Source'!$A$6:$A$330,0),MATCH(R$3,'Budget by Source'!$A$5:$I$5,0))/10,0)*10)</f>
        <v>4</v>
      </c>
      <c r="S252" s="138">
        <f>INDEX('Budget by Source'!$A$6:$I$330,MATCH('Payment by Source'!$A252,'Budget by Source'!$A$6:$A$330,0),MATCH(S$3,'Budget by Source'!$A$5:$I$5,0))-(ROUND(INDEX('Budget by Source'!$A$6:$I$330,MATCH('Payment by Source'!$A252,'Budget by Source'!$A$6:$A$330,0),MATCH(S$3,'Budget by Source'!$A$5:$I$5,0))/10,0)*10)</f>
        <v>1</v>
      </c>
      <c r="T252" s="138">
        <f>INDEX('Budget by Source'!$A$6:$I$330,MATCH('Payment by Source'!$A252,'Budget by Source'!$A$6:$A$330,0),MATCH(T$3,'Budget by Source'!$A$5:$I$5,0))-(ROUND(INDEX('Budget by Source'!$A$6:$I$330,MATCH('Payment by Source'!$A252,'Budget by Source'!$A$6:$A$330,0),MATCH(T$3,'Budget by Source'!$A$5:$I$5,0))/10,0)*10)</f>
        <v>-5</v>
      </c>
      <c r="U252" s="139">
        <f>INDEX('Budget by Source'!$A$6:$I$330,MATCH('Payment by Source'!$A252,'Budget by Source'!$A$6:$A$330,0),MATCH(U$3,'Budget by Source'!$A$5:$I$5,0))</f>
        <v>61200</v>
      </c>
      <c r="V252" s="136">
        <f t="shared" si="10"/>
        <v>6120</v>
      </c>
      <c r="W252" s="136">
        <f t="shared" si="11"/>
        <v>61200</v>
      </c>
    </row>
    <row r="253" spans="1:23" x14ac:dyDescent="0.2">
      <c r="A253" s="22" t="str">
        <f>Data!B249</f>
        <v>5823</v>
      </c>
      <c r="B253" s="20" t="str">
        <f>INDEX(Data[],MATCH($A253,Data[Dist],0),MATCH(B$5,Data[#Headers],0))</f>
        <v>Schaller-Crestland</v>
      </c>
      <c r="C253" s="21">
        <f>IF(Notes!$B$2="June",ROUND('Budget by Source'!C253/10,0)+P253,ROUND('Budget by Source'!C253/10,0))</f>
        <v>9741</v>
      </c>
      <c r="D253" s="21">
        <f>IF(Notes!$B$2="June",ROUND('Budget by Source'!D253/10,0)+Q253,ROUND('Budget by Source'!D253/10,0))</f>
        <v>39573</v>
      </c>
      <c r="E253" s="21">
        <f>IF(Notes!$B$2="June",ROUND('Budget by Source'!E253/10,0)+R253,ROUND('Budget by Source'!E253/10,0))</f>
        <v>2654</v>
      </c>
      <c r="F253" s="21">
        <f>IF(Notes!$B$2="June",ROUND('Budget by Source'!F253/10,0)+S253,ROUND('Budget by Source'!F253/10,0))</f>
        <v>2961</v>
      </c>
      <c r="G253" s="21">
        <f>IF(Notes!$B$2="June",ROUND('Budget by Source'!G253/10,0)+T253,ROUND('Budget by Source'!G253/10,0))</f>
        <v>13976</v>
      </c>
      <c r="H253" s="21">
        <f t="shared" si="9"/>
        <v>157113</v>
      </c>
      <c r="I253" s="21">
        <f>INDEX(Data[],MATCH($A253,Data[Dist],0),MATCH(I$5,Data[#Headers],0))</f>
        <v>226018</v>
      </c>
      <c r="K253" s="59">
        <f>INDEX('Payment Total'!$A$7:$H$331,MATCH('Payment by Source'!$A253,'Payment Total'!$A$7:$A$331,0),4)-I253</f>
        <v>0</v>
      </c>
      <c r="P253" s="138">
        <f>INDEX('Budget by Source'!$A$6:$I$330,MATCH('Payment by Source'!$A253,'Budget by Source'!$A$6:$A$330,0),MATCH(P$3,'Budget by Source'!$A$5:$I$5,0))-(ROUND(INDEX('Budget by Source'!$A$6:$I$330,MATCH('Payment by Source'!$A253,'Budget by Source'!$A$6:$A$330,0),MATCH(P$3,'Budget by Source'!$A$5:$I$5,0))/10,0)*10)</f>
        <v>0</v>
      </c>
      <c r="Q253" s="138">
        <f>INDEX('Budget by Source'!$A$6:$I$330,MATCH('Payment by Source'!$A253,'Budget by Source'!$A$6:$A$330,0),MATCH(Q$3,'Budget by Source'!$A$5:$I$5,0))-(ROUND(INDEX('Budget by Source'!$A$6:$I$330,MATCH('Payment by Source'!$A253,'Budget by Source'!$A$6:$A$330,0),MATCH(Q$3,'Budget by Source'!$A$5:$I$5,0))/10,0)*10)</f>
        <v>-4</v>
      </c>
      <c r="R253" s="138">
        <f>INDEX('Budget by Source'!$A$6:$I$330,MATCH('Payment by Source'!$A253,'Budget by Source'!$A$6:$A$330,0),MATCH(R$3,'Budget by Source'!$A$5:$I$5,0))-(ROUND(INDEX('Budget by Source'!$A$6:$I$330,MATCH('Payment by Source'!$A253,'Budget by Source'!$A$6:$A$330,0),MATCH(R$3,'Budget by Source'!$A$5:$I$5,0))/10,0)*10)</f>
        <v>-4</v>
      </c>
      <c r="S253" s="138">
        <f>INDEX('Budget by Source'!$A$6:$I$330,MATCH('Payment by Source'!$A253,'Budget by Source'!$A$6:$A$330,0),MATCH(S$3,'Budget by Source'!$A$5:$I$5,0))-(ROUND(INDEX('Budget by Source'!$A$6:$I$330,MATCH('Payment by Source'!$A253,'Budget by Source'!$A$6:$A$330,0),MATCH(S$3,'Budget by Source'!$A$5:$I$5,0))/10,0)*10)</f>
        <v>-3</v>
      </c>
      <c r="T253" s="138">
        <f>INDEX('Budget by Source'!$A$6:$I$330,MATCH('Payment by Source'!$A253,'Budget by Source'!$A$6:$A$330,0),MATCH(T$3,'Budget by Source'!$A$5:$I$5,0))-(ROUND(INDEX('Budget by Source'!$A$6:$I$330,MATCH('Payment by Source'!$A253,'Budget by Source'!$A$6:$A$330,0),MATCH(T$3,'Budget by Source'!$A$5:$I$5,0))/10,0)*10)</f>
        <v>4</v>
      </c>
      <c r="U253" s="139">
        <f>INDEX('Budget by Source'!$A$6:$I$330,MATCH('Payment by Source'!$A253,'Budget by Source'!$A$6:$A$330,0),MATCH(U$3,'Budget by Source'!$A$5:$I$5,0))</f>
        <v>1576617</v>
      </c>
      <c r="V253" s="136">
        <f t="shared" si="10"/>
        <v>157662</v>
      </c>
      <c r="W253" s="136">
        <f t="shared" si="11"/>
        <v>1576620</v>
      </c>
    </row>
    <row r="254" spans="1:23" x14ac:dyDescent="0.2">
      <c r="A254" s="22" t="str">
        <f>Data!B250</f>
        <v>5832</v>
      </c>
      <c r="B254" s="20" t="str">
        <f>INDEX(Data[],MATCH($A254,Data[Dist],0),MATCH(B$5,Data[#Headers],0))</f>
        <v>Schleswig</v>
      </c>
      <c r="C254" s="21">
        <f>IF(Notes!$B$2="June",ROUND('Budget by Source'!C254/10,0)+P254,ROUND('Budget by Source'!C254/10,0))</f>
        <v>5845</v>
      </c>
      <c r="D254" s="21">
        <f>IF(Notes!$B$2="June",ROUND('Budget by Source'!D254/10,0)+Q254,ROUND('Budget by Source'!D254/10,0))</f>
        <v>28781</v>
      </c>
      <c r="E254" s="21">
        <f>IF(Notes!$B$2="June",ROUND('Budget by Source'!E254/10,0)+R254,ROUND('Budget by Source'!E254/10,0))</f>
        <v>1733</v>
      </c>
      <c r="F254" s="21">
        <f>IF(Notes!$B$2="June",ROUND('Budget by Source'!F254/10,0)+S254,ROUND('Budget by Source'!F254/10,0))</f>
        <v>1332</v>
      </c>
      <c r="G254" s="21">
        <f>IF(Notes!$B$2="June",ROUND('Budget by Source'!G254/10,0)+T254,ROUND('Budget by Source'!G254/10,0))</f>
        <v>9028</v>
      </c>
      <c r="H254" s="21">
        <f t="shared" si="9"/>
        <v>86275</v>
      </c>
      <c r="I254" s="21">
        <f>INDEX(Data[],MATCH($A254,Data[Dist],0),MATCH(I$5,Data[#Headers],0))</f>
        <v>132994</v>
      </c>
      <c r="K254" s="59">
        <f>INDEX('Payment Total'!$A$7:$H$331,MATCH('Payment by Source'!$A254,'Payment Total'!$A$7:$A$331,0),4)-I254</f>
        <v>0</v>
      </c>
      <c r="P254" s="138">
        <f>INDEX('Budget by Source'!$A$6:$I$330,MATCH('Payment by Source'!$A254,'Budget by Source'!$A$6:$A$330,0),MATCH(P$3,'Budget by Source'!$A$5:$I$5,0))-(ROUND(INDEX('Budget by Source'!$A$6:$I$330,MATCH('Payment by Source'!$A254,'Budget by Source'!$A$6:$A$330,0),MATCH(P$3,'Budget by Source'!$A$5:$I$5,0))/10,0)*10)</f>
        <v>-4</v>
      </c>
      <c r="Q254" s="138">
        <f>INDEX('Budget by Source'!$A$6:$I$330,MATCH('Payment by Source'!$A254,'Budget by Source'!$A$6:$A$330,0),MATCH(Q$3,'Budget by Source'!$A$5:$I$5,0))-(ROUND(INDEX('Budget by Source'!$A$6:$I$330,MATCH('Payment by Source'!$A254,'Budget by Source'!$A$6:$A$330,0),MATCH(Q$3,'Budget by Source'!$A$5:$I$5,0))/10,0)*10)</f>
        <v>3</v>
      </c>
      <c r="R254" s="138">
        <f>INDEX('Budget by Source'!$A$6:$I$330,MATCH('Payment by Source'!$A254,'Budget by Source'!$A$6:$A$330,0),MATCH(R$3,'Budget by Source'!$A$5:$I$5,0))-(ROUND(INDEX('Budget by Source'!$A$6:$I$330,MATCH('Payment by Source'!$A254,'Budget by Source'!$A$6:$A$330,0),MATCH(R$3,'Budget by Source'!$A$5:$I$5,0))/10,0)*10)</f>
        <v>-5</v>
      </c>
      <c r="S254" s="138">
        <f>INDEX('Budget by Source'!$A$6:$I$330,MATCH('Payment by Source'!$A254,'Budget by Source'!$A$6:$A$330,0),MATCH(S$3,'Budget by Source'!$A$5:$I$5,0))-(ROUND(INDEX('Budget by Source'!$A$6:$I$330,MATCH('Payment by Source'!$A254,'Budget by Source'!$A$6:$A$330,0),MATCH(S$3,'Budget by Source'!$A$5:$I$5,0))/10,0)*10)</f>
        <v>2</v>
      </c>
      <c r="T254" s="138">
        <f>INDEX('Budget by Source'!$A$6:$I$330,MATCH('Payment by Source'!$A254,'Budget by Source'!$A$6:$A$330,0),MATCH(T$3,'Budget by Source'!$A$5:$I$5,0))-(ROUND(INDEX('Budget by Source'!$A$6:$I$330,MATCH('Payment by Source'!$A254,'Budget by Source'!$A$6:$A$330,0),MATCH(T$3,'Budget by Source'!$A$5:$I$5,0))/10,0)*10)</f>
        <v>0</v>
      </c>
      <c r="U254" s="139">
        <f>INDEX('Budget by Source'!$A$6:$I$330,MATCH('Payment by Source'!$A254,'Budget by Source'!$A$6:$A$330,0),MATCH(U$3,'Budget by Source'!$A$5:$I$5,0))</f>
        <v>866323</v>
      </c>
      <c r="V254" s="136">
        <f t="shared" si="10"/>
        <v>86632</v>
      </c>
      <c r="W254" s="136">
        <f t="shared" si="11"/>
        <v>866320</v>
      </c>
    </row>
    <row r="255" spans="1:23" x14ac:dyDescent="0.2">
      <c r="A255" s="22" t="str">
        <f>Data!B251</f>
        <v>5877</v>
      </c>
      <c r="B255" s="20" t="str">
        <f>INDEX(Data[],MATCH($A255,Data[Dist],0),MATCH(B$5,Data[#Headers],0))</f>
        <v>Sergeant Bluff-Luton</v>
      </c>
      <c r="C255" s="21">
        <f>IF(Notes!$B$2="June",ROUND('Budget by Source'!C255/10,0)+P255,ROUND('Budget by Source'!C255/10,0))</f>
        <v>24937</v>
      </c>
      <c r="D255" s="21">
        <f>IF(Notes!$B$2="June",ROUND('Budget by Source'!D255/10,0)+Q255,ROUND('Budget by Source'!D255/10,0))</f>
        <v>106358</v>
      </c>
      <c r="E255" s="21">
        <f>IF(Notes!$B$2="June",ROUND('Budget by Source'!E255/10,0)+R255,ROUND('Budget by Source'!E255/10,0))</f>
        <v>11725</v>
      </c>
      <c r="F255" s="21">
        <f>IF(Notes!$B$2="June",ROUND('Budget by Source'!F255/10,0)+S255,ROUND('Budget by Source'!F255/10,0))</f>
        <v>11868</v>
      </c>
      <c r="G255" s="21">
        <f>IF(Notes!$B$2="June",ROUND('Budget by Source'!G255/10,0)+T255,ROUND('Budget by Source'!G255/10,0))</f>
        <v>55025</v>
      </c>
      <c r="H255" s="21">
        <f t="shared" si="9"/>
        <v>632821</v>
      </c>
      <c r="I255" s="21">
        <f>INDEX(Data[],MATCH($A255,Data[Dist],0),MATCH(I$5,Data[#Headers],0))</f>
        <v>842734</v>
      </c>
      <c r="K255" s="59">
        <f>INDEX('Payment Total'!$A$7:$H$331,MATCH('Payment by Source'!$A255,'Payment Total'!$A$7:$A$331,0),4)-I255</f>
        <v>0</v>
      </c>
      <c r="P255" s="138">
        <f>INDEX('Budget by Source'!$A$6:$I$330,MATCH('Payment by Source'!$A255,'Budget by Source'!$A$6:$A$330,0),MATCH(P$3,'Budget by Source'!$A$5:$I$5,0))-(ROUND(INDEX('Budget by Source'!$A$6:$I$330,MATCH('Payment by Source'!$A255,'Budget by Source'!$A$6:$A$330,0),MATCH(P$3,'Budget by Source'!$A$5:$I$5,0))/10,0)*10)</f>
        <v>1</v>
      </c>
      <c r="Q255" s="138">
        <f>INDEX('Budget by Source'!$A$6:$I$330,MATCH('Payment by Source'!$A255,'Budget by Source'!$A$6:$A$330,0),MATCH(Q$3,'Budget by Source'!$A$5:$I$5,0))-(ROUND(INDEX('Budget by Source'!$A$6:$I$330,MATCH('Payment by Source'!$A255,'Budget by Source'!$A$6:$A$330,0),MATCH(Q$3,'Budget by Source'!$A$5:$I$5,0))/10,0)*10)</f>
        <v>0</v>
      </c>
      <c r="R255" s="138">
        <f>INDEX('Budget by Source'!$A$6:$I$330,MATCH('Payment by Source'!$A255,'Budget by Source'!$A$6:$A$330,0),MATCH(R$3,'Budget by Source'!$A$5:$I$5,0))-(ROUND(INDEX('Budget by Source'!$A$6:$I$330,MATCH('Payment by Source'!$A255,'Budget by Source'!$A$6:$A$330,0),MATCH(R$3,'Budget by Source'!$A$5:$I$5,0))/10,0)*10)</f>
        <v>0</v>
      </c>
      <c r="S255" s="138">
        <f>INDEX('Budget by Source'!$A$6:$I$330,MATCH('Payment by Source'!$A255,'Budget by Source'!$A$6:$A$330,0),MATCH(S$3,'Budget by Source'!$A$5:$I$5,0))-(ROUND(INDEX('Budget by Source'!$A$6:$I$330,MATCH('Payment by Source'!$A255,'Budget by Source'!$A$6:$A$330,0),MATCH(S$3,'Budget by Source'!$A$5:$I$5,0))/10,0)*10)</f>
        <v>-3</v>
      </c>
      <c r="T255" s="138">
        <f>INDEX('Budget by Source'!$A$6:$I$330,MATCH('Payment by Source'!$A255,'Budget by Source'!$A$6:$A$330,0),MATCH(T$3,'Budget by Source'!$A$5:$I$5,0))-(ROUND(INDEX('Budget by Source'!$A$6:$I$330,MATCH('Payment by Source'!$A255,'Budget by Source'!$A$6:$A$330,0),MATCH(T$3,'Budget by Source'!$A$5:$I$5,0))/10,0)*10)</f>
        <v>4</v>
      </c>
      <c r="U255" s="139">
        <f>INDEX('Budget by Source'!$A$6:$I$330,MATCH('Payment by Source'!$A255,'Budget by Source'!$A$6:$A$330,0),MATCH(U$3,'Budget by Source'!$A$5:$I$5,0))</f>
        <v>6349794</v>
      </c>
      <c r="V255" s="136">
        <f t="shared" si="10"/>
        <v>634979</v>
      </c>
      <c r="W255" s="136">
        <f t="shared" si="11"/>
        <v>6349790</v>
      </c>
    </row>
    <row r="256" spans="1:23" x14ac:dyDescent="0.2">
      <c r="A256" s="22" t="str">
        <f>Data!B252</f>
        <v>5895</v>
      </c>
      <c r="B256" s="20" t="str">
        <f>INDEX(Data[],MATCH($A256,Data[Dist],0),MATCH(B$5,Data[#Headers],0))</f>
        <v>Seymour</v>
      </c>
      <c r="C256" s="21">
        <f>IF(Notes!$B$2="June",ROUND('Budget by Source'!C256/10,0)+P256,ROUND('Budget by Source'!C256/10,0))</f>
        <v>3896</v>
      </c>
      <c r="D256" s="21">
        <f>IF(Notes!$B$2="June",ROUND('Budget by Source'!D256/10,0)+Q256,ROUND('Budget by Source'!D256/10,0))</f>
        <v>43421</v>
      </c>
      <c r="E256" s="21">
        <f>IF(Notes!$B$2="June",ROUND('Budget by Source'!E256/10,0)+R256,ROUND('Budget by Source'!E256/10,0))</f>
        <v>2142</v>
      </c>
      <c r="F256" s="21">
        <f>IF(Notes!$B$2="June",ROUND('Budget by Source'!F256/10,0)+S256,ROUND('Budget by Source'!F256/10,0))</f>
        <v>2079</v>
      </c>
      <c r="G256" s="21">
        <f>IF(Notes!$B$2="June",ROUND('Budget by Source'!G256/10,0)+T256,ROUND('Budget by Source'!G256/10,0))</f>
        <v>8809</v>
      </c>
      <c r="H256" s="21">
        <f t="shared" si="9"/>
        <v>118987</v>
      </c>
      <c r="I256" s="21">
        <f>INDEX(Data[],MATCH($A256,Data[Dist],0),MATCH(I$5,Data[#Headers],0))</f>
        <v>179334</v>
      </c>
      <c r="K256" s="59">
        <f>INDEX('Payment Total'!$A$7:$H$331,MATCH('Payment by Source'!$A256,'Payment Total'!$A$7:$A$331,0),4)-I256</f>
        <v>0</v>
      </c>
      <c r="P256" s="138">
        <f>INDEX('Budget by Source'!$A$6:$I$330,MATCH('Payment by Source'!$A256,'Budget by Source'!$A$6:$A$330,0),MATCH(P$3,'Budget by Source'!$A$5:$I$5,0))-(ROUND(INDEX('Budget by Source'!$A$6:$I$330,MATCH('Payment by Source'!$A256,'Budget by Source'!$A$6:$A$330,0),MATCH(P$3,'Budget by Source'!$A$5:$I$5,0))/10,0)*10)</f>
        <v>4</v>
      </c>
      <c r="Q256" s="138">
        <f>INDEX('Budget by Source'!$A$6:$I$330,MATCH('Payment by Source'!$A256,'Budget by Source'!$A$6:$A$330,0),MATCH(Q$3,'Budget by Source'!$A$5:$I$5,0))-(ROUND(INDEX('Budget by Source'!$A$6:$I$330,MATCH('Payment by Source'!$A256,'Budget by Source'!$A$6:$A$330,0),MATCH(Q$3,'Budget by Source'!$A$5:$I$5,0))/10,0)*10)</f>
        <v>-1</v>
      </c>
      <c r="R256" s="138">
        <f>INDEX('Budget by Source'!$A$6:$I$330,MATCH('Payment by Source'!$A256,'Budget by Source'!$A$6:$A$330,0),MATCH(R$3,'Budget by Source'!$A$5:$I$5,0))-(ROUND(INDEX('Budget by Source'!$A$6:$I$330,MATCH('Payment by Source'!$A256,'Budget by Source'!$A$6:$A$330,0),MATCH(R$3,'Budget by Source'!$A$5:$I$5,0))/10,0)*10)</f>
        <v>-1</v>
      </c>
      <c r="S256" s="138">
        <f>INDEX('Budget by Source'!$A$6:$I$330,MATCH('Payment by Source'!$A256,'Budget by Source'!$A$6:$A$330,0),MATCH(S$3,'Budget by Source'!$A$5:$I$5,0))-(ROUND(INDEX('Budget by Source'!$A$6:$I$330,MATCH('Payment by Source'!$A256,'Budget by Source'!$A$6:$A$330,0),MATCH(S$3,'Budget by Source'!$A$5:$I$5,0))/10,0)*10)</f>
        <v>2</v>
      </c>
      <c r="T256" s="138">
        <f>INDEX('Budget by Source'!$A$6:$I$330,MATCH('Payment by Source'!$A256,'Budget by Source'!$A$6:$A$330,0),MATCH(T$3,'Budget by Source'!$A$5:$I$5,0))-(ROUND(INDEX('Budget by Source'!$A$6:$I$330,MATCH('Payment by Source'!$A256,'Budget by Source'!$A$6:$A$330,0),MATCH(T$3,'Budget by Source'!$A$5:$I$5,0))/10,0)*10)</f>
        <v>-1</v>
      </c>
      <c r="U256" s="139">
        <f>INDEX('Budget by Source'!$A$6:$I$330,MATCH('Payment by Source'!$A256,'Budget by Source'!$A$6:$A$330,0),MATCH(U$3,'Budget by Source'!$A$5:$I$5,0))</f>
        <v>1193366</v>
      </c>
      <c r="V256" s="136">
        <f t="shared" si="10"/>
        <v>119337</v>
      </c>
      <c r="W256" s="136">
        <f t="shared" si="11"/>
        <v>1193370</v>
      </c>
    </row>
    <row r="257" spans="1:23" x14ac:dyDescent="0.2">
      <c r="A257" s="22" t="str">
        <f>Data!B253</f>
        <v>5922</v>
      </c>
      <c r="B257" s="20" t="str">
        <f>INDEX(Data[],MATCH($A257,Data[Dist],0),MATCH(B$5,Data[#Headers],0))</f>
        <v>West Fork</v>
      </c>
      <c r="C257" s="21">
        <f>IF(Notes!$B$2="June",ROUND('Budget by Source'!C257/10,0)+P257,ROUND('Budget by Source'!C257/10,0))</f>
        <v>17534</v>
      </c>
      <c r="D257" s="21">
        <f>IF(Notes!$B$2="June",ROUND('Budget by Source'!D257/10,0)+Q257,ROUND('Budget by Source'!D257/10,0))</f>
        <v>68283</v>
      </c>
      <c r="E257" s="21">
        <f>IF(Notes!$B$2="June",ROUND('Budget by Source'!E257/10,0)+R257,ROUND('Budget by Source'!E257/10,0))</f>
        <v>5434</v>
      </c>
      <c r="F257" s="21">
        <f>IF(Notes!$B$2="June",ROUND('Budget by Source'!F257/10,0)+S257,ROUND('Budget by Source'!F257/10,0))</f>
        <v>6449</v>
      </c>
      <c r="G257" s="21">
        <f>IF(Notes!$B$2="June",ROUND('Budget by Source'!G257/10,0)+T257,ROUND('Budget by Source'!G257/10,0))</f>
        <v>29056</v>
      </c>
      <c r="H257" s="21">
        <f t="shared" si="9"/>
        <v>348930</v>
      </c>
      <c r="I257" s="21">
        <f>INDEX(Data[],MATCH($A257,Data[Dist],0),MATCH(I$5,Data[#Headers],0))</f>
        <v>475686</v>
      </c>
      <c r="K257" s="59">
        <f>INDEX('Payment Total'!$A$7:$H$331,MATCH('Payment by Source'!$A257,'Payment Total'!$A$7:$A$331,0),4)-I257</f>
        <v>0</v>
      </c>
      <c r="P257" s="138">
        <f>INDEX('Budget by Source'!$A$6:$I$330,MATCH('Payment by Source'!$A257,'Budget by Source'!$A$6:$A$330,0),MATCH(P$3,'Budget by Source'!$A$5:$I$5,0))-(ROUND(INDEX('Budget by Source'!$A$6:$I$330,MATCH('Payment by Source'!$A257,'Budget by Source'!$A$6:$A$330,0),MATCH(P$3,'Budget by Source'!$A$5:$I$5,0))/10,0)*10)</f>
        <v>-1</v>
      </c>
      <c r="Q257" s="138">
        <f>INDEX('Budget by Source'!$A$6:$I$330,MATCH('Payment by Source'!$A257,'Budget by Source'!$A$6:$A$330,0),MATCH(Q$3,'Budget by Source'!$A$5:$I$5,0))-(ROUND(INDEX('Budget by Source'!$A$6:$I$330,MATCH('Payment by Source'!$A257,'Budget by Source'!$A$6:$A$330,0),MATCH(Q$3,'Budget by Source'!$A$5:$I$5,0))/10,0)*10)</f>
        <v>4</v>
      </c>
      <c r="R257" s="138">
        <f>INDEX('Budget by Source'!$A$6:$I$330,MATCH('Payment by Source'!$A257,'Budget by Source'!$A$6:$A$330,0),MATCH(R$3,'Budget by Source'!$A$5:$I$5,0))-(ROUND(INDEX('Budget by Source'!$A$6:$I$330,MATCH('Payment by Source'!$A257,'Budget by Source'!$A$6:$A$330,0),MATCH(R$3,'Budget by Source'!$A$5:$I$5,0))/10,0)*10)</f>
        <v>4</v>
      </c>
      <c r="S257" s="138">
        <f>INDEX('Budget by Source'!$A$6:$I$330,MATCH('Payment by Source'!$A257,'Budget by Source'!$A$6:$A$330,0),MATCH(S$3,'Budget by Source'!$A$5:$I$5,0))-(ROUND(INDEX('Budget by Source'!$A$6:$I$330,MATCH('Payment by Source'!$A257,'Budget by Source'!$A$6:$A$330,0),MATCH(S$3,'Budget by Source'!$A$5:$I$5,0))/10,0)*10)</f>
        <v>0</v>
      </c>
      <c r="T257" s="138">
        <f>INDEX('Budget by Source'!$A$6:$I$330,MATCH('Payment by Source'!$A257,'Budget by Source'!$A$6:$A$330,0),MATCH(T$3,'Budget by Source'!$A$5:$I$5,0))-(ROUND(INDEX('Budget by Source'!$A$6:$I$330,MATCH('Payment by Source'!$A257,'Budget by Source'!$A$6:$A$330,0),MATCH(T$3,'Budget by Source'!$A$5:$I$5,0))/10,0)*10)</f>
        <v>-2</v>
      </c>
      <c r="U257" s="139">
        <f>INDEX('Budget by Source'!$A$6:$I$330,MATCH('Payment by Source'!$A257,'Budget by Source'!$A$6:$A$330,0),MATCH(U$3,'Budget by Source'!$A$5:$I$5,0))</f>
        <v>3500561</v>
      </c>
      <c r="V257" s="136">
        <f t="shared" si="10"/>
        <v>350056</v>
      </c>
      <c r="W257" s="136">
        <f t="shared" si="11"/>
        <v>3500560</v>
      </c>
    </row>
    <row r="258" spans="1:23" x14ac:dyDescent="0.2">
      <c r="A258" s="22" t="str">
        <f>Data!B254</f>
        <v>5949</v>
      </c>
      <c r="B258" s="20" t="str">
        <f>INDEX(Data[],MATCH($A258,Data[Dist],0),MATCH(B$5,Data[#Headers],0))</f>
        <v>Sheldon</v>
      </c>
      <c r="C258" s="21">
        <f>IF(Notes!$B$2="June",ROUND('Budget by Source'!C258/10,0)+P258,ROUND('Budget by Source'!C258/10,0))</f>
        <v>37406</v>
      </c>
      <c r="D258" s="21">
        <f>IF(Notes!$B$2="June",ROUND('Budget by Source'!D258/10,0)+Q258,ROUND('Budget by Source'!D258/10,0))</f>
        <v>96832</v>
      </c>
      <c r="E258" s="21">
        <f>IF(Notes!$B$2="June",ROUND('Budget by Source'!E258/10,0)+R258,ROUND('Budget by Source'!E258/10,0))</f>
        <v>9750</v>
      </c>
      <c r="F258" s="21">
        <f>IF(Notes!$B$2="June",ROUND('Budget by Source'!F258/10,0)+S258,ROUND('Budget by Source'!F258/10,0))</f>
        <v>8406</v>
      </c>
      <c r="G258" s="21">
        <f>IF(Notes!$B$2="June",ROUND('Budget by Source'!G258/10,0)+T258,ROUND('Budget by Source'!G258/10,0))</f>
        <v>45695</v>
      </c>
      <c r="H258" s="21">
        <f t="shared" si="9"/>
        <v>675230</v>
      </c>
      <c r="I258" s="21">
        <f>INDEX(Data[],MATCH($A258,Data[Dist],0),MATCH(I$5,Data[#Headers],0))</f>
        <v>873319</v>
      </c>
      <c r="K258" s="59">
        <f>INDEX('Payment Total'!$A$7:$H$331,MATCH('Payment by Source'!$A258,'Payment Total'!$A$7:$A$331,0),4)-I258</f>
        <v>0</v>
      </c>
      <c r="P258" s="138">
        <f>INDEX('Budget by Source'!$A$6:$I$330,MATCH('Payment by Source'!$A258,'Budget by Source'!$A$6:$A$330,0),MATCH(P$3,'Budget by Source'!$A$5:$I$5,0))-(ROUND(INDEX('Budget by Source'!$A$6:$I$330,MATCH('Payment by Source'!$A258,'Budget by Source'!$A$6:$A$330,0),MATCH(P$3,'Budget by Source'!$A$5:$I$5,0))/10,0)*10)</f>
        <v>-4</v>
      </c>
      <c r="Q258" s="138">
        <f>INDEX('Budget by Source'!$A$6:$I$330,MATCH('Payment by Source'!$A258,'Budget by Source'!$A$6:$A$330,0),MATCH(Q$3,'Budget by Source'!$A$5:$I$5,0))-(ROUND(INDEX('Budget by Source'!$A$6:$I$330,MATCH('Payment by Source'!$A258,'Budget by Source'!$A$6:$A$330,0),MATCH(Q$3,'Budget by Source'!$A$5:$I$5,0))/10,0)*10)</f>
        <v>-4</v>
      </c>
      <c r="R258" s="138">
        <f>INDEX('Budget by Source'!$A$6:$I$330,MATCH('Payment by Source'!$A258,'Budget by Source'!$A$6:$A$330,0),MATCH(R$3,'Budget by Source'!$A$5:$I$5,0))-(ROUND(INDEX('Budget by Source'!$A$6:$I$330,MATCH('Payment by Source'!$A258,'Budget by Source'!$A$6:$A$330,0),MATCH(R$3,'Budget by Source'!$A$5:$I$5,0))/10,0)*10)</f>
        <v>2</v>
      </c>
      <c r="S258" s="138">
        <f>INDEX('Budget by Source'!$A$6:$I$330,MATCH('Payment by Source'!$A258,'Budget by Source'!$A$6:$A$330,0),MATCH(S$3,'Budget by Source'!$A$5:$I$5,0))-(ROUND(INDEX('Budget by Source'!$A$6:$I$330,MATCH('Payment by Source'!$A258,'Budget by Source'!$A$6:$A$330,0),MATCH(S$3,'Budget by Source'!$A$5:$I$5,0))/10,0)*10)</f>
        <v>2</v>
      </c>
      <c r="T258" s="138">
        <f>INDEX('Budget by Source'!$A$6:$I$330,MATCH('Payment by Source'!$A258,'Budget by Source'!$A$6:$A$330,0),MATCH(T$3,'Budget by Source'!$A$5:$I$5,0))-(ROUND(INDEX('Budget by Source'!$A$6:$I$330,MATCH('Payment by Source'!$A258,'Budget by Source'!$A$6:$A$330,0),MATCH(T$3,'Budget by Source'!$A$5:$I$5,0))/10,0)*10)</f>
        <v>2</v>
      </c>
      <c r="U258" s="139">
        <f>INDEX('Budget by Source'!$A$6:$I$330,MATCH('Payment by Source'!$A258,'Budget by Source'!$A$6:$A$330,0),MATCH(U$3,'Budget by Source'!$A$5:$I$5,0))</f>
        <v>6769163</v>
      </c>
      <c r="V258" s="136">
        <f t="shared" si="10"/>
        <v>676916</v>
      </c>
      <c r="W258" s="136">
        <f t="shared" si="11"/>
        <v>6769160</v>
      </c>
    </row>
    <row r="259" spans="1:23" x14ac:dyDescent="0.2">
      <c r="A259" s="22" t="str">
        <f>Data!B255</f>
        <v>5976</v>
      </c>
      <c r="B259" s="20" t="str">
        <f>INDEX(Data[],MATCH($A259,Data[Dist],0),MATCH(B$5,Data[#Headers],0))</f>
        <v>Shenandoah</v>
      </c>
      <c r="C259" s="21">
        <f>IF(Notes!$B$2="June",ROUND('Budget by Source'!C259/10,0)+P259,ROUND('Budget by Source'!C259/10,0))</f>
        <v>21438</v>
      </c>
      <c r="D259" s="21">
        <f>IF(Notes!$B$2="June",ROUND('Budget by Source'!D259/10,0)+Q259,ROUND('Budget by Source'!D259/10,0))</f>
        <v>95165</v>
      </c>
      <c r="E259" s="21">
        <f>IF(Notes!$B$2="June",ROUND('Budget by Source'!E259/10,0)+R259,ROUND('Budget by Source'!E259/10,0))</f>
        <v>9431</v>
      </c>
      <c r="F259" s="21">
        <f>IF(Notes!$B$2="June",ROUND('Budget by Source'!F259/10,0)+S259,ROUND('Budget by Source'!F259/10,0))</f>
        <v>8111</v>
      </c>
      <c r="G259" s="21">
        <f>IF(Notes!$B$2="June",ROUND('Budget by Source'!G259/10,0)+T259,ROUND('Budget by Source'!G259/10,0))</f>
        <v>40078</v>
      </c>
      <c r="H259" s="21">
        <f t="shared" si="9"/>
        <v>597492</v>
      </c>
      <c r="I259" s="21">
        <f>INDEX(Data[],MATCH($A259,Data[Dist],0),MATCH(I$5,Data[#Headers],0))</f>
        <v>771715</v>
      </c>
      <c r="K259" s="59">
        <f>INDEX('Payment Total'!$A$7:$H$331,MATCH('Payment by Source'!$A259,'Payment Total'!$A$7:$A$331,0),4)-I259</f>
        <v>0</v>
      </c>
      <c r="P259" s="138">
        <f>INDEX('Budget by Source'!$A$6:$I$330,MATCH('Payment by Source'!$A259,'Budget by Source'!$A$6:$A$330,0),MATCH(P$3,'Budget by Source'!$A$5:$I$5,0))-(ROUND(INDEX('Budget by Source'!$A$6:$I$330,MATCH('Payment by Source'!$A259,'Budget by Source'!$A$6:$A$330,0),MATCH(P$3,'Budget by Source'!$A$5:$I$5,0))/10,0)*10)</f>
        <v>1</v>
      </c>
      <c r="Q259" s="138">
        <f>INDEX('Budget by Source'!$A$6:$I$330,MATCH('Payment by Source'!$A259,'Budget by Source'!$A$6:$A$330,0),MATCH(Q$3,'Budget by Source'!$A$5:$I$5,0))-(ROUND(INDEX('Budget by Source'!$A$6:$I$330,MATCH('Payment by Source'!$A259,'Budget by Source'!$A$6:$A$330,0),MATCH(Q$3,'Budget by Source'!$A$5:$I$5,0))/10,0)*10)</f>
        <v>3</v>
      </c>
      <c r="R259" s="138">
        <f>INDEX('Budget by Source'!$A$6:$I$330,MATCH('Payment by Source'!$A259,'Budget by Source'!$A$6:$A$330,0),MATCH(R$3,'Budget by Source'!$A$5:$I$5,0))-(ROUND(INDEX('Budget by Source'!$A$6:$I$330,MATCH('Payment by Source'!$A259,'Budget by Source'!$A$6:$A$330,0),MATCH(R$3,'Budget by Source'!$A$5:$I$5,0))/10,0)*10)</f>
        <v>2</v>
      </c>
      <c r="S259" s="138">
        <f>INDEX('Budget by Source'!$A$6:$I$330,MATCH('Payment by Source'!$A259,'Budget by Source'!$A$6:$A$330,0),MATCH(S$3,'Budget by Source'!$A$5:$I$5,0))-(ROUND(INDEX('Budget by Source'!$A$6:$I$330,MATCH('Payment by Source'!$A259,'Budget by Source'!$A$6:$A$330,0),MATCH(S$3,'Budget by Source'!$A$5:$I$5,0))/10,0)*10)</f>
        <v>3</v>
      </c>
      <c r="T259" s="138">
        <f>INDEX('Budget by Source'!$A$6:$I$330,MATCH('Payment by Source'!$A259,'Budget by Source'!$A$6:$A$330,0),MATCH(T$3,'Budget by Source'!$A$5:$I$5,0))-(ROUND(INDEX('Budget by Source'!$A$6:$I$330,MATCH('Payment by Source'!$A259,'Budget by Source'!$A$6:$A$330,0),MATCH(T$3,'Budget by Source'!$A$5:$I$5,0))/10,0)*10)</f>
        <v>2</v>
      </c>
      <c r="U259" s="139">
        <f>INDEX('Budget by Source'!$A$6:$I$330,MATCH('Payment by Source'!$A259,'Budget by Source'!$A$6:$A$330,0),MATCH(U$3,'Budget by Source'!$A$5:$I$5,0))</f>
        <v>5990786</v>
      </c>
      <c r="V259" s="136">
        <f t="shared" si="10"/>
        <v>599079</v>
      </c>
      <c r="W259" s="136">
        <f t="shared" si="11"/>
        <v>5990790</v>
      </c>
    </row>
    <row r="260" spans="1:23" x14ac:dyDescent="0.2">
      <c r="A260" s="22" t="str">
        <f>Data!B256</f>
        <v>5994</v>
      </c>
      <c r="B260" s="20" t="str">
        <f>INDEX(Data[],MATCH($A260,Data[Dist],0),MATCH(B$5,Data[#Headers],0))</f>
        <v>Sibley-Ocheyedan</v>
      </c>
      <c r="C260" s="21">
        <f>IF(Notes!$B$2="June",ROUND('Budget by Source'!C260/10,0)+P260,ROUND('Budget by Source'!C260/10,0))</f>
        <v>23911</v>
      </c>
      <c r="D260" s="21">
        <f>IF(Notes!$B$2="June",ROUND('Budget by Source'!D260/10,0)+Q260,ROUND('Budget by Source'!D260/10,0))</f>
        <v>71023</v>
      </c>
      <c r="E260" s="21">
        <f>IF(Notes!$B$2="June",ROUND('Budget by Source'!E260/10,0)+R260,ROUND('Budget by Source'!E260/10,0))</f>
        <v>5524</v>
      </c>
      <c r="F260" s="21">
        <f>IF(Notes!$B$2="June",ROUND('Budget by Source'!F260/10,0)+S260,ROUND('Budget by Source'!F260/10,0))</f>
        <v>4848</v>
      </c>
      <c r="G260" s="21">
        <f>IF(Notes!$B$2="June",ROUND('Budget by Source'!G260/10,0)+T260,ROUND('Budget by Source'!G260/10,0))</f>
        <v>25392</v>
      </c>
      <c r="H260" s="21">
        <f t="shared" si="9"/>
        <v>318597</v>
      </c>
      <c r="I260" s="21">
        <f>INDEX(Data[],MATCH($A260,Data[Dist],0),MATCH(I$5,Data[#Headers],0))</f>
        <v>449295</v>
      </c>
      <c r="K260" s="59">
        <f>INDEX('Payment Total'!$A$7:$H$331,MATCH('Payment by Source'!$A260,'Payment Total'!$A$7:$A$331,0),4)-I260</f>
        <v>0</v>
      </c>
      <c r="P260" s="138">
        <f>INDEX('Budget by Source'!$A$6:$I$330,MATCH('Payment by Source'!$A260,'Budget by Source'!$A$6:$A$330,0),MATCH(P$3,'Budget by Source'!$A$5:$I$5,0))-(ROUND(INDEX('Budget by Source'!$A$6:$I$330,MATCH('Payment by Source'!$A260,'Budget by Source'!$A$6:$A$330,0),MATCH(P$3,'Budget by Source'!$A$5:$I$5,0))/10,0)*10)</f>
        <v>-1</v>
      </c>
      <c r="Q260" s="138">
        <f>INDEX('Budget by Source'!$A$6:$I$330,MATCH('Payment by Source'!$A260,'Budget by Source'!$A$6:$A$330,0),MATCH(Q$3,'Budget by Source'!$A$5:$I$5,0))-(ROUND(INDEX('Budget by Source'!$A$6:$I$330,MATCH('Payment by Source'!$A260,'Budget by Source'!$A$6:$A$330,0),MATCH(Q$3,'Budget by Source'!$A$5:$I$5,0))/10,0)*10)</f>
        <v>-4</v>
      </c>
      <c r="R260" s="138">
        <f>INDEX('Budget by Source'!$A$6:$I$330,MATCH('Payment by Source'!$A260,'Budget by Source'!$A$6:$A$330,0),MATCH(R$3,'Budget by Source'!$A$5:$I$5,0))-(ROUND(INDEX('Budget by Source'!$A$6:$I$330,MATCH('Payment by Source'!$A260,'Budget by Source'!$A$6:$A$330,0),MATCH(R$3,'Budget by Source'!$A$5:$I$5,0))/10,0)*10)</f>
        <v>4</v>
      </c>
      <c r="S260" s="138">
        <f>INDEX('Budget by Source'!$A$6:$I$330,MATCH('Payment by Source'!$A260,'Budget by Source'!$A$6:$A$330,0),MATCH(S$3,'Budget by Source'!$A$5:$I$5,0))-(ROUND(INDEX('Budget by Source'!$A$6:$I$330,MATCH('Payment by Source'!$A260,'Budget by Source'!$A$6:$A$330,0),MATCH(S$3,'Budget by Source'!$A$5:$I$5,0))/10,0)*10)</f>
        <v>-2</v>
      </c>
      <c r="T260" s="138">
        <f>INDEX('Budget by Source'!$A$6:$I$330,MATCH('Payment by Source'!$A260,'Budget by Source'!$A$6:$A$330,0),MATCH(T$3,'Budget by Source'!$A$5:$I$5,0))-(ROUND(INDEX('Budget by Source'!$A$6:$I$330,MATCH('Payment by Source'!$A260,'Budget by Source'!$A$6:$A$330,0),MATCH(T$3,'Budget by Source'!$A$5:$I$5,0))/10,0)*10)</f>
        <v>-3</v>
      </c>
      <c r="U260" s="139">
        <f>INDEX('Budget by Source'!$A$6:$I$330,MATCH('Payment by Source'!$A260,'Budget by Source'!$A$6:$A$330,0),MATCH(U$3,'Budget by Source'!$A$5:$I$5,0))</f>
        <v>3195718</v>
      </c>
      <c r="V260" s="136">
        <f t="shared" si="10"/>
        <v>319572</v>
      </c>
      <c r="W260" s="136">
        <f t="shared" si="11"/>
        <v>3195720</v>
      </c>
    </row>
    <row r="261" spans="1:23" x14ac:dyDescent="0.2">
      <c r="A261" s="22" t="str">
        <f>Data!B257</f>
        <v>6003</v>
      </c>
      <c r="B261" s="20" t="str">
        <f>INDEX(Data[],MATCH($A261,Data[Dist],0),MATCH(B$5,Data[#Headers],0))</f>
        <v>Sidney</v>
      </c>
      <c r="C261" s="21">
        <f>IF(Notes!$B$2="June",ROUND('Budget by Source'!C261/10,0)+P261,ROUND('Budget by Source'!C261/10,0))</f>
        <v>6234</v>
      </c>
      <c r="D261" s="21">
        <f>IF(Notes!$B$2="June",ROUND('Budget by Source'!D261/10,0)+Q261,ROUND('Budget by Source'!D261/10,0))</f>
        <v>41605</v>
      </c>
      <c r="E261" s="21">
        <f>IF(Notes!$B$2="June",ROUND('Budget by Source'!E261/10,0)+R261,ROUND('Budget by Source'!E261/10,0))</f>
        <v>3279</v>
      </c>
      <c r="F261" s="21">
        <f>IF(Notes!$B$2="June",ROUND('Budget by Source'!F261/10,0)+S261,ROUND('Budget by Source'!F261/10,0))</f>
        <v>3073</v>
      </c>
      <c r="G261" s="21">
        <f>IF(Notes!$B$2="June",ROUND('Budget by Source'!G261/10,0)+T261,ROUND('Budget by Source'!G261/10,0))</f>
        <v>14694</v>
      </c>
      <c r="H261" s="21">
        <f t="shared" si="9"/>
        <v>201207</v>
      </c>
      <c r="I261" s="21">
        <f>INDEX(Data[],MATCH($A261,Data[Dist],0),MATCH(I$5,Data[#Headers],0))</f>
        <v>270092</v>
      </c>
      <c r="K261" s="59">
        <f>INDEX('Payment Total'!$A$7:$H$331,MATCH('Payment by Source'!$A261,'Payment Total'!$A$7:$A$331,0),4)-I261</f>
        <v>0</v>
      </c>
      <c r="P261" s="138">
        <f>INDEX('Budget by Source'!$A$6:$I$330,MATCH('Payment by Source'!$A261,'Budget by Source'!$A$6:$A$330,0),MATCH(P$3,'Budget by Source'!$A$5:$I$5,0))-(ROUND(INDEX('Budget by Source'!$A$6:$I$330,MATCH('Payment by Source'!$A261,'Budget by Source'!$A$6:$A$330,0),MATCH(P$3,'Budget by Source'!$A$5:$I$5,0))/10,0)*10)</f>
        <v>3</v>
      </c>
      <c r="Q261" s="138">
        <f>INDEX('Budget by Source'!$A$6:$I$330,MATCH('Payment by Source'!$A261,'Budget by Source'!$A$6:$A$330,0),MATCH(Q$3,'Budget by Source'!$A$5:$I$5,0))-(ROUND(INDEX('Budget by Source'!$A$6:$I$330,MATCH('Payment by Source'!$A261,'Budget by Source'!$A$6:$A$330,0),MATCH(Q$3,'Budget by Source'!$A$5:$I$5,0))/10,0)*10)</f>
        <v>-3</v>
      </c>
      <c r="R261" s="138">
        <f>INDEX('Budget by Source'!$A$6:$I$330,MATCH('Payment by Source'!$A261,'Budget by Source'!$A$6:$A$330,0),MATCH(R$3,'Budget by Source'!$A$5:$I$5,0))-(ROUND(INDEX('Budget by Source'!$A$6:$I$330,MATCH('Payment by Source'!$A261,'Budget by Source'!$A$6:$A$330,0),MATCH(R$3,'Budget by Source'!$A$5:$I$5,0))/10,0)*10)</f>
        <v>3</v>
      </c>
      <c r="S261" s="138">
        <f>INDEX('Budget by Source'!$A$6:$I$330,MATCH('Payment by Source'!$A261,'Budget by Source'!$A$6:$A$330,0),MATCH(S$3,'Budget by Source'!$A$5:$I$5,0))-(ROUND(INDEX('Budget by Source'!$A$6:$I$330,MATCH('Payment by Source'!$A261,'Budget by Source'!$A$6:$A$330,0),MATCH(S$3,'Budget by Source'!$A$5:$I$5,0))/10,0)*10)</f>
        <v>1</v>
      </c>
      <c r="T261" s="138">
        <f>INDEX('Budget by Source'!$A$6:$I$330,MATCH('Payment by Source'!$A261,'Budget by Source'!$A$6:$A$330,0),MATCH(T$3,'Budget by Source'!$A$5:$I$5,0))-(ROUND(INDEX('Budget by Source'!$A$6:$I$330,MATCH('Payment by Source'!$A261,'Budget by Source'!$A$6:$A$330,0),MATCH(T$3,'Budget by Source'!$A$5:$I$5,0))/10,0)*10)</f>
        <v>1</v>
      </c>
      <c r="U261" s="139">
        <f>INDEX('Budget by Source'!$A$6:$I$330,MATCH('Payment by Source'!$A261,'Budget by Source'!$A$6:$A$330,0),MATCH(U$3,'Budget by Source'!$A$5:$I$5,0))</f>
        <v>2017906</v>
      </c>
      <c r="V261" s="136">
        <f t="shared" si="10"/>
        <v>201791</v>
      </c>
      <c r="W261" s="136">
        <f t="shared" si="11"/>
        <v>2017910</v>
      </c>
    </row>
    <row r="262" spans="1:23" x14ac:dyDescent="0.2">
      <c r="A262" s="22" t="str">
        <f>Data!B258</f>
        <v>6012</v>
      </c>
      <c r="B262" s="20" t="str">
        <f>INDEX(Data[],MATCH($A262,Data[Dist],0),MATCH(B$5,Data[#Headers],0))</f>
        <v>Sigourney</v>
      </c>
      <c r="C262" s="21">
        <f>IF(Notes!$B$2="June",ROUND('Budget by Source'!C262/10,0)+P262,ROUND('Budget by Source'!C262/10,0))</f>
        <v>7411</v>
      </c>
      <c r="D262" s="21">
        <f>IF(Notes!$B$2="June",ROUND('Budget by Source'!D262/10,0)+Q262,ROUND('Budget by Source'!D262/10,0))</f>
        <v>51883</v>
      </c>
      <c r="E262" s="21">
        <f>IF(Notes!$B$2="June",ROUND('Budget by Source'!E262/10,0)+R262,ROUND('Budget by Source'!E262/10,0))</f>
        <v>4462</v>
      </c>
      <c r="F262" s="21">
        <f>IF(Notes!$B$2="June",ROUND('Budget by Source'!F262/10,0)+S262,ROUND('Budget by Source'!F262/10,0))</f>
        <v>4265</v>
      </c>
      <c r="G262" s="21">
        <f>IF(Notes!$B$2="June",ROUND('Budget by Source'!G262/10,0)+T262,ROUND('Budget by Source'!G262/10,0))</f>
        <v>21354</v>
      </c>
      <c r="H262" s="21">
        <f t="shared" si="9"/>
        <v>339445</v>
      </c>
      <c r="I262" s="21">
        <f>INDEX(Data[],MATCH($A262,Data[Dist],0),MATCH(I$5,Data[#Headers],0))</f>
        <v>428820</v>
      </c>
      <c r="K262" s="59">
        <f>INDEX('Payment Total'!$A$7:$H$331,MATCH('Payment by Source'!$A262,'Payment Total'!$A$7:$A$331,0),4)-I262</f>
        <v>0</v>
      </c>
      <c r="P262" s="138">
        <f>INDEX('Budget by Source'!$A$6:$I$330,MATCH('Payment by Source'!$A262,'Budget by Source'!$A$6:$A$330,0),MATCH(P$3,'Budget by Source'!$A$5:$I$5,0))-(ROUND(INDEX('Budget by Source'!$A$6:$I$330,MATCH('Payment by Source'!$A262,'Budget by Source'!$A$6:$A$330,0),MATCH(P$3,'Budget by Source'!$A$5:$I$5,0))/10,0)*10)</f>
        <v>0</v>
      </c>
      <c r="Q262" s="138">
        <f>INDEX('Budget by Source'!$A$6:$I$330,MATCH('Payment by Source'!$A262,'Budget by Source'!$A$6:$A$330,0),MATCH(Q$3,'Budget by Source'!$A$5:$I$5,0))-(ROUND(INDEX('Budget by Source'!$A$6:$I$330,MATCH('Payment by Source'!$A262,'Budget by Source'!$A$6:$A$330,0),MATCH(Q$3,'Budget by Source'!$A$5:$I$5,0))/10,0)*10)</f>
        <v>2</v>
      </c>
      <c r="R262" s="138">
        <f>INDEX('Budget by Source'!$A$6:$I$330,MATCH('Payment by Source'!$A262,'Budget by Source'!$A$6:$A$330,0),MATCH(R$3,'Budget by Source'!$A$5:$I$5,0))-(ROUND(INDEX('Budget by Source'!$A$6:$I$330,MATCH('Payment by Source'!$A262,'Budget by Source'!$A$6:$A$330,0),MATCH(R$3,'Budget by Source'!$A$5:$I$5,0))/10,0)*10)</f>
        <v>-1</v>
      </c>
      <c r="S262" s="138">
        <f>INDEX('Budget by Source'!$A$6:$I$330,MATCH('Payment by Source'!$A262,'Budget by Source'!$A$6:$A$330,0),MATCH(S$3,'Budget by Source'!$A$5:$I$5,0))-(ROUND(INDEX('Budget by Source'!$A$6:$I$330,MATCH('Payment by Source'!$A262,'Budget by Source'!$A$6:$A$330,0),MATCH(S$3,'Budget by Source'!$A$5:$I$5,0))/10,0)*10)</f>
        <v>2</v>
      </c>
      <c r="T262" s="138">
        <f>INDEX('Budget by Source'!$A$6:$I$330,MATCH('Payment by Source'!$A262,'Budget by Source'!$A$6:$A$330,0),MATCH(T$3,'Budget by Source'!$A$5:$I$5,0))-(ROUND(INDEX('Budget by Source'!$A$6:$I$330,MATCH('Payment by Source'!$A262,'Budget by Source'!$A$6:$A$330,0),MATCH(T$3,'Budget by Source'!$A$5:$I$5,0))/10,0)*10)</f>
        <v>-4</v>
      </c>
      <c r="U262" s="139">
        <f>INDEX('Budget by Source'!$A$6:$I$330,MATCH('Payment by Source'!$A262,'Budget by Source'!$A$6:$A$330,0),MATCH(U$3,'Budget by Source'!$A$5:$I$5,0))</f>
        <v>3402927</v>
      </c>
      <c r="V262" s="136">
        <f t="shared" si="10"/>
        <v>340293</v>
      </c>
      <c r="W262" s="136">
        <f t="shared" si="11"/>
        <v>3402930</v>
      </c>
    </row>
    <row r="263" spans="1:23" x14ac:dyDescent="0.2">
      <c r="A263" s="22" t="str">
        <f>Data!B259</f>
        <v>6030</v>
      </c>
      <c r="B263" s="20" t="str">
        <f>INDEX(Data[],MATCH($A263,Data[Dist],0),MATCH(B$5,Data[#Headers],0))</f>
        <v>Sioux Center</v>
      </c>
      <c r="C263" s="21">
        <f>IF(Notes!$B$2="June",ROUND('Budget by Source'!C263/10,0)+P263,ROUND('Budget by Source'!C263/10,0))</f>
        <v>55719</v>
      </c>
      <c r="D263" s="21">
        <f>IF(Notes!$B$2="June",ROUND('Budget by Source'!D263/10,0)+Q263,ROUND('Budget by Source'!D263/10,0))</f>
        <v>137374</v>
      </c>
      <c r="E263" s="21">
        <f>IF(Notes!$B$2="June",ROUND('Budget by Source'!E263/10,0)+R263,ROUND('Budget by Source'!E263/10,0))</f>
        <v>17011</v>
      </c>
      <c r="F263" s="21">
        <f>IF(Notes!$B$2="June",ROUND('Budget by Source'!F263/10,0)+S263,ROUND('Budget by Source'!F263/10,0))</f>
        <v>16109</v>
      </c>
      <c r="G263" s="21">
        <f>IF(Notes!$B$2="June",ROUND('Budget by Source'!G263/10,0)+T263,ROUND('Budget by Source'!G263/10,0))</f>
        <v>71072</v>
      </c>
      <c r="H263" s="21">
        <f t="shared" ref="H263:H326" si="12">I263-SUM(C263:G263)</f>
        <v>930861</v>
      </c>
      <c r="I263" s="21">
        <f>INDEX(Data[],MATCH($A263,Data[Dist],0),MATCH(I$5,Data[#Headers],0))</f>
        <v>1228146</v>
      </c>
      <c r="K263" s="59">
        <f>INDEX('Payment Total'!$A$7:$H$331,MATCH('Payment by Source'!$A263,'Payment Total'!$A$7:$A$331,0),4)-I263</f>
        <v>0</v>
      </c>
      <c r="P263" s="138">
        <f>INDEX('Budget by Source'!$A$6:$I$330,MATCH('Payment by Source'!$A263,'Budget by Source'!$A$6:$A$330,0),MATCH(P$3,'Budget by Source'!$A$5:$I$5,0))-(ROUND(INDEX('Budget by Source'!$A$6:$I$330,MATCH('Payment by Source'!$A263,'Budget by Source'!$A$6:$A$330,0),MATCH(P$3,'Budget by Source'!$A$5:$I$5,0))/10,0)*10)</f>
        <v>-3</v>
      </c>
      <c r="Q263" s="138">
        <f>INDEX('Budget by Source'!$A$6:$I$330,MATCH('Payment by Source'!$A263,'Budget by Source'!$A$6:$A$330,0),MATCH(Q$3,'Budget by Source'!$A$5:$I$5,0))-(ROUND(INDEX('Budget by Source'!$A$6:$I$330,MATCH('Payment by Source'!$A263,'Budget by Source'!$A$6:$A$330,0),MATCH(Q$3,'Budget by Source'!$A$5:$I$5,0))/10,0)*10)</f>
        <v>0</v>
      </c>
      <c r="R263" s="138">
        <f>INDEX('Budget by Source'!$A$6:$I$330,MATCH('Payment by Source'!$A263,'Budget by Source'!$A$6:$A$330,0),MATCH(R$3,'Budget by Source'!$A$5:$I$5,0))-(ROUND(INDEX('Budget by Source'!$A$6:$I$330,MATCH('Payment by Source'!$A263,'Budget by Source'!$A$6:$A$330,0),MATCH(R$3,'Budget by Source'!$A$5:$I$5,0))/10,0)*10)</f>
        <v>-4</v>
      </c>
      <c r="S263" s="138">
        <f>INDEX('Budget by Source'!$A$6:$I$330,MATCH('Payment by Source'!$A263,'Budget by Source'!$A$6:$A$330,0),MATCH(S$3,'Budget by Source'!$A$5:$I$5,0))-(ROUND(INDEX('Budget by Source'!$A$6:$I$330,MATCH('Payment by Source'!$A263,'Budget by Source'!$A$6:$A$330,0),MATCH(S$3,'Budget by Source'!$A$5:$I$5,0))/10,0)*10)</f>
        <v>4</v>
      </c>
      <c r="T263" s="138">
        <f>INDEX('Budget by Source'!$A$6:$I$330,MATCH('Payment by Source'!$A263,'Budget by Source'!$A$6:$A$330,0),MATCH(T$3,'Budget by Source'!$A$5:$I$5,0))-(ROUND(INDEX('Budget by Source'!$A$6:$I$330,MATCH('Payment by Source'!$A263,'Budget by Source'!$A$6:$A$330,0),MATCH(T$3,'Budget by Source'!$A$5:$I$5,0))/10,0)*10)</f>
        <v>-2</v>
      </c>
      <c r="U263" s="139">
        <f>INDEX('Budget by Source'!$A$6:$I$330,MATCH('Payment by Source'!$A263,'Budget by Source'!$A$6:$A$330,0),MATCH(U$3,'Budget by Source'!$A$5:$I$5,0))</f>
        <v>9331040</v>
      </c>
      <c r="V263" s="136">
        <f t="shared" ref="V263:V326" si="13">ROUND(U263/10,0)</f>
        <v>933104</v>
      </c>
      <c r="W263" s="136">
        <f t="shared" ref="W263:W326" si="14">V263*10</f>
        <v>9331040</v>
      </c>
    </row>
    <row r="264" spans="1:23" x14ac:dyDescent="0.2">
      <c r="A264" s="22" t="str">
        <f>Data!B260</f>
        <v>6039</v>
      </c>
      <c r="B264" s="20" t="str">
        <f>INDEX(Data[],MATCH($A264,Data[Dist],0),MATCH(B$5,Data[#Headers],0))</f>
        <v>Sioux City</v>
      </c>
      <c r="C264" s="21">
        <f>IF(Notes!$B$2="June",ROUND('Budget by Source'!C264/10,0)+P264,ROUND('Budget by Source'!C264/10,0))</f>
        <v>256313</v>
      </c>
      <c r="D264" s="21">
        <f>IF(Notes!$B$2="June",ROUND('Budget by Source'!D264/10,0)+Q264,ROUND('Budget by Source'!D264/10,0))</f>
        <v>1082108</v>
      </c>
      <c r="E264" s="21">
        <f>IF(Notes!$B$2="June",ROUND('Budget by Source'!E264/10,0)+R264,ROUND('Budget by Source'!E264/10,0))</f>
        <v>147585</v>
      </c>
      <c r="F264" s="21">
        <f>IF(Notes!$B$2="June",ROUND('Budget by Source'!F264/10,0)+S264,ROUND('Budget by Source'!F264/10,0))</f>
        <v>119928</v>
      </c>
      <c r="G264" s="21">
        <f>IF(Notes!$B$2="June",ROUND('Budget by Source'!G264/10,0)+T264,ROUND('Budget by Source'!G264/10,0))</f>
        <v>584613</v>
      </c>
      <c r="H264" s="21">
        <f t="shared" si="12"/>
        <v>11166938</v>
      </c>
      <c r="I264" s="21">
        <f>INDEX(Data[],MATCH($A264,Data[Dist],0),MATCH(I$5,Data[#Headers],0))</f>
        <v>13357485</v>
      </c>
      <c r="K264" s="59">
        <f>INDEX('Payment Total'!$A$7:$H$331,MATCH('Payment by Source'!$A264,'Payment Total'!$A$7:$A$331,0),4)-I264</f>
        <v>0</v>
      </c>
      <c r="P264" s="138">
        <f>INDEX('Budget by Source'!$A$6:$I$330,MATCH('Payment by Source'!$A264,'Budget by Source'!$A$6:$A$330,0),MATCH(P$3,'Budget by Source'!$A$5:$I$5,0))-(ROUND(INDEX('Budget by Source'!$A$6:$I$330,MATCH('Payment by Source'!$A264,'Budget by Source'!$A$6:$A$330,0),MATCH(P$3,'Budget by Source'!$A$5:$I$5,0))/10,0)*10)</f>
        <v>1</v>
      </c>
      <c r="Q264" s="138">
        <f>INDEX('Budget by Source'!$A$6:$I$330,MATCH('Payment by Source'!$A264,'Budget by Source'!$A$6:$A$330,0),MATCH(Q$3,'Budget by Source'!$A$5:$I$5,0))-(ROUND(INDEX('Budget by Source'!$A$6:$I$330,MATCH('Payment by Source'!$A264,'Budget by Source'!$A$6:$A$330,0),MATCH(Q$3,'Budget by Source'!$A$5:$I$5,0))/10,0)*10)</f>
        <v>4</v>
      </c>
      <c r="R264" s="138">
        <f>INDEX('Budget by Source'!$A$6:$I$330,MATCH('Payment by Source'!$A264,'Budget by Source'!$A$6:$A$330,0),MATCH(R$3,'Budget by Source'!$A$5:$I$5,0))-(ROUND(INDEX('Budget by Source'!$A$6:$I$330,MATCH('Payment by Source'!$A264,'Budget by Source'!$A$6:$A$330,0),MATCH(R$3,'Budget by Source'!$A$5:$I$5,0))/10,0)*10)</f>
        <v>-1</v>
      </c>
      <c r="S264" s="138">
        <f>INDEX('Budget by Source'!$A$6:$I$330,MATCH('Payment by Source'!$A264,'Budget by Source'!$A$6:$A$330,0),MATCH(S$3,'Budget by Source'!$A$5:$I$5,0))-(ROUND(INDEX('Budget by Source'!$A$6:$I$330,MATCH('Payment by Source'!$A264,'Budget by Source'!$A$6:$A$330,0),MATCH(S$3,'Budget by Source'!$A$5:$I$5,0))/10,0)*10)</f>
        <v>2</v>
      </c>
      <c r="T264" s="138">
        <f>INDEX('Budget by Source'!$A$6:$I$330,MATCH('Payment by Source'!$A264,'Budget by Source'!$A$6:$A$330,0),MATCH(T$3,'Budget by Source'!$A$5:$I$5,0))-(ROUND(INDEX('Budget by Source'!$A$6:$I$330,MATCH('Payment by Source'!$A264,'Budget by Source'!$A$6:$A$330,0),MATCH(T$3,'Budget by Source'!$A$5:$I$5,0))/10,0)*10)</f>
        <v>1</v>
      </c>
      <c r="U264" s="139">
        <f>INDEX('Budget by Source'!$A$6:$I$330,MATCH('Payment by Source'!$A264,'Budget by Source'!$A$6:$A$330,0),MATCH(U$3,'Budget by Source'!$A$5:$I$5,0))</f>
        <v>111888452</v>
      </c>
      <c r="V264" s="136">
        <f t="shared" si="13"/>
        <v>11188845</v>
      </c>
      <c r="W264" s="136">
        <f t="shared" si="14"/>
        <v>111888450</v>
      </c>
    </row>
    <row r="265" spans="1:23" x14ac:dyDescent="0.2">
      <c r="A265" s="22" t="str">
        <f>Data!B261</f>
        <v>6048</v>
      </c>
      <c r="B265" s="20" t="str">
        <f>INDEX(Data[],MATCH($A265,Data[Dist],0),MATCH(B$5,Data[#Headers],0))</f>
        <v>Sioux Central</v>
      </c>
      <c r="C265" s="21">
        <f>IF(Notes!$B$2="June",ROUND('Budget by Source'!C265/10,0)+P265,ROUND('Budget by Source'!C265/10,0))</f>
        <v>8962</v>
      </c>
      <c r="D265" s="21">
        <f>IF(Notes!$B$2="June",ROUND('Budget by Source'!D265/10,0)+Q265,ROUND('Budget by Source'!D265/10,0))</f>
        <v>47166</v>
      </c>
      <c r="E265" s="21">
        <f>IF(Notes!$B$2="June",ROUND('Budget by Source'!E265/10,0)+R265,ROUND('Budget by Source'!E265/10,0))</f>
        <v>3712</v>
      </c>
      <c r="F265" s="21">
        <f>IF(Notes!$B$2="June",ROUND('Budget by Source'!F265/10,0)+S265,ROUND('Budget by Source'!F265/10,0))</f>
        <v>3993</v>
      </c>
      <c r="G265" s="21">
        <f>IF(Notes!$B$2="June",ROUND('Budget by Source'!G265/10,0)+T265,ROUND('Budget by Source'!G265/10,0))</f>
        <v>16658</v>
      </c>
      <c r="H265" s="21">
        <f t="shared" si="12"/>
        <v>200442</v>
      </c>
      <c r="I265" s="21">
        <f>INDEX(Data[],MATCH($A265,Data[Dist],0),MATCH(I$5,Data[#Headers],0))</f>
        <v>280933</v>
      </c>
      <c r="K265" s="59">
        <f>INDEX('Payment Total'!$A$7:$H$331,MATCH('Payment by Source'!$A265,'Payment Total'!$A$7:$A$331,0),4)-I265</f>
        <v>0</v>
      </c>
      <c r="P265" s="138">
        <f>INDEX('Budget by Source'!$A$6:$I$330,MATCH('Payment by Source'!$A265,'Budget by Source'!$A$6:$A$330,0),MATCH(P$3,'Budget by Source'!$A$5:$I$5,0))-(ROUND(INDEX('Budget by Source'!$A$6:$I$330,MATCH('Payment by Source'!$A265,'Budget by Source'!$A$6:$A$330,0),MATCH(P$3,'Budget by Source'!$A$5:$I$5,0))/10,0)*10)</f>
        <v>-2</v>
      </c>
      <c r="Q265" s="138">
        <f>INDEX('Budget by Source'!$A$6:$I$330,MATCH('Payment by Source'!$A265,'Budget by Source'!$A$6:$A$330,0),MATCH(Q$3,'Budget by Source'!$A$5:$I$5,0))-(ROUND(INDEX('Budget by Source'!$A$6:$I$330,MATCH('Payment by Source'!$A265,'Budget by Source'!$A$6:$A$330,0),MATCH(Q$3,'Budget by Source'!$A$5:$I$5,0))/10,0)*10)</f>
        <v>3</v>
      </c>
      <c r="R265" s="138">
        <f>INDEX('Budget by Source'!$A$6:$I$330,MATCH('Payment by Source'!$A265,'Budget by Source'!$A$6:$A$330,0),MATCH(R$3,'Budget by Source'!$A$5:$I$5,0))-(ROUND(INDEX('Budget by Source'!$A$6:$I$330,MATCH('Payment by Source'!$A265,'Budget by Source'!$A$6:$A$330,0),MATCH(R$3,'Budget by Source'!$A$5:$I$5,0))/10,0)*10)</f>
        <v>-5</v>
      </c>
      <c r="S265" s="138">
        <f>INDEX('Budget by Source'!$A$6:$I$330,MATCH('Payment by Source'!$A265,'Budget by Source'!$A$6:$A$330,0),MATCH(S$3,'Budget by Source'!$A$5:$I$5,0))-(ROUND(INDEX('Budget by Source'!$A$6:$I$330,MATCH('Payment by Source'!$A265,'Budget by Source'!$A$6:$A$330,0),MATCH(S$3,'Budget by Source'!$A$5:$I$5,0))/10,0)*10)</f>
        <v>-2</v>
      </c>
      <c r="T265" s="138">
        <f>INDEX('Budget by Source'!$A$6:$I$330,MATCH('Payment by Source'!$A265,'Budget by Source'!$A$6:$A$330,0),MATCH(T$3,'Budget by Source'!$A$5:$I$5,0))-(ROUND(INDEX('Budget by Source'!$A$6:$I$330,MATCH('Payment by Source'!$A265,'Budget by Source'!$A$6:$A$330,0),MATCH(T$3,'Budget by Source'!$A$5:$I$5,0))/10,0)*10)</f>
        <v>3</v>
      </c>
      <c r="U265" s="139">
        <f>INDEX('Budget by Source'!$A$6:$I$330,MATCH('Payment by Source'!$A265,'Budget by Source'!$A$6:$A$330,0),MATCH(U$3,'Budget by Source'!$A$5:$I$5,0))</f>
        <v>2010977</v>
      </c>
      <c r="V265" s="136">
        <f t="shared" si="13"/>
        <v>201098</v>
      </c>
      <c r="W265" s="136">
        <f t="shared" si="14"/>
        <v>2010980</v>
      </c>
    </row>
    <row r="266" spans="1:23" x14ac:dyDescent="0.2">
      <c r="A266" s="22" t="str">
        <f>Data!B262</f>
        <v>6091</v>
      </c>
      <c r="B266" s="20" t="str">
        <f>INDEX(Data[],MATCH($A266,Data[Dist],0),MATCH(B$5,Data[#Headers],0))</f>
        <v>South Central Calhoun</v>
      </c>
      <c r="C266" s="21">
        <f>IF(Notes!$B$2="June",ROUND('Budget by Source'!C266/10,0)+P266,ROUND('Budget by Source'!C266/10,0))</f>
        <v>14417</v>
      </c>
      <c r="D266" s="21">
        <f>IF(Notes!$B$2="June",ROUND('Budget by Source'!D266/10,0)+Q266,ROUND('Budget by Source'!D266/10,0))</f>
        <v>80667</v>
      </c>
      <c r="E266" s="21">
        <f>IF(Notes!$B$2="June",ROUND('Budget by Source'!E266/10,0)+R266,ROUND('Budget by Source'!E266/10,0))</f>
        <v>7631</v>
      </c>
      <c r="F266" s="21">
        <f>IF(Notes!$B$2="June",ROUND('Budget by Source'!F266/10,0)+S266,ROUND('Budget by Source'!F266/10,0))</f>
        <v>7197</v>
      </c>
      <c r="G266" s="21">
        <f>IF(Notes!$B$2="June",ROUND('Budget by Source'!G266/10,0)+T266,ROUND('Budget by Source'!G266/10,0))</f>
        <v>35738</v>
      </c>
      <c r="H266" s="21">
        <f t="shared" si="12"/>
        <v>387962</v>
      </c>
      <c r="I266" s="21">
        <f>INDEX(Data[],MATCH($A266,Data[Dist],0),MATCH(I$5,Data[#Headers],0))</f>
        <v>533612</v>
      </c>
      <c r="K266" s="59">
        <f>INDEX('Payment Total'!$A$7:$H$331,MATCH('Payment by Source'!$A266,'Payment Total'!$A$7:$A$331,0),4)-I266</f>
        <v>0</v>
      </c>
      <c r="P266" s="138">
        <f>INDEX('Budget by Source'!$A$6:$I$330,MATCH('Payment by Source'!$A266,'Budget by Source'!$A$6:$A$330,0),MATCH(P$3,'Budget by Source'!$A$5:$I$5,0))-(ROUND(INDEX('Budget by Source'!$A$6:$I$330,MATCH('Payment by Source'!$A266,'Budget by Source'!$A$6:$A$330,0),MATCH(P$3,'Budget by Source'!$A$5:$I$5,0))/10,0)*10)</f>
        <v>-3</v>
      </c>
      <c r="Q266" s="138">
        <f>INDEX('Budget by Source'!$A$6:$I$330,MATCH('Payment by Source'!$A266,'Budget by Source'!$A$6:$A$330,0),MATCH(Q$3,'Budget by Source'!$A$5:$I$5,0))-(ROUND(INDEX('Budget by Source'!$A$6:$I$330,MATCH('Payment by Source'!$A266,'Budget by Source'!$A$6:$A$330,0),MATCH(Q$3,'Budget by Source'!$A$5:$I$5,0))/10,0)*10)</f>
        <v>3</v>
      </c>
      <c r="R266" s="138">
        <f>INDEX('Budget by Source'!$A$6:$I$330,MATCH('Payment by Source'!$A266,'Budget by Source'!$A$6:$A$330,0),MATCH(R$3,'Budget by Source'!$A$5:$I$5,0))-(ROUND(INDEX('Budget by Source'!$A$6:$I$330,MATCH('Payment by Source'!$A266,'Budget by Source'!$A$6:$A$330,0),MATCH(R$3,'Budget by Source'!$A$5:$I$5,0))/10,0)*10)</f>
        <v>2</v>
      </c>
      <c r="S266" s="138">
        <f>INDEX('Budget by Source'!$A$6:$I$330,MATCH('Payment by Source'!$A266,'Budget by Source'!$A$6:$A$330,0),MATCH(S$3,'Budget by Source'!$A$5:$I$5,0))-(ROUND(INDEX('Budget by Source'!$A$6:$I$330,MATCH('Payment by Source'!$A266,'Budget by Source'!$A$6:$A$330,0),MATCH(S$3,'Budget by Source'!$A$5:$I$5,0))/10,0)*10)</f>
        <v>0</v>
      </c>
      <c r="T266" s="138">
        <f>INDEX('Budget by Source'!$A$6:$I$330,MATCH('Payment by Source'!$A266,'Budget by Source'!$A$6:$A$330,0),MATCH(T$3,'Budget by Source'!$A$5:$I$5,0))-(ROUND(INDEX('Budget by Source'!$A$6:$I$330,MATCH('Payment by Source'!$A266,'Budget by Source'!$A$6:$A$330,0),MATCH(T$3,'Budget by Source'!$A$5:$I$5,0))/10,0)*10)</f>
        <v>0</v>
      </c>
      <c r="U266" s="139">
        <f>INDEX('Budget by Source'!$A$6:$I$330,MATCH('Payment by Source'!$A266,'Budget by Source'!$A$6:$A$330,0),MATCH(U$3,'Budget by Source'!$A$5:$I$5,0))</f>
        <v>3893520</v>
      </c>
      <c r="V266" s="136">
        <f t="shared" si="13"/>
        <v>389352</v>
      </c>
      <c r="W266" s="136">
        <f t="shared" si="14"/>
        <v>3893520</v>
      </c>
    </row>
    <row r="267" spans="1:23" x14ac:dyDescent="0.2">
      <c r="A267" s="22" t="str">
        <f>Data!B263</f>
        <v>6093</v>
      </c>
      <c r="B267" s="20" t="str">
        <f>INDEX(Data[],MATCH($A267,Data[Dist],0),MATCH(B$5,Data[#Headers],0))</f>
        <v>Solon</v>
      </c>
      <c r="C267" s="21">
        <f>IF(Notes!$B$2="June",ROUND('Budget by Source'!C267/10,0)+P267,ROUND('Budget by Source'!C267/10,0))</f>
        <v>30782</v>
      </c>
      <c r="D267" s="21">
        <f>IF(Notes!$B$2="June",ROUND('Budget by Source'!D267/10,0)+Q267,ROUND('Budget by Source'!D267/10,0))</f>
        <v>105679</v>
      </c>
      <c r="E267" s="21">
        <f>IF(Notes!$B$2="June",ROUND('Budget by Source'!E267/10,0)+R267,ROUND('Budget by Source'!E267/10,0))</f>
        <v>9207</v>
      </c>
      <c r="F267" s="21">
        <f>IF(Notes!$B$2="June",ROUND('Budget by Source'!F267/10,0)+S267,ROUND('Budget by Source'!F267/10,0))</f>
        <v>9800</v>
      </c>
      <c r="G267" s="21">
        <f>IF(Notes!$B$2="June",ROUND('Budget by Source'!G267/10,0)+T267,ROUND('Budget by Source'!G267/10,0))</f>
        <v>54674</v>
      </c>
      <c r="H267" s="21">
        <f t="shared" si="12"/>
        <v>764231</v>
      </c>
      <c r="I267" s="21">
        <f>INDEX(Data[],MATCH($A267,Data[Dist],0),MATCH(I$5,Data[#Headers],0))</f>
        <v>974373</v>
      </c>
      <c r="K267" s="59">
        <f>INDEX('Payment Total'!$A$7:$H$331,MATCH('Payment by Source'!$A267,'Payment Total'!$A$7:$A$331,0),4)-I267</f>
        <v>0</v>
      </c>
      <c r="P267" s="138">
        <f>INDEX('Budget by Source'!$A$6:$I$330,MATCH('Payment by Source'!$A267,'Budget by Source'!$A$6:$A$330,0),MATCH(P$3,'Budget by Source'!$A$5:$I$5,0))-(ROUND(INDEX('Budget by Source'!$A$6:$I$330,MATCH('Payment by Source'!$A267,'Budget by Source'!$A$6:$A$330,0),MATCH(P$3,'Budget by Source'!$A$5:$I$5,0))/10,0)*10)</f>
        <v>-3</v>
      </c>
      <c r="Q267" s="138">
        <f>INDEX('Budget by Source'!$A$6:$I$330,MATCH('Payment by Source'!$A267,'Budget by Source'!$A$6:$A$330,0),MATCH(Q$3,'Budget by Source'!$A$5:$I$5,0))-(ROUND(INDEX('Budget by Source'!$A$6:$I$330,MATCH('Payment by Source'!$A267,'Budget by Source'!$A$6:$A$330,0),MATCH(Q$3,'Budget by Source'!$A$5:$I$5,0))/10,0)*10)</f>
        <v>0</v>
      </c>
      <c r="R267" s="138">
        <f>INDEX('Budget by Source'!$A$6:$I$330,MATCH('Payment by Source'!$A267,'Budget by Source'!$A$6:$A$330,0),MATCH(R$3,'Budget by Source'!$A$5:$I$5,0))-(ROUND(INDEX('Budget by Source'!$A$6:$I$330,MATCH('Payment by Source'!$A267,'Budget by Source'!$A$6:$A$330,0),MATCH(R$3,'Budget by Source'!$A$5:$I$5,0))/10,0)*10)</f>
        <v>-1</v>
      </c>
      <c r="S267" s="138">
        <f>INDEX('Budget by Source'!$A$6:$I$330,MATCH('Payment by Source'!$A267,'Budget by Source'!$A$6:$A$330,0),MATCH(S$3,'Budget by Source'!$A$5:$I$5,0))-(ROUND(INDEX('Budget by Source'!$A$6:$I$330,MATCH('Payment by Source'!$A267,'Budget by Source'!$A$6:$A$330,0),MATCH(S$3,'Budget by Source'!$A$5:$I$5,0))/10,0)*10)</f>
        <v>3</v>
      </c>
      <c r="T267" s="138">
        <f>INDEX('Budget by Source'!$A$6:$I$330,MATCH('Payment by Source'!$A267,'Budget by Source'!$A$6:$A$330,0),MATCH(T$3,'Budget by Source'!$A$5:$I$5,0))-(ROUND(INDEX('Budget by Source'!$A$6:$I$330,MATCH('Payment by Source'!$A267,'Budget by Source'!$A$6:$A$330,0),MATCH(T$3,'Budget by Source'!$A$5:$I$5,0))/10,0)*10)</f>
        <v>1</v>
      </c>
      <c r="U267" s="139">
        <f>INDEX('Budget by Source'!$A$6:$I$330,MATCH('Payment by Source'!$A267,'Budget by Source'!$A$6:$A$330,0),MATCH(U$3,'Budget by Source'!$A$5:$I$5,0))</f>
        <v>7663963</v>
      </c>
      <c r="V267" s="136">
        <f t="shared" si="13"/>
        <v>766396</v>
      </c>
      <c r="W267" s="136">
        <f t="shared" si="14"/>
        <v>7663960</v>
      </c>
    </row>
    <row r="268" spans="1:23" x14ac:dyDescent="0.2">
      <c r="A268" s="22" t="str">
        <f>Data!B264</f>
        <v>6094</v>
      </c>
      <c r="B268" s="20" t="str">
        <f>INDEX(Data[],MATCH($A268,Data[Dist],0),MATCH(B$5,Data[#Headers],0))</f>
        <v>Southeast Warren</v>
      </c>
      <c r="C268" s="21">
        <f>IF(Notes!$B$2="June",ROUND('Budget by Source'!C268/10,0)+P268,ROUND('Budget by Source'!C268/10,0))</f>
        <v>9351</v>
      </c>
      <c r="D268" s="21">
        <f>IF(Notes!$B$2="June",ROUND('Budget by Source'!D268/10,0)+Q268,ROUND('Budget by Source'!D268/10,0))</f>
        <v>52920</v>
      </c>
      <c r="E268" s="21">
        <f>IF(Notes!$B$2="June",ROUND('Budget by Source'!E268/10,0)+R268,ROUND('Budget by Source'!E268/10,0))</f>
        <v>3533</v>
      </c>
      <c r="F268" s="21">
        <f>IF(Notes!$B$2="June",ROUND('Budget by Source'!F268/10,0)+S268,ROUND('Budget by Source'!F268/10,0))</f>
        <v>3602</v>
      </c>
      <c r="G268" s="21">
        <f>IF(Notes!$B$2="June",ROUND('Budget by Source'!G268/10,0)+T268,ROUND('Budget by Source'!G268/10,0))</f>
        <v>18691</v>
      </c>
      <c r="H268" s="21">
        <f t="shared" si="12"/>
        <v>298746</v>
      </c>
      <c r="I268" s="21">
        <f>INDEX(Data[],MATCH($A268,Data[Dist],0),MATCH(I$5,Data[#Headers],0))</f>
        <v>386843</v>
      </c>
      <c r="K268" s="59">
        <f>INDEX('Payment Total'!$A$7:$H$331,MATCH('Payment by Source'!$A268,'Payment Total'!$A$7:$A$331,0),4)-I268</f>
        <v>0</v>
      </c>
      <c r="P268" s="138">
        <f>INDEX('Budget by Source'!$A$6:$I$330,MATCH('Payment by Source'!$A268,'Budget by Source'!$A$6:$A$330,0),MATCH(P$3,'Budget by Source'!$A$5:$I$5,0))-(ROUND(INDEX('Budget by Source'!$A$6:$I$330,MATCH('Payment by Source'!$A268,'Budget by Source'!$A$6:$A$330,0),MATCH(P$3,'Budget by Source'!$A$5:$I$5,0))/10,0)*10)</f>
        <v>4</v>
      </c>
      <c r="Q268" s="138">
        <f>INDEX('Budget by Source'!$A$6:$I$330,MATCH('Payment by Source'!$A268,'Budget by Source'!$A$6:$A$330,0),MATCH(Q$3,'Budget by Source'!$A$5:$I$5,0))-(ROUND(INDEX('Budget by Source'!$A$6:$I$330,MATCH('Payment by Source'!$A268,'Budget by Source'!$A$6:$A$330,0),MATCH(Q$3,'Budget by Source'!$A$5:$I$5,0))/10,0)*10)</f>
        <v>3</v>
      </c>
      <c r="R268" s="138">
        <f>INDEX('Budget by Source'!$A$6:$I$330,MATCH('Payment by Source'!$A268,'Budget by Source'!$A$6:$A$330,0),MATCH(R$3,'Budget by Source'!$A$5:$I$5,0))-(ROUND(INDEX('Budget by Source'!$A$6:$I$330,MATCH('Payment by Source'!$A268,'Budget by Source'!$A$6:$A$330,0),MATCH(R$3,'Budget by Source'!$A$5:$I$5,0))/10,0)*10)</f>
        <v>-1</v>
      </c>
      <c r="S268" s="138">
        <f>INDEX('Budget by Source'!$A$6:$I$330,MATCH('Payment by Source'!$A268,'Budget by Source'!$A$6:$A$330,0),MATCH(S$3,'Budget by Source'!$A$5:$I$5,0))-(ROUND(INDEX('Budget by Source'!$A$6:$I$330,MATCH('Payment by Source'!$A268,'Budget by Source'!$A$6:$A$330,0),MATCH(S$3,'Budget by Source'!$A$5:$I$5,0))/10,0)*10)</f>
        <v>1</v>
      </c>
      <c r="T268" s="138">
        <f>INDEX('Budget by Source'!$A$6:$I$330,MATCH('Payment by Source'!$A268,'Budget by Source'!$A$6:$A$330,0),MATCH(T$3,'Budget by Source'!$A$5:$I$5,0))-(ROUND(INDEX('Budget by Source'!$A$6:$I$330,MATCH('Payment by Source'!$A268,'Budget by Source'!$A$6:$A$330,0),MATCH(T$3,'Budget by Source'!$A$5:$I$5,0))/10,0)*10)</f>
        <v>-4</v>
      </c>
      <c r="U268" s="139">
        <f>INDEX('Budget by Source'!$A$6:$I$330,MATCH('Payment by Source'!$A268,'Budget by Source'!$A$6:$A$330,0),MATCH(U$3,'Budget by Source'!$A$5:$I$5,0))</f>
        <v>2994784</v>
      </c>
      <c r="V268" s="136">
        <f t="shared" si="13"/>
        <v>299478</v>
      </c>
      <c r="W268" s="136">
        <f t="shared" si="14"/>
        <v>2994780</v>
      </c>
    </row>
    <row r="269" spans="1:23" x14ac:dyDescent="0.2">
      <c r="A269" s="22" t="str">
        <f>Data!B265</f>
        <v>6095</v>
      </c>
      <c r="B269" s="20" t="str">
        <f>INDEX(Data[],MATCH($A269,Data[Dist],0),MATCH(B$5,Data[#Headers],0))</f>
        <v>South Hamilton</v>
      </c>
      <c r="C269" s="21">
        <f>IF(Notes!$B$2="June",ROUND('Budget by Source'!C269/10,0)+P269,ROUND('Budget by Source'!C269/10,0))</f>
        <v>12079</v>
      </c>
      <c r="D269" s="21">
        <f>IF(Notes!$B$2="June",ROUND('Budget by Source'!D269/10,0)+Q269,ROUND('Budget by Source'!D269/10,0))</f>
        <v>56215</v>
      </c>
      <c r="E269" s="21">
        <f>IF(Notes!$B$2="June",ROUND('Budget by Source'!E269/10,0)+R269,ROUND('Budget by Source'!E269/10,0))</f>
        <v>5136</v>
      </c>
      <c r="F269" s="21">
        <f>IF(Notes!$B$2="June",ROUND('Budget by Source'!F269/10,0)+S269,ROUND('Budget by Source'!F269/10,0))</f>
        <v>5311</v>
      </c>
      <c r="G269" s="21">
        <f>IF(Notes!$B$2="June",ROUND('Budget by Source'!G269/10,0)+T269,ROUND('Budget by Source'!G269/10,0))</f>
        <v>23137</v>
      </c>
      <c r="H269" s="21">
        <f t="shared" si="12"/>
        <v>263137</v>
      </c>
      <c r="I269" s="21">
        <f>INDEX(Data[],MATCH($A269,Data[Dist],0),MATCH(I$5,Data[#Headers],0))</f>
        <v>365015</v>
      </c>
      <c r="K269" s="59">
        <f>INDEX('Payment Total'!$A$7:$H$331,MATCH('Payment by Source'!$A269,'Payment Total'!$A$7:$A$331,0),4)-I269</f>
        <v>0</v>
      </c>
      <c r="P269" s="138">
        <f>INDEX('Budget by Source'!$A$6:$I$330,MATCH('Payment by Source'!$A269,'Budget by Source'!$A$6:$A$330,0),MATCH(P$3,'Budget by Source'!$A$5:$I$5,0))-(ROUND(INDEX('Budget by Source'!$A$6:$I$330,MATCH('Payment by Source'!$A269,'Budget by Source'!$A$6:$A$330,0),MATCH(P$3,'Budget by Source'!$A$5:$I$5,0))/10,0)*10)</f>
        <v>-1</v>
      </c>
      <c r="Q269" s="138">
        <f>INDEX('Budget by Source'!$A$6:$I$330,MATCH('Payment by Source'!$A269,'Budget by Source'!$A$6:$A$330,0),MATCH(Q$3,'Budget by Source'!$A$5:$I$5,0))-(ROUND(INDEX('Budget by Source'!$A$6:$I$330,MATCH('Payment by Source'!$A269,'Budget by Source'!$A$6:$A$330,0),MATCH(Q$3,'Budget by Source'!$A$5:$I$5,0))/10,0)*10)</f>
        <v>3</v>
      </c>
      <c r="R269" s="138">
        <f>INDEX('Budget by Source'!$A$6:$I$330,MATCH('Payment by Source'!$A269,'Budget by Source'!$A$6:$A$330,0),MATCH(R$3,'Budget by Source'!$A$5:$I$5,0))-(ROUND(INDEX('Budget by Source'!$A$6:$I$330,MATCH('Payment by Source'!$A269,'Budget by Source'!$A$6:$A$330,0),MATCH(R$3,'Budget by Source'!$A$5:$I$5,0))/10,0)*10)</f>
        <v>-2</v>
      </c>
      <c r="S269" s="138">
        <f>INDEX('Budget by Source'!$A$6:$I$330,MATCH('Payment by Source'!$A269,'Budget by Source'!$A$6:$A$330,0),MATCH(S$3,'Budget by Source'!$A$5:$I$5,0))-(ROUND(INDEX('Budget by Source'!$A$6:$I$330,MATCH('Payment by Source'!$A269,'Budget by Source'!$A$6:$A$330,0),MATCH(S$3,'Budget by Source'!$A$5:$I$5,0))/10,0)*10)</f>
        <v>-3</v>
      </c>
      <c r="T269" s="138">
        <f>INDEX('Budget by Source'!$A$6:$I$330,MATCH('Payment by Source'!$A269,'Budget by Source'!$A$6:$A$330,0),MATCH(T$3,'Budget by Source'!$A$5:$I$5,0))-(ROUND(INDEX('Budget by Source'!$A$6:$I$330,MATCH('Payment by Source'!$A269,'Budget by Source'!$A$6:$A$330,0),MATCH(T$3,'Budget by Source'!$A$5:$I$5,0))/10,0)*10)</f>
        <v>-4</v>
      </c>
      <c r="U269" s="139">
        <f>INDEX('Budget by Source'!$A$6:$I$330,MATCH('Payment by Source'!$A269,'Budget by Source'!$A$6:$A$330,0),MATCH(U$3,'Budget by Source'!$A$5:$I$5,0))</f>
        <v>2640517</v>
      </c>
      <c r="V269" s="136">
        <f t="shared" si="13"/>
        <v>264052</v>
      </c>
      <c r="W269" s="136">
        <f t="shared" si="14"/>
        <v>2640520</v>
      </c>
    </row>
    <row r="270" spans="1:23" x14ac:dyDescent="0.2">
      <c r="A270" s="22" t="str">
        <f>Data!B266</f>
        <v>6096</v>
      </c>
      <c r="B270" s="20" t="str">
        <f>INDEX(Data[],MATCH($A270,Data[Dist],0),MATCH(B$5,Data[#Headers],0))</f>
        <v>Southeast Valley</v>
      </c>
      <c r="C270" s="21">
        <f>IF(Notes!$B$2="June",ROUND('Budget by Source'!C270/10,0)+P270,ROUND('Budget by Source'!C270/10,0))</f>
        <v>25716</v>
      </c>
      <c r="D270" s="21">
        <f>IF(Notes!$B$2="June",ROUND('Budget by Source'!D270/10,0)+Q270,ROUND('Budget by Source'!D270/10,0))</f>
        <v>122445</v>
      </c>
      <c r="E270" s="21">
        <f>IF(Notes!$B$2="June",ROUND('Budget by Source'!E270/10,0)+R270,ROUND('Budget by Source'!E270/10,0))</f>
        <v>9419</v>
      </c>
      <c r="F270" s="21">
        <f>IF(Notes!$B$2="June",ROUND('Budget by Source'!F270/10,0)+S270,ROUND('Budget by Source'!F270/10,0))</f>
        <v>9693</v>
      </c>
      <c r="G270" s="21">
        <f>IF(Notes!$B$2="June",ROUND('Budget by Source'!G270/10,0)+T270,ROUND('Budget by Source'!G270/10,0))</f>
        <v>42481</v>
      </c>
      <c r="H270" s="21">
        <f t="shared" si="12"/>
        <v>480400</v>
      </c>
      <c r="I270" s="21">
        <f>INDEX(Data[],MATCH($A270,Data[Dist],0),MATCH(I$5,Data[#Headers],0))</f>
        <v>690154</v>
      </c>
      <c r="K270" s="59">
        <f>INDEX('Payment Total'!$A$7:$H$331,MATCH('Payment by Source'!$A270,'Payment Total'!$A$7:$A$331,0),4)-I270</f>
        <v>0</v>
      </c>
      <c r="P270" s="138">
        <f>INDEX('Budget by Source'!$A$6:$I$330,MATCH('Payment by Source'!$A270,'Budget by Source'!$A$6:$A$330,0),MATCH(P$3,'Budget by Source'!$A$5:$I$5,0))-(ROUND(INDEX('Budget by Source'!$A$6:$I$330,MATCH('Payment by Source'!$A270,'Budget by Source'!$A$6:$A$330,0),MATCH(P$3,'Budget by Source'!$A$5:$I$5,0))/10,0)*10)</f>
        <v>3</v>
      </c>
      <c r="Q270" s="138">
        <f>INDEX('Budget by Source'!$A$6:$I$330,MATCH('Payment by Source'!$A270,'Budget by Source'!$A$6:$A$330,0),MATCH(Q$3,'Budget by Source'!$A$5:$I$5,0))-(ROUND(INDEX('Budget by Source'!$A$6:$I$330,MATCH('Payment by Source'!$A270,'Budget by Source'!$A$6:$A$330,0),MATCH(Q$3,'Budget by Source'!$A$5:$I$5,0))/10,0)*10)</f>
        <v>3</v>
      </c>
      <c r="R270" s="138">
        <f>INDEX('Budget by Source'!$A$6:$I$330,MATCH('Payment by Source'!$A270,'Budget by Source'!$A$6:$A$330,0),MATCH(R$3,'Budget by Source'!$A$5:$I$5,0))-(ROUND(INDEX('Budget by Source'!$A$6:$I$330,MATCH('Payment by Source'!$A270,'Budget by Source'!$A$6:$A$330,0),MATCH(R$3,'Budget by Source'!$A$5:$I$5,0))/10,0)*10)</f>
        <v>-5</v>
      </c>
      <c r="S270" s="138">
        <f>INDEX('Budget by Source'!$A$6:$I$330,MATCH('Payment by Source'!$A270,'Budget by Source'!$A$6:$A$330,0),MATCH(S$3,'Budget by Source'!$A$5:$I$5,0))-(ROUND(INDEX('Budget by Source'!$A$6:$I$330,MATCH('Payment by Source'!$A270,'Budget by Source'!$A$6:$A$330,0),MATCH(S$3,'Budget by Source'!$A$5:$I$5,0))/10,0)*10)</f>
        <v>-1</v>
      </c>
      <c r="T270" s="138">
        <f>INDEX('Budget by Source'!$A$6:$I$330,MATCH('Payment by Source'!$A270,'Budget by Source'!$A$6:$A$330,0),MATCH(T$3,'Budget by Source'!$A$5:$I$5,0))-(ROUND(INDEX('Budget by Source'!$A$6:$I$330,MATCH('Payment by Source'!$A270,'Budget by Source'!$A$6:$A$330,0),MATCH(T$3,'Budget by Source'!$A$5:$I$5,0))/10,0)*10)</f>
        <v>-4</v>
      </c>
      <c r="U270" s="139">
        <f>INDEX('Budget by Source'!$A$6:$I$330,MATCH('Payment by Source'!$A270,'Budget by Source'!$A$6:$A$330,0),MATCH(U$3,'Budget by Source'!$A$5:$I$5,0))</f>
        <v>4820589</v>
      </c>
      <c r="V270" s="136">
        <f t="shared" si="13"/>
        <v>482059</v>
      </c>
      <c r="W270" s="136">
        <f t="shared" si="14"/>
        <v>4820590</v>
      </c>
    </row>
    <row r="271" spans="1:23" x14ac:dyDescent="0.2">
      <c r="A271" s="22" t="str">
        <f>Data!B267</f>
        <v>6097</v>
      </c>
      <c r="B271" s="20" t="str">
        <f>INDEX(Data[],MATCH($A271,Data[Dist],0),MATCH(B$5,Data[#Headers],0))</f>
        <v>South Page</v>
      </c>
      <c r="C271" s="21">
        <f>IF(Notes!$B$2="June",ROUND('Budget by Source'!C271/10,0)+P271,ROUND('Budget by Source'!C271/10,0))</f>
        <v>779</v>
      </c>
      <c r="D271" s="21">
        <f>IF(Notes!$B$2="June",ROUND('Budget by Source'!D271/10,0)+Q271,ROUND('Budget by Source'!D271/10,0))</f>
        <v>25377</v>
      </c>
      <c r="E271" s="21">
        <f>IF(Notes!$B$2="June",ROUND('Budget by Source'!E271/10,0)+R271,ROUND('Budget by Source'!E271/10,0))</f>
        <v>1327</v>
      </c>
      <c r="F271" s="21">
        <f>IF(Notes!$B$2="June",ROUND('Budget by Source'!F271/10,0)+S271,ROUND('Budget by Source'!F271/10,0))</f>
        <v>1545</v>
      </c>
      <c r="G271" s="21">
        <f>IF(Notes!$B$2="June",ROUND('Budget by Source'!G271/10,0)+T271,ROUND('Budget by Source'!G271/10,0))</f>
        <v>7453</v>
      </c>
      <c r="H271" s="21">
        <f t="shared" si="12"/>
        <v>102008</v>
      </c>
      <c r="I271" s="21">
        <f>INDEX(Data[],MATCH($A271,Data[Dist],0),MATCH(I$5,Data[#Headers],0))</f>
        <v>138489</v>
      </c>
      <c r="K271" s="59">
        <f>INDEX('Payment Total'!$A$7:$H$331,MATCH('Payment by Source'!$A271,'Payment Total'!$A$7:$A$331,0),4)-I271</f>
        <v>0</v>
      </c>
      <c r="P271" s="138">
        <f>INDEX('Budget by Source'!$A$6:$I$330,MATCH('Payment by Source'!$A271,'Budget by Source'!$A$6:$A$330,0),MATCH(P$3,'Budget by Source'!$A$5:$I$5,0))-(ROUND(INDEX('Budget by Source'!$A$6:$I$330,MATCH('Payment by Source'!$A271,'Budget by Source'!$A$6:$A$330,0),MATCH(P$3,'Budget by Source'!$A$5:$I$5,0))/10,0)*10)</f>
        <v>3</v>
      </c>
      <c r="Q271" s="138">
        <f>INDEX('Budget by Source'!$A$6:$I$330,MATCH('Payment by Source'!$A271,'Budget by Source'!$A$6:$A$330,0),MATCH(Q$3,'Budget by Source'!$A$5:$I$5,0))-(ROUND(INDEX('Budget by Source'!$A$6:$I$330,MATCH('Payment by Source'!$A271,'Budget by Source'!$A$6:$A$330,0),MATCH(Q$3,'Budget by Source'!$A$5:$I$5,0))/10,0)*10)</f>
        <v>3</v>
      </c>
      <c r="R271" s="138">
        <f>INDEX('Budget by Source'!$A$6:$I$330,MATCH('Payment by Source'!$A271,'Budget by Source'!$A$6:$A$330,0),MATCH(R$3,'Budget by Source'!$A$5:$I$5,0))-(ROUND(INDEX('Budget by Source'!$A$6:$I$330,MATCH('Payment by Source'!$A271,'Budget by Source'!$A$6:$A$330,0),MATCH(R$3,'Budget by Source'!$A$5:$I$5,0))/10,0)*10)</f>
        <v>-4</v>
      </c>
      <c r="S271" s="138">
        <f>INDEX('Budget by Source'!$A$6:$I$330,MATCH('Payment by Source'!$A271,'Budget by Source'!$A$6:$A$330,0),MATCH(S$3,'Budget by Source'!$A$5:$I$5,0))-(ROUND(INDEX('Budget by Source'!$A$6:$I$330,MATCH('Payment by Source'!$A271,'Budget by Source'!$A$6:$A$330,0),MATCH(S$3,'Budget by Source'!$A$5:$I$5,0))/10,0)*10)</f>
        <v>-1</v>
      </c>
      <c r="T271" s="138">
        <f>INDEX('Budget by Source'!$A$6:$I$330,MATCH('Payment by Source'!$A271,'Budget by Source'!$A$6:$A$330,0),MATCH(T$3,'Budget by Source'!$A$5:$I$5,0))-(ROUND(INDEX('Budget by Source'!$A$6:$I$330,MATCH('Payment by Source'!$A271,'Budget by Source'!$A$6:$A$330,0),MATCH(T$3,'Budget by Source'!$A$5:$I$5,0))/10,0)*10)</f>
        <v>-2</v>
      </c>
      <c r="U271" s="139">
        <f>INDEX('Budget by Source'!$A$6:$I$330,MATCH('Payment by Source'!$A271,'Budget by Source'!$A$6:$A$330,0),MATCH(U$3,'Budget by Source'!$A$5:$I$5,0))</f>
        <v>1023038</v>
      </c>
      <c r="V271" s="136">
        <f t="shared" si="13"/>
        <v>102304</v>
      </c>
      <c r="W271" s="136">
        <f t="shared" si="14"/>
        <v>1023040</v>
      </c>
    </row>
    <row r="272" spans="1:23" x14ac:dyDescent="0.2">
      <c r="A272" s="22" t="str">
        <f>Data!B268</f>
        <v>6098</v>
      </c>
      <c r="B272" s="20" t="str">
        <f>INDEX(Data[],MATCH($A272,Data[Dist],0),MATCH(B$5,Data[#Headers],0))</f>
        <v>South Tama</v>
      </c>
      <c r="C272" s="21">
        <f>IF(Notes!$B$2="June",ROUND('Budget by Source'!C272/10,0)+P272,ROUND('Budget by Source'!C272/10,0))</f>
        <v>24937</v>
      </c>
      <c r="D272" s="21">
        <f>IF(Notes!$B$2="June",ROUND('Budget by Source'!D272/10,0)+Q272,ROUND('Budget by Source'!D272/10,0))</f>
        <v>108119</v>
      </c>
      <c r="E272" s="21">
        <f>IF(Notes!$B$2="June",ROUND('Budget by Source'!E272/10,0)+R272,ROUND('Budget by Source'!E272/10,0))</f>
        <v>12643</v>
      </c>
      <c r="F272" s="21">
        <f>IF(Notes!$B$2="June",ROUND('Budget by Source'!F272/10,0)+S272,ROUND('Budget by Source'!F272/10,0))</f>
        <v>10253</v>
      </c>
      <c r="G272" s="21">
        <f>IF(Notes!$B$2="June",ROUND('Budget by Source'!G272/10,0)+T272,ROUND('Budget by Source'!G272/10,0))</f>
        <v>53341</v>
      </c>
      <c r="H272" s="21">
        <f t="shared" si="12"/>
        <v>996423</v>
      </c>
      <c r="I272" s="21">
        <f>INDEX(Data[],MATCH($A272,Data[Dist],0),MATCH(I$5,Data[#Headers],0))</f>
        <v>1205716</v>
      </c>
      <c r="K272" s="59">
        <f>INDEX('Payment Total'!$A$7:$H$331,MATCH('Payment by Source'!$A272,'Payment Total'!$A$7:$A$331,0),4)-I272</f>
        <v>0</v>
      </c>
      <c r="P272" s="138">
        <f>INDEX('Budget by Source'!$A$6:$I$330,MATCH('Payment by Source'!$A272,'Budget by Source'!$A$6:$A$330,0),MATCH(P$3,'Budget by Source'!$A$5:$I$5,0))-(ROUND(INDEX('Budget by Source'!$A$6:$I$330,MATCH('Payment by Source'!$A272,'Budget by Source'!$A$6:$A$330,0),MATCH(P$3,'Budget by Source'!$A$5:$I$5,0))/10,0)*10)</f>
        <v>1</v>
      </c>
      <c r="Q272" s="138">
        <f>INDEX('Budget by Source'!$A$6:$I$330,MATCH('Payment by Source'!$A272,'Budget by Source'!$A$6:$A$330,0),MATCH(Q$3,'Budget by Source'!$A$5:$I$5,0))-(ROUND(INDEX('Budget by Source'!$A$6:$I$330,MATCH('Payment by Source'!$A272,'Budget by Source'!$A$6:$A$330,0),MATCH(Q$3,'Budget by Source'!$A$5:$I$5,0))/10,0)*10)</f>
        <v>-3</v>
      </c>
      <c r="R272" s="138">
        <f>INDEX('Budget by Source'!$A$6:$I$330,MATCH('Payment by Source'!$A272,'Budget by Source'!$A$6:$A$330,0),MATCH(R$3,'Budget by Source'!$A$5:$I$5,0))-(ROUND(INDEX('Budget by Source'!$A$6:$I$330,MATCH('Payment by Source'!$A272,'Budget by Source'!$A$6:$A$330,0),MATCH(R$3,'Budget by Source'!$A$5:$I$5,0))/10,0)*10)</f>
        <v>0</v>
      </c>
      <c r="S272" s="138">
        <f>INDEX('Budget by Source'!$A$6:$I$330,MATCH('Payment by Source'!$A272,'Budget by Source'!$A$6:$A$330,0),MATCH(S$3,'Budget by Source'!$A$5:$I$5,0))-(ROUND(INDEX('Budget by Source'!$A$6:$I$330,MATCH('Payment by Source'!$A272,'Budget by Source'!$A$6:$A$330,0),MATCH(S$3,'Budget by Source'!$A$5:$I$5,0))/10,0)*10)</f>
        <v>4</v>
      </c>
      <c r="T272" s="138">
        <f>INDEX('Budget by Source'!$A$6:$I$330,MATCH('Payment by Source'!$A272,'Budget by Source'!$A$6:$A$330,0),MATCH(T$3,'Budget by Source'!$A$5:$I$5,0))-(ROUND(INDEX('Budget by Source'!$A$6:$I$330,MATCH('Payment by Source'!$A272,'Budget by Source'!$A$6:$A$330,0),MATCH(T$3,'Budget by Source'!$A$5:$I$5,0))/10,0)*10)</f>
        <v>0</v>
      </c>
      <c r="U272" s="139">
        <f>INDEX('Budget by Source'!$A$6:$I$330,MATCH('Payment by Source'!$A272,'Budget by Source'!$A$6:$A$330,0),MATCH(U$3,'Budget by Source'!$A$5:$I$5,0))</f>
        <v>9985262</v>
      </c>
      <c r="V272" s="136">
        <f t="shared" si="13"/>
        <v>998526</v>
      </c>
      <c r="W272" s="136">
        <f t="shared" si="14"/>
        <v>9985260</v>
      </c>
    </row>
    <row r="273" spans="1:23" x14ac:dyDescent="0.2">
      <c r="A273" s="22" t="str">
        <f>Data!B269</f>
        <v>6100</v>
      </c>
      <c r="B273" s="20" t="str">
        <f>INDEX(Data[],MATCH($A273,Data[Dist],0),MATCH(B$5,Data[#Headers],0))</f>
        <v>South Winneshiek</v>
      </c>
      <c r="C273" s="21">
        <f>IF(Notes!$B$2="June",ROUND('Budget by Source'!C273/10,0)+P273,ROUND('Budget by Source'!C273/10,0))</f>
        <v>22599</v>
      </c>
      <c r="D273" s="21">
        <f>IF(Notes!$B$2="June",ROUND('Budget by Source'!D273/10,0)+Q273,ROUND('Budget by Source'!D273/10,0))</f>
        <v>57353</v>
      </c>
      <c r="E273" s="21">
        <f>IF(Notes!$B$2="June",ROUND('Budget by Source'!E273/10,0)+R273,ROUND('Budget by Source'!E273/10,0))</f>
        <v>3977</v>
      </c>
      <c r="F273" s="21">
        <f>IF(Notes!$B$2="June",ROUND('Budget by Source'!F273/10,0)+S273,ROUND('Budget by Source'!F273/10,0))</f>
        <v>4961</v>
      </c>
      <c r="G273" s="21">
        <f>IF(Notes!$B$2="June",ROUND('Budget by Source'!G273/10,0)+T273,ROUND('Budget by Source'!G273/10,0))</f>
        <v>23605</v>
      </c>
      <c r="H273" s="21">
        <f t="shared" si="12"/>
        <v>302906</v>
      </c>
      <c r="I273" s="21">
        <f>INDEX(Data[],MATCH($A273,Data[Dist],0),MATCH(I$5,Data[#Headers],0))</f>
        <v>415401</v>
      </c>
      <c r="K273" s="59">
        <f>INDEX('Payment Total'!$A$7:$H$331,MATCH('Payment by Source'!$A273,'Payment Total'!$A$7:$A$331,0),4)-I273</f>
        <v>0</v>
      </c>
      <c r="P273" s="138">
        <f>INDEX('Budget by Source'!$A$6:$I$330,MATCH('Payment by Source'!$A273,'Budget by Source'!$A$6:$A$330,0),MATCH(P$3,'Budget by Source'!$A$5:$I$5,0))-(ROUND(INDEX('Budget by Source'!$A$6:$I$330,MATCH('Payment by Source'!$A273,'Budget by Source'!$A$6:$A$330,0),MATCH(P$3,'Budget by Source'!$A$5:$I$5,0))/10,0)*10)</f>
        <v>2</v>
      </c>
      <c r="Q273" s="138">
        <f>INDEX('Budget by Source'!$A$6:$I$330,MATCH('Payment by Source'!$A273,'Budget by Source'!$A$6:$A$330,0),MATCH(Q$3,'Budget by Source'!$A$5:$I$5,0))-(ROUND(INDEX('Budget by Source'!$A$6:$I$330,MATCH('Payment by Source'!$A273,'Budget by Source'!$A$6:$A$330,0),MATCH(Q$3,'Budget by Source'!$A$5:$I$5,0))/10,0)*10)</f>
        <v>3</v>
      </c>
      <c r="R273" s="138">
        <f>INDEX('Budget by Source'!$A$6:$I$330,MATCH('Payment by Source'!$A273,'Budget by Source'!$A$6:$A$330,0),MATCH(R$3,'Budget by Source'!$A$5:$I$5,0))-(ROUND(INDEX('Budget by Source'!$A$6:$I$330,MATCH('Payment by Source'!$A273,'Budget by Source'!$A$6:$A$330,0),MATCH(R$3,'Budget by Source'!$A$5:$I$5,0))/10,0)*10)</f>
        <v>-1</v>
      </c>
      <c r="S273" s="138">
        <f>INDEX('Budget by Source'!$A$6:$I$330,MATCH('Payment by Source'!$A273,'Budget by Source'!$A$6:$A$330,0),MATCH(S$3,'Budget by Source'!$A$5:$I$5,0))-(ROUND(INDEX('Budget by Source'!$A$6:$I$330,MATCH('Payment by Source'!$A273,'Budget by Source'!$A$6:$A$330,0),MATCH(S$3,'Budget by Source'!$A$5:$I$5,0))/10,0)*10)</f>
        <v>-5</v>
      </c>
      <c r="T273" s="138">
        <f>INDEX('Budget by Source'!$A$6:$I$330,MATCH('Payment by Source'!$A273,'Budget by Source'!$A$6:$A$330,0),MATCH(T$3,'Budget by Source'!$A$5:$I$5,0))-(ROUND(INDEX('Budget by Source'!$A$6:$I$330,MATCH('Payment by Source'!$A273,'Budget by Source'!$A$6:$A$330,0),MATCH(T$3,'Budget by Source'!$A$5:$I$5,0))/10,0)*10)</f>
        <v>0</v>
      </c>
      <c r="U273" s="139">
        <f>INDEX('Budget by Source'!$A$6:$I$330,MATCH('Payment by Source'!$A273,'Budget by Source'!$A$6:$A$330,0),MATCH(U$3,'Budget by Source'!$A$5:$I$5,0))</f>
        <v>3037065</v>
      </c>
      <c r="V273" s="136">
        <f t="shared" si="13"/>
        <v>303707</v>
      </c>
      <c r="W273" s="136">
        <f t="shared" si="14"/>
        <v>3037070</v>
      </c>
    </row>
    <row r="274" spans="1:23" x14ac:dyDescent="0.2">
      <c r="A274" s="22" t="str">
        <f>Data!B270</f>
        <v>6101</v>
      </c>
      <c r="B274" s="20" t="str">
        <f>INDEX(Data[],MATCH($A274,Data[Dist],0),MATCH(B$5,Data[#Headers],0))</f>
        <v>Southeast Polk</v>
      </c>
      <c r="C274" s="21">
        <f>IF(Notes!$B$2="June",ROUND('Budget by Source'!C274/10,0)+P274,ROUND('Budget by Source'!C274/10,0))</f>
        <v>98587</v>
      </c>
      <c r="D274" s="21">
        <f>IF(Notes!$B$2="June",ROUND('Budget by Source'!D274/10,0)+Q274,ROUND('Budget by Source'!D274/10,0))</f>
        <v>516184</v>
      </c>
      <c r="E274" s="21">
        <f>IF(Notes!$B$2="June",ROUND('Budget by Source'!E274/10,0)+R274,ROUND('Budget by Source'!E274/10,0))</f>
        <v>54085</v>
      </c>
      <c r="F274" s="21">
        <f>IF(Notes!$B$2="June",ROUND('Budget by Source'!F274/10,0)+S274,ROUND('Budget by Source'!F274/10,0))</f>
        <v>53775</v>
      </c>
      <c r="G274" s="21">
        <f>IF(Notes!$B$2="June",ROUND('Budget by Source'!G274/10,0)+T274,ROUND('Budget by Source'!G274/10,0))</f>
        <v>278870</v>
      </c>
      <c r="H274" s="21">
        <f t="shared" si="12"/>
        <v>4619326</v>
      </c>
      <c r="I274" s="21">
        <f>INDEX(Data[],MATCH($A274,Data[Dist],0),MATCH(I$5,Data[#Headers],0))</f>
        <v>5620827</v>
      </c>
      <c r="K274" s="59">
        <f>INDEX('Payment Total'!$A$7:$H$331,MATCH('Payment by Source'!$A274,'Payment Total'!$A$7:$A$331,0),4)-I274</f>
        <v>0</v>
      </c>
      <c r="P274" s="138">
        <f>INDEX('Budget by Source'!$A$6:$I$330,MATCH('Payment by Source'!$A274,'Budget by Source'!$A$6:$A$330,0),MATCH(P$3,'Budget by Source'!$A$5:$I$5,0))-(ROUND(INDEX('Budget by Source'!$A$6:$I$330,MATCH('Payment by Source'!$A274,'Budget by Source'!$A$6:$A$330,0),MATCH(P$3,'Budget by Source'!$A$5:$I$5,0))/10,0)*10)</f>
        <v>1</v>
      </c>
      <c r="Q274" s="138">
        <f>INDEX('Budget by Source'!$A$6:$I$330,MATCH('Payment by Source'!$A274,'Budget by Source'!$A$6:$A$330,0),MATCH(Q$3,'Budget by Source'!$A$5:$I$5,0))-(ROUND(INDEX('Budget by Source'!$A$6:$I$330,MATCH('Payment by Source'!$A274,'Budget by Source'!$A$6:$A$330,0),MATCH(Q$3,'Budget by Source'!$A$5:$I$5,0))/10,0)*10)</f>
        <v>0</v>
      </c>
      <c r="R274" s="138">
        <f>INDEX('Budget by Source'!$A$6:$I$330,MATCH('Payment by Source'!$A274,'Budget by Source'!$A$6:$A$330,0),MATCH(R$3,'Budget by Source'!$A$5:$I$5,0))-(ROUND(INDEX('Budget by Source'!$A$6:$I$330,MATCH('Payment by Source'!$A274,'Budget by Source'!$A$6:$A$330,0),MATCH(R$3,'Budget by Source'!$A$5:$I$5,0))/10,0)*10)</f>
        <v>-1</v>
      </c>
      <c r="S274" s="138">
        <f>INDEX('Budget by Source'!$A$6:$I$330,MATCH('Payment by Source'!$A274,'Budget by Source'!$A$6:$A$330,0),MATCH(S$3,'Budget by Source'!$A$5:$I$5,0))-(ROUND(INDEX('Budget by Source'!$A$6:$I$330,MATCH('Payment by Source'!$A274,'Budget by Source'!$A$6:$A$330,0),MATCH(S$3,'Budget by Source'!$A$5:$I$5,0))/10,0)*10)</f>
        <v>-1</v>
      </c>
      <c r="T274" s="138">
        <f>INDEX('Budget by Source'!$A$6:$I$330,MATCH('Payment by Source'!$A274,'Budget by Source'!$A$6:$A$330,0),MATCH(T$3,'Budget by Source'!$A$5:$I$5,0))-(ROUND(INDEX('Budget by Source'!$A$6:$I$330,MATCH('Payment by Source'!$A274,'Budget by Source'!$A$6:$A$330,0),MATCH(T$3,'Budget by Source'!$A$5:$I$5,0))/10,0)*10)</f>
        <v>3</v>
      </c>
      <c r="U274" s="139">
        <f>INDEX('Budget by Source'!$A$6:$I$330,MATCH('Payment by Source'!$A274,'Budget by Source'!$A$6:$A$330,0),MATCH(U$3,'Budget by Source'!$A$5:$I$5,0))</f>
        <v>46301374</v>
      </c>
      <c r="V274" s="136">
        <f t="shared" si="13"/>
        <v>4630137</v>
      </c>
      <c r="W274" s="136">
        <f t="shared" si="14"/>
        <v>46301370</v>
      </c>
    </row>
    <row r="275" spans="1:23" x14ac:dyDescent="0.2">
      <c r="A275" s="22" t="str">
        <f>Data!B271</f>
        <v>6102</v>
      </c>
      <c r="B275" s="20" t="str">
        <f>INDEX(Data[],MATCH($A275,Data[Dist],0),MATCH(B$5,Data[#Headers],0))</f>
        <v>Spencer</v>
      </c>
      <c r="C275" s="21">
        <f>IF(Notes!$B$2="June",ROUND('Budget by Source'!C275/10,0)+P275,ROUND('Budget by Source'!C275/10,0))</f>
        <v>60784</v>
      </c>
      <c r="D275" s="21">
        <f>IF(Notes!$B$2="June",ROUND('Budget by Source'!D275/10,0)+Q275,ROUND('Budget by Source'!D275/10,0))</f>
        <v>155364</v>
      </c>
      <c r="E275" s="21">
        <f>IF(Notes!$B$2="June",ROUND('Budget by Source'!E275/10,0)+R275,ROUND('Budget by Source'!E275/10,0))</f>
        <v>17217</v>
      </c>
      <c r="F275" s="21">
        <f>IF(Notes!$B$2="June",ROUND('Budget by Source'!F275/10,0)+S275,ROUND('Budget by Source'!F275/10,0))</f>
        <v>17317</v>
      </c>
      <c r="G275" s="21">
        <f>IF(Notes!$B$2="June",ROUND('Budget by Source'!G275/10,0)+T275,ROUND('Budget by Source'!G275/10,0))</f>
        <v>80379</v>
      </c>
      <c r="H275" s="21">
        <f t="shared" si="12"/>
        <v>1304902</v>
      </c>
      <c r="I275" s="21">
        <f>INDEX(Data[],MATCH($A275,Data[Dist],0),MATCH(I$5,Data[#Headers],0))</f>
        <v>1635963</v>
      </c>
      <c r="K275" s="59">
        <f>INDEX('Payment Total'!$A$7:$H$331,MATCH('Payment by Source'!$A275,'Payment Total'!$A$7:$A$331,0),4)-I275</f>
        <v>0</v>
      </c>
      <c r="P275" s="138">
        <f>INDEX('Budget by Source'!$A$6:$I$330,MATCH('Payment by Source'!$A275,'Budget by Source'!$A$6:$A$330,0),MATCH(P$3,'Budget by Source'!$A$5:$I$5,0))-(ROUND(INDEX('Budget by Source'!$A$6:$I$330,MATCH('Payment by Source'!$A275,'Budget by Source'!$A$6:$A$330,0),MATCH(P$3,'Budget by Source'!$A$5:$I$5,0))/10,0)*10)</f>
        <v>1</v>
      </c>
      <c r="Q275" s="138">
        <f>INDEX('Budget by Source'!$A$6:$I$330,MATCH('Payment by Source'!$A275,'Budget by Source'!$A$6:$A$330,0),MATCH(Q$3,'Budget by Source'!$A$5:$I$5,0))-(ROUND(INDEX('Budget by Source'!$A$6:$I$330,MATCH('Payment by Source'!$A275,'Budget by Source'!$A$6:$A$330,0),MATCH(Q$3,'Budget by Source'!$A$5:$I$5,0))/10,0)*10)</f>
        <v>4</v>
      </c>
      <c r="R275" s="138">
        <f>INDEX('Budget by Source'!$A$6:$I$330,MATCH('Payment by Source'!$A275,'Budget by Source'!$A$6:$A$330,0),MATCH(R$3,'Budget by Source'!$A$5:$I$5,0))-(ROUND(INDEX('Budget by Source'!$A$6:$I$330,MATCH('Payment by Source'!$A275,'Budget by Source'!$A$6:$A$330,0),MATCH(R$3,'Budget by Source'!$A$5:$I$5,0))/10,0)*10)</f>
        <v>-2</v>
      </c>
      <c r="S275" s="138">
        <f>INDEX('Budget by Source'!$A$6:$I$330,MATCH('Payment by Source'!$A275,'Budget by Source'!$A$6:$A$330,0),MATCH(S$3,'Budget by Source'!$A$5:$I$5,0))-(ROUND(INDEX('Budget by Source'!$A$6:$I$330,MATCH('Payment by Source'!$A275,'Budget by Source'!$A$6:$A$330,0),MATCH(S$3,'Budget by Source'!$A$5:$I$5,0))/10,0)*10)</f>
        <v>-1</v>
      </c>
      <c r="T275" s="138">
        <f>INDEX('Budget by Source'!$A$6:$I$330,MATCH('Payment by Source'!$A275,'Budget by Source'!$A$6:$A$330,0),MATCH(T$3,'Budget by Source'!$A$5:$I$5,0))-(ROUND(INDEX('Budget by Source'!$A$6:$I$330,MATCH('Payment by Source'!$A275,'Budget by Source'!$A$6:$A$330,0),MATCH(T$3,'Budget by Source'!$A$5:$I$5,0))/10,0)*10)</f>
        <v>3</v>
      </c>
      <c r="U275" s="139">
        <f>INDEX('Budget by Source'!$A$6:$I$330,MATCH('Payment by Source'!$A275,'Budget by Source'!$A$6:$A$330,0),MATCH(U$3,'Budget by Source'!$A$5:$I$5,0))</f>
        <v>13079225</v>
      </c>
      <c r="V275" s="136">
        <f t="shared" si="13"/>
        <v>1307923</v>
      </c>
      <c r="W275" s="136">
        <f t="shared" si="14"/>
        <v>13079230</v>
      </c>
    </row>
    <row r="276" spans="1:23" x14ac:dyDescent="0.2">
      <c r="A276" s="22" t="str">
        <f>Data!B272</f>
        <v>6120</v>
      </c>
      <c r="B276" s="20" t="str">
        <f>INDEX(Data[],MATCH($A276,Data[Dist],0),MATCH(B$5,Data[#Headers],0))</f>
        <v>Spirit Lake</v>
      </c>
      <c r="C276" s="21">
        <f>IF(Notes!$B$2="June",ROUND('Budget by Source'!C276/10,0)+P276,ROUND('Budget by Source'!C276/10,0))</f>
        <v>31561</v>
      </c>
      <c r="D276" s="21">
        <f>IF(Notes!$B$2="June",ROUND('Budget by Source'!D276/10,0)+Q276,ROUND('Budget by Source'!D276/10,0))</f>
        <v>93710</v>
      </c>
      <c r="E276" s="21">
        <f>IF(Notes!$B$2="June",ROUND('Budget by Source'!E276/10,0)+R276,ROUND('Budget by Source'!E276/10,0))</f>
        <v>9045</v>
      </c>
      <c r="F276" s="21">
        <f>IF(Notes!$B$2="June",ROUND('Budget by Source'!F276/10,0)+S276,ROUND('Budget by Source'!F276/10,0))</f>
        <v>9305</v>
      </c>
      <c r="G276" s="21">
        <f>IF(Notes!$B$2="June",ROUND('Budget by Source'!G276/10,0)+T276,ROUND('Budget by Source'!G276/10,0))</f>
        <v>44222</v>
      </c>
      <c r="H276" s="21">
        <f t="shared" si="12"/>
        <v>16126</v>
      </c>
      <c r="I276" s="21">
        <f>INDEX(Data[],MATCH($A276,Data[Dist],0),MATCH(I$5,Data[#Headers],0))</f>
        <v>203969</v>
      </c>
      <c r="K276" s="59">
        <f>INDEX('Payment Total'!$A$7:$H$331,MATCH('Payment by Source'!$A276,'Payment Total'!$A$7:$A$331,0),4)-I276</f>
        <v>0</v>
      </c>
      <c r="P276" s="138">
        <f>INDEX('Budget by Source'!$A$6:$I$330,MATCH('Payment by Source'!$A276,'Budget by Source'!$A$6:$A$330,0),MATCH(P$3,'Budget by Source'!$A$5:$I$5,0))-(ROUND(INDEX('Budget by Source'!$A$6:$I$330,MATCH('Payment by Source'!$A276,'Budget by Source'!$A$6:$A$330,0),MATCH(P$3,'Budget by Source'!$A$5:$I$5,0))/10,0)*10)</f>
        <v>0</v>
      </c>
      <c r="Q276" s="138">
        <f>INDEX('Budget by Source'!$A$6:$I$330,MATCH('Payment by Source'!$A276,'Budget by Source'!$A$6:$A$330,0),MATCH(Q$3,'Budget by Source'!$A$5:$I$5,0))-(ROUND(INDEX('Budget by Source'!$A$6:$I$330,MATCH('Payment by Source'!$A276,'Budget by Source'!$A$6:$A$330,0),MATCH(Q$3,'Budget by Source'!$A$5:$I$5,0))/10,0)*10)</f>
        <v>-1</v>
      </c>
      <c r="R276" s="138">
        <f>INDEX('Budget by Source'!$A$6:$I$330,MATCH('Payment by Source'!$A276,'Budget by Source'!$A$6:$A$330,0),MATCH(R$3,'Budget by Source'!$A$5:$I$5,0))-(ROUND(INDEX('Budget by Source'!$A$6:$I$330,MATCH('Payment by Source'!$A276,'Budget by Source'!$A$6:$A$330,0),MATCH(R$3,'Budget by Source'!$A$5:$I$5,0))/10,0)*10)</f>
        <v>-2</v>
      </c>
      <c r="S276" s="138">
        <f>INDEX('Budget by Source'!$A$6:$I$330,MATCH('Payment by Source'!$A276,'Budget by Source'!$A$6:$A$330,0),MATCH(S$3,'Budget by Source'!$A$5:$I$5,0))-(ROUND(INDEX('Budget by Source'!$A$6:$I$330,MATCH('Payment by Source'!$A276,'Budget by Source'!$A$6:$A$330,0),MATCH(S$3,'Budget by Source'!$A$5:$I$5,0))/10,0)*10)</f>
        <v>-3</v>
      </c>
      <c r="T276" s="138">
        <f>INDEX('Budget by Source'!$A$6:$I$330,MATCH('Payment by Source'!$A276,'Budget by Source'!$A$6:$A$330,0),MATCH(T$3,'Budget by Source'!$A$5:$I$5,0))-(ROUND(INDEX('Budget by Source'!$A$6:$I$330,MATCH('Payment by Source'!$A276,'Budget by Source'!$A$6:$A$330,0),MATCH(T$3,'Budget by Source'!$A$5:$I$5,0))/10,0)*10)</f>
        <v>0</v>
      </c>
      <c r="U276" s="139">
        <f>INDEX('Budget by Source'!$A$6:$I$330,MATCH('Payment by Source'!$A276,'Budget by Source'!$A$6:$A$330,0),MATCH(U$3,'Budget by Source'!$A$5:$I$5,0))</f>
        <v>178845</v>
      </c>
      <c r="V276" s="136">
        <f t="shared" si="13"/>
        <v>17885</v>
      </c>
      <c r="W276" s="136">
        <f t="shared" si="14"/>
        <v>178850</v>
      </c>
    </row>
    <row r="277" spans="1:23" x14ac:dyDescent="0.2">
      <c r="A277" s="22" t="str">
        <f>Data!B273</f>
        <v>6138</v>
      </c>
      <c r="B277" s="20" t="str">
        <f>INDEX(Data[],MATCH($A277,Data[Dist],0),MATCH(B$5,Data[#Headers],0))</f>
        <v>Springville</v>
      </c>
      <c r="C277" s="21">
        <f>IF(Notes!$B$2="June",ROUND('Budget by Source'!C277/10,0)+P277,ROUND('Budget by Source'!C277/10,0))</f>
        <v>10131</v>
      </c>
      <c r="D277" s="21">
        <f>IF(Notes!$B$2="June",ROUND('Budget by Source'!D277/10,0)+Q277,ROUND('Budget by Source'!D277/10,0))</f>
        <v>53112</v>
      </c>
      <c r="E277" s="21">
        <f>IF(Notes!$B$2="June",ROUND('Budget by Source'!E277/10,0)+R277,ROUND('Budget by Source'!E277/10,0))</f>
        <v>2750</v>
      </c>
      <c r="F277" s="21">
        <f>IF(Notes!$B$2="June",ROUND('Budget by Source'!F277/10,0)+S277,ROUND('Budget by Source'!F277/10,0))</f>
        <v>2905</v>
      </c>
      <c r="G277" s="21">
        <f>IF(Notes!$B$2="June",ROUND('Budget by Source'!G277/10,0)+T277,ROUND('Budget by Source'!G277/10,0))</f>
        <v>15604</v>
      </c>
      <c r="H277" s="21">
        <f t="shared" si="12"/>
        <v>230382</v>
      </c>
      <c r="I277" s="21">
        <f>INDEX(Data[],MATCH($A277,Data[Dist],0),MATCH(I$5,Data[#Headers],0))</f>
        <v>314884</v>
      </c>
      <c r="K277" s="59">
        <f>INDEX('Payment Total'!$A$7:$H$331,MATCH('Payment by Source'!$A277,'Payment Total'!$A$7:$A$331,0),4)-I277</f>
        <v>0</v>
      </c>
      <c r="P277" s="138">
        <f>INDEX('Budget by Source'!$A$6:$I$330,MATCH('Payment by Source'!$A277,'Budget by Source'!$A$6:$A$330,0),MATCH(P$3,'Budget by Source'!$A$5:$I$5,0))-(ROUND(INDEX('Budget by Source'!$A$6:$I$330,MATCH('Payment by Source'!$A277,'Budget by Source'!$A$6:$A$330,0),MATCH(P$3,'Budget by Source'!$A$5:$I$5,0))/10,0)*10)</f>
        <v>-3</v>
      </c>
      <c r="Q277" s="138">
        <f>INDEX('Budget by Source'!$A$6:$I$330,MATCH('Payment by Source'!$A277,'Budget by Source'!$A$6:$A$330,0),MATCH(Q$3,'Budget by Source'!$A$5:$I$5,0))-(ROUND(INDEX('Budget by Source'!$A$6:$I$330,MATCH('Payment by Source'!$A277,'Budget by Source'!$A$6:$A$330,0),MATCH(Q$3,'Budget by Source'!$A$5:$I$5,0))/10,0)*10)</f>
        <v>-1</v>
      </c>
      <c r="R277" s="138">
        <f>INDEX('Budget by Source'!$A$6:$I$330,MATCH('Payment by Source'!$A277,'Budget by Source'!$A$6:$A$330,0),MATCH(R$3,'Budget by Source'!$A$5:$I$5,0))-(ROUND(INDEX('Budget by Source'!$A$6:$I$330,MATCH('Payment by Source'!$A277,'Budget by Source'!$A$6:$A$330,0),MATCH(R$3,'Budget by Source'!$A$5:$I$5,0))/10,0)*10)</f>
        <v>-4</v>
      </c>
      <c r="S277" s="138">
        <f>INDEX('Budget by Source'!$A$6:$I$330,MATCH('Payment by Source'!$A277,'Budget by Source'!$A$6:$A$330,0),MATCH(S$3,'Budget by Source'!$A$5:$I$5,0))-(ROUND(INDEX('Budget by Source'!$A$6:$I$330,MATCH('Payment by Source'!$A277,'Budget by Source'!$A$6:$A$330,0),MATCH(S$3,'Budget by Source'!$A$5:$I$5,0))/10,0)*10)</f>
        <v>3</v>
      </c>
      <c r="T277" s="138">
        <f>INDEX('Budget by Source'!$A$6:$I$330,MATCH('Payment by Source'!$A277,'Budget by Source'!$A$6:$A$330,0),MATCH(T$3,'Budget by Source'!$A$5:$I$5,0))-(ROUND(INDEX('Budget by Source'!$A$6:$I$330,MATCH('Payment by Source'!$A277,'Budget by Source'!$A$6:$A$330,0),MATCH(T$3,'Budget by Source'!$A$5:$I$5,0))/10,0)*10)</f>
        <v>4</v>
      </c>
      <c r="U277" s="139">
        <f>INDEX('Budget by Source'!$A$6:$I$330,MATCH('Payment by Source'!$A277,'Budget by Source'!$A$6:$A$330,0),MATCH(U$3,'Budget by Source'!$A$5:$I$5,0))</f>
        <v>2309990</v>
      </c>
      <c r="V277" s="136">
        <f t="shared" si="13"/>
        <v>230999</v>
      </c>
      <c r="W277" s="136">
        <f t="shared" si="14"/>
        <v>2309990</v>
      </c>
    </row>
    <row r="278" spans="1:23" x14ac:dyDescent="0.2">
      <c r="A278" s="22" t="str">
        <f>Data!B274</f>
        <v>6165</v>
      </c>
      <c r="B278" s="20" t="str">
        <f>INDEX(Data[],MATCH($A278,Data[Dist],0),MATCH(B$5,Data[#Headers],0))</f>
        <v>Stanton</v>
      </c>
      <c r="C278" s="21">
        <f>IF(Notes!$B$2="June",ROUND('Budget by Source'!C278/10,0)+P278,ROUND('Budget by Source'!C278/10,0))</f>
        <v>7403</v>
      </c>
      <c r="D278" s="21">
        <f>IF(Notes!$B$2="June",ROUND('Budget by Source'!D278/10,0)+Q278,ROUND('Budget by Source'!D278/10,0))</f>
        <v>22666</v>
      </c>
      <c r="E278" s="21">
        <f>IF(Notes!$B$2="June",ROUND('Budget by Source'!E278/10,0)+R278,ROUND('Budget by Source'!E278/10,0))</f>
        <v>1503</v>
      </c>
      <c r="F278" s="21">
        <f>IF(Notes!$B$2="June",ROUND('Budget by Source'!F278/10,0)+S278,ROUND('Budget by Source'!F278/10,0))</f>
        <v>1804</v>
      </c>
      <c r="G278" s="21">
        <f>IF(Notes!$B$2="June",ROUND('Budget by Source'!G278/10,0)+T278,ROUND('Budget by Source'!G278/10,0))</f>
        <v>7260</v>
      </c>
      <c r="H278" s="21">
        <f t="shared" si="12"/>
        <v>109566</v>
      </c>
      <c r="I278" s="21">
        <f>INDEX(Data[],MATCH($A278,Data[Dist],0),MATCH(I$5,Data[#Headers],0))</f>
        <v>150202</v>
      </c>
      <c r="K278" s="59">
        <f>INDEX('Payment Total'!$A$7:$H$331,MATCH('Payment by Source'!$A278,'Payment Total'!$A$7:$A$331,0),4)-I278</f>
        <v>0</v>
      </c>
      <c r="P278" s="138">
        <f>INDEX('Budget by Source'!$A$6:$I$330,MATCH('Payment by Source'!$A278,'Budget by Source'!$A$6:$A$330,0),MATCH(P$3,'Budget by Source'!$A$5:$I$5,0))-(ROUND(INDEX('Budget by Source'!$A$6:$I$330,MATCH('Payment by Source'!$A278,'Budget by Source'!$A$6:$A$330,0),MATCH(P$3,'Budget by Source'!$A$5:$I$5,0))/10,0)*10)</f>
        <v>2</v>
      </c>
      <c r="Q278" s="138">
        <f>INDEX('Budget by Source'!$A$6:$I$330,MATCH('Payment by Source'!$A278,'Budget by Source'!$A$6:$A$330,0),MATCH(Q$3,'Budget by Source'!$A$5:$I$5,0))-(ROUND(INDEX('Budget by Source'!$A$6:$I$330,MATCH('Payment by Source'!$A278,'Budget by Source'!$A$6:$A$330,0),MATCH(Q$3,'Budget by Source'!$A$5:$I$5,0))/10,0)*10)</f>
        <v>-3</v>
      </c>
      <c r="R278" s="138">
        <f>INDEX('Budget by Source'!$A$6:$I$330,MATCH('Payment by Source'!$A278,'Budget by Source'!$A$6:$A$330,0),MATCH(R$3,'Budget by Source'!$A$5:$I$5,0))-(ROUND(INDEX('Budget by Source'!$A$6:$I$330,MATCH('Payment by Source'!$A278,'Budget by Source'!$A$6:$A$330,0),MATCH(R$3,'Budget by Source'!$A$5:$I$5,0))/10,0)*10)</f>
        <v>-5</v>
      </c>
      <c r="S278" s="138">
        <f>INDEX('Budget by Source'!$A$6:$I$330,MATCH('Payment by Source'!$A278,'Budget by Source'!$A$6:$A$330,0),MATCH(S$3,'Budget by Source'!$A$5:$I$5,0))-(ROUND(INDEX('Budget by Source'!$A$6:$I$330,MATCH('Payment by Source'!$A278,'Budget by Source'!$A$6:$A$330,0),MATCH(S$3,'Budget by Source'!$A$5:$I$5,0))/10,0)*10)</f>
        <v>-1</v>
      </c>
      <c r="T278" s="138">
        <f>INDEX('Budget by Source'!$A$6:$I$330,MATCH('Payment by Source'!$A278,'Budget by Source'!$A$6:$A$330,0),MATCH(T$3,'Budget by Source'!$A$5:$I$5,0))-(ROUND(INDEX('Budget by Source'!$A$6:$I$330,MATCH('Payment by Source'!$A278,'Budget by Source'!$A$6:$A$330,0),MATCH(T$3,'Budget by Source'!$A$5:$I$5,0))/10,0)*10)</f>
        <v>0</v>
      </c>
      <c r="U278" s="139">
        <f>INDEX('Budget by Source'!$A$6:$I$330,MATCH('Payment by Source'!$A278,'Budget by Source'!$A$6:$A$330,0),MATCH(U$3,'Budget by Source'!$A$5:$I$5,0))</f>
        <v>1098478</v>
      </c>
      <c r="V278" s="136">
        <f t="shared" si="13"/>
        <v>109848</v>
      </c>
      <c r="W278" s="136">
        <f t="shared" si="14"/>
        <v>1098480</v>
      </c>
    </row>
    <row r="279" spans="1:23" x14ac:dyDescent="0.2">
      <c r="A279" s="22" t="str">
        <f>Data!B275</f>
        <v>6175</v>
      </c>
      <c r="B279" s="20" t="str">
        <f>INDEX(Data[],MATCH($A279,Data[Dist],0),MATCH(B$5,Data[#Headers],0))</f>
        <v>Starmont</v>
      </c>
      <c r="C279" s="21">
        <f>IF(Notes!$B$2="June",ROUND('Budget by Source'!C279/10,0)+P279,ROUND('Budget by Source'!C279/10,0))</f>
        <v>12469</v>
      </c>
      <c r="D279" s="21">
        <f>IF(Notes!$B$2="June",ROUND('Budget by Source'!D279/10,0)+Q279,ROUND('Budget by Source'!D279/10,0))</f>
        <v>52948</v>
      </c>
      <c r="E279" s="21">
        <f>IF(Notes!$B$2="June",ROUND('Budget by Source'!E279/10,0)+R279,ROUND('Budget by Source'!E279/10,0))</f>
        <v>5152</v>
      </c>
      <c r="F279" s="21">
        <f>IF(Notes!$B$2="June",ROUND('Budget by Source'!F279/10,0)+S279,ROUND('Budget by Source'!F279/10,0))</f>
        <v>4663</v>
      </c>
      <c r="G279" s="21">
        <f>IF(Notes!$B$2="June",ROUND('Budget by Source'!G279/10,0)+T279,ROUND('Budget by Source'!G279/10,0))</f>
        <v>21792</v>
      </c>
      <c r="H279" s="21">
        <f t="shared" si="12"/>
        <v>327146</v>
      </c>
      <c r="I279" s="21">
        <f>INDEX(Data[],MATCH($A279,Data[Dist],0),MATCH(I$5,Data[#Headers],0))</f>
        <v>424170</v>
      </c>
      <c r="K279" s="59">
        <f>INDEX('Payment Total'!$A$7:$H$331,MATCH('Payment by Source'!$A279,'Payment Total'!$A$7:$A$331,0),4)-I279</f>
        <v>0</v>
      </c>
      <c r="P279" s="138">
        <f>INDEX('Budget by Source'!$A$6:$I$330,MATCH('Payment by Source'!$A279,'Budget by Source'!$A$6:$A$330,0),MATCH(P$3,'Budget by Source'!$A$5:$I$5,0))-(ROUND(INDEX('Budget by Source'!$A$6:$I$330,MATCH('Payment by Source'!$A279,'Budget by Source'!$A$6:$A$330,0),MATCH(P$3,'Budget by Source'!$A$5:$I$5,0))/10,0)*10)</f>
        <v>-5</v>
      </c>
      <c r="Q279" s="138">
        <f>INDEX('Budget by Source'!$A$6:$I$330,MATCH('Payment by Source'!$A279,'Budget by Source'!$A$6:$A$330,0),MATCH(Q$3,'Budget by Source'!$A$5:$I$5,0))-(ROUND(INDEX('Budget by Source'!$A$6:$I$330,MATCH('Payment by Source'!$A279,'Budget by Source'!$A$6:$A$330,0),MATCH(Q$3,'Budget by Source'!$A$5:$I$5,0))/10,0)*10)</f>
        <v>-1</v>
      </c>
      <c r="R279" s="138">
        <f>INDEX('Budget by Source'!$A$6:$I$330,MATCH('Payment by Source'!$A279,'Budget by Source'!$A$6:$A$330,0),MATCH(R$3,'Budget by Source'!$A$5:$I$5,0))-(ROUND(INDEX('Budget by Source'!$A$6:$I$330,MATCH('Payment by Source'!$A279,'Budget by Source'!$A$6:$A$330,0),MATCH(R$3,'Budget by Source'!$A$5:$I$5,0))/10,0)*10)</f>
        <v>3</v>
      </c>
      <c r="S279" s="138">
        <f>INDEX('Budget by Source'!$A$6:$I$330,MATCH('Payment by Source'!$A279,'Budget by Source'!$A$6:$A$330,0),MATCH(S$3,'Budget by Source'!$A$5:$I$5,0))-(ROUND(INDEX('Budget by Source'!$A$6:$I$330,MATCH('Payment by Source'!$A279,'Budget by Source'!$A$6:$A$330,0),MATCH(S$3,'Budget by Source'!$A$5:$I$5,0))/10,0)*10)</f>
        <v>1</v>
      </c>
      <c r="T279" s="138">
        <f>INDEX('Budget by Source'!$A$6:$I$330,MATCH('Payment by Source'!$A279,'Budget by Source'!$A$6:$A$330,0),MATCH(T$3,'Budget by Source'!$A$5:$I$5,0))-(ROUND(INDEX('Budget by Source'!$A$6:$I$330,MATCH('Payment by Source'!$A279,'Budget by Source'!$A$6:$A$330,0),MATCH(T$3,'Budget by Source'!$A$5:$I$5,0))/10,0)*10)</f>
        <v>-2</v>
      </c>
      <c r="U279" s="139">
        <f>INDEX('Budget by Source'!$A$6:$I$330,MATCH('Payment by Source'!$A279,'Budget by Source'!$A$6:$A$330,0),MATCH(U$3,'Budget by Source'!$A$5:$I$5,0))</f>
        <v>3280100</v>
      </c>
      <c r="V279" s="136">
        <f t="shared" si="13"/>
        <v>328010</v>
      </c>
      <c r="W279" s="136">
        <f t="shared" si="14"/>
        <v>3280100</v>
      </c>
    </row>
    <row r="280" spans="1:23" x14ac:dyDescent="0.2">
      <c r="A280" s="22" t="str">
        <f>Data!B276</f>
        <v>6219</v>
      </c>
      <c r="B280" s="20" t="str">
        <f>INDEX(Data[],MATCH($A280,Data[Dist],0),MATCH(B$5,Data[#Headers],0))</f>
        <v>Storm Lake</v>
      </c>
      <c r="C280" s="21">
        <f>IF(Notes!$B$2="June",ROUND('Budget by Source'!C280/10,0)+P280,ROUND('Budget by Source'!C280/10,0))</f>
        <v>61563</v>
      </c>
      <c r="D280" s="21">
        <f>IF(Notes!$B$2="June",ROUND('Budget by Source'!D280/10,0)+Q280,ROUND('Budget by Source'!D280/10,0))</f>
        <v>197435</v>
      </c>
      <c r="E280" s="21">
        <f>IF(Notes!$B$2="June",ROUND('Budget by Source'!E280/10,0)+R280,ROUND('Budget by Source'!E280/10,0))</f>
        <v>25667</v>
      </c>
      <c r="F280" s="21">
        <f>IF(Notes!$B$2="June",ROUND('Budget by Source'!F280/10,0)+S280,ROUND('Budget by Source'!F280/10,0))</f>
        <v>20448</v>
      </c>
      <c r="G280" s="21">
        <f>IF(Notes!$B$2="June",ROUND('Budget by Source'!G280/10,0)+T280,ROUND('Budget by Source'!G280/10,0))</f>
        <v>102145</v>
      </c>
      <c r="H280" s="21">
        <f t="shared" si="12"/>
        <v>1990356</v>
      </c>
      <c r="I280" s="21">
        <f>INDEX(Data[],MATCH($A280,Data[Dist],0),MATCH(I$5,Data[#Headers],0))</f>
        <v>2397614</v>
      </c>
      <c r="K280" s="59">
        <f>INDEX('Payment Total'!$A$7:$H$331,MATCH('Payment by Source'!$A280,'Payment Total'!$A$7:$A$331,0),4)-I280</f>
        <v>0</v>
      </c>
      <c r="P280" s="138">
        <f>INDEX('Budget by Source'!$A$6:$I$330,MATCH('Payment by Source'!$A280,'Budget by Source'!$A$6:$A$330,0),MATCH(P$3,'Budget by Source'!$A$5:$I$5,0))-(ROUND(INDEX('Budget by Source'!$A$6:$I$330,MATCH('Payment by Source'!$A280,'Budget by Source'!$A$6:$A$330,0),MATCH(P$3,'Budget by Source'!$A$5:$I$5,0))/10,0)*10)</f>
        <v>4</v>
      </c>
      <c r="Q280" s="138">
        <f>INDEX('Budget by Source'!$A$6:$I$330,MATCH('Payment by Source'!$A280,'Budget by Source'!$A$6:$A$330,0),MATCH(Q$3,'Budget by Source'!$A$5:$I$5,0))-(ROUND(INDEX('Budget by Source'!$A$6:$I$330,MATCH('Payment by Source'!$A280,'Budget by Source'!$A$6:$A$330,0),MATCH(Q$3,'Budget by Source'!$A$5:$I$5,0))/10,0)*10)</f>
        <v>-5</v>
      </c>
      <c r="R280" s="138">
        <f>INDEX('Budget by Source'!$A$6:$I$330,MATCH('Payment by Source'!$A280,'Budget by Source'!$A$6:$A$330,0),MATCH(R$3,'Budget by Source'!$A$5:$I$5,0))-(ROUND(INDEX('Budget by Source'!$A$6:$I$330,MATCH('Payment by Source'!$A280,'Budget by Source'!$A$6:$A$330,0),MATCH(R$3,'Budget by Source'!$A$5:$I$5,0))/10,0)*10)</f>
        <v>3</v>
      </c>
      <c r="S280" s="138">
        <f>INDEX('Budget by Source'!$A$6:$I$330,MATCH('Payment by Source'!$A280,'Budget by Source'!$A$6:$A$330,0),MATCH(S$3,'Budget by Source'!$A$5:$I$5,0))-(ROUND(INDEX('Budget by Source'!$A$6:$I$330,MATCH('Payment by Source'!$A280,'Budget by Source'!$A$6:$A$330,0),MATCH(S$3,'Budget by Source'!$A$5:$I$5,0))/10,0)*10)</f>
        <v>4</v>
      </c>
      <c r="T280" s="138">
        <f>INDEX('Budget by Source'!$A$6:$I$330,MATCH('Payment by Source'!$A280,'Budget by Source'!$A$6:$A$330,0),MATCH(T$3,'Budget by Source'!$A$5:$I$5,0))-(ROUND(INDEX('Budget by Source'!$A$6:$I$330,MATCH('Payment by Source'!$A280,'Budget by Source'!$A$6:$A$330,0),MATCH(T$3,'Budget by Source'!$A$5:$I$5,0))/10,0)*10)</f>
        <v>-3</v>
      </c>
      <c r="U280" s="139">
        <f>INDEX('Budget by Source'!$A$6:$I$330,MATCH('Payment by Source'!$A280,'Budget by Source'!$A$6:$A$330,0),MATCH(U$3,'Budget by Source'!$A$5:$I$5,0))</f>
        <v>19942332</v>
      </c>
      <c r="V280" s="136">
        <f t="shared" si="13"/>
        <v>1994233</v>
      </c>
      <c r="W280" s="136">
        <f t="shared" si="14"/>
        <v>19942330</v>
      </c>
    </row>
    <row r="281" spans="1:23" x14ac:dyDescent="0.2">
      <c r="A281" s="22" t="str">
        <f>Data!B277</f>
        <v>6246</v>
      </c>
      <c r="B281" s="20" t="str">
        <f>INDEX(Data[],MATCH($A281,Data[Dist],0),MATCH(B$5,Data[#Headers],0))</f>
        <v>Stratford</v>
      </c>
      <c r="C281" s="21">
        <f>IF(Notes!$B$2="June",ROUND('Budget by Source'!C281/10,0)+P281,ROUND('Budget by Source'!C281/10,0))</f>
        <v>4676</v>
      </c>
      <c r="D281" s="21">
        <f>IF(Notes!$B$2="June",ROUND('Budget by Source'!D281/10,0)+Q281,ROUND('Budget by Source'!D281/10,0))</f>
        <v>18052</v>
      </c>
      <c r="E281" s="21">
        <f>IF(Notes!$B$2="June",ROUND('Budget by Source'!E281/10,0)+R281,ROUND('Budget by Source'!E281/10,0))</f>
        <v>1100</v>
      </c>
      <c r="F281" s="21">
        <f>IF(Notes!$B$2="June",ROUND('Budget by Source'!F281/10,0)+S281,ROUND('Budget by Source'!F281/10,0))</f>
        <v>972</v>
      </c>
      <c r="G281" s="21">
        <f>IF(Notes!$B$2="June",ROUND('Budget by Source'!G281/10,0)+T281,ROUND('Budget by Source'!G281/10,0))</f>
        <v>5662</v>
      </c>
      <c r="H281" s="21">
        <f t="shared" si="12"/>
        <v>80684</v>
      </c>
      <c r="I281" s="21">
        <f>INDEX(Data[],MATCH($A281,Data[Dist],0),MATCH(I$5,Data[#Headers],0))</f>
        <v>111146</v>
      </c>
      <c r="K281" s="59">
        <f>INDEX('Payment Total'!$A$7:$H$331,MATCH('Payment by Source'!$A281,'Payment Total'!$A$7:$A$331,0),4)-I281</f>
        <v>0</v>
      </c>
      <c r="P281" s="138">
        <f>INDEX('Budget by Source'!$A$6:$I$330,MATCH('Payment by Source'!$A281,'Budget by Source'!$A$6:$A$330,0),MATCH(P$3,'Budget by Source'!$A$5:$I$5,0))-(ROUND(INDEX('Budget by Source'!$A$6:$I$330,MATCH('Payment by Source'!$A281,'Budget by Source'!$A$6:$A$330,0),MATCH(P$3,'Budget by Source'!$A$5:$I$5,0))/10,0)*10)</f>
        <v>-3</v>
      </c>
      <c r="Q281" s="138">
        <f>INDEX('Budget by Source'!$A$6:$I$330,MATCH('Payment by Source'!$A281,'Budget by Source'!$A$6:$A$330,0),MATCH(Q$3,'Budget by Source'!$A$5:$I$5,0))-(ROUND(INDEX('Budget by Source'!$A$6:$I$330,MATCH('Payment by Source'!$A281,'Budget by Source'!$A$6:$A$330,0),MATCH(Q$3,'Budget by Source'!$A$5:$I$5,0))/10,0)*10)</f>
        <v>-4</v>
      </c>
      <c r="R281" s="138">
        <f>INDEX('Budget by Source'!$A$6:$I$330,MATCH('Payment by Source'!$A281,'Budget by Source'!$A$6:$A$330,0),MATCH(R$3,'Budget by Source'!$A$5:$I$5,0))-(ROUND(INDEX('Budget by Source'!$A$6:$I$330,MATCH('Payment by Source'!$A281,'Budget by Source'!$A$6:$A$330,0),MATCH(R$3,'Budget by Source'!$A$5:$I$5,0))/10,0)*10)</f>
        <v>-5</v>
      </c>
      <c r="S281" s="138">
        <f>INDEX('Budget by Source'!$A$6:$I$330,MATCH('Payment by Source'!$A281,'Budget by Source'!$A$6:$A$330,0),MATCH(S$3,'Budget by Source'!$A$5:$I$5,0))-(ROUND(INDEX('Budget by Source'!$A$6:$I$330,MATCH('Payment by Source'!$A281,'Budget by Source'!$A$6:$A$330,0),MATCH(S$3,'Budget by Source'!$A$5:$I$5,0))/10,0)*10)</f>
        <v>-5</v>
      </c>
      <c r="T281" s="138">
        <f>INDEX('Budget by Source'!$A$6:$I$330,MATCH('Payment by Source'!$A281,'Budget by Source'!$A$6:$A$330,0),MATCH(T$3,'Budget by Source'!$A$5:$I$5,0))-(ROUND(INDEX('Budget by Source'!$A$6:$I$330,MATCH('Payment by Source'!$A281,'Budget by Source'!$A$6:$A$330,0),MATCH(T$3,'Budget by Source'!$A$5:$I$5,0))/10,0)*10)</f>
        <v>3</v>
      </c>
      <c r="U281" s="139">
        <f>INDEX('Budget by Source'!$A$6:$I$330,MATCH('Payment by Source'!$A281,'Budget by Source'!$A$6:$A$330,0),MATCH(U$3,'Budget by Source'!$A$5:$I$5,0))</f>
        <v>809043</v>
      </c>
      <c r="V281" s="136">
        <f t="shared" si="13"/>
        <v>80904</v>
      </c>
      <c r="W281" s="136">
        <f t="shared" si="14"/>
        <v>809040</v>
      </c>
    </row>
    <row r="282" spans="1:23" x14ac:dyDescent="0.2">
      <c r="A282" s="22" t="str">
        <f>Data!B278</f>
        <v>6264</v>
      </c>
      <c r="B282" s="20" t="str">
        <f>INDEX(Data[],MATCH($A282,Data[Dist],0),MATCH(B$5,Data[#Headers],0))</f>
        <v>West Central Valley</v>
      </c>
      <c r="C282" s="21">
        <f>IF(Notes!$B$2="June",ROUND('Budget by Source'!C282/10,0)+P282,ROUND('Budget by Source'!C282/10,0))</f>
        <v>19872</v>
      </c>
      <c r="D282" s="21">
        <f>IF(Notes!$B$2="June",ROUND('Budget by Source'!D282/10,0)+Q282,ROUND('Budget by Source'!D282/10,0))</f>
        <v>77428</v>
      </c>
      <c r="E282" s="21">
        <f>IF(Notes!$B$2="June",ROUND('Budget by Source'!E282/10,0)+R282,ROUND('Budget by Source'!E282/10,0))</f>
        <v>7122</v>
      </c>
      <c r="F282" s="21">
        <f>IF(Notes!$B$2="June",ROUND('Budget by Source'!F282/10,0)+S282,ROUND('Budget by Source'!F282/10,0))</f>
        <v>6459</v>
      </c>
      <c r="G282" s="21">
        <f>IF(Notes!$B$2="June",ROUND('Budget by Source'!G282/10,0)+T282,ROUND('Budget by Source'!G282/10,0))</f>
        <v>35613</v>
      </c>
      <c r="H282" s="21">
        <f t="shared" si="12"/>
        <v>414524</v>
      </c>
      <c r="I282" s="21">
        <f>INDEX(Data[],MATCH($A282,Data[Dist],0),MATCH(I$5,Data[#Headers],0))</f>
        <v>561018</v>
      </c>
      <c r="K282" s="59">
        <f>INDEX('Payment Total'!$A$7:$H$331,MATCH('Payment by Source'!$A282,'Payment Total'!$A$7:$A$331,0),4)-I282</f>
        <v>0</v>
      </c>
      <c r="P282" s="138">
        <f>INDEX('Budget by Source'!$A$6:$I$330,MATCH('Payment by Source'!$A282,'Budget by Source'!$A$6:$A$330,0),MATCH(P$3,'Budget by Source'!$A$5:$I$5,0))-(ROUND(INDEX('Budget by Source'!$A$6:$I$330,MATCH('Payment by Source'!$A282,'Budget by Source'!$A$6:$A$330,0),MATCH(P$3,'Budget by Source'!$A$5:$I$5,0))/10,0)*10)</f>
        <v>-3</v>
      </c>
      <c r="Q282" s="138">
        <f>INDEX('Budget by Source'!$A$6:$I$330,MATCH('Payment by Source'!$A282,'Budget by Source'!$A$6:$A$330,0),MATCH(Q$3,'Budget by Source'!$A$5:$I$5,0))-(ROUND(INDEX('Budget by Source'!$A$6:$I$330,MATCH('Payment by Source'!$A282,'Budget by Source'!$A$6:$A$330,0),MATCH(Q$3,'Budget by Source'!$A$5:$I$5,0))/10,0)*10)</f>
        <v>-5</v>
      </c>
      <c r="R282" s="138">
        <f>INDEX('Budget by Source'!$A$6:$I$330,MATCH('Payment by Source'!$A282,'Budget by Source'!$A$6:$A$330,0),MATCH(R$3,'Budget by Source'!$A$5:$I$5,0))-(ROUND(INDEX('Budget by Source'!$A$6:$I$330,MATCH('Payment by Source'!$A282,'Budget by Source'!$A$6:$A$330,0),MATCH(R$3,'Budget by Source'!$A$5:$I$5,0))/10,0)*10)</f>
        <v>-1</v>
      </c>
      <c r="S282" s="138">
        <f>INDEX('Budget by Source'!$A$6:$I$330,MATCH('Payment by Source'!$A282,'Budget by Source'!$A$6:$A$330,0),MATCH(S$3,'Budget by Source'!$A$5:$I$5,0))-(ROUND(INDEX('Budget by Source'!$A$6:$I$330,MATCH('Payment by Source'!$A282,'Budget by Source'!$A$6:$A$330,0),MATCH(S$3,'Budget by Source'!$A$5:$I$5,0))/10,0)*10)</f>
        <v>1</v>
      </c>
      <c r="T282" s="138">
        <f>INDEX('Budget by Source'!$A$6:$I$330,MATCH('Payment by Source'!$A282,'Budget by Source'!$A$6:$A$330,0),MATCH(T$3,'Budget by Source'!$A$5:$I$5,0))-(ROUND(INDEX('Budget by Source'!$A$6:$I$330,MATCH('Payment by Source'!$A282,'Budget by Source'!$A$6:$A$330,0),MATCH(T$3,'Budget by Source'!$A$5:$I$5,0))/10,0)*10)</f>
        <v>3</v>
      </c>
      <c r="U282" s="139">
        <f>INDEX('Budget by Source'!$A$6:$I$330,MATCH('Payment by Source'!$A282,'Budget by Source'!$A$6:$A$330,0),MATCH(U$3,'Budget by Source'!$A$5:$I$5,0))</f>
        <v>4159378</v>
      </c>
      <c r="V282" s="136">
        <f t="shared" si="13"/>
        <v>415938</v>
      </c>
      <c r="W282" s="136">
        <f t="shared" si="14"/>
        <v>4159380</v>
      </c>
    </row>
    <row r="283" spans="1:23" x14ac:dyDescent="0.2">
      <c r="A283" s="22" t="str">
        <f>Data!B279</f>
        <v>6273</v>
      </c>
      <c r="B283" s="20" t="str">
        <f>INDEX(Data[],MATCH($A283,Data[Dist],0),MATCH(B$5,Data[#Headers],0))</f>
        <v>Sumner-Fredericksburg</v>
      </c>
      <c r="C283" s="21">
        <f>IF(Notes!$B$2="June",ROUND('Budget by Source'!C283/10,0)+P283,ROUND('Budget by Source'!C283/10,0))</f>
        <v>15196</v>
      </c>
      <c r="D283" s="21">
        <f>IF(Notes!$B$2="June",ROUND('Budget by Source'!D283/10,0)+Q283,ROUND('Budget by Source'!D283/10,0))</f>
        <v>69269</v>
      </c>
      <c r="E283" s="21">
        <f>IF(Notes!$B$2="June",ROUND('Budget by Source'!E283/10,0)+R283,ROUND('Budget by Source'!E283/10,0))</f>
        <v>5610</v>
      </c>
      <c r="F283" s="21">
        <f>IF(Notes!$B$2="June",ROUND('Budget by Source'!F283/10,0)+S283,ROUND('Budget by Source'!F283/10,0))</f>
        <v>5933</v>
      </c>
      <c r="G283" s="21">
        <f>IF(Notes!$B$2="June",ROUND('Budget by Source'!G283/10,0)+T283,ROUND('Budget by Source'!G283/10,0))</f>
        <v>29475</v>
      </c>
      <c r="H283" s="21">
        <f t="shared" si="12"/>
        <v>440871</v>
      </c>
      <c r="I283" s="21">
        <f>INDEX(Data[],MATCH($A283,Data[Dist],0),MATCH(I$5,Data[#Headers],0))</f>
        <v>566354</v>
      </c>
      <c r="K283" s="59">
        <f>INDEX('Payment Total'!$A$7:$H$331,MATCH('Payment by Source'!$A283,'Payment Total'!$A$7:$A$331,0),4)-I283</f>
        <v>0</v>
      </c>
      <c r="P283" s="138">
        <f>INDEX('Budget by Source'!$A$6:$I$330,MATCH('Payment by Source'!$A283,'Budget by Source'!$A$6:$A$330,0),MATCH(P$3,'Budget by Source'!$A$5:$I$5,0))-(ROUND(INDEX('Budget by Source'!$A$6:$I$330,MATCH('Payment by Source'!$A283,'Budget by Source'!$A$6:$A$330,0),MATCH(P$3,'Budget by Source'!$A$5:$I$5,0))/10,0)*10)</f>
        <v>0</v>
      </c>
      <c r="Q283" s="138">
        <f>INDEX('Budget by Source'!$A$6:$I$330,MATCH('Payment by Source'!$A283,'Budget by Source'!$A$6:$A$330,0),MATCH(Q$3,'Budget by Source'!$A$5:$I$5,0))-(ROUND(INDEX('Budget by Source'!$A$6:$I$330,MATCH('Payment by Source'!$A283,'Budget by Source'!$A$6:$A$330,0),MATCH(Q$3,'Budget by Source'!$A$5:$I$5,0))/10,0)*10)</f>
        <v>-2</v>
      </c>
      <c r="R283" s="138">
        <f>INDEX('Budget by Source'!$A$6:$I$330,MATCH('Payment by Source'!$A283,'Budget by Source'!$A$6:$A$330,0),MATCH(R$3,'Budget by Source'!$A$5:$I$5,0))-(ROUND(INDEX('Budget by Source'!$A$6:$I$330,MATCH('Payment by Source'!$A283,'Budget by Source'!$A$6:$A$330,0),MATCH(R$3,'Budget by Source'!$A$5:$I$5,0))/10,0)*10)</f>
        <v>4</v>
      </c>
      <c r="S283" s="138">
        <f>INDEX('Budget by Source'!$A$6:$I$330,MATCH('Payment by Source'!$A283,'Budget by Source'!$A$6:$A$330,0),MATCH(S$3,'Budget by Source'!$A$5:$I$5,0))-(ROUND(INDEX('Budget by Source'!$A$6:$I$330,MATCH('Payment by Source'!$A283,'Budget by Source'!$A$6:$A$330,0),MATCH(S$3,'Budget by Source'!$A$5:$I$5,0))/10,0)*10)</f>
        <v>-4</v>
      </c>
      <c r="T283" s="138">
        <f>INDEX('Budget by Source'!$A$6:$I$330,MATCH('Payment by Source'!$A283,'Budget by Source'!$A$6:$A$330,0),MATCH(T$3,'Budget by Source'!$A$5:$I$5,0))-(ROUND(INDEX('Budget by Source'!$A$6:$I$330,MATCH('Payment by Source'!$A283,'Budget by Source'!$A$6:$A$330,0),MATCH(T$3,'Budget by Source'!$A$5:$I$5,0))/10,0)*10)</f>
        <v>1</v>
      </c>
      <c r="U283" s="139">
        <f>INDEX('Budget by Source'!$A$6:$I$330,MATCH('Payment by Source'!$A283,'Budget by Source'!$A$6:$A$330,0),MATCH(U$3,'Budget by Source'!$A$5:$I$5,0))</f>
        <v>4420389</v>
      </c>
      <c r="V283" s="136">
        <f t="shared" si="13"/>
        <v>442039</v>
      </c>
      <c r="W283" s="136">
        <f t="shared" si="14"/>
        <v>4420390</v>
      </c>
    </row>
    <row r="284" spans="1:23" x14ac:dyDescent="0.2">
      <c r="A284" s="22" t="str">
        <f>Data!B280</f>
        <v>6408</v>
      </c>
      <c r="B284" s="20" t="str">
        <f>INDEX(Data[],MATCH($A284,Data[Dist],0),MATCH(B$5,Data[#Headers],0))</f>
        <v>Tipton</v>
      </c>
      <c r="C284" s="21">
        <f>IF(Notes!$B$2="June",ROUND('Budget by Source'!C284/10,0)+P284,ROUND('Budget by Source'!C284/10,0))</f>
        <v>12079</v>
      </c>
      <c r="D284" s="21">
        <f>IF(Notes!$B$2="June",ROUND('Budget by Source'!D284/10,0)+Q284,ROUND('Budget by Source'!D284/10,0))</f>
        <v>79334</v>
      </c>
      <c r="E284" s="21">
        <f>IF(Notes!$B$2="June",ROUND('Budget by Source'!E284/10,0)+R284,ROUND('Budget by Source'!E284/10,0))</f>
        <v>6315</v>
      </c>
      <c r="F284" s="21">
        <f>IF(Notes!$B$2="June",ROUND('Budget by Source'!F284/10,0)+S284,ROUND('Budget by Source'!F284/10,0))</f>
        <v>5742</v>
      </c>
      <c r="G284" s="21">
        <f>IF(Notes!$B$2="June",ROUND('Budget by Source'!G284/10,0)+T284,ROUND('Budget by Source'!G284/10,0))</f>
        <v>30589</v>
      </c>
      <c r="H284" s="21">
        <f t="shared" si="12"/>
        <v>461481</v>
      </c>
      <c r="I284" s="21">
        <f>INDEX(Data[],MATCH($A284,Data[Dist],0),MATCH(I$5,Data[#Headers],0))</f>
        <v>595540</v>
      </c>
      <c r="K284" s="59">
        <f>INDEX('Payment Total'!$A$7:$H$331,MATCH('Payment by Source'!$A284,'Payment Total'!$A$7:$A$331,0),4)-I284</f>
        <v>0</v>
      </c>
      <c r="P284" s="138">
        <f>INDEX('Budget by Source'!$A$6:$I$330,MATCH('Payment by Source'!$A284,'Budget by Source'!$A$6:$A$330,0),MATCH(P$3,'Budget by Source'!$A$5:$I$5,0))-(ROUND(INDEX('Budget by Source'!$A$6:$I$330,MATCH('Payment by Source'!$A284,'Budget by Source'!$A$6:$A$330,0),MATCH(P$3,'Budget by Source'!$A$5:$I$5,0))/10,0)*10)</f>
        <v>-1</v>
      </c>
      <c r="Q284" s="138">
        <f>INDEX('Budget by Source'!$A$6:$I$330,MATCH('Payment by Source'!$A284,'Budget by Source'!$A$6:$A$330,0),MATCH(Q$3,'Budget by Source'!$A$5:$I$5,0))-(ROUND(INDEX('Budget by Source'!$A$6:$I$330,MATCH('Payment by Source'!$A284,'Budget by Source'!$A$6:$A$330,0),MATCH(Q$3,'Budget by Source'!$A$5:$I$5,0))/10,0)*10)</f>
        <v>-3</v>
      </c>
      <c r="R284" s="138">
        <f>INDEX('Budget by Source'!$A$6:$I$330,MATCH('Payment by Source'!$A284,'Budget by Source'!$A$6:$A$330,0),MATCH(R$3,'Budget by Source'!$A$5:$I$5,0))-(ROUND(INDEX('Budget by Source'!$A$6:$I$330,MATCH('Payment by Source'!$A284,'Budget by Source'!$A$6:$A$330,0),MATCH(R$3,'Budget by Source'!$A$5:$I$5,0))/10,0)*10)</f>
        <v>-2</v>
      </c>
      <c r="S284" s="138">
        <f>INDEX('Budget by Source'!$A$6:$I$330,MATCH('Payment by Source'!$A284,'Budget by Source'!$A$6:$A$330,0),MATCH(S$3,'Budget by Source'!$A$5:$I$5,0))-(ROUND(INDEX('Budget by Source'!$A$6:$I$330,MATCH('Payment by Source'!$A284,'Budget by Source'!$A$6:$A$330,0),MATCH(S$3,'Budget by Source'!$A$5:$I$5,0))/10,0)*10)</f>
        <v>3</v>
      </c>
      <c r="T284" s="138">
        <f>INDEX('Budget by Source'!$A$6:$I$330,MATCH('Payment by Source'!$A284,'Budget by Source'!$A$6:$A$330,0),MATCH(T$3,'Budget by Source'!$A$5:$I$5,0))-(ROUND(INDEX('Budget by Source'!$A$6:$I$330,MATCH('Payment by Source'!$A284,'Budget by Source'!$A$6:$A$330,0),MATCH(T$3,'Budget by Source'!$A$5:$I$5,0))/10,0)*10)</f>
        <v>4</v>
      </c>
      <c r="U284" s="139">
        <f>INDEX('Budget by Source'!$A$6:$I$330,MATCH('Payment by Source'!$A284,'Budget by Source'!$A$6:$A$330,0),MATCH(U$3,'Budget by Source'!$A$5:$I$5,0))</f>
        <v>4626962</v>
      </c>
      <c r="V284" s="136">
        <f t="shared" si="13"/>
        <v>462696</v>
      </c>
      <c r="W284" s="136">
        <f t="shared" si="14"/>
        <v>4626960</v>
      </c>
    </row>
    <row r="285" spans="1:23" x14ac:dyDescent="0.2">
      <c r="A285" s="22" t="str">
        <f>Data!B281</f>
        <v>6453</v>
      </c>
      <c r="B285" s="20" t="str">
        <f>INDEX(Data[],MATCH($A285,Data[Dist],0),MATCH(B$5,Data[#Headers],0))</f>
        <v>Treynor</v>
      </c>
      <c r="C285" s="21">
        <f>IF(Notes!$B$2="June",ROUND('Budget by Source'!C285/10,0)+P285,ROUND('Budget by Source'!C285/10,0))</f>
        <v>0</v>
      </c>
      <c r="D285" s="21">
        <f>IF(Notes!$B$2="June",ROUND('Budget by Source'!D285/10,0)+Q285,ROUND('Budget by Source'!D285/10,0))</f>
        <v>53076</v>
      </c>
      <c r="E285" s="21">
        <f>IF(Notes!$B$2="June",ROUND('Budget by Source'!E285/10,0)+R285,ROUND('Budget by Source'!E285/10,0))</f>
        <v>4379</v>
      </c>
      <c r="F285" s="21">
        <f>IF(Notes!$B$2="June",ROUND('Budget by Source'!F285/10,0)+S285,ROUND('Budget by Source'!F285/10,0))</f>
        <v>4162</v>
      </c>
      <c r="G285" s="21">
        <f>IF(Notes!$B$2="June",ROUND('Budget by Source'!G285/10,0)+T285,ROUND('Budget by Source'!G285/10,0))</f>
        <v>21845</v>
      </c>
      <c r="H285" s="21">
        <f t="shared" si="12"/>
        <v>278294</v>
      </c>
      <c r="I285" s="21">
        <f>INDEX(Data[],MATCH($A285,Data[Dist],0),MATCH(I$5,Data[#Headers],0))</f>
        <v>361756</v>
      </c>
      <c r="K285" s="59">
        <f>INDEX('Payment Total'!$A$7:$H$331,MATCH('Payment by Source'!$A285,'Payment Total'!$A$7:$A$331,0),4)-I285</f>
        <v>0</v>
      </c>
      <c r="P285" s="138">
        <f>INDEX('Budget by Source'!$A$6:$I$330,MATCH('Payment by Source'!$A285,'Budget by Source'!$A$6:$A$330,0),MATCH(P$3,'Budget by Source'!$A$5:$I$5,0))-(ROUND(INDEX('Budget by Source'!$A$6:$I$330,MATCH('Payment by Source'!$A285,'Budget by Source'!$A$6:$A$330,0),MATCH(P$3,'Budget by Source'!$A$5:$I$5,0))/10,0)*10)</f>
        <v>0</v>
      </c>
      <c r="Q285" s="138">
        <f>INDEX('Budget by Source'!$A$6:$I$330,MATCH('Payment by Source'!$A285,'Budget by Source'!$A$6:$A$330,0),MATCH(Q$3,'Budget by Source'!$A$5:$I$5,0))-(ROUND(INDEX('Budget by Source'!$A$6:$I$330,MATCH('Payment by Source'!$A285,'Budget by Source'!$A$6:$A$330,0),MATCH(Q$3,'Budget by Source'!$A$5:$I$5,0))/10,0)*10)</f>
        <v>4</v>
      </c>
      <c r="R285" s="138">
        <f>INDEX('Budget by Source'!$A$6:$I$330,MATCH('Payment by Source'!$A285,'Budget by Source'!$A$6:$A$330,0),MATCH(R$3,'Budget by Source'!$A$5:$I$5,0))-(ROUND(INDEX('Budget by Source'!$A$6:$I$330,MATCH('Payment by Source'!$A285,'Budget by Source'!$A$6:$A$330,0),MATCH(R$3,'Budget by Source'!$A$5:$I$5,0))/10,0)*10)</f>
        <v>-1</v>
      </c>
      <c r="S285" s="138">
        <f>INDEX('Budget by Source'!$A$6:$I$330,MATCH('Payment by Source'!$A285,'Budget by Source'!$A$6:$A$330,0),MATCH(S$3,'Budget by Source'!$A$5:$I$5,0))-(ROUND(INDEX('Budget by Source'!$A$6:$I$330,MATCH('Payment by Source'!$A285,'Budget by Source'!$A$6:$A$330,0),MATCH(S$3,'Budget by Source'!$A$5:$I$5,0))/10,0)*10)</f>
        <v>0</v>
      </c>
      <c r="T285" s="138">
        <f>INDEX('Budget by Source'!$A$6:$I$330,MATCH('Payment by Source'!$A285,'Budget by Source'!$A$6:$A$330,0),MATCH(T$3,'Budget by Source'!$A$5:$I$5,0))-(ROUND(INDEX('Budget by Source'!$A$6:$I$330,MATCH('Payment by Source'!$A285,'Budget by Source'!$A$6:$A$330,0),MATCH(T$3,'Budget by Source'!$A$5:$I$5,0))/10,0)*10)</f>
        <v>-3</v>
      </c>
      <c r="U285" s="139">
        <f>INDEX('Budget by Source'!$A$6:$I$330,MATCH('Payment by Source'!$A285,'Budget by Source'!$A$6:$A$330,0),MATCH(U$3,'Budget by Source'!$A$5:$I$5,0))</f>
        <v>2791548</v>
      </c>
      <c r="V285" s="136">
        <f t="shared" si="13"/>
        <v>279155</v>
      </c>
      <c r="W285" s="136">
        <f t="shared" si="14"/>
        <v>2791550</v>
      </c>
    </row>
    <row r="286" spans="1:23" x14ac:dyDescent="0.2">
      <c r="A286" s="22" t="str">
        <f>Data!B282</f>
        <v>6460</v>
      </c>
      <c r="B286" s="20" t="str">
        <f>INDEX(Data[],MATCH($A286,Data[Dist],0),MATCH(B$5,Data[#Headers],0))</f>
        <v>Tri-Center</v>
      </c>
      <c r="C286" s="21">
        <f>IF(Notes!$B$2="June",ROUND('Budget by Source'!C286/10,0)+P286,ROUND('Budget by Source'!C286/10,0))</f>
        <v>16755</v>
      </c>
      <c r="D286" s="21">
        <f>IF(Notes!$B$2="June",ROUND('Budget by Source'!D286/10,0)+Q286,ROUND('Budget by Source'!D286/10,0))</f>
        <v>61077</v>
      </c>
      <c r="E286" s="21">
        <f>IF(Notes!$B$2="June",ROUND('Budget by Source'!E286/10,0)+R286,ROUND('Budget by Source'!E286/10,0))</f>
        <v>4960</v>
      </c>
      <c r="F286" s="21">
        <f>IF(Notes!$B$2="June",ROUND('Budget by Source'!F286/10,0)+S286,ROUND('Budget by Source'!F286/10,0))</f>
        <v>5003</v>
      </c>
      <c r="G286" s="21">
        <f>IF(Notes!$B$2="June",ROUND('Budget by Source'!G286/10,0)+T286,ROUND('Budget by Source'!G286/10,0))</f>
        <v>24950</v>
      </c>
      <c r="H286" s="21">
        <f t="shared" si="12"/>
        <v>378143</v>
      </c>
      <c r="I286" s="21">
        <f>INDEX(Data[],MATCH($A286,Data[Dist],0),MATCH(I$5,Data[#Headers],0))</f>
        <v>490888</v>
      </c>
      <c r="K286" s="59">
        <f>INDEX('Payment Total'!$A$7:$H$331,MATCH('Payment by Source'!$A286,'Payment Total'!$A$7:$A$331,0),4)-I286</f>
        <v>0</v>
      </c>
      <c r="P286" s="138">
        <f>INDEX('Budget by Source'!$A$6:$I$330,MATCH('Payment by Source'!$A286,'Budget by Source'!$A$6:$A$330,0),MATCH(P$3,'Budget by Source'!$A$5:$I$5,0))-(ROUND(INDEX('Budget by Source'!$A$6:$I$330,MATCH('Payment by Source'!$A286,'Budget by Source'!$A$6:$A$330,0),MATCH(P$3,'Budget by Source'!$A$5:$I$5,0))/10,0)*10)</f>
        <v>-4</v>
      </c>
      <c r="Q286" s="138">
        <f>INDEX('Budget by Source'!$A$6:$I$330,MATCH('Payment by Source'!$A286,'Budget by Source'!$A$6:$A$330,0),MATCH(Q$3,'Budget by Source'!$A$5:$I$5,0))-(ROUND(INDEX('Budget by Source'!$A$6:$I$330,MATCH('Payment by Source'!$A286,'Budget by Source'!$A$6:$A$330,0),MATCH(Q$3,'Budget by Source'!$A$5:$I$5,0))/10,0)*10)</f>
        <v>1</v>
      </c>
      <c r="R286" s="138">
        <f>INDEX('Budget by Source'!$A$6:$I$330,MATCH('Payment by Source'!$A286,'Budget by Source'!$A$6:$A$330,0),MATCH(R$3,'Budget by Source'!$A$5:$I$5,0))-(ROUND(INDEX('Budget by Source'!$A$6:$I$330,MATCH('Payment by Source'!$A286,'Budget by Source'!$A$6:$A$330,0),MATCH(R$3,'Budget by Source'!$A$5:$I$5,0))/10,0)*10)</f>
        <v>-3</v>
      </c>
      <c r="S286" s="138">
        <f>INDEX('Budget by Source'!$A$6:$I$330,MATCH('Payment by Source'!$A286,'Budget by Source'!$A$6:$A$330,0),MATCH(S$3,'Budget by Source'!$A$5:$I$5,0))-(ROUND(INDEX('Budget by Source'!$A$6:$I$330,MATCH('Payment by Source'!$A286,'Budget by Source'!$A$6:$A$330,0),MATCH(S$3,'Budget by Source'!$A$5:$I$5,0))/10,0)*10)</f>
        <v>3</v>
      </c>
      <c r="T286" s="138">
        <f>INDEX('Budget by Source'!$A$6:$I$330,MATCH('Payment by Source'!$A286,'Budget by Source'!$A$6:$A$330,0),MATCH(T$3,'Budget by Source'!$A$5:$I$5,0))-(ROUND(INDEX('Budget by Source'!$A$6:$I$330,MATCH('Payment by Source'!$A286,'Budget by Source'!$A$6:$A$330,0),MATCH(T$3,'Budget by Source'!$A$5:$I$5,0))/10,0)*10)</f>
        <v>-3</v>
      </c>
      <c r="U286" s="139">
        <f>INDEX('Budget by Source'!$A$6:$I$330,MATCH('Payment by Source'!$A286,'Budget by Source'!$A$6:$A$330,0),MATCH(U$3,'Budget by Source'!$A$5:$I$5,0))</f>
        <v>3791279</v>
      </c>
      <c r="V286" s="136">
        <f t="shared" si="13"/>
        <v>379128</v>
      </c>
      <c r="W286" s="136">
        <f t="shared" si="14"/>
        <v>3791280</v>
      </c>
    </row>
    <row r="287" spans="1:23" x14ac:dyDescent="0.2">
      <c r="A287" s="22" t="str">
        <f>Data!B283</f>
        <v>6462</v>
      </c>
      <c r="B287" s="20" t="str">
        <f>INDEX(Data[],MATCH($A287,Data[Dist],0),MATCH(B$5,Data[#Headers],0))</f>
        <v>Tri-County</v>
      </c>
      <c r="C287" s="21">
        <f>IF(Notes!$B$2="June",ROUND('Budget by Source'!C287/10,0)+P287,ROUND('Budget by Source'!C287/10,0))</f>
        <v>3896</v>
      </c>
      <c r="D287" s="21">
        <f>IF(Notes!$B$2="June",ROUND('Budget by Source'!D287/10,0)+Q287,ROUND('Budget by Source'!D287/10,0))</f>
        <v>31166</v>
      </c>
      <c r="E287" s="21">
        <f>IF(Notes!$B$2="June",ROUND('Budget by Source'!E287/10,0)+R287,ROUND('Budget by Source'!E287/10,0))</f>
        <v>2337</v>
      </c>
      <c r="F287" s="21">
        <f>IF(Notes!$B$2="June",ROUND('Budget by Source'!F287/10,0)+S287,ROUND('Budget by Source'!F287/10,0))</f>
        <v>1858</v>
      </c>
      <c r="G287" s="21">
        <f>IF(Notes!$B$2="June",ROUND('Budget by Source'!G287/10,0)+T287,ROUND('Budget by Source'!G287/10,0))</f>
        <v>9796</v>
      </c>
      <c r="H287" s="21">
        <f t="shared" si="12"/>
        <v>140129</v>
      </c>
      <c r="I287" s="21">
        <f>INDEX(Data[],MATCH($A287,Data[Dist],0),MATCH(I$5,Data[#Headers],0))</f>
        <v>189182</v>
      </c>
      <c r="K287" s="59">
        <f>INDEX('Payment Total'!$A$7:$H$331,MATCH('Payment by Source'!$A287,'Payment Total'!$A$7:$A$331,0),4)-I287</f>
        <v>0</v>
      </c>
      <c r="P287" s="138">
        <f>INDEX('Budget by Source'!$A$6:$I$330,MATCH('Payment by Source'!$A287,'Budget by Source'!$A$6:$A$330,0),MATCH(P$3,'Budget by Source'!$A$5:$I$5,0))-(ROUND(INDEX('Budget by Source'!$A$6:$I$330,MATCH('Payment by Source'!$A287,'Budget by Source'!$A$6:$A$330,0),MATCH(P$3,'Budget by Source'!$A$5:$I$5,0))/10,0)*10)</f>
        <v>4</v>
      </c>
      <c r="Q287" s="138">
        <f>INDEX('Budget by Source'!$A$6:$I$330,MATCH('Payment by Source'!$A287,'Budget by Source'!$A$6:$A$330,0),MATCH(Q$3,'Budget by Source'!$A$5:$I$5,0))-(ROUND(INDEX('Budget by Source'!$A$6:$I$330,MATCH('Payment by Source'!$A287,'Budget by Source'!$A$6:$A$330,0),MATCH(Q$3,'Budget by Source'!$A$5:$I$5,0))/10,0)*10)</f>
        <v>-3</v>
      </c>
      <c r="R287" s="138">
        <f>INDEX('Budget by Source'!$A$6:$I$330,MATCH('Payment by Source'!$A287,'Budget by Source'!$A$6:$A$330,0),MATCH(R$3,'Budget by Source'!$A$5:$I$5,0))-(ROUND(INDEX('Budget by Source'!$A$6:$I$330,MATCH('Payment by Source'!$A287,'Budget by Source'!$A$6:$A$330,0),MATCH(R$3,'Budget by Source'!$A$5:$I$5,0))/10,0)*10)</f>
        <v>-1</v>
      </c>
      <c r="S287" s="138">
        <f>INDEX('Budget by Source'!$A$6:$I$330,MATCH('Payment by Source'!$A287,'Budget by Source'!$A$6:$A$330,0),MATCH(S$3,'Budget by Source'!$A$5:$I$5,0))-(ROUND(INDEX('Budget by Source'!$A$6:$I$330,MATCH('Payment by Source'!$A287,'Budget by Source'!$A$6:$A$330,0),MATCH(S$3,'Budget by Source'!$A$5:$I$5,0))/10,0)*10)</f>
        <v>-1</v>
      </c>
      <c r="T287" s="138">
        <f>INDEX('Budget by Source'!$A$6:$I$330,MATCH('Payment by Source'!$A287,'Budget by Source'!$A$6:$A$330,0),MATCH(T$3,'Budget by Source'!$A$5:$I$5,0))-(ROUND(INDEX('Budget by Source'!$A$6:$I$330,MATCH('Payment by Source'!$A287,'Budget by Source'!$A$6:$A$330,0),MATCH(T$3,'Budget by Source'!$A$5:$I$5,0))/10,0)*10)</f>
        <v>-5</v>
      </c>
      <c r="U287" s="139">
        <f>INDEX('Budget by Source'!$A$6:$I$330,MATCH('Payment by Source'!$A287,'Budget by Source'!$A$6:$A$330,0),MATCH(U$3,'Budget by Source'!$A$5:$I$5,0))</f>
        <v>1405154</v>
      </c>
      <c r="V287" s="136">
        <f t="shared" si="13"/>
        <v>140515</v>
      </c>
      <c r="W287" s="136">
        <f t="shared" si="14"/>
        <v>1405150</v>
      </c>
    </row>
    <row r="288" spans="1:23" x14ac:dyDescent="0.2">
      <c r="A288" s="22" t="str">
        <f>Data!B284</f>
        <v>6471</v>
      </c>
      <c r="B288" s="20" t="str">
        <f>INDEX(Data[],MATCH($A288,Data[Dist],0),MATCH(B$5,Data[#Headers],0))</f>
        <v>Tripoli</v>
      </c>
      <c r="C288" s="21">
        <f>IF(Notes!$B$2="June",ROUND('Budget by Source'!C288/10,0)+P288,ROUND('Budget by Source'!C288/10,0))</f>
        <v>9162</v>
      </c>
      <c r="D288" s="21">
        <f>IF(Notes!$B$2="June",ROUND('Budget by Source'!D288/10,0)+Q288,ROUND('Budget by Source'!D288/10,0))</f>
        <v>40781</v>
      </c>
      <c r="E288" s="21">
        <f>IF(Notes!$B$2="June",ROUND('Budget by Source'!E288/10,0)+R288,ROUND('Budget by Source'!E288/10,0))</f>
        <v>2992</v>
      </c>
      <c r="F288" s="21">
        <f>IF(Notes!$B$2="June",ROUND('Budget by Source'!F288/10,0)+S288,ROUND('Budget by Source'!F288/10,0))</f>
        <v>2881</v>
      </c>
      <c r="G288" s="21">
        <f>IF(Notes!$B$2="June",ROUND('Budget by Source'!G288/10,0)+T288,ROUND('Budget by Source'!G288/10,0))</f>
        <v>14403</v>
      </c>
      <c r="H288" s="21">
        <f t="shared" si="12"/>
        <v>244211</v>
      </c>
      <c r="I288" s="21">
        <f>INDEX(Data[],MATCH($A288,Data[Dist],0),MATCH(I$5,Data[#Headers],0))</f>
        <v>314430</v>
      </c>
      <c r="K288" s="59">
        <f>INDEX('Payment Total'!$A$7:$H$331,MATCH('Payment by Source'!$A288,'Payment Total'!$A$7:$A$331,0),4)-I288</f>
        <v>0</v>
      </c>
      <c r="P288" s="138">
        <f>INDEX('Budget by Source'!$A$6:$I$330,MATCH('Payment by Source'!$A288,'Budget by Source'!$A$6:$A$330,0),MATCH(P$3,'Budget by Source'!$A$5:$I$5,0))-(ROUND(INDEX('Budget by Source'!$A$6:$I$330,MATCH('Payment by Source'!$A288,'Budget by Source'!$A$6:$A$330,0),MATCH(P$3,'Budget by Source'!$A$5:$I$5,0))/10,0)*10)</f>
        <v>0</v>
      </c>
      <c r="Q288" s="138">
        <f>INDEX('Budget by Source'!$A$6:$I$330,MATCH('Payment by Source'!$A288,'Budget by Source'!$A$6:$A$330,0),MATCH(Q$3,'Budget by Source'!$A$5:$I$5,0))-(ROUND(INDEX('Budget by Source'!$A$6:$I$330,MATCH('Payment by Source'!$A288,'Budget by Source'!$A$6:$A$330,0),MATCH(Q$3,'Budget by Source'!$A$5:$I$5,0))/10,0)*10)</f>
        <v>2</v>
      </c>
      <c r="R288" s="138">
        <f>INDEX('Budget by Source'!$A$6:$I$330,MATCH('Payment by Source'!$A288,'Budget by Source'!$A$6:$A$330,0),MATCH(R$3,'Budget by Source'!$A$5:$I$5,0))-(ROUND(INDEX('Budget by Source'!$A$6:$I$330,MATCH('Payment by Source'!$A288,'Budget by Source'!$A$6:$A$330,0),MATCH(R$3,'Budget by Source'!$A$5:$I$5,0))/10,0)*10)</f>
        <v>4</v>
      </c>
      <c r="S288" s="138">
        <f>INDEX('Budget by Source'!$A$6:$I$330,MATCH('Payment by Source'!$A288,'Budget by Source'!$A$6:$A$330,0),MATCH(S$3,'Budget by Source'!$A$5:$I$5,0))-(ROUND(INDEX('Budget by Source'!$A$6:$I$330,MATCH('Payment by Source'!$A288,'Budget by Source'!$A$6:$A$330,0),MATCH(S$3,'Budget by Source'!$A$5:$I$5,0))/10,0)*10)</f>
        <v>-3</v>
      </c>
      <c r="T288" s="138">
        <f>INDEX('Budget by Source'!$A$6:$I$330,MATCH('Payment by Source'!$A288,'Budget by Source'!$A$6:$A$330,0),MATCH(T$3,'Budget by Source'!$A$5:$I$5,0))-(ROUND(INDEX('Budget by Source'!$A$6:$I$330,MATCH('Payment by Source'!$A288,'Budget by Source'!$A$6:$A$330,0),MATCH(T$3,'Budget by Source'!$A$5:$I$5,0))/10,0)*10)</f>
        <v>2</v>
      </c>
      <c r="U288" s="139">
        <f>INDEX('Budget by Source'!$A$6:$I$330,MATCH('Payment by Source'!$A288,'Budget by Source'!$A$6:$A$330,0),MATCH(U$3,'Budget by Source'!$A$5:$I$5,0))</f>
        <v>2447833</v>
      </c>
      <c r="V288" s="136">
        <f t="shared" si="13"/>
        <v>244783</v>
      </c>
      <c r="W288" s="136">
        <f t="shared" si="14"/>
        <v>2447830</v>
      </c>
    </row>
    <row r="289" spans="1:23" x14ac:dyDescent="0.2">
      <c r="A289" s="22" t="str">
        <f>Data!B285</f>
        <v>6509</v>
      </c>
      <c r="B289" s="20" t="str">
        <f>INDEX(Data[],MATCH($A289,Data[Dist],0),MATCH(B$5,Data[#Headers],0))</f>
        <v>Turkey Valley</v>
      </c>
      <c r="C289" s="21">
        <f>IF(Notes!$B$2="June",ROUND('Budget by Source'!C289/10,0)+P289,ROUND('Budget by Source'!C289/10,0))</f>
        <v>14027</v>
      </c>
      <c r="D289" s="21">
        <f>IF(Notes!$B$2="June",ROUND('Budget by Source'!D289/10,0)+Q289,ROUND('Budget by Source'!D289/10,0))</f>
        <v>40781</v>
      </c>
      <c r="E289" s="21">
        <f>IF(Notes!$B$2="June",ROUND('Budget by Source'!E289/10,0)+R289,ROUND('Budget by Source'!E289/10,0))</f>
        <v>2395</v>
      </c>
      <c r="F289" s="21">
        <f>IF(Notes!$B$2="June",ROUND('Budget by Source'!F289/10,0)+S289,ROUND('Budget by Source'!F289/10,0))</f>
        <v>3133</v>
      </c>
      <c r="G289" s="21">
        <f>IF(Notes!$B$2="June",ROUND('Budget by Source'!G289/10,0)+T289,ROUND('Budget by Source'!G289/10,0))</f>
        <v>14403</v>
      </c>
      <c r="H289" s="21">
        <f t="shared" si="12"/>
        <v>172473</v>
      </c>
      <c r="I289" s="21">
        <f>INDEX(Data[],MATCH($A289,Data[Dist],0),MATCH(I$5,Data[#Headers],0))</f>
        <v>247212</v>
      </c>
      <c r="K289" s="59">
        <f>INDEX('Payment Total'!$A$7:$H$331,MATCH('Payment by Source'!$A289,'Payment Total'!$A$7:$A$331,0),4)-I289</f>
        <v>0</v>
      </c>
      <c r="P289" s="138">
        <f>INDEX('Budget by Source'!$A$6:$I$330,MATCH('Payment by Source'!$A289,'Budget by Source'!$A$6:$A$330,0),MATCH(P$3,'Budget by Source'!$A$5:$I$5,0))-(ROUND(INDEX('Budget by Source'!$A$6:$I$330,MATCH('Payment by Source'!$A289,'Budget by Source'!$A$6:$A$330,0),MATCH(P$3,'Budget by Source'!$A$5:$I$5,0))/10,0)*10)</f>
        <v>1</v>
      </c>
      <c r="Q289" s="138">
        <f>INDEX('Budget by Source'!$A$6:$I$330,MATCH('Payment by Source'!$A289,'Budget by Source'!$A$6:$A$330,0),MATCH(Q$3,'Budget by Source'!$A$5:$I$5,0))-(ROUND(INDEX('Budget by Source'!$A$6:$I$330,MATCH('Payment by Source'!$A289,'Budget by Source'!$A$6:$A$330,0),MATCH(Q$3,'Budget by Source'!$A$5:$I$5,0))/10,0)*10)</f>
        <v>2</v>
      </c>
      <c r="R289" s="138">
        <f>INDEX('Budget by Source'!$A$6:$I$330,MATCH('Payment by Source'!$A289,'Budget by Source'!$A$6:$A$330,0),MATCH(R$3,'Budget by Source'!$A$5:$I$5,0))-(ROUND(INDEX('Budget by Source'!$A$6:$I$330,MATCH('Payment by Source'!$A289,'Budget by Source'!$A$6:$A$330,0),MATCH(R$3,'Budget by Source'!$A$5:$I$5,0))/10,0)*10)</f>
        <v>3</v>
      </c>
      <c r="S289" s="138">
        <f>INDEX('Budget by Source'!$A$6:$I$330,MATCH('Payment by Source'!$A289,'Budget by Source'!$A$6:$A$330,0),MATCH(S$3,'Budget by Source'!$A$5:$I$5,0))-(ROUND(INDEX('Budget by Source'!$A$6:$I$330,MATCH('Payment by Source'!$A289,'Budget by Source'!$A$6:$A$330,0),MATCH(S$3,'Budget by Source'!$A$5:$I$5,0))/10,0)*10)</f>
        <v>1</v>
      </c>
      <c r="T289" s="138">
        <f>INDEX('Budget by Source'!$A$6:$I$330,MATCH('Payment by Source'!$A289,'Budget by Source'!$A$6:$A$330,0),MATCH(T$3,'Budget by Source'!$A$5:$I$5,0))-(ROUND(INDEX('Budget by Source'!$A$6:$I$330,MATCH('Payment by Source'!$A289,'Budget by Source'!$A$6:$A$330,0),MATCH(T$3,'Budget by Source'!$A$5:$I$5,0))/10,0)*10)</f>
        <v>2</v>
      </c>
      <c r="U289" s="139">
        <f>INDEX('Budget by Source'!$A$6:$I$330,MATCH('Payment by Source'!$A289,'Budget by Source'!$A$6:$A$330,0),MATCH(U$3,'Budget by Source'!$A$5:$I$5,0))</f>
        <v>1730073</v>
      </c>
      <c r="V289" s="136">
        <f t="shared" si="13"/>
        <v>173007</v>
      </c>
      <c r="W289" s="136">
        <f t="shared" si="14"/>
        <v>1730070</v>
      </c>
    </row>
    <row r="290" spans="1:23" x14ac:dyDescent="0.2">
      <c r="A290" s="22" t="str">
        <f>Data!B286</f>
        <v>6512</v>
      </c>
      <c r="B290" s="20" t="str">
        <f>INDEX(Data[],MATCH($A290,Data[Dist],0),MATCH(B$5,Data[#Headers],0))</f>
        <v>Twin Cedars</v>
      </c>
      <c r="C290" s="21">
        <f>IF(Notes!$B$2="June",ROUND('Budget by Source'!C290/10,0)+P290,ROUND('Budget by Source'!C290/10,0))</f>
        <v>7014</v>
      </c>
      <c r="D290" s="21">
        <f>IF(Notes!$B$2="June",ROUND('Budget by Source'!D290/10,0)+Q290,ROUND('Budget by Source'!D290/10,0))</f>
        <v>38560</v>
      </c>
      <c r="E290" s="21">
        <f>IF(Notes!$B$2="June",ROUND('Budget by Source'!E290/10,0)+R290,ROUND('Budget by Source'!E290/10,0))</f>
        <v>2839</v>
      </c>
      <c r="F290" s="21">
        <f>IF(Notes!$B$2="June",ROUND('Budget by Source'!F290/10,0)+S290,ROUND('Budget by Source'!F290/10,0))</f>
        <v>2454</v>
      </c>
      <c r="G290" s="21">
        <f>IF(Notes!$B$2="June",ROUND('Budget by Source'!G290/10,0)+T290,ROUND('Budget by Source'!G290/10,0))</f>
        <v>12095</v>
      </c>
      <c r="H290" s="21">
        <f t="shared" si="12"/>
        <v>207213</v>
      </c>
      <c r="I290" s="21">
        <f>INDEX(Data[],MATCH($A290,Data[Dist],0),MATCH(I$5,Data[#Headers],0))</f>
        <v>270175</v>
      </c>
      <c r="K290" s="59">
        <f>INDEX('Payment Total'!$A$7:$H$331,MATCH('Payment by Source'!$A290,'Payment Total'!$A$7:$A$331,0),4)-I290</f>
        <v>0</v>
      </c>
      <c r="P290" s="138">
        <f>INDEX('Budget by Source'!$A$6:$I$330,MATCH('Payment by Source'!$A290,'Budget by Source'!$A$6:$A$330,0),MATCH(P$3,'Budget by Source'!$A$5:$I$5,0))-(ROUND(INDEX('Budget by Source'!$A$6:$I$330,MATCH('Payment by Source'!$A290,'Budget by Source'!$A$6:$A$330,0),MATCH(P$3,'Budget by Source'!$A$5:$I$5,0))/10,0)*10)</f>
        <v>-5</v>
      </c>
      <c r="Q290" s="138">
        <f>INDEX('Budget by Source'!$A$6:$I$330,MATCH('Payment by Source'!$A290,'Budget by Source'!$A$6:$A$330,0),MATCH(Q$3,'Budget by Source'!$A$5:$I$5,0))-(ROUND(INDEX('Budget by Source'!$A$6:$I$330,MATCH('Payment by Source'!$A290,'Budget by Source'!$A$6:$A$330,0),MATCH(Q$3,'Budget by Source'!$A$5:$I$5,0))/10,0)*10)</f>
        <v>-2</v>
      </c>
      <c r="R290" s="138">
        <f>INDEX('Budget by Source'!$A$6:$I$330,MATCH('Payment by Source'!$A290,'Budget by Source'!$A$6:$A$330,0),MATCH(R$3,'Budget by Source'!$A$5:$I$5,0))-(ROUND(INDEX('Budget by Source'!$A$6:$I$330,MATCH('Payment by Source'!$A290,'Budget by Source'!$A$6:$A$330,0),MATCH(R$3,'Budget by Source'!$A$5:$I$5,0))/10,0)*10)</f>
        <v>-4</v>
      </c>
      <c r="S290" s="138">
        <f>INDEX('Budget by Source'!$A$6:$I$330,MATCH('Payment by Source'!$A290,'Budget by Source'!$A$6:$A$330,0),MATCH(S$3,'Budget by Source'!$A$5:$I$5,0))-(ROUND(INDEX('Budget by Source'!$A$6:$I$330,MATCH('Payment by Source'!$A290,'Budget by Source'!$A$6:$A$330,0),MATCH(S$3,'Budget by Source'!$A$5:$I$5,0))/10,0)*10)</f>
        <v>3</v>
      </c>
      <c r="T290" s="138">
        <f>INDEX('Budget by Source'!$A$6:$I$330,MATCH('Payment by Source'!$A290,'Budget by Source'!$A$6:$A$330,0),MATCH(T$3,'Budget by Source'!$A$5:$I$5,0))-(ROUND(INDEX('Budget by Source'!$A$6:$I$330,MATCH('Payment by Source'!$A290,'Budget by Source'!$A$6:$A$330,0),MATCH(T$3,'Budget by Source'!$A$5:$I$5,0))/10,0)*10)</f>
        <v>2</v>
      </c>
      <c r="U290" s="139">
        <f>INDEX('Budget by Source'!$A$6:$I$330,MATCH('Payment by Source'!$A290,'Budget by Source'!$A$6:$A$330,0),MATCH(U$3,'Budget by Source'!$A$5:$I$5,0))</f>
        <v>2076855</v>
      </c>
      <c r="V290" s="136">
        <f t="shared" si="13"/>
        <v>207686</v>
      </c>
      <c r="W290" s="136">
        <f t="shared" si="14"/>
        <v>2076860</v>
      </c>
    </row>
    <row r="291" spans="1:23" x14ac:dyDescent="0.2">
      <c r="A291" s="22" t="str">
        <f>Data!B287</f>
        <v>6516</v>
      </c>
      <c r="B291" s="20" t="str">
        <f>INDEX(Data[],MATCH($A291,Data[Dist],0),MATCH(B$5,Data[#Headers],0))</f>
        <v>Twin Rivers</v>
      </c>
      <c r="C291" s="21">
        <f>IF(Notes!$B$2="June",ROUND('Budget by Source'!C291/10,0)+P291,ROUND('Budget by Source'!C291/10,0))</f>
        <v>3117</v>
      </c>
      <c r="D291" s="21">
        <f>IF(Notes!$B$2="June",ROUND('Budget by Source'!D291/10,0)+Q291,ROUND('Budget by Source'!D291/10,0))</f>
        <v>19629</v>
      </c>
      <c r="E291" s="21">
        <f>IF(Notes!$B$2="June",ROUND('Budget by Source'!E291/10,0)+R291,ROUND('Budget by Source'!E291/10,0))</f>
        <v>1220</v>
      </c>
      <c r="F291" s="21">
        <f>IF(Notes!$B$2="June",ROUND('Budget by Source'!F291/10,0)+S291,ROUND('Budget by Source'!F291/10,0))</f>
        <v>1218</v>
      </c>
      <c r="G291" s="21">
        <f>IF(Notes!$B$2="June",ROUND('Budget by Source'!G291/10,0)+T291,ROUND('Budget by Source'!G291/10,0))</f>
        <v>6157</v>
      </c>
      <c r="H291" s="21">
        <f t="shared" si="12"/>
        <v>46442</v>
      </c>
      <c r="I291" s="21">
        <f>INDEX(Data[],MATCH($A291,Data[Dist],0),MATCH(I$5,Data[#Headers],0))</f>
        <v>77783</v>
      </c>
      <c r="K291" s="59">
        <f>INDEX('Payment Total'!$A$7:$H$331,MATCH('Payment by Source'!$A291,'Payment Total'!$A$7:$A$331,0),4)-I291</f>
        <v>0</v>
      </c>
      <c r="P291" s="138">
        <f>INDEX('Budget by Source'!$A$6:$I$330,MATCH('Payment by Source'!$A291,'Budget by Source'!$A$6:$A$330,0),MATCH(P$3,'Budget by Source'!$A$5:$I$5,0))-(ROUND(INDEX('Budget by Source'!$A$6:$I$330,MATCH('Payment by Source'!$A291,'Budget by Source'!$A$6:$A$330,0),MATCH(P$3,'Budget by Source'!$A$5:$I$5,0))/10,0)*10)</f>
        <v>1</v>
      </c>
      <c r="Q291" s="138">
        <f>INDEX('Budget by Source'!$A$6:$I$330,MATCH('Payment by Source'!$A291,'Budget by Source'!$A$6:$A$330,0),MATCH(Q$3,'Budget by Source'!$A$5:$I$5,0))-(ROUND(INDEX('Budget by Source'!$A$6:$I$330,MATCH('Payment by Source'!$A291,'Budget by Source'!$A$6:$A$330,0),MATCH(Q$3,'Budget by Source'!$A$5:$I$5,0))/10,0)*10)</f>
        <v>1</v>
      </c>
      <c r="R291" s="138">
        <f>INDEX('Budget by Source'!$A$6:$I$330,MATCH('Payment by Source'!$A291,'Budget by Source'!$A$6:$A$330,0),MATCH(R$3,'Budget by Source'!$A$5:$I$5,0))-(ROUND(INDEX('Budget by Source'!$A$6:$I$330,MATCH('Payment by Source'!$A291,'Budget by Source'!$A$6:$A$330,0),MATCH(R$3,'Budget by Source'!$A$5:$I$5,0))/10,0)*10)</f>
        <v>2</v>
      </c>
      <c r="S291" s="138">
        <f>INDEX('Budget by Source'!$A$6:$I$330,MATCH('Payment by Source'!$A291,'Budget by Source'!$A$6:$A$330,0),MATCH(S$3,'Budget by Source'!$A$5:$I$5,0))-(ROUND(INDEX('Budget by Source'!$A$6:$I$330,MATCH('Payment by Source'!$A291,'Budget by Source'!$A$6:$A$330,0),MATCH(S$3,'Budget by Source'!$A$5:$I$5,0))/10,0)*10)</f>
        <v>-4</v>
      </c>
      <c r="T291" s="138">
        <f>INDEX('Budget by Source'!$A$6:$I$330,MATCH('Payment by Source'!$A291,'Budget by Source'!$A$6:$A$330,0),MATCH(T$3,'Budget by Source'!$A$5:$I$5,0))-(ROUND(INDEX('Budget by Source'!$A$6:$I$330,MATCH('Payment by Source'!$A291,'Budget by Source'!$A$6:$A$330,0),MATCH(T$3,'Budget by Source'!$A$5:$I$5,0))/10,0)*10)</f>
        <v>2</v>
      </c>
      <c r="U291" s="139">
        <f>INDEX('Budget by Source'!$A$6:$I$330,MATCH('Payment by Source'!$A291,'Budget by Source'!$A$6:$A$330,0),MATCH(U$3,'Budget by Source'!$A$5:$I$5,0))</f>
        <v>466758</v>
      </c>
      <c r="V291" s="136">
        <f t="shared" si="13"/>
        <v>46676</v>
      </c>
      <c r="W291" s="136">
        <f t="shared" si="14"/>
        <v>466760</v>
      </c>
    </row>
    <row r="292" spans="1:23" x14ac:dyDescent="0.2">
      <c r="A292" s="22" t="str">
        <f>Data!B288</f>
        <v>6534</v>
      </c>
      <c r="B292" s="20" t="str">
        <f>INDEX(Data[],MATCH($A292,Data[Dist],0),MATCH(B$5,Data[#Headers],0))</f>
        <v>Underwood</v>
      </c>
      <c r="C292" s="21">
        <f>IF(Notes!$B$2="June",ROUND('Budget by Source'!C292/10,0)+P292,ROUND('Budget by Source'!C292/10,0))</f>
        <v>17924</v>
      </c>
      <c r="D292" s="21">
        <f>IF(Notes!$B$2="June",ROUND('Budget by Source'!D292/10,0)+Q292,ROUND('Budget by Source'!D292/10,0))</f>
        <v>66073</v>
      </c>
      <c r="E292" s="21">
        <f>IF(Notes!$B$2="June",ROUND('Budget by Source'!E292/10,0)+R292,ROUND('Budget by Source'!E292/10,0))</f>
        <v>5515</v>
      </c>
      <c r="F292" s="21">
        <f>IF(Notes!$B$2="June",ROUND('Budget by Source'!F292/10,0)+S292,ROUND('Budget by Source'!F292/10,0))</f>
        <v>5005</v>
      </c>
      <c r="G292" s="21">
        <f>IF(Notes!$B$2="June",ROUND('Budget by Source'!G292/10,0)+T292,ROUND('Budget by Source'!G292/10,0))</f>
        <v>28182</v>
      </c>
      <c r="H292" s="21">
        <f t="shared" si="12"/>
        <v>407549</v>
      </c>
      <c r="I292" s="21">
        <f>INDEX(Data[],MATCH($A292,Data[Dist],0),MATCH(I$5,Data[#Headers],0))</f>
        <v>530248</v>
      </c>
      <c r="K292" s="59">
        <f>INDEX('Payment Total'!$A$7:$H$331,MATCH('Payment by Source'!$A292,'Payment Total'!$A$7:$A$331,0),4)-I292</f>
        <v>0</v>
      </c>
      <c r="P292" s="138">
        <f>INDEX('Budget by Source'!$A$6:$I$330,MATCH('Payment by Source'!$A292,'Budget by Source'!$A$6:$A$330,0),MATCH(P$3,'Budget by Source'!$A$5:$I$5,0))-(ROUND(INDEX('Budget by Source'!$A$6:$I$330,MATCH('Payment by Source'!$A292,'Budget by Source'!$A$6:$A$330,0),MATCH(P$3,'Budget by Source'!$A$5:$I$5,0))/10,0)*10)</f>
        <v>-5</v>
      </c>
      <c r="Q292" s="138">
        <f>INDEX('Budget by Source'!$A$6:$I$330,MATCH('Payment by Source'!$A292,'Budget by Source'!$A$6:$A$330,0),MATCH(Q$3,'Budget by Source'!$A$5:$I$5,0))-(ROUND(INDEX('Budget by Source'!$A$6:$I$330,MATCH('Payment by Source'!$A292,'Budget by Source'!$A$6:$A$330,0),MATCH(Q$3,'Budget by Source'!$A$5:$I$5,0))/10,0)*10)</f>
        <v>0</v>
      </c>
      <c r="R292" s="138">
        <f>INDEX('Budget by Source'!$A$6:$I$330,MATCH('Payment by Source'!$A292,'Budget by Source'!$A$6:$A$330,0),MATCH(R$3,'Budget by Source'!$A$5:$I$5,0))-(ROUND(INDEX('Budget by Source'!$A$6:$I$330,MATCH('Payment by Source'!$A292,'Budget by Source'!$A$6:$A$330,0),MATCH(R$3,'Budget by Source'!$A$5:$I$5,0))/10,0)*10)</f>
        <v>-5</v>
      </c>
      <c r="S292" s="138">
        <f>INDEX('Budget by Source'!$A$6:$I$330,MATCH('Payment by Source'!$A292,'Budget by Source'!$A$6:$A$330,0),MATCH(S$3,'Budget by Source'!$A$5:$I$5,0))-(ROUND(INDEX('Budget by Source'!$A$6:$I$330,MATCH('Payment by Source'!$A292,'Budget by Source'!$A$6:$A$330,0),MATCH(S$3,'Budget by Source'!$A$5:$I$5,0))/10,0)*10)</f>
        <v>4</v>
      </c>
      <c r="T292" s="138">
        <f>INDEX('Budget by Source'!$A$6:$I$330,MATCH('Payment by Source'!$A292,'Budget by Source'!$A$6:$A$330,0),MATCH(T$3,'Budget by Source'!$A$5:$I$5,0))-(ROUND(INDEX('Budget by Source'!$A$6:$I$330,MATCH('Payment by Source'!$A292,'Budget by Source'!$A$6:$A$330,0),MATCH(T$3,'Budget by Source'!$A$5:$I$5,0))/10,0)*10)</f>
        <v>-5</v>
      </c>
      <c r="U292" s="139">
        <f>INDEX('Budget by Source'!$A$6:$I$330,MATCH('Payment by Source'!$A292,'Budget by Source'!$A$6:$A$330,0),MATCH(U$3,'Budget by Source'!$A$5:$I$5,0))</f>
        <v>4086527</v>
      </c>
      <c r="V292" s="136">
        <f t="shared" si="13"/>
        <v>408653</v>
      </c>
      <c r="W292" s="136">
        <f t="shared" si="14"/>
        <v>4086530</v>
      </c>
    </row>
    <row r="293" spans="1:23" x14ac:dyDescent="0.2">
      <c r="A293" s="22" t="str">
        <f>Data!B289</f>
        <v>6561</v>
      </c>
      <c r="B293" s="20" t="str">
        <f>INDEX(Data[],MATCH($A293,Data[Dist],0),MATCH(B$5,Data[#Headers],0))</f>
        <v>United</v>
      </c>
      <c r="C293" s="21">
        <f>IF(Notes!$B$2="June",ROUND('Budget by Source'!C293/10,0)+P293,ROUND('Budget by Source'!C293/10,0))</f>
        <v>19092</v>
      </c>
      <c r="D293" s="21">
        <f>IF(Notes!$B$2="June",ROUND('Budget by Source'!D293/10,0)+Q293,ROUND('Budget by Source'!D293/10,0))</f>
        <v>48428</v>
      </c>
      <c r="E293" s="21">
        <f>IF(Notes!$B$2="June",ROUND('Budget by Source'!E293/10,0)+R293,ROUND('Budget by Source'!E293/10,0))</f>
        <v>2982</v>
      </c>
      <c r="F293" s="21">
        <f>IF(Notes!$B$2="June",ROUND('Budget by Source'!F293/10,0)+S293,ROUND('Budget by Source'!F293/10,0))</f>
        <v>1992</v>
      </c>
      <c r="G293" s="21">
        <f>IF(Notes!$B$2="June",ROUND('Budget by Source'!G293/10,0)+T293,ROUND('Budget by Source'!G293/10,0))</f>
        <v>14222</v>
      </c>
      <c r="H293" s="21">
        <f t="shared" si="12"/>
        <v>75405</v>
      </c>
      <c r="I293" s="21">
        <f>INDEX(Data[],MATCH($A293,Data[Dist],0),MATCH(I$5,Data[#Headers],0))</f>
        <v>162121</v>
      </c>
      <c r="K293" s="59">
        <f>INDEX('Payment Total'!$A$7:$H$331,MATCH('Payment by Source'!$A293,'Payment Total'!$A$7:$A$331,0),4)-I293</f>
        <v>0</v>
      </c>
      <c r="P293" s="138">
        <f>INDEX('Budget by Source'!$A$6:$I$330,MATCH('Payment by Source'!$A293,'Budget by Source'!$A$6:$A$330,0),MATCH(P$3,'Budget by Source'!$A$5:$I$5,0))-(ROUND(INDEX('Budget by Source'!$A$6:$I$330,MATCH('Payment by Source'!$A293,'Budget by Source'!$A$6:$A$330,0),MATCH(P$3,'Budget by Source'!$A$5:$I$5,0))/10,0)*10)</f>
        <v>4</v>
      </c>
      <c r="Q293" s="138">
        <f>INDEX('Budget by Source'!$A$6:$I$330,MATCH('Payment by Source'!$A293,'Budget by Source'!$A$6:$A$330,0),MATCH(Q$3,'Budget by Source'!$A$5:$I$5,0))-(ROUND(INDEX('Budget by Source'!$A$6:$I$330,MATCH('Payment by Source'!$A293,'Budget by Source'!$A$6:$A$330,0),MATCH(Q$3,'Budget by Source'!$A$5:$I$5,0))/10,0)*10)</f>
        <v>-5</v>
      </c>
      <c r="R293" s="138">
        <f>INDEX('Budget by Source'!$A$6:$I$330,MATCH('Payment by Source'!$A293,'Budget by Source'!$A$6:$A$330,0),MATCH(R$3,'Budget by Source'!$A$5:$I$5,0))-(ROUND(INDEX('Budget by Source'!$A$6:$I$330,MATCH('Payment by Source'!$A293,'Budget by Source'!$A$6:$A$330,0),MATCH(R$3,'Budget by Source'!$A$5:$I$5,0))/10,0)*10)</f>
        <v>-2</v>
      </c>
      <c r="S293" s="138">
        <f>INDEX('Budget by Source'!$A$6:$I$330,MATCH('Payment by Source'!$A293,'Budget by Source'!$A$6:$A$330,0),MATCH(S$3,'Budget by Source'!$A$5:$I$5,0))-(ROUND(INDEX('Budget by Source'!$A$6:$I$330,MATCH('Payment by Source'!$A293,'Budget by Source'!$A$6:$A$330,0),MATCH(S$3,'Budget by Source'!$A$5:$I$5,0))/10,0)*10)</f>
        <v>4</v>
      </c>
      <c r="T293" s="138">
        <f>INDEX('Budget by Source'!$A$6:$I$330,MATCH('Payment by Source'!$A293,'Budget by Source'!$A$6:$A$330,0),MATCH(T$3,'Budget by Source'!$A$5:$I$5,0))-(ROUND(INDEX('Budget by Source'!$A$6:$I$330,MATCH('Payment by Source'!$A293,'Budget by Source'!$A$6:$A$330,0),MATCH(T$3,'Budget by Source'!$A$5:$I$5,0))/10,0)*10)</f>
        <v>-4</v>
      </c>
      <c r="U293" s="139">
        <f>INDEX('Budget by Source'!$A$6:$I$330,MATCH('Payment by Source'!$A293,'Budget by Source'!$A$6:$A$330,0),MATCH(U$3,'Budget by Source'!$A$5:$I$5,0))</f>
        <v>759515</v>
      </c>
      <c r="V293" s="136">
        <f t="shared" si="13"/>
        <v>75952</v>
      </c>
      <c r="W293" s="136">
        <f t="shared" si="14"/>
        <v>759520</v>
      </c>
    </row>
    <row r="294" spans="1:23" x14ac:dyDescent="0.2">
      <c r="A294" s="22" t="str">
        <f>Data!B290</f>
        <v>6579</v>
      </c>
      <c r="B294" s="20" t="str">
        <f>INDEX(Data[],MATCH($A294,Data[Dist],0),MATCH(B$5,Data[#Headers],0))</f>
        <v>Urbandale</v>
      </c>
      <c r="C294" s="21">
        <f>IF(Notes!$B$2="June",ROUND('Budget by Source'!C294/10,0)+P294,ROUND('Budget by Source'!C294/10,0))</f>
        <v>83383</v>
      </c>
      <c r="D294" s="21">
        <f>IF(Notes!$B$2="June",ROUND('Budget by Source'!D294/10,0)+Q294,ROUND('Budget by Source'!D294/10,0))</f>
        <v>263175</v>
      </c>
      <c r="E294" s="21">
        <f>IF(Notes!$B$2="June",ROUND('Budget by Source'!E294/10,0)+R294,ROUND('Budget by Source'!E294/10,0))</f>
        <v>28076</v>
      </c>
      <c r="F294" s="21">
        <f>IF(Notes!$B$2="June",ROUND('Budget by Source'!F294/10,0)+S294,ROUND('Budget by Source'!F294/10,0))</f>
        <v>28706</v>
      </c>
      <c r="G294" s="21">
        <f>IF(Notes!$B$2="June",ROUND('Budget by Source'!G294/10,0)+T294,ROUND('Budget by Source'!G294/10,0))</f>
        <v>136156</v>
      </c>
      <c r="H294" s="21">
        <f t="shared" si="12"/>
        <v>1939354</v>
      </c>
      <c r="I294" s="21">
        <f>INDEX(Data[],MATCH($A294,Data[Dist],0),MATCH(I$5,Data[#Headers],0))</f>
        <v>2478850</v>
      </c>
      <c r="K294" s="59">
        <f>INDEX('Payment Total'!$A$7:$H$331,MATCH('Payment by Source'!$A294,'Payment Total'!$A$7:$A$331,0),4)-I294</f>
        <v>0</v>
      </c>
      <c r="P294" s="138">
        <f>INDEX('Budget by Source'!$A$6:$I$330,MATCH('Payment by Source'!$A294,'Budget by Source'!$A$6:$A$330,0),MATCH(P$3,'Budget by Source'!$A$5:$I$5,0))-(ROUND(INDEX('Budget by Source'!$A$6:$I$330,MATCH('Payment by Source'!$A294,'Budget by Source'!$A$6:$A$330,0),MATCH(P$3,'Budget by Source'!$A$5:$I$5,0))/10,0)*10)</f>
        <v>3</v>
      </c>
      <c r="Q294" s="138">
        <f>INDEX('Budget by Source'!$A$6:$I$330,MATCH('Payment by Source'!$A294,'Budget by Source'!$A$6:$A$330,0),MATCH(Q$3,'Budget by Source'!$A$5:$I$5,0))-(ROUND(INDEX('Budget by Source'!$A$6:$I$330,MATCH('Payment by Source'!$A294,'Budget by Source'!$A$6:$A$330,0),MATCH(Q$3,'Budget by Source'!$A$5:$I$5,0))/10,0)*10)</f>
        <v>4</v>
      </c>
      <c r="R294" s="138">
        <f>INDEX('Budget by Source'!$A$6:$I$330,MATCH('Payment by Source'!$A294,'Budget by Source'!$A$6:$A$330,0),MATCH(R$3,'Budget by Source'!$A$5:$I$5,0))-(ROUND(INDEX('Budget by Source'!$A$6:$I$330,MATCH('Payment by Source'!$A294,'Budget by Source'!$A$6:$A$330,0),MATCH(R$3,'Budget by Source'!$A$5:$I$5,0))/10,0)*10)</f>
        <v>-5</v>
      </c>
      <c r="S294" s="138">
        <f>INDEX('Budget by Source'!$A$6:$I$330,MATCH('Payment by Source'!$A294,'Budget by Source'!$A$6:$A$330,0),MATCH(S$3,'Budget by Source'!$A$5:$I$5,0))-(ROUND(INDEX('Budget by Source'!$A$6:$I$330,MATCH('Payment by Source'!$A294,'Budget by Source'!$A$6:$A$330,0),MATCH(S$3,'Budget by Source'!$A$5:$I$5,0))/10,0)*10)</f>
        <v>2</v>
      </c>
      <c r="T294" s="138">
        <f>INDEX('Budget by Source'!$A$6:$I$330,MATCH('Payment by Source'!$A294,'Budget by Source'!$A$6:$A$330,0),MATCH(T$3,'Budget by Source'!$A$5:$I$5,0))-(ROUND(INDEX('Budget by Source'!$A$6:$I$330,MATCH('Payment by Source'!$A294,'Budget by Source'!$A$6:$A$330,0),MATCH(T$3,'Budget by Source'!$A$5:$I$5,0))/10,0)*10)</f>
        <v>4</v>
      </c>
      <c r="U294" s="139">
        <f>INDEX('Budget by Source'!$A$6:$I$330,MATCH('Payment by Source'!$A294,'Budget by Source'!$A$6:$A$330,0),MATCH(U$3,'Budget by Source'!$A$5:$I$5,0))</f>
        <v>19445213</v>
      </c>
      <c r="V294" s="136">
        <f t="shared" si="13"/>
        <v>1944521</v>
      </c>
      <c r="W294" s="136">
        <f t="shared" si="14"/>
        <v>19445210</v>
      </c>
    </row>
    <row r="295" spans="1:23" x14ac:dyDescent="0.2">
      <c r="A295" s="22" t="str">
        <f>Data!B291</f>
        <v>6592</v>
      </c>
      <c r="B295" s="20" t="str">
        <f>INDEX(Data[],MATCH($A295,Data[Dist],0),MATCH(B$5,Data[#Headers],0))</f>
        <v>Van Buren County</v>
      </c>
      <c r="C295" s="21">
        <f>IF(Notes!$B$2="June",ROUND('Budget by Source'!C295/10,0)+P295,ROUND('Budget by Source'!C295/10,0))</f>
        <v>20651</v>
      </c>
      <c r="D295" s="21">
        <f>IF(Notes!$B$2="June",ROUND('Budget by Source'!D295/10,0)+Q295,ROUND('Budget by Source'!D295/10,0))</f>
        <v>88200</v>
      </c>
      <c r="E295" s="21">
        <f>IF(Notes!$B$2="June",ROUND('Budget by Source'!E295/10,0)+R295,ROUND('Budget by Source'!E295/10,0))</f>
        <v>7822</v>
      </c>
      <c r="F295" s="21">
        <f>IF(Notes!$B$2="June",ROUND('Budget by Source'!F295/10,0)+S295,ROUND('Budget by Source'!F295/10,0))</f>
        <v>6500</v>
      </c>
      <c r="G295" s="21">
        <f>IF(Notes!$B$2="June",ROUND('Budget by Source'!G295/10,0)+T295,ROUND('Budget by Source'!G295/10,0))</f>
        <v>36403</v>
      </c>
      <c r="H295" s="21">
        <f t="shared" si="12"/>
        <v>489042</v>
      </c>
      <c r="I295" s="21">
        <f>INDEX(Data[],MATCH($A295,Data[Dist],0),MATCH(I$5,Data[#Headers],0))</f>
        <v>648618</v>
      </c>
      <c r="K295" s="59">
        <f>INDEX('Payment Total'!$A$7:$H$331,MATCH('Payment by Source'!$A295,'Payment Total'!$A$7:$A$331,0),4)-I295</f>
        <v>0</v>
      </c>
      <c r="P295" s="138">
        <f>INDEX('Budget by Source'!$A$6:$I$330,MATCH('Payment by Source'!$A295,'Budget by Source'!$A$6:$A$330,0),MATCH(P$3,'Budget by Source'!$A$5:$I$5,0))-(ROUND(INDEX('Budget by Source'!$A$6:$I$330,MATCH('Payment by Source'!$A295,'Budget by Source'!$A$6:$A$330,0),MATCH(P$3,'Budget by Source'!$A$5:$I$5,0))/10,0)*10)</f>
        <v>0</v>
      </c>
      <c r="Q295" s="138">
        <f>INDEX('Budget by Source'!$A$6:$I$330,MATCH('Payment by Source'!$A295,'Budget by Source'!$A$6:$A$330,0),MATCH(Q$3,'Budget by Source'!$A$5:$I$5,0))-(ROUND(INDEX('Budget by Source'!$A$6:$I$330,MATCH('Payment by Source'!$A295,'Budget by Source'!$A$6:$A$330,0),MATCH(Q$3,'Budget by Source'!$A$5:$I$5,0))/10,0)*10)</f>
        <v>-2</v>
      </c>
      <c r="R295" s="138">
        <f>INDEX('Budget by Source'!$A$6:$I$330,MATCH('Payment by Source'!$A295,'Budget by Source'!$A$6:$A$330,0),MATCH(R$3,'Budget by Source'!$A$5:$I$5,0))-(ROUND(INDEX('Budget by Source'!$A$6:$I$330,MATCH('Payment by Source'!$A295,'Budget by Source'!$A$6:$A$330,0),MATCH(R$3,'Budget by Source'!$A$5:$I$5,0))/10,0)*10)</f>
        <v>4</v>
      </c>
      <c r="S295" s="138">
        <f>INDEX('Budget by Source'!$A$6:$I$330,MATCH('Payment by Source'!$A295,'Budget by Source'!$A$6:$A$330,0),MATCH(S$3,'Budget by Source'!$A$5:$I$5,0))-(ROUND(INDEX('Budget by Source'!$A$6:$I$330,MATCH('Payment by Source'!$A295,'Budget by Source'!$A$6:$A$330,0),MATCH(S$3,'Budget by Source'!$A$5:$I$5,0))/10,0)*10)</f>
        <v>2</v>
      </c>
      <c r="T295" s="138">
        <f>INDEX('Budget by Source'!$A$6:$I$330,MATCH('Payment by Source'!$A295,'Budget by Source'!$A$6:$A$330,0),MATCH(T$3,'Budget by Source'!$A$5:$I$5,0))-(ROUND(INDEX('Budget by Source'!$A$6:$I$330,MATCH('Payment by Source'!$A295,'Budget by Source'!$A$6:$A$330,0),MATCH(T$3,'Budget by Source'!$A$5:$I$5,0))/10,0)*10)</f>
        <v>-2</v>
      </c>
      <c r="U295" s="139">
        <f>INDEX('Budget by Source'!$A$6:$I$330,MATCH('Payment by Source'!$A295,'Budget by Source'!$A$6:$A$330,0),MATCH(U$3,'Budget by Source'!$A$5:$I$5,0))</f>
        <v>4904829</v>
      </c>
      <c r="V295" s="136">
        <f t="shared" si="13"/>
        <v>490483</v>
      </c>
      <c r="W295" s="136">
        <f t="shared" si="14"/>
        <v>4904830</v>
      </c>
    </row>
    <row r="296" spans="1:23" x14ac:dyDescent="0.2">
      <c r="A296" s="22" t="str">
        <f>Data!B292</f>
        <v>6615</v>
      </c>
      <c r="B296" s="20" t="str">
        <f>INDEX(Data[],MATCH($A296,Data[Dist],0),MATCH(B$5,Data[#Headers],0))</f>
        <v>Van Meter</v>
      </c>
      <c r="C296" s="21">
        <f>IF(Notes!$B$2="June",ROUND('Budget by Source'!C296/10,0)+P296,ROUND('Budget by Source'!C296/10,0))</f>
        <v>20651</v>
      </c>
      <c r="D296" s="21">
        <f>IF(Notes!$B$2="June",ROUND('Budget by Source'!D296/10,0)+Q296,ROUND('Budget by Source'!D296/10,0))</f>
        <v>75155</v>
      </c>
      <c r="E296" s="21">
        <f>IF(Notes!$B$2="June",ROUND('Budget by Source'!E296/10,0)+R296,ROUND('Budget by Source'!E296/10,0))</f>
        <v>7146</v>
      </c>
      <c r="F296" s="21">
        <f>IF(Notes!$B$2="June",ROUND('Budget by Source'!F296/10,0)+S296,ROUND('Budget by Source'!F296/10,0))</f>
        <v>6763</v>
      </c>
      <c r="G296" s="21">
        <f>IF(Notes!$B$2="June",ROUND('Budget by Source'!G296/10,0)+T296,ROUND('Budget by Source'!G296/10,0))</f>
        <v>35466</v>
      </c>
      <c r="H296" s="21">
        <f t="shared" si="12"/>
        <v>526760</v>
      </c>
      <c r="I296" s="21">
        <f>INDEX(Data[],MATCH($A296,Data[Dist],0),MATCH(I$5,Data[#Headers],0))</f>
        <v>671941</v>
      </c>
      <c r="K296" s="59">
        <f>INDEX('Payment Total'!$A$7:$H$331,MATCH('Payment by Source'!$A296,'Payment Total'!$A$7:$A$331,0),4)-I296</f>
        <v>0</v>
      </c>
      <c r="P296" s="138">
        <f>INDEX('Budget by Source'!$A$6:$I$330,MATCH('Payment by Source'!$A296,'Budget by Source'!$A$6:$A$330,0),MATCH(P$3,'Budget by Source'!$A$5:$I$5,0))-(ROUND(INDEX('Budget by Source'!$A$6:$I$330,MATCH('Payment by Source'!$A296,'Budget by Source'!$A$6:$A$330,0),MATCH(P$3,'Budget by Source'!$A$5:$I$5,0))/10,0)*10)</f>
        <v>0</v>
      </c>
      <c r="Q296" s="138">
        <f>INDEX('Budget by Source'!$A$6:$I$330,MATCH('Payment by Source'!$A296,'Budget by Source'!$A$6:$A$330,0),MATCH(Q$3,'Budget by Source'!$A$5:$I$5,0))-(ROUND(INDEX('Budget by Source'!$A$6:$I$330,MATCH('Payment by Source'!$A296,'Budget by Source'!$A$6:$A$330,0),MATCH(Q$3,'Budget by Source'!$A$5:$I$5,0))/10,0)*10)</f>
        <v>2</v>
      </c>
      <c r="R296" s="138">
        <f>INDEX('Budget by Source'!$A$6:$I$330,MATCH('Payment by Source'!$A296,'Budget by Source'!$A$6:$A$330,0),MATCH(R$3,'Budget by Source'!$A$5:$I$5,0))-(ROUND(INDEX('Budget by Source'!$A$6:$I$330,MATCH('Payment by Source'!$A296,'Budget by Source'!$A$6:$A$330,0),MATCH(R$3,'Budget by Source'!$A$5:$I$5,0))/10,0)*10)</f>
        <v>0</v>
      </c>
      <c r="S296" s="138">
        <f>INDEX('Budget by Source'!$A$6:$I$330,MATCH('Payment by Source'!$A296,'Budget by Source'!$A$6:$A$330,0),MATCH(S$3,'Budget by Source'!$A$5:$I$5,0))-(ROUND(INDEX('Budget by Source'!$A$6:$I$330,MATCH('Payment by Source'!$A296,'Budget by Source'!$A$6:$A$330,0),MATCH(S$3,'Budget by Source'!$A$5:$I$5,0))/10,0)*10)</f>
        <v>-1</v>
      </c>
      <c r="T296" s="138">
        <f>INDEX('Budget by Source'!$A$6:$I$330,MATCH('Payment by Source'!$A296,'Budget by Source'!$A$6:$A$330,0),MATCH(T$3,'Budget by Source'!$A$5:$I$5,0))-(ROUND(INDEX('Budget by Source'!$A$6:$I$330,MATCH('Payment by Source'!$A296,'Budget by Source'!$A$6:$A$330,0),MATCH(T$3,'Budget by Source'!$A$5:$I$5,0))/10,0)*10)</f>
        <v>0</v>
      </c>
      <c r="U296" s="139">
        <f>INDEX('Budget by Source'!$A$6:$I$330,MATCH('Payment by Source'!$A296,'Budget by Source'!$A$6:$A$330,0),MATCH(U$3,'Budget by Source'!$A$5:$I$5,0))</f>
        <v>5281657</v>
      </c>
      <c r="V296" s="136">
        <f t="shared" si="13"/>
        <v>528166</v>
      </c>
      <c r="W296" s="136">
        <f t="shared" si="14"/>
        <v>5281660</v>
      </c>
    </row>
    <row r="297" spans="1:23" x14ac:dyDescent="0.2">
      <c r="A297" s="22" t="str">
        <f>Data!B293</f>
        <v>6651</v>
      </c>
      <c r="B297" s="20" t="str">
        <f>INDEX(Data[],MATCH($A297,Data[Dist],0),MATCH(B$5,Data[#Headers],0))</f>
        <v>Villisca</v>
      </c>
      <c r="C297" s="21">
        <f>IF(Notes!$B$2="June",ROUND('Budget by Source'!C297/10,0)+P297,ROUND('Budget by Source'!C297/10,0))</f>
        <v>4676</v>
      </c>
      <c r="D297" s="21">
        <f>IF(Notes!$B$2="June",ROUND('Budget by Source'!D297/10,0)+Q297,ROUND('Budget by Source'!D297/10,0))</f>
        <v>33960</v>
      </c>
      <c r="E297" s="21">
        <f>IF(Notes!$B$2="June",ROUND('Budget by Source'!E297/10,0)+R297,ROUND('Budget by Source'!E297/10,0))</f>
        <v>2549</v>
      </c>
      <c r="F297" s="21">
        <f>IF(Notes!$B$2="June",ROUND('Budget by Source'!F297/10,0)+S297,ROUND('Budget by Source'!F297/10,0))</f>
        <v>2250</v>
      </c>
      <c r="G297" s="21">
        <f>IF(Notes!$B$2="June",ROUND('Budget by Source'!G297/10,0)+T297,ROUND('Budget by Source'!G297/10,0))</f>
        <v>11465</v>
      </c>
      <c r="H297" s="21">
        <f t="shared" si="12"/>
        <v>143742</v>
      </c>
      <c r="I297" s="21">
        <f>INDEX(Data[],MATCH($A297,Data[Dist],0),MATCH(I$5,Data[#Headers],0))</f>
        <v>198642</v>
      </c>
      <c r="K297" s="59">
        <f>INDEX('Payment Total'!$A$7:$H$331,MATCH('Payment by Source'!$A297,'Payment Total'!$A$7:$A$331,0),4)-I297</f>
        <v>0</v>
      </c>
      <c r="P297" s="138">
        <f>INDEX('Budget by Source'!$A$6:$I$330,MATCH('Payment by Source'!$A297,'Budget by Source'!$A$6:$A$330,0),MATCH(P$3,'Budget by Source'!$A$5:$I$5,0))-(ROUND(INDEX('Budget by Source'!$A$6:$I$330,MATCH('Payment by Source'!$A297,'Budget by Source'!$A$6:$A$330,0),MATCH(P$3,'Budget by Source'!$A$5:$I$5,0))/10,0)*10)</f>
        <v>-3</v>
      </c>
      <c r="Q297" s="138">
        <f>INDEX('Budget by Source'!$A$6:$I$330,MATCH('Payment by Source'!$A297,'Budget by Source'!$A$6:$A$330,0),MATCH(Q$3,'Budget by Source'!$A$5:$I$5,0))-(ROUND(INDEX('Budget by Source'!$A$6:$I$330,MATCH('Payment by Source'!$A297,'Budget by Source'!$A$6:$A$330,0),MATCH(Q$3,'Budget by Source'!$A$5:$I$5,0))/10,0)*10)</f>
        <v>-4</v>
      </c>
      <c r="R297" s="138">
        <f>INDEX('Budget by Source'!$A$6:$I$330,MATCH('Payment by Source'!$A297,'Budget by Source'!$A$6:$A$330,0),MATCH(R$3,'Budget by Source'!$A$5:$I$5,0))-(ROUND(INDEX('Budget by Source'!$A$6:$I$330,MATCH('Payment by Source'!$A297,'Budget by Source'!$A$6:$A$330,0),MATCH(R$3,'Budget by Source'!$A$5:$I$5,0))/10,0)*10)</f>
        <v>-5</v>
      </c>
      <c r="S297" s="138">
        <f>INDEX('Budget by Source'!$A$6:$I$330,MATCH('Payment by Source'!$A297,'Budget by Source'!$A$6:$A$330,0),MATCH(S$3,'Budget by Source'!$A$5:$I$5,0))-(ROUND(INDEX('Budget by Source'!$A$6:$I$330,MATCH('Payment by Source'!$A297,'Budget by Source'!$A$6:$A$330,0),MATCH(S$3,'Budget by Source'!$A$5:$I$5,0))/10,0)*10)</f>
        <v>-4</v>
      </c>
      <c r="T297" s="138">
        <f>INDEX('Budget by Source'!$A$6:$I$330,MATCH('Payment by Source'!$A297,'Budget by Source'!$A$6:$A$330,0),MATCH(T$3,'Budget by Source'!$A$5:$I$5,0))-(ROUND(INDEX('Budget by Source'!$A$6:$I$330,MATCH('Payment by Source'!$A297,'Budget by Source'!$A$6:$A$330,0),MATCH(T$3,'Budget by Source'!$A$5:$I$5,0))/10,0)*10)</f>
        <v>0</v>
      </c>
      <c r="U297" s="139">
        <f>INDEX('Budget by Source'!$A$6:$I$330,MATCH('Payment by Source'!$A297,'Budget by Source'!$A$6:$A$330,0),MATCH(U$3,'Budget by Source'!$A$5:$I$5,0))</f>
        <v>1441673</v>
      </c>
      <c r="V297" s="136">
        <f t="shared" si="13"/>
        <v>144167</v>
      </c>
      <c r="W297" s="136">
        <f t="shared" si="14"/>
        <v>1441670</v>
      </c>
    </row>
    <row r="298" spans="1:23" x14ac:dyDescent="0.2">
      <c r="A298" s="22" t="str">
        <f>Data!B294</f>
        <v>6660</v>
      </c>
      <c r="B298" s="20" t="str">
        <f>INDEX(Data[],MATCH($A298,Data[Dist],0),MATCH(B$5,Data[#Headers],0))</f>
        <v>Vinton-Shellsburg</v>
      </c>
      <c r="C298" s="21">
        <f>IF(Notes!$B$2="June",ROUND('Budget by Source'!C298/10,0)+P298,ROUND('Budget by Source'!C298/10,0))</f>
        <v>31951</v>
      </c>
      <c r="D298" s="21">
        <f>IF(Notes!$B$2="June",ROUND('Budget by Source'!D298/10,0)+Q298,ROUND('Budget by Source'!D298/10,0))</f>
        <v>130205</v>
      </c>
      <c r="E298" s="21">
        <f>IF(Notes!$B$2="June",ROUND('Budget by Source'!E298/10,0)+R298,ROUND('Budget by Source'!E298/10,0))</f>
        <v>12370</v>
      </c>
      <c r="F298" s="21">
        <f>IF(Notes!$B$2="June",ROUND('Budget by Source'!F298/10,0)+S298,ROUND('Budget by Source'!F298/10,0))</f>
        <v>12594</v>
      </c>
      <c r="G298" s="21">
        <f>IF(Notes!$B$2="June",ROUND('Budget by Source'!G298/10,0)+T298,ROUND('Budget by Source'!G298/10,0))</f>
        <v>60982</v>
      </c>
      <c r="H298" s="21">
        <f t="shared" si="12"/>
        <v>948740</v>
      </c>
      <c r="I298" s="21">
        <f>INDEX(Data[],MATCH($A298,Data[Dist],0),MATCH(I$5,Data[#Headers],0))</f>
        <v>1196842</v>
      </c>
      <c r="K298" s="59">
        <f>INDEX('Payment Total'!$A$7:$H$331,MATCH('Payment by Source'!$A298,'Payment Total'!$A$7:$A$331,0),4)-I298</f>
        <v>0</v>
      </c>
      <c r="P298" s="138">
        <f>INDEX('Budget by Source'!$A$6:$I$330,MATCH('Payment by Source'!$A298,'Budget by Source'!$A$6:$A$330,0),MATCH(P$3,'Budget by Source'!$A$5:$I$5,0))-(ROUND(INDEX('Budget by Source'!$A$6:$I$330,MATCH('Payment by Source'!$A298,'Budget by Source'!$A$6:$A$330,0),MATCH(P$3,'Budget by Source'!$A$5:$I$5,0))/10,0)*10)</f>
        <v>-4</v>
      </c>
      <c r="Q298" s="138">
        <f>INDEX('Budget by Source'!$A$6:$I$330,MATCH('Payment by Source'!$A298,'Budget by Source'!$A$6:$A$330,0),MATCH(Q$3,'Budget by Source'!$A$5:$I$5,0))-(ROUND(INDEX('Budget by Source'!$A$6:$I$330,MATCH('Payment by Source'!$A298,'Budget by Source'!$A$6:$A$330,0),MATCH(Q$3,'Budget by Source'!$A$5:$I$5,0))/10,0)*10)</f>
        <v>-4</v>
      </c>
      <c r="R298" s="138">
        <f>INDEX('Budget by Source'!$A$6:$I$330,MATCH('Payment by Source'!$A298,'Budget by Source'!$A$6:$A$330,0),MATCH(R$3,'Budget by Source'!$A$5:$I$5,0))-(ROUND(INDEX('Budget by Source'!$A$6:$I$330,MATCH('Payment by Source'!$A298,'Budget by Source'!$A$6:$A$330,0),MATCH(R$3,'Budget by Source'!$A$5:$I$5,0))/10,0)*10)</f>
        <v>-5</v>
      </c>
      <c r="S298" s="138">
        <f>INDEX('Budget by Source'!$A$6:$I$330,MATCH('Payment by Source'!$A298,'Budget by Source'!$A$6:$A$330,0),MATCH(S$3,'Budget by Source'!$A$5:$I$5,0))-(ROUND(INDEX('Budget by Source'!$A$6:$I$330,MATCH('Payment by Source'!$A298,'Budget by Source'!$A$6:$A$330,0),MATCH(S$3,'Budget by Source'!$A$5:$I$5,0))/10,0)*10)</f>
        <v>-1</v>
      </c>
      <c r="T298" s="138">
        <f>INDEX('Budget by Source'!$A$6:$I$330,MATCH('Payment by Source'!$A298,'Budget by Source'!$A$6:$A$330,0),MATCH(T$3,'Budget by Source'!$A$5:$I$5,0))-(ROUND(INDEX('Budget by Source'!$A$6:$I$330,MATCH('Payment by Source'!$A298,'Budget by Source'!$A$6:$A$330,0),MATCH(T$3,'Budget by Source'!$A$5:$I$5,0))/10,0)*10)</f>
        <v>3</v>
      </c>
      <c r="U298" s="139">
        <f>INDEX('Budget by Source'!$A$6:$I$330,MATCH('Payment by Source'!$A298,'Budget by Source'!$A$6:$A$330,0),MATCH(U$3,'Budget by Source'!$A$5:$I$5,0))</f>
        <v>9511620</v>
      </c>
      <c r="V298" s="136">
        <f t="shared" si="13"/>
        <v>951162</v>
      </c>
      <c r="W298" s="136">
        <f t="shared" si="14"/>
        <v>9511620</v>
      </c>
    </row>
    <row r="299" spans="1:23" x14ac:dyDescent="0.2">
      <c r="A299" s="22" t="str">
        <f>Data!B295</f>
        <v>6700</v>
      </c>
      <c r="B299" s="20" t="str">
        <f>INDEX(Data[],MATCH($A299,Data[Dist],0),MATCH(B$5,Data[#Headers],0))</f>
        <v>Waco</v>
      </c>
      <c r="C299" s="21">
        <f>IF(Notes!$B$2="June",ROUND('Budget by Source'!C299/10,0)+P299,ROUND('Budget by Source'!C299/10,0))</f>
        <v>14806</v>
      </c>
      <c r="D299" s="21">
        <f>IF(Notes!$B$2="June",ROUND('Budget by Source'!D299/10,0)+Q299,ROUND('Budget by Source'!D299/10,0))</f>
        <v>64352</v>
      </c>
      <c r="E299" s="21">
        <f>IF(Notes!$B$2="June",ROUND('Budget by Source'!E299/10,0)+R299,ROUND('Budget by Source'!E299/10,0))</f>
        <v>3889</v>
      </c>
      <c r="F299" s="21">
        <f>IF(Notes!$B$2="June",ROUND('Budget by Source'!F299/10,0)+S299,ROUND('Budget by Source'!F299/10,0))</f>
        <v>3833</v>
      </c>
      <c r="G299" s="21">
        <f>IF(Notes!$B$2="June",ROUND('Budget by Source'!G299/10,0)+T299,ROUND('Budget by Source'!G299/10,0))</f>
        <v>18036</v>
      </c>
      <c r="H299" s="21">
        <f t="shared" si="12"/>
        <v>287542</v>
      </c>
      <c r="I299" s="21">
        <f>INDEX(Data[],MATCH($A299,Data[Dist],0),MATCH(I$5,Data[#Headers],0))</f>
        <v>392458</v>
      </c>
      <c r="K299" s="59">
        <f>INDEX('Payment Total'!$A$7:$H$331,MATCH('Payment by Source'!$A299,'Payment Total'!$A$7:$A$331,0),4)-I299</f>
        <v>0</v>
      </c>
      <c r="P299" s="138">
        <f>INDEX('Budget by Source'!$A$6:$I$330,MATCH('Payment by Source'!$A299,'Budget by Source'!$A$6:$A$330,0),MATCH(P$3,'Budget by Source'!$A$5:$I$5,0))-(ROUND(INDEX('Budget by Source'!$A$6:$I$330,MATCH('Payment by Source'!$A299,'Budget by Source'!$A$6:$A$330,0),MATCH(P$3,'Budget by Source'!$A$5:$I$5,0))/10,0)*10)</f>
        <v>4</v>
      </c>
      <c r="Q299" s="138">
        <f>INDEX('Budget by Source'!$A$6:$I$330,MATCH('Payment by Source'!$A299,'Budget by Source'!$A$6:$A$330,0),MATCH(Q$3,'Budget by Source'!$A$5:$I$5,0))-(ROUND(INDEX('Budget by Source'!$A$6:$I$330,MATCH('Payment by Source'!$A299,'Budget by Source'!$A$6:$A$330,0),MATCH(Q$3,'Budget by Source'!$A$5:$I$5,0))/10,0)*10)</f>
        <v>1</v>
      </c>
      <c r="R299" s="138">
        <f>INDEX('Budget by Source'!$A$6:$I$330,MATCH('Payment by Source'!$A299,'Budget by Source'!$A$6:$A$330,0),MATCH(R$3,'Budget by Source'!$A$5:$I$5,0))-(ROUND(INDEX('Budget by Source'!$A$6:$I$330,MATCH('Payment by Source'!$A299,'Budget by Source'!$A$6:$A$330,0),MATCH(R$3,'Budget by Source'!$A$5:$I$5,0))/10,0)*10)</f>
        <v>-2</v>
      </c>
      <c r="S299" s="138">
        <f>INDEX('Budget by Source'!$A$6:$I$330,MATCH('Payment by Source'!$A299,'Budget by Source'!$A$6:$A$330,0),MATCH(S$3,'Budget by Source'!$A$5:$I$5,0))-(ROUND(INDEX('Budget by Source'!$A$6:$I$330,MATCH('Payment by Source'!$A299,'Budget by Source'!$A$6:$A$330,0),MATCH(S$3,'Budget by Source'!$A$5:$I$5,0))/10,0)*10)</f>
        <v>-5</v>
      </c>
      <c r="T299" s="138">
        <f>INDEX('Budget by Source'!$A$6:$I$330,MATCH('Payment by Source'!$A299,'Budget by Source'!$A$6:$A$330,0),MATCH(T$3,'Budget by Source'!$A$5:$I$5,0))-(ROUND(INDEX('Budget by Source'!$A$6:$I$330,MATCH('Payment by Source'!$A299,'Budget by Source'!$A$6:$A$330,0),MATCH(T$3,'Budget by Source'!$A$5:$I$5,0))/10,0)*10)</f>
        <v>-1</v>
      </c>
      <c r="U299" s="139">
        <f>INDEX('Budget by Source'!$A$6:$I$330,MATCH('Payment by Source'!$A299,'Budget by Source'!$A$6:$A$330,0),MATCH(U$3,'Budget by Source'!$A$5:$I$5,0))</f>
        <v>2882329</v>
      </c>
      <c r="V299" s="136">
        <f t="shared" si="13"/>
        <v>288233</v>
      </c>
      <c r="W299" s="136">
        <f t="shared" si="14"/>
        <v>2882330</v>
      </c>
    </row>
    <row r="300" spans="1:23" x14ac:dyDescent="0.2">
      <c r="A300" s="22" t="str">
        <f>Data!B296</f>
        <v>6741</v>
      </c>
      <c r="B300" s="20" t="str">
        <f>INDEX(Data[],MATCH($A300,Data[Dist],0),MATCH(B$5,Data[#Headers],0))</f>
        <v>East Sac County</v>
      </c>
      <c r="C300" s="21">
        <f>IF(Notes!$B$2="June",ROUND('Budget by Source'!C300/10,0)+P300,ROUND('Budget by Source'!C300/10,0))</f>
        <v>20651</v>
      </c>
      <c r="D300" s="21">
        <f>IF(Notes!$B$2="June",ROUND('Budget by Source'!D300/10,0)+Q300,ROUND('Budget by Source'!D300/10,0))</f>
        <v>79024</v>
      </c>
      <c r="E300" s="21">
        <f>IF(Notes!$B$2="June",ROUND('Budget by Source'!E300/10,0)+R300,ROUND('Budget by Source'!E300/10,0))</f>
        <v>7091</v>
      </c>
      <c r="F300" s="21">
        <f>IF(Notes!$B$2="June",ROUND('Budget by Source'!F300/10,0)+S300,ROUND('Budget by Source'!F300/10,0))</f>
        <v>6532</v>
      </c>
      <c r="G300" s="21">
        <f>IF(Notes!$B$2="June",ROUND('Budget by Source'!G300/10,0)+T300,ROUND('Budget by Source'!G300/10,0))</f>
        <v>32576</v>
      </c>
      <c r="H300" s="21">
        <f t="shared" si="12"/>
        <v>387301</v>
      </c>
      <c r="I300" s="21">
        <f>INDEX(Data[],MATCH($A300,Data[Dist],0),MATCH(I$5,Data[#Headers],0))</f>
        <v>533175</v>
      </c>
      <c r="K300" s="59">
        <f>INDEX('Payment Total'!$A$7:$H$331,MATCH('Payment by Source'!$A300,'Payment Total'!$A$7:$A$331,0),4)-I300</f>
        <v>0</v>
      </c>
      <c r="P300" s="138">
        <f>INDEX('Budget by Source'!$A$6:$I$330,MATCH('Payment by Source'!$A300,'Budget by Source'!$A$6:$A$330,0),MATCH(P$3,'Budget by Source'!$A$5:$I$5,0))-(ROUND(INDEX('Budget by Source'!$A$6:$I$330,MATCH('Payment by Source'!$A300,'Budget by Source'!$A$6:$A$330,0),MATCH(P$3,'Budget by Source'!$A$5:$I$5,0))/10,0)*10)</f>
        <v>0</v>
      </c>
      <c r="Q300" s="138">
        <f>INDEX('Budget by Source'!$A$6:$I$330,MATCH('Payment by Source'!$A300,'Budget by Source'!$A$6:$A$330,0),MATCH(Q$3,'Budget by Source'!$A$5:$I$5,0))-(ROUND(INDEX('Budget by Source'!$A$6:$I$330,MATCH('Payment by Source'!$A300,'Budget by Source'!$A$6:$A$330,0),MATCH(Q$3,'Budget by Source'!$A$5:$I$5,0))/10,0)*10)</f>
        <v>3</v>
      </c>
      <c r="R300" s="138">
        <f>INDEX('Budget by Source'!$A$6:$I$330,MATCH('Payment by Source'!$A300,'Budget by Source'!$A$6:$A$330,0),MATCH(R$3,'Budget by Source'!$A$5:$I$5,0))-(ROUND(INDEX('Budget by Source'!$A$6:$I$330,MATCH('Payment by Source'!$A300,'Budget by Source'!$A$6:$A$330,0),MATCH(R$3,'Budget by Source'!$A$5:$I$5,0))/10,0)*10)</f>
        <v>-3</v>
      </c>
      <c r="S300" s="138">
        <f>INDEX('Budget by Source'!$A$6:$I$330,MATCH('Payment by Source'!$A300,'Budget by Source'!$A$6:$A$330,0),MATCH(S$3,'Budget by Source'!$A$5:$I$5,0))-(ROUND(INDEX('Budget by Source'!$A$6:$I$330,MATCH('Payment by Source'!$A300,'Budget by Source'!$A$6:$A$330,0),MATCH(S$3,'Budget by Source'!$A$5:$I$5,0))/10,0)*10)</f>
        <v>-2</v>
      </c>
      <c r="T300" s="138">
        <f>INDEX('Budget by Source'!$A$6:$I$330,MATCH('Payment by Source'!$A300,'Budget by Source'!$A$6:$A$330,0),MATCH(T$3,'Budget by Source'!$A$5:$I$5,0))-(ROUND(INDEX('Budget by Source'!$A$6:$I$330,MATCH('Payment by Source'!$A300,'Budget by Source'!$A$6:$A$330,0),MATCH(T$3,'Budget by Source'!$A$5:$I$5,0))/10,0)*10)</f>
        <v>3</v>
      </c>
      <c r="U300" s="139">
        <f>INDEX('Budget by Source'!$A$6:$I$330,MATCH('Payment by Source'!$A300,'Budget by Source'!$A$6:$A$330,0),MATCH(U$3,'Budget by Source'!$A$5:$I$5,0))</f>
        <v>3885689</v>
      </c>
      <c r="V300" s="136">
        <f t="shared" si="13"/>
        <v>388569</v>
      </c>
      <c r="W300" s="136">
        <f t="shared" si="14"/>
        <v>3885690</v>
      </c>
    </row>
    <row r="301" spans="1:23" x14ac:dyDescent="0.2">
      <c r="A301" s="22" t="str">
        <f>Data!B297</f>
        <v>6759</v>
      </c>
      <c r="B301" s="20" t="str">
        <f>INDEX(Data[],MATCH($A301,Data[Dist],0),MATCH(B$5,Data[#Headers],0))</f>
        <v>Wapello</v>
      </c>
      <c r="C301" s="21">
        <f>IF(Notes!$B$2="June",ROUND('Budget by Source'!C301/10,0)+P301,ROUND('Budget by Source'!C301/10,0))</f>
        <v>11300</v>
      </c>
      <c r="D301" s="21">
        <f>IF(Notes!$B$2="June",ROUND('Budget by Source'!D301/10,0)+Q301,ROUND('Budget by Source'!D301/10,0))</f>
        <v>50515</v>
      </c>
      <c r="E301" s="21">
        <f>IF(Notes!$B$2="June",ROUND('Budget by Source'!E301/10,0)+R301,ROUND('Budget by Source'!E301/10,0))</f>
        <v>4587</v>
      </c>
      <c r="F301" s="21">
        <f>IF(Notes!$B$2="June",ROUND('Budget by Source'!F301/10,0)+S301,ROUND('Budget by Source'!F301/10,0))</f>
        <v>3854</v>
      </c>
      <c r="G301" s="21">
        <f>IF(Notes!$B$2="June",ROUND('Budget by Source'!G301/10,0)+T301,ROUND('Budget by Source'!G301/10,0))</f>
        <v>19694</v>
      </c>
      <c r="H301" s="21">
        <f t="shared" si="12"/>
        <v>284205</v>
      </c>
      <c r="I301" s="21">
        <f>INDEX(Data[],MATCH($A301,Data[Dist],0),MATCH(I$5,Data[#Headers],0))</f>
        <v>374155</v>
      </c>
      <c r="K301" s="59">
        <f>INDEX('Payment Total'!$A$7:$H$331,MATCH('Payment by Source'!$A301,'Payment Total'!$A$7:$A$331,0),4)-I301</f>
        <v>0</v>
      </c>
      <c r="P301" s="138">
        <f>INDEX('Budget by Source'!$A$6:$I$330,MATCH('Payment by Source'!$A301,'Budget by Source'!$A$6:$A$330,0),MATCH(P$3,'Budget by Source'!$A$5:$I$5,0))-(ROUND(INDEX('Budget by Source'!$A$6:$I$330,MATCH('Payment by Source'!$A301,'Budget by Source'!$A$6:$A$330,0),MATCH(P$3,'Budget by Source'!$A$5:$I$5,0))/10,0)*10)</f>
        <v>-4</v>
      </c>
      <c r="Q301" s="138">
        <f>INDEX('Budget by Source'!$A$6:$I$330,MATCH('Payment by Source'!$A301,'Budget by Source'!$A$6:$A$330,0),MATCH(Q$3,'Budget by Source'!$A$5:$I$5,0))-(ROUND(INDEX('Budget by Source'!$A$6:$I$330,MATCH('Payment by Source'!$A301,'Budget by Source'!$A$6:$A$330,0),MATCH(Q$3,'Budget by Source'!$A$5:$I$5,0))/10,0)*10)</f>
        <v>-2</v>
      </c>
      <c r="R301" s="138">
        <f>INDEX('Budget by Source'!$A$6:$I$330,MATCH('Payment by Source'!$A301,'Budget by Source'!$A$6:$A$330,0),MATCH(R$3,'Budget by Source'!$A$5:$I$5,0))-(ROUND(INDEX('Budget by Source'!$A$6:$I$330,MATCH('Payment by Source'!$A301,'Budget by Source'!$A$6:$A$330,0),MATCH(R$3,'Budget by Source'!$A$5:$I$5,0))/10,0)*10)</f>
        <v>3</v>
      </c>
      <c r="S301" s="138">
        <f>INDEX('Budget by Source'!$A$6:$I$330,MATCH('Payment by Source'!$A301,'Budget by Source'!$A$6:$A$330,0),MATCH(S$3,'Budget by Source'!$A$5:$I$5,0))-(ROUND(INDEX('Budget by Source'!$A$6:$I$330,MATCH('Payment by Source'!$A301,'Budget by Source'!$A$6:$A$330,0),MATCH(S$3,'Budget by Source'!$A$5:$I$5,0))/10,0)*10)</f>
        <v>1</v>
      </c>
      <c r="T301" s="138">
        <f>INDEX('Budget by Source'!$A$6:$I$330,MATCH('Payment by Source'!$A301,'Budget by Source'!$A$6:$A$330,0),MATCH(T$3,'Budget by Source'!$A$5:$I$5,0))-(ROUND(INDEX('Budget by Source'!$A$6:$I$330,MATCH('Payment by Source'!$A301,'Budget by Source'!$A$6:$A$330,0),MATCH(T$3,'Budget by Source'!$A$5:$I$5,0))/10,0)*10)</f>
        <v>2</v>
      </c>
      <c r="U301" s="139">
        <f>INDEX('Budget by Source'!$A$6:$I$330,MATCH('Payment by Source'!$A301,'Budget by Source'!$A$6:$A$330,0),MATCH(U$3,'Budget by Source'!$A$5:$I$5,0))</f>
        <v>2849664</v>
      </c>
      <c r="V301" s="136">
        <f t="shared" si="13"/>
        <v>284966</v>
      </c>
      <c r="W301" s="136">
        <f t="shared" si="14"/>
        <v>2849660</v>
      </c>
    </row>
    <row r="302" spans="1:23" x14ac:dyDescent="0.2">
      <c r="A302" s="22" t="str">
        <f>Data!B298</f>
        <v>6762</v>
      </c>
      <c r="B302" s="20" t="str">
        <f>INDEX(Data[],MATCH($A302,Data[Dist],0),MATCH(B$5,Data[#Headers],0))</f>
        <v>Wapsie Valley</v>
      </c>
      <c r="C302" s="21">
        <f>IF(Notes!$B$2="June",ROUND('Budget by Source'!C302/10,0)+P302,ROUND('Budget by Source'!C302/10,0))</f>
        <v>10910</v>
      </c>
      <c r="D302" s="21">
        <f>IF(Notes!$B$2="June",ROUND('Budget by Source'!D302/10,0)+Q302,ROUND('Budget by Source'!D302/10,0))</f>
        <v>58314</v>
      </c>
      <c r="E302" s="21">
        <f>IF(Notes!$B$2="June",ROUND('Budget by Source'!E302/10,0)+R302,ROUND('Budget by Source'!E302/10,0))</f>
        <v>5243</v>
      </c>
      <c r="F302" s="21">
        <f>IF(Notes!$B$2="June",ROUND('Budget by Source'!F302/10,0)+S302,ROUND('Budget by Source'!F302/10,0))</f>
        <v>4956</v>
      </c>
      <c r="G302" s="21">
        <f>IF(Notes!$B$2="June",ROUND('Budget by Source'!G302/10,0)+T302,ROUND('Budget by Source'!G302/10,0))</f>
        <v>24814</v>
      </c>
      <c r="H302" s="21">
        <f t="shared" si="12"/>
        <v>387730</v>
      </c>
      <c r="I302" s="21">
        <f>INDEX(Data[],MATCH($A302,Data[Dist],0),MATCH(I$5,Data[#Headers],0))</f>
        <v>491967</v>
      </c>
      <c r="K302" s="59">
        <f>INDEX('Payment Total'!$A$7:$H$331,MATCH('Payment by Source'!$A302,'Payment Total'!$A$7:$A$331,0),4)-I302</f>
        <v>0</v>
      </c>
      <c r="P302" s="138">
        <f>INDEX('Budget by Source'!$A$6:$I$330,MATCH('Payment by Source'!$A302,'Budget by Source'!$A$6:$A$330,0),MATCH(P$3,'Budget by Source'!$A$5:$I$5,0))-(ROUND(INDEX('Budget by Source'!$A$6:$I$330,MATCH('Payment by Source'!$A302,'Budget by Source'!$A$6:$A$330,0),MATCH(P$3,'Budget by Source'!$A$5:$I$5,0))/10,0)*10)</f>
        <v>0</v>
      </c>
      <c r="Q302" s="138">
        <f>INDEX('Budget by Source'!$A$6:$I$330,MATCH('Payment by Source'!$A302,'Budget by Source'!$A$6:$A$330,0),MATCH(Q$3,'Budget by Source'!$A$5:$I$5,0))-(ROUND(INDEX('Budget by Source'!$A$6:$I$330,MATCH('Payment by Source'!$A302,'Budget by Source'!$A$6:$A$330,0),MATCH(Q$3,'Budget by Source'!$A$5:$I$5,0))/10,0)*10)</f>
        <v>3</v>
      </c>
      <c r="R302" s="138">
        <f>INDEX('Budget by Source'!$A$6:$I$330,MATCH('Payment by Source'!$A302,'Budget by Source'!$A$6:$A$330,0),MATCH(R$3,'Budget by Source'!$A$5:$I$5,0))-(ROUND(INDEX('Budget by Source'!$A$6:$I$330,MATCH('Payment by Source'!$A302,'Budget by Source'!$A$6:$A$330,0),MATCH(R$3,'Budget by Source'!$A$5:$I$5,0))/10,0)*10)</f>
        <v>-3</v>
      </c>
      <c r="S302" s="138">
        <f>INDEX('Budget by Source'!$A$6:$I$330,MATCH('Payment by Source'!$A302,'Budget by Source'!$A$6:$A$330,0),MATCH(S$3,'Budget by Source'!$A$5:$I$5,0))-(ROUND(INDEX('Budget by Source'!$A$6:$I$330,MATCH('Payment by Source'!$A302,'Budget by Source'!$A$6:$A$330,0),MATCH(S$3,'Budget by Source'!$A$5:$I$5,0))/10,0)*10)</f>
        <v>3</v>
      </c>
      <c r="T302" s="138">
        <f>INDEX('Budget by Source'!$A$6:$I$330,MATCH('Payment by Source'!$A302,'Budget by Source'!$A$6:$A$330,0),MATCH(T$3,'Budget by Source'!$A$5:$I$5,0))-(ROUND(INDEX('Budget by Source'!$A$6:$I$330,MATCH('Payment by Source'!$A302,'Budget by Source'!$A$6:$A$330,0),MATCH(T$3,'Budget by Source'!$A$5:$I$5,0))/10,0)*10)</f>
        <v>-3</v>
      </c>
      <c r="U302" s="139">
        <f>INDEX('Budget by Source'!$A$6:$I$330,MATCH('Payment by Source'!$A302,'Budget by Source'!$A$6:$A$330,0),MATCH(U$3,'Budget by Source'!$A$5:$I$5,0))</f>
        <v>3886909</v>
      </c>
      <c r="V302" s="136">
        <f t="shared" si="13"/>
        <v>388691</v>
      </c>
      <c r="W302" s="136">
        <f t="shared" si="14"/>
        <v>3886910</v>
      </c>
    </row>
    <row r="303" spans="1:23" x14ac:dyDescent="0.2">
      <c r="A303" s="22" t="str">
        <f>Data!B299</f>
        <v>6768</v>
      </c>
      <c r="B303" s="20" t="str">
        <f>INDEX(Data[],MATCH($A303,Data[Dist],0),MATCH(B$5,Data[#Headers],0))</f>
        <v>Washington</v>
      </c>
      <c r="C303" s="21">
        <f>IF(Notes!$B$2="June",ROUND('Budget by Source'!C303/10,0)+P303,ROUND('Budget by Source'!C303/10,0))</f>
        <v>26106</v>
      </c>
      <c r="D303" s="21">
        <f>IF(Notes!$B$2="June",ROUND('Budget by Source'!D303/10,0)+Q303,ROUND('Budget by Source'!D303/10,0))</f>
        <v>164952</v>
      </c>
      <c r="E303" s="21">
        <f>IF(Notes!$B$2="June",ROUND('Budget by Source'!E303/10,0)+R303,ROUND('Budget by Source'!E303/10,0))</f>
        <v>14033</v>
      </c>
      <c r="F303" s="21">
        <f>IF(Notes!$B$2="June",ROUND('Budget by Source'!F303/10,0)+S303,ROUND('Budget by Source'!F303/10,0))</f>
        <v>12667</v>
      </c>
      <c r="G303" s="21">
        <f>IF(Notes!$B$2="June",ROUND('Budget by Source'!G303/10,0)+T303,ROUND('Budget by Source'!G303/10,0))</f>
        <v>63951</v>
      </c>
      <c r="H303" s="21">
        <f t="shared" si="12"/>
        <v>1071505</v>
      </c>
      <c r="I303" s="21">
        <f>INDEX(Data[],MATCH($A303,Data[Dist],0),MATCH(I$5,Data[#Headers],0))</f>
        <v>1353214</v>
      </c>
      <c r="K303" s="59">
        <f>INDEX('Payment Total'!$A$7:$H$331,MATCH('Payment by Source'!$A303,'Payment Total'!$A$7:$A$331,0),4)-I303</f>
        <v>0</v>
      </c>
      <c r="P303" s="138">
        <f>INDEX('Budget by Source'!$A$6:$I$330,MATCH('Payment by Source'!$A303,'Budget by Source'!$A$6:$A$330,0),MATCH(P$3,'Budget by Source'!$A$5:$I$5,0))-(ROUND(INDEX('Budget by Source'!$A$6:$I$330,MATCH('Payment by Source'!$A303,'Budget by Source'!$A$6:$A$330,0),MATCH(P$3,'Budget by Source'!$A$5:$I$5,0))/10,0)*10)</f>
        <v>0</v>
      </c>
      <c r="Q303" s="138">
        <f>INDEX('Budget by Source'!$A$6:$I$330,MATCH('Payment by Source'!$A303,'Budget by Source'!$A$6:$A$330,0),MATCH(Q$3,'Budget by Source'!$A$5:$I$5,0))-(ROUND(INDEX('Budget by Source'!$A$6:$I$330,MATCH('Payment by Source'!$A303,'Budget by Source'!$A$6:$A$330,0),MATCH(Q$3,'Budget by Source'!$A$5:$I$5,0))/10,0)*10)</f>
        <v>4</v>
      </c>
      <c r="R303" s="138">
        <f>INDEX('Budget by Source'!$A$6:$I$330,MATCH('Payment by Source'!$A303,'Budget by Source'!$A$6:$A$330,0),MATCH(R$3,'Budget by Source'!$A$5:$I$5,0))-(ROUND(INDEX('Budget by Source'!$A$6:$I$330,MATCH('Payment by Source'!$A303,'Budget by Source'!$A$6:$A$330,0),MATCH(R$3,'Budget by Source'!$A$5:$I$5,0))/10,0)*10)</f>
        <v>3</v>
      </c>
      <c r="S303" s="138">
        <f>INDEX('Budget by Source'!$A$6:$I$330,MATCH('Payment by Source'!$A303,'Budget by Source'!$A$6:$A$330,0),MATCH(S$3,'Budget by Source'!$A$5:$I$5,0))-(ROUND(INDEX('Budget by Source'!$A$6:$I$330,MATCH('Payment by Source'!$A303,'Budget by Source'!$A$6:$A$330,0),MATCH(S$3,'Budget by Source'!$A$5:$I$5,0))/10,0)*10)</f>
        <v>0</v>
      </c>
      <c r="T303" s="138">
        <f>INDEX('Budget by Source'!$A$6:$I$330,MATCH('Payment by Source'!$A303,'Budget by Source'!$A$6:$A$330,0),MATCH(T$3,'Budget by Source'!$A$5:$I$5,0))-(ROUND(INDEX('Budget by Source'!$A$6:$I$330,MATCH('Payment by Source'!$A303,'Budget by Source'!$A$6:$A$330,0),MATCH(T$3,'Budget by Source'!$A$5:$I$5,0))/10,0)*10)</f>
        <v>4</v>
      </c>
      <c r="U303" s="139">
        <f>INDEX('Budget by Source'!$A$6:$I$330,MATCH('Payment by Source'!$A303,'Budget by Source'!$A$6:$A$330,0),MATCH(U$3,'Budget by Source'!$A$5:$I$5,0))</f>
        <v>10739791</v>
      </c>
      <c r="V303" s="136">
        <f t="shared" si="13"/>
        <v>1073979</v>
      </c>
      <c r="W303" s="136">
        <f t="shared" si="14"/>
        <v>10739790</v>
      </c>
    </row>
    <row r="304" spans="1:23" x14ac:dyDescent="0.2">
      <c r="A304" s="22" t="str">
        <f>Data!B300</f>
        <v>6795</v>
      </c>
      <c r="B304" s="20" t="str">
        <f>INDEX(Data[],MATCH($A304,Data[Dist],0),MATCH(B$5,Data[#Headers],0))</f>
        <v>Waterloo</v>
      </c>
      <c r="C304" s="21">
        <f>IF(Notes!$B$2="June",ROUND('Budget by Source'!C304/10,0)+P304,ROUND('Budget by Source'!C304/10,0))</f>
        <v>180428</v>
      </c>
      <c r="D304" s="21">
        <f>IF(Notes!$B$2="June",ROUND('Budget by Source'!D304/10,0)+Q304,ROUND('Budget by Source'!D304/10,0))</f>
        <v>798174</v>
      </c>
      <c r="E304" s="21">
        <f>IF(Notes!$B$2="June",ROUND('Budget by Source'!E304/10,0)+R304,ROUND('Budget by Source'!E304/10,0))</f>
        <v>103358</v>
      </c>
      <c r="F304" s="21">
        <f>IF(Notes!$B$2="June",ROUND('Budget by Source'!F304/10,0)+S304,ROUND('Budget by Source'!F304/10,0))</f>
        <v>82661</v>
      </c>
      <c r="G304" s="21">
        <f>IF(Notes!$B$2="June",ROUND('Budget by Source'!G304/10,0)+T304,ROUND('Budget by Source'!G304/10,0))</f>
        <v>431217</v>
      </c>
      <c r="H304" s="21">
        <f t="shared" si="12"/>
        <v>8215929</v>
      </c>
      <c r="I304" s="21">
        <f>INDEX(Data[],MATCH($A304,Data[Dist],0),MATCH(I$5,Data[#Headers],0))</f>
        <v>9811767</v>
      </c>
      <c r="K304" s="59">
        <f>INDEX('Payment Total'!$A$7:$H$331,MATCH('Payment by Source'!$A304,'Payment Total'!$A$7:$A$331,0),4)-I304</f>
        <v>0</v>
      </c>
      <c r="P304" s="138">
        <f>INDEX('Budget by Source'!$A$6:$I$330,MATCH('Payment by Source'!$A304,'Budget by Source'!$A$6:$A$330,0),MATCH(P$3,'Budget by Source'!$A$5:$I$5,0))-(ROUND(INDEX('Budget by Source'!$A$6:$I$330,MATCH('Payment by Source'!$A304,'Budget by Source'!$A$6:$A$330,0),MATCH(P$3,'Budget by Source'!$A$5:$I$5,0))/10,0)*10)</f>
        <v>-4</v>
      </c>
      <c r="Q304" s="138">
        <f>INDEX('Budget by Source'!$A$6:$I$330,MATCH('Payment by Source'!$A304,'Budget by Source'!$A$6:$A$330,0),MATCH(Q$3,'Budget by Source'!$A$5:$I$5,0))-(ROUND(INDEX('Budget by Source'!$A$6:$I$330,MATCH('Payment by Source'!$A304,'Budget by Source'!$A$6:$A$330,0),MATCH(Q$3,'Budget by Source'!$A$5:$I$5,0))/10,0)*10)</f>
        <v>3</v>
      </c>
      <c r="R304" s="138">
        <f>INDEX('Budget by Source'!$A$6:$I$330,MATCH('Payment by Source'!$A304,'Budget by Source'!$A$6:$A$330,0),MATCH(R$3,'Budget by Source'!$A$5:$I$5,0))-(ROUND(INDEX('Budget by Source'!$A$6:$I$330,MATCH('Payment by Source'!$A304,'Budget by Source'!$A$6:$A$330,0),MATCH(R$3,'Budget by Source'!$A$5:$I$5,0))/10,0)*10)</f>
        <v>-3</v>
      </c>
      <c r="S304" s="138">
        <f>INDEX('Budget by Source'!$A$6:$I$330,MATCH('Payment by Source'!$A304,'Budget by Source'!$A$6:$A$330,0),MATCH(S$3,'Budget by Source'!$A$5:$I$5,0))-(ROUND(INDEX('Budget by Source'!$A$6:$I$330,MATCH('Payment by Source'!$A304,'Budget by Source'!$A$6:$A$330,0),MATCH(S$3,'Budget by Source'!$A$5:$I$5,0))/10,0)*10)</f>
        <v>1</v>
      </c>
      <c r="T304" s="138">
        <f>INDEX('Budget by Source'!$A$6:$I$330,MATCH('Payment by Source'!$A304,'Budget by Source'!$A$6:$A$330,0),MATCH(T$3,'Budget by Source'!$A$5:$I$5,0))-(ROUND(INDEX('Budget by Source'!$A$6:$I$330,MATCH('Payment by Source'!$A304,'Budget by Source'!$A$6:$A$330,0),MATCH(T$3,'Budget by Source'!$A$5:$I$5,0))/10,0)*10)</f>
        <v>-3</v>
      </c>
      <c r="U304" s="139">
        <f>INDEX('Budget by Source'!$A$6:$I$330,MATCH('Payment by Source'!$A304,'Budget by Source'!$A$6:$A$330,0),MATCH(U$3,'Budget by Source'!$A$5:$I$5,0))</f>
        <v>82320457</v>
      </c>
      <c r="V304" s="136">
        <f t="shared" si="13"/>
        <v>8232046</v>
      </c>
      <c r="W304" s="136">
        <f t="shared" si="14"/>
        <v>82320460</v>
      </c>
    </row>
    <row r="305" spans="1:23" x14ac:dyDescent="0.2">
      <c r="A305" s="22" t="str">
        <f>Data!B301</f>
        <v>6822</v>
      </c>
      <c r="B305" s="20" t="str">
        <f>INDEX(Data[],MATCH($A305,Data[Dist],0),MATCH(B$5,Data[#Headers],0))</f>
        <v>Waukee</v>
      </c>
      <c r="C305" s="21">
        <f>IF(Notes!$B$2="June",ROUND('Budget by Source'!C305/10,0)+P305,ROUND('Budget by Source'!C305/10,0))</f>
        <v>90787</v>
      </c>
      <c r="D305" s="21">
        <f>IF(Notes!$B$2="June",ROUND('Budget by Source'!D305/10,0)+Q305,ROUND('Budget by Source'!D305/10,0))</f>
        <v>974951</v>
      </c>
      <c r="E305" s="21">
        <f>IF(Notes!$B$2="June",ROUND('Budget by Source'!E305/10,0)+R305,ROUND('Budget by Source'!E305/10,0))</f>
        <v>110102</v>
      </c>
      <c r="F305" s="21">
        <f>IF(Notes!$B$2="June",ROUND('Budget by Source'!F305/10,0)+S305,ROUND('Budget by Source'!F305/10,0))</f>
        <v>88140</v>
      </c>
      <c r="G305" s="21">
        <f>IF(Notes!$B$2="June",ROUND('Budget by Source'!G305/10,0)+T305,ROUND('Budget by Source'!G305/10,0))</f>
        <v>526721</v>
      </c>
      <c r="H305" s="21">
        <f t="shared" si="12"/>
        <v>7418318</v>
      </c>
      <c r="I305" s="21">
        <f>INDEX(Data[],MATCH($A305,Data[Dist],0),MATCH(I$5,Data[#Headers],0))</f>
        <v>9209019</v>
      </c>
      <c r="K305" s="59">
        <f>INDEX('Payment Total'!$A$7:$H$331,MATCH('Payment by Source'!$A305,'Payment Total'!$A$7:$A$331,0),4)-I305</f>
        <v>0</v>
      </c>
      <c r="P305" s="138">
        <f>INDEX('Budget by Source'!$A$6:$I$330,MATCH('Payment by Source'!$A305,'Budget by Source'!$A$6:$A$330,0),MATCH(P$3,'Budget by Source'!$A$5:$I$5,0))-(ROUND(INDEX('Budget by Source'!$A$6:$I$330,MATCH('Payment by Source'!$A305,'Budget by Source'!$A$6:$A$330,0),MATCH(P$3,'Budget by Source'!$A$5:$I$5,0))/10,0)*10)</f>
        <v>-5</v>
      </c>
      <c r="Q305" s="138">
        <f>INDEX('Budget by Source'!$A$6:$I$330,MATCH('Payment by Source'!$A305,'Budget by Source'!$A$6:$A$330,0),MATCH(Q$3,'Budget by Source'!$A$5:$I$5,0))-(ROUND(INDEX('Budget by Source'!$A$6:$I$330,MATCH('Payment by Source'!$A305,'Budget by Source'!$A$6:$A$330,0),MATCH(Q$3,'Budget by Source'!$A$5:$I$5,0))/10,0)*10)</f>
        <v>-5</v>
      </c>
      <c r="R305" s="138">
        <f>INDEX('Budget by Source'!$A$6:$I$330,MATCH('Payment by Source'!$A305,'Budget by Source'!$A$6:$A$330,0),MATCH(R$3,'Budget by Source'!$A$5:$I$5,0))-(ROUND(INDEX('Budget by Source'!$A$6:$I$330,MATCH('Payment by Source'!$A305,'Budget by Source'!$A$6:$A$330,0),MATCH(R$3,'Budget by Source'!$A$5:$I$5,0))/10,0)*10)</f>
        <v>-2</v>
      </c>
      <c r="S305" s="138">
        <f>INDEX('Budget by Source'!$A$6:$I$330,MATCH('Payment by Source'!$A305,'Budget by Source'!$A$6:$A$330,0),MATCH(S$3,'Budget by Source'!$A$5:$I$5,0))-(ROUND(INDEX('Budget by Source'!$A$6:$I$330,MATCH('Payment by Source'!$A305,'Budget by Source'!$A$6:$A$330,0),MATCH(S$3,'Budget by Source'!$A$5:$I$5,0))/10,0)*10)</f>
        <v>0</v>
      </c>
      <c r="T305" s="138">
        <f>INDEX('Budget by Source'!$A$6:$I$330,MATCH('Payment by Source'!$A305,'Budget by Source'!$A$6:$A$330,0),MATCH(T$3,'Budget by Source'!$A$5:$I$5,0))-(ROUND(INDEX('Budget by Source'!$A$6:$I$330,MATCH('Payment by Source'!$A305,'Budget by Source'!$A$6:$A$330,0),MATCH(T$3,'Budget by Source'!$A$5:$I$5,0))/10,0)*10)</f>
        <v>-3</v>
      </c>
      <c r="U305" s="139">
        <f>INDEX('Budget by Source'!$A$6:$I$330,MATCH('Payment by Source'!$A305,'Budget by Source'!$A$6:$A$330,0),MATCH(U$3,'Budget by Source'!$A$5:$I$5,0))</f>
        <v>74388545</v>
      </c>
      <c r="V305" s="136">
        <f t="shared" si="13"/>
        <v>7438855</v>
      </c>
      <c r="W305" s="136">
        <f t="shared" si="14"/>
        <v>74388550</v>
      </c>
    </row>
    <row r="306" spans="1:23" x14ac:dyDescent="0.2">
      <c r="A306" s="22" t="str">
        <f>Data!B302</f>
        <v>6840</v>
      </c>
      <c r="B306" s="20" t="str">
        <f>INDEX(Data[],MATCH($A306,Data[Dist],0),MATCH(B$5,Data[#Headers],0))</f>
        <v>Waverly-Shell Rock</v>
      </c>
      <c r="C306" s="21">
        <f>IF(Notes!$B$2="June",ROUND('Budget by Source'!C306/10,0)+P306,ROUND('Budget by Source'!C306/10,0))</f>
        <v>38575</v>
      </c>
      <c r="D306" s="21">
        <f>IF(Notes!$B$2="June",ROUND('Budget by Source'!D306/10,0)+Q306,ROUND('Budget by Source'!D306/10,0))</f>
        <v>164768</v>
      </c>
      <c r="E306" s="21">
        <f>IF(Notes!$B$2="June",ROUND('Budget by Source'!E306/10,0)+R306,ROUND('Budget by Source'!E306/10,0))</f>
        <v>15750</v>
      </c>
      <c r="F306" s="21">
        <f>IF(Notes!$B$2="June",ROUND('Budget by Source'!F306/10,0)+S306,ROUND('Budget by Source'!F306/10,0))</f>
        <v>17900</v>
      </c>
      <c r="G306" s="21">
        <f>IF(Notes!$B$2="June",ROUND('Budget by Source'!G306/10,0)+T306,ROUND('Budget by Source'!G306/10,0))</f>
        <v>85245</v>
      </c>
      <c r="H306" s="21">
        <f t="shared" si="12"/>
        <v>1319861</v>
      </c>
      <c r="I306" s="21">
        <f>INDEX(Data[],MATCH($A306,Data[Dist],0),MATCH(I$5,Data[#Headers],0))</f>
        <v>1642099</v>
      </c>
      <c r="K306" s="59">
        <f>INDEX('Payment Total'!$A$7:$H$331,MATCH('Payment by Source'!$A306,'Payment Total'!$A$7:$A$331,0),4)-I306</f>
        <v>0</v>
      </c>
      <c r="P306" s="138">
        <f>INDEX('Budget by Source'!$A$6:$I$330,MATCH('Payment by Source'!$A306,'Budget by Source'!$A$6:$A$330,0),MATCH(P$3,'Budget by Source'!$A$5:$I$5,0))-(ROUND(INDEX('Budget by Source'!$A$6:$I$330,MATCH('Payment by Source'!$A306,'Budget by Source'!$A$6:$A$330,0),MATCH(P$3,'Budget by Source'!$A$5:$I$5,0))/10,0)*10)</f>
        <v>-5</v>
      </c>
      <c r="Q306" s="138">
        <f>INDEX('Budget by Source'!$A$6:$I$330,MATCH('Payment by Source'!$A306,'Budget by Source'!$A$6:$A$330,0),MATCH(Q$3,'Budget by Source'!$A$5:$I$5,0))-(ROUND(INDEX('Budget by Source'!$A$6:$I$330,MATCH('Payment by Source'!$A306,'Budget by Source'!$A$6:$A$330,0),MATCH(Q$3,'Budget by Source'!$A$5:$I$5,0))/10,0)*10)</f>
        <v>4</v>
      </c>
      <c r="R306" s="138">
        <f>INDEX('Budget by Source'!$A$6:$I$330,MATCH('Payment by Source'!$A306,'Budget by Source'!$A$6:$A$330,0),MATCH(R$3,'Budget by Source'!$A$5:$I$5,0))-(ROUND(INDEX('Budget by Source'!$A$6:$I$330,MATCH('Payment by Source'!$A306,'Budget by Source'!$A$6:$A$330,0),MATCH(R$3,'Budget by Source'!$A$5:$I$5,0))/10,0)*10)</f>
        <v>-5</v>
      </c>
      <c r="S306" s="138">
        <f>INDEX('Budget by Source'!$A$6:$I$330,MATCH('Payment by Source'!$A306,'Budget by Source'!$A$6:$A$330,0),MATCH(S$3,'Budget by Source'!$A$5:$I$5,0))-(ROUND(INDEX('Budget by Source'!$A$6:$I$330,MATCH('Payment by Source'!$A306,'Budget by Source'!$A$6:$A$330,0),MATCH(S$3,'Budget by Source'!$A$5:$I$5,0))/10,0)*10)</f>
        <v>1</v>
      </c>
      <c r="T306" s="138">
        <f>INDEX('Budget by Source'!$A$6:$I$330,MATCH('Payment by Source'!$A306,'Budget by Source'!$A$6:$A$330,0),MATCH(T$3,'Budget by Source'!$A$5:$I$5,0))-(ROUND(INDEX('Budget by Source'!$A$6:$I$330,MATCH('Payment by Source'!$A306,'Budget by Source'!$A$6:$A$330,0),MATCH(T$3,'Budget by Source'!$A$5:$I$5,0))/10,0)*10)</f>
        <v>-4</v>
      </c>
      <c r="U306" s="139">
        <f>INDEX('Budget by Source'!$A$6:$I$330,MATCH('Payment by Source'!$A306,'Budget by Source'!$A$6:$A$330,0),MATCH(U$3,'Budget by Source'!$A$5:$I$5,0))</f>
        <v>13231412</v>
      </c>
      <c r="V306" s="136">
        <f t="shared" si="13"/>
        <v>1323141</v>
      </c>
      <c r="W306" s="136">
        <f t="shared" si="14"/>
        <v>13231410</v>
      </c>
    </row>
    <row r="307" spans="1:23" x14ac:dyDescent="0.2">
      <c r="A307" s="22" t="str">
        <f>Data!B303</f>
        <v>6854</v>
      </c>
      <c r="B307" s="20" t="str">
        <f>INDEX(Data[],MATCH($A307,Data[Dist],0),MATCH(B$5,Data[#Headers],0))</f>
        <v>Wayne</v>
      </c>
      <c r="C307" s="21">
        <f>IF(Notes!$B$2="June",ROUND('Budget by Source'!C307/10,0)+P307,ROUND('Budget by Source'!C307/10,0))</f>
        <v>12858</v>
      </c>
      <c r="D307" s="21">
        <f>IF(Notes!$B$2="June",ROUND('Budget by Source'!D307/10,0)+Q307,ROUND('Budget by Source'!D307/10,0))</f>
        <v>65318</v>
      </c>
      <c r="E307" s="21">
        <f>IF(Notes!$B$2="June",ROUND('Budget by Source'!E307/10,0)+R307,ROUND('Budget by Source'!E307/10,0))</f>
        <v>4999</v>
      </c>
      <c r="F307" s="21">
        <f>IF(Notes!$B$2="June",ROUND('Budget by Source'!F307/10,0)+S307,ROUND('Budget by Source'!F307/10,0))</f>
        <v>4929</v>
      </c>
      <c r="G307" s="21">
        <f>IF(Notes!$B$2="June",ROUND('Budget by Source'!G307/10,0)+T307,ROUND('Budget by Source'!G307/10,0))</f>
        <v>21561</v>
      </c>
      <c r="H307" s="21">
        <f t="shared" si="12"/>
        <v>306847</v>
      </c>
      <c r="I307" s="21">
        <f>INDEX(Data[],MATCH($A307,Data[Dist],0),MATCH(I$5,Data[#Headers],0))</f>
        <v>416512</v>
      </c>
      <c r="K307" s="59">
        <f>INDEX('Payment Total'!$A$7:$H$331,MATCH('Payment by Source'!$A307,'Payment Total'!$A$7:$A$331,0),4)-I307</f>
        <v>0</v>
      </c>
      <c r="P307" s="138">
        <f>INDEX('Budget by Source'!$A$6:$I$330,MATCH('Payment by Source'!$A307,'Budget by Source'!$A$6:$A$330,0),MATCH(P$3,'Budget by Source'!$A$5:$I$5,0))-(ROUND(INDEX('Budget by Source'!$A$6:$I$330,MATCH('Payment by Source'!$A307,'Budget by Source'!$A$6:$A$330,0),MATCH(P$3,'Budget by Source'!$A$5:$I$5,0))/10,0)*10)</f>
        <v>2</v>
      </c>
      <c r="Q307" s="138">
        <f>INDEX('Budget by Source'!$A$6:$I$330,MATCH('Payment by Source'!$A307,'Budget by Source'!$A$6:$A$330,0),MATCH(Q$3,'Budget by Source'!$A$5:$I$5,0))-(ROUND(INDEX('Budget by Source'!$A$6:$I$330,MATCH('Payment by Source'!$A307,'Budget by Source'!$A$6:$A$330,0),MATCH(Q$3,'Budget by Source'!$A$5:$I$5,0))/10,0)*10)</f>
        <v>4</v>
      </c>
      <c r="R307" s="138">
        <f>INDEX('Budget by Source'!$A$6:$I$330,MATCH('Payment by Source'!$A307,'Budget by Source'!$A$6:$A$330,0),MATCH(R$3,'Budget by Source'!$A$5:$I$5,0))-(ROUND(INDEX('Budget by Source'!$A$6:$I$330,MATCH('Payment by Source'!$A307,'Budget by Source'!$A$6:$A$330,0),MATCH(R$3,'Budget by Source'!$A$5:$I$5,0))/10,0)*10)</f>
        <v>-5</v>
      </c>
      <c r="S307" s="138">
        <f>INDEX('Budget by Source'!$A$6:$I$330,MATCH('Payment by Source'!$A307,'Budget by Source'!$A$6:$A$330,0),MATCH(S$3,'Budget by Source'!$A$5:$I$5,0))-(ROUND(INDEX('Budget by Source'!$A$6:$I$330,MATCH('Payment by Source'!$A307,'Budget by Source'!$A$6:$A$330,0),MATCH(S$3,'Budget by Source'!$A$5:$I$5,0))/10,0)*10)</f>
        <v>-1</v>
      </c>
      <c r="T307" s="138">
        <f>INDEX('Budget by Source'!$A$6:$I$330,MATCH('Payment by Source'!$A307,'Budget by Source'!$A$6:$A$330,0),MATCH(T$3,'Budget by Source'!$A$5:$I$5,0))-(ROUND(INDEX('Budget by Source'!$A$6:$I$330,MATCH('Payment by Source'!$A307,'Budget by Source'!$A$6:$A$330,0),MATCH(T$3,'Budget by Source'!$A$5:$I$5,0))/10,0)*10)</f>
        <v>4</v>
      </c>
      <c r="U307" s="139">
        <f>INDEX('Budget by Source'!$A$6:$I$330,MATCH('Payment by Source'!$A307,'Budget by Source'!$A$6:$A$330,0),MATCH(U$3,'Budget by Source'!$A$5:$I$5,0))</f>
        <v>3077031</v>
      </c>
      <c r="V307" s="136">
        <f t="shared" si="13"/>
        <v>307703</v>
      </c>
      <c r="W307" s="136">
        <f t="shared" si="14"/>
        <v>3077030</v>
      </c>
    </row>
    <row r="308" spans="1:23" x14ac:dyDescent="0.2">
      <c r="A308" s="22" t="str">
        <f>Data!B304</f>
        <v>6867</v>
      </c>
      <c r="B308" s="20" t="str">
        <f>INDEX(Data[],MATCH($A308,Data[Dist],0),MATCH(B$5,Data[#Headers],0))</f>
        <v>Webster City</v>
      </c>
      <c r="C308" s="21">
        <f>IF(Notes!$B$2="June",ROUND('Budget by Source'!C308/10,0)+P308,ROUND('Budget by Source'!C308/10,0))</f>
        <v>43250</v>
      </c>
      <c r="D308" s="21">
        <f>IF(Notes!$B$2="June",ROUND('Budget by Source'!D308/10,0)+Q308,ROUND('Budget by Source'!D308/10,0))</f>
        <v>142016</v>
      </c>
      <c r="E308" s="21">
        <f>IF(Notes!$B$2="June",ROUND('Budget by Source'!E308/10,0)+R308,ROUND('Budget by Source'!E308/10,0))</f>
        <v>15146</v>
      </c>
      <c r="F308" s="21">
        <f>IF(Notes!$B$2="June",ROUND('Budget by Source'!F308/10,0)+S308,ROUND('Budget by Source'!F308/10,0))</f>
        <v>13702</v>
      </c>
      <c r="G308" s="21">
        <f>IF(Notes!$B$2="June",ROUND('Budget by Source'!G308/10,0)+T308,ROUND('Budget by Source'!G308/10,0))</f>
        <v>68020</v>
      </c>
      <c r="H308" s="21">
        <f t="shared" si="12"/>
        <v>977299</v>
      </c>
      <c r="I308" s="21">
        <f>INDEX(Data[],MATCH($A308,Data[Dist],0),MATCH(I$5,Data[#Headers],0))</f>
        <v>1259433</v>
      </c>
      <c r="K308" s="59">
        <f>INDEX('Payment Total'!$A$7:$H$331,MATCH('Payment by Source'!$A308,'Payment Total'!$A$7:$A$331,0),4)-I308</f>
        <v>0</v>
      </c>
      <c r="P308" s="138">
        <f>INDEX('Budget by Source'!$A$6:$I$330,MATCH('Payment by Source'!$A308,'Budget by Source'!$A$6:$A$330,0),MATCH(P$3,'Budget by Source'!$A$5:$I$5,0))-(ROUND(INDEX('Budget by Source'!$A$6:$I$330,MATCH('Payment by Source'!$A308,'Budget by Source'!$A$6:$A$330,0),MATCH(P$3,'Budget by Source'!$A$5:$I$5,0))/10,0)*10)</f>
        <v>2</v>
      </c>
      <c r="Q308" s="138">
        <f>INDEX('Budget by Source'!$A$6:$I$330,MATCH('Payment by Source'!$A308,'Budget by Source'!$A$6:$A$330,0),MATCH(Q$3,'Budget by Source'!$A$5:$I$5,0))-(ROUND(INDEX('Budget by Source'!$A$6:$I$330,MATCH('Payment by Source'!$A308,'Budget by Source'!$A$6:$A$330,0),MATCH(Q$3,'Budget by Source'!$A$5:$I$5,0))/10,0)*10)</f>
        <v>-2</v>
      </c>
      <c r="R308" s="138">
        <f>INDEX('Budget by Source'!$A$6:$I$330,MATCH('Payment by Source'!$A308,'Budget by Source'!$A$6:$A$330,0),MATCH(R$3,'Budget by Source'!$A$5:$I$5,0))-(ROUND(INDEX('Budget by Source'!$A$6:$I$330,MATCH('Payment by Source'!$A308,'Budget by Source'!$A$6:$A$330,0),MATCH(R$3,'Budget by Source'!$A$5:$I$5,0))/10,0)*10)</f>
        <v>-3</v>
      </c>
      <c r="S308" s="138">
        <f>INDEX('Budget by Source'!$A$6:$I$330,MATCH('Payment by Source'!$A308,'Budget by Source'!$A$6:$A$330,0),MATCH(S$3,'Budget by Source'!$A$5:$I$5,0))-(ROUND(INDEX('Budget by Source'!$A$6:$I$330,MATCH('Payment by Source'!$A308,'Budget by Source'!$A$6:$A$330,0),MATCH(S$3,'Budget by Source'!$A$5:$I$5,0))/10,0)*10)</f>
        <v>-5</v>
      </c>
      <c r="T308" s="138">
        <f>INDEX('Budget by Source'!$A$6:$I$330,MATCH('Payment by Source'!$A308,'Budget by Source'!$A$6:$A$330,0),MATCH(T$3,'Budget by Source'!$A$5:$I$5,0))-(ROUND(INDEX('Budget by Source'!$A$6:$I$330,MATCH('Payment by Source'!$A308,'Budget by Source'!$A$6:$A$330,0),MATCH(T$3,'Budget by Source'!$A$5:$I$5,0))/10,0)*10)</f>
        <v>-4</v>
      </c>
      <c r="U308" s="139">
        <f>INDEX('Budget by Source'!$A$6:$I$330,MATCH('Payment by Source'!$A308,'Budget by Source'!$A$6:$A$330,0),MATCH(U$3,'Budget by Source'!$A$5:$I$5,0))</f>
        <v>9799384</v>
      </c>
      <c r="V308" s="136">
        <f t="shared" si="13"/>
        <v>979938</v>
      </c>
      <c r="W308" s="136">
        <f t="shared" si="14"/>
        <v>9799380</v>
      </c>
    </row>
    <row r="309" spans="1:23" x14ac:dyDescent="0.2">
      <c r="A309" s="22" t="str">
        <f>Data!B305</f>
        <v>6921</v>
      </c>
      <c r="B309" s="20" t="str">
        <f>INDEX(Data[],MATCH($A309,Data[Dist],0),MATCH(B$5,Data[#Headers],0))</f>
        <v>West Bend-Mallard</v>
      </c>
      <c r="C309" s="21">
        <f>IF(Notes!$B$2="June",ROUND('Budget by Source'!C309/10,0)+P309,ROUND('Budget by Source'!C309/10,0))</f>
        <v>8962</v>
      </c>
      <c r="D309" s="21">
        <f>IF(Notes!$B$2="June",ROUND('Budget by Source'!D309/10,0)+Q309,ROUND('Budget by Source'!D309/10,0))</f>
        <v>52265</v>
      </c>
      <c r="E309" s="21">
        <f>IF(Notes!$B$2="June",ROUND('Budget by Source'!E309/10,0)+R309,ROUND('Budget by Source'!E309/10,0))</f>
        <v>2612</v>
      </c>
      <c r="F309" s="21">
        <f>IF(Notes!$B$2="June",ROUND('Budget by Source'!F309/10,0)+S309,ROUND('Budget by Source'!F309/10,0))</f>
        <v>2876</v>
      </c>
      <c r="G309" s="21">
        <f>IF(Notes!$B$2="June",ROUND('Budget by Source'!G309/10,0)+T309,ROUND('Budget by Source'!G309/10,0))</f>
        <v>13527</v>
      </c>
      <c r="H309" s="21">
        <f t="shared" si="12"/>
        <v>133646</v>
      </c>
      <c r="I309" s="21">
        <f>INDEX(Data[],MATCH($A309,Data[Dist],0),MATCH(I$5,Data[#Headers],0))</f>
        <v>213888</v>
      </c>
      <c r="K309" s="59">
        <f>INDEX('Payment Total'!$A$7:$H$331,MATCH('Payment by Source'!$A309,'Payment Total'!$A$7:$A$331,0),4)-I309</f>
        <v>0</v>
      </c>
      <c r="P309" s="138">
        <f>INDEX('Budget by Source'!$A$6:$I$330,MATCH('Payment by Source'!$A309,'Budget by Source'!$A$6:$A$330,0),MATCH(P$3,'Budget by Source'!$A$5:$I$5,0))-(ROUND(INDEX('Budget by Source'!$A$6:$I$330,MATCH('Payment by Source'!$A309,'Budget by Source'!$A$6:$A$330,0),MATCH(P$3,'Budget by Source'!$A$5:$I$5,0))/10,0)*10)</f>
        <v>-2</v>
      </c>
      <c r="Q309" s="138">
        <f>INDEX('Budget by Source'!$A$6:$I$330,MATCH('Payment by Source'!$A309,'Budget by Source'!$A$6:$A$330,0),MATCH(Q$3,'Budget by Source'!$A$5:$I$5,0))-(ROUND(INDEX('Budget by Source'!$A$6:$I$330,MATCH('Payment by Source'!$A309,'Budget by Source'!$A$6:$A$330,0),MATCH(Q$3,'Budget by Source'!$A$5:$I$5,0))/10,0)*10)</f>
        <v>1</v>
      </c>
      <c r="R309" s="138">
        <f>INDEX('Budget by Source'!$A$6:$I$330,MATCH('Payment by Source'!$A309,'Budget by Source'!$A$6:$A$330,0),MATCH(R$3,'Budget by Source'!$A$5:$I$5,0))-(ROUND(INDEX('Budget by Source'!$A$6:$I$330,MATCH('Payment by Source'!$A309,'Budget by Source'!$A$6:$A$330,0),MATCH(R$3,'Budget by Source'!$A$5:$I$5,0))/10,0)*10)</f>
        <v>-4</v>
      </c>
      <c r="S309" s="138">
        <f>INDEX('Budget by Source'!$A$6:$I$330,MATCH('Payment by Source'!$A309,'Budget by Source'!$A$6:$A$330,0),MATCH(S$3,'Budget by Source'!$A$5:$I$5,0))-(ROUND(INDEX('Budget by Source'!$A$6:$I$330,MATCH('Payment by Source'!$A309,'Budget by Source'!$A$6:$A$330,0),MATCH(S$3,'Budget by Source'!$A$5:$I$5,0))/10,0)*10)</f>
        <v>-1</v>
      </c>
      <c r="T309" s="138">
        <f>INDEX('Budget by Source'!$A$6:$I$330,MATCH('Payment by Source'!$A309,'Budget by Source'!$A$6:$A$330,0),MATCH(T$3,'Budget by Source'!$A$5:$I$5,0))-(ROUND(INDEX('Budget by Source'!$A$6:$I$330,MATCH('Payment by Source'!$A309,'Budget by Source'!$A$6:$A$330,0),MATCH(T$3,'Budget by Source'!$A$5:$I$5,0))/10,0)*10)</f>
        <v>-1</v>
      </c>
      <c r="U309" s="139">
        <f>INDEX('Budget by Source'!$A$6:$I$330,MATCH('Payment by Source'!$A309,'Budget by Source'!$A$6:$A$330,0),MATCH(U$3,'Budget by Source'!$A$5:$I$5,0))</f>
        <v>1341573</v>
      </c>
      <c r="V309" s="136">
        <f t="shared" si="13"/>
        <v>134157</v>
      </c>
      <c r="W309" s="136">
        <f t="shared" si="14"/>
        <v>1341570</v>
      </c>
    </row>
    <row r="310" spans="1:23" x14ac:dyDescent="0.2">
      <c r="A310" s="22" t="str">
        <f>Data!B306</f>
        <v>6930</v>
      </c>
      <c r="B310" s="20" t="str">
        <f>INDEX(Data[],MATCH($A310,Data[Dist],0),MATCH(B$5,Data[#Headers],0))</f>
        <v>West Branch</v>
      </c>
      <c r="C310" s="21">
        <f>IF(Notes!$B$2="June",ROUND('Budget by Source'!C310/10,0)+P310,ROUND('Budget by Source'!C310/10,0))</f>
        <v>16755</v>
      </c>
      <c r="D310" s="21">
        <f>IF(Notes!$B$2="June",ROUND('Budget by Source'!D310/10,0)+Q310,ROUND('Budget by Source'!D310/10,0))</f>
        <v>70352</v>
      </c>
      <c r="E310" s="21">
        <f>IF(Notes!$B$2="June",ROUND('Budget by Source'!E310/10,0)+R310,ROUND('Budget by Source'!E310/10,0))</f>
        <v>5826</v>
      </c>
      <c r="F310" s="21">
        <f>IF(Notes!$B$2="June",ROUND('Budget by Source'!F310/10,0)+S310,ROUND('Budget by Source'!F310/10,0))</f>
        <v>5652</v>
      </c>
      <c r="G310" s="21">
        <f>IF(Notes!$B$2="June",ROUND('Budget by Source'!G310/10,0)+T310,ROUND('Budget by Source'!G310/10,0))</f>
        <v>29936</v>
      </c>
      <c r="H310" s="21">
        <f t="shared" si="12"/>
        <v>374286</v>
      </c>
      <c r="I310" s="21">
        <f>INDEX(Data[],MATCH($A310,Data[Dist],0),MATCH(I$5,Data[#Headers],0))</f>
        <v>502807</v>
      </c>
      <c r="K310" s="59">
        <f>INDEX('Payment Total'!$A$7:$H$331,MATCH('Payment by Source'!$A310,'Payment Total'!$A$7:$A$331,0),4)-I310</f>
        <v>0</v>
      </c>
      <c r="P310" s="138">
        <f>INDEX('Budget by Source'!$A$6:$I$330,MATCH('Payment by Source'!$A310,'Budget by Source'!$A$6:$A$330,0),MATCH(P$3,'Budget by Source'!$A$5:$I$5,0))-(ROUND(INDEX('Budget by Source'!$A$6:$I$330,MATCH('Payment by Source'!$A310,'Budget by Source'!$A$6:$A$330,0),MATCH(P$3,'Budget by Source'!$A$5:$I$5,0))/10,0)*10)</f>
        <v>-4</v>
      </c>
      <c r="Q310" s="138">
        <f>INDEX('Budget by Source'!$A$6:$I$330,MATCH('Payment by Source'!$A310,'Budget by Source'!$A$6:$A$330,0),MATCH(Q$3,'Budget by Source'!$A$5:$I$5,0))-(ROUND(INDEX('Budget by Source'!$A$6:$I$330,MATCH('Payment by Source'!$A310,'Budget by Source'!$A$6:$A$330,0),MATCH(Q$3,'Budget by Source'!$A$5:$I$5,0))/10,0)*10)</f>
        <v>-2</v>
      </c>
      <c r="R310" s="138">
        <f>INDEX('Budget by Source'!$A$6:$I$330,MATCH('Payment by Source'!$A310,'Budget by Source'!$A$6:$A$330,0),MATCH(R$3,'Budget by Source'!$A$5:$I$5,0))-(ROUND(INDEX('Budget by Source'!$A$6:$I$330,MATCH('Payment by Source'!$A310,'Budget by Source'!$A$6:$A$330,0),MATCH(R$3,'Budget by Source'!$A$5:$I$5,0))/10,0)*10)</f>
        <v>-3</v>
      </c>
      <c r="S310" s="138">
        <f>INDEX('Budget by Source'!$A$6:$I$330,MATCH('Payment by Source'!$A310,'Budget by Source'!$A$6:$A$330,0),MATCH(S$3,'Budget by Source'!$A$5:$I$5,0))-(ROUND(INDEX('Budget by Source'!$A$6:$I$330,MATCH('Payment by Source'!$A310,'Budget by Source'!$A$6:$A$330,0),MATCH(S$3,'Budget by Source'!$A$5:$I$5,0))/10,0)*10)</f>
        <v>1</v>
      </c>
      <c r="T310" s="138">
        <f>INDEX('Budget by Source'!$A$6:$I$330,MATCH('Payment by Source'!$A310,'Budget by Source'!$A$6:$A$330,0),MATCH(T$3,'Budget by Source'!$A$5:$I$5,0))-(ROUND(INDEX('Budget by Source'!$A$6:$I$330,MATCH('Payment by Source'!$A310,'Budget by Source'!$A$6:$A$330,0),MATCH(T$3,'Budget by Source'!$A$5:$I$5,0))/10,0)*10)</f>
        <v>-1</v>
      </c>
      <c r="U310" s="139">
        <f>INDEX('Budget by Source'!$A$6:$I$330,MATCH('Payment by Source'!$A310,'Budget by Source'!$A$6:$A$330,0),MATCH(U$3,'Budget by Source'!$A$5:$I$5,0))</f>
        <v>3754572</v>
      </c>
      <c r="V310" s="136">
        <f t="shared" si="13"/>
        <v>375457</v>
      </c>
      <c r="W310" s="136">
        <f t="shared" si="14"/>
        <v>3754570</v>
      </c>
    </row>
    <row r="311" spans="1:23" x14ac:dyDescent="0.2">
      <c r="A311" s="22" t="str">
        <f>Data!B307</f>
        <v>6937</v>
      </c>
      <c r="B311" s="20" t="str">
        <f>INDEX(Data[],MATCH($A311,Data[Dist],0),MATCH(B$5,Data[#Headers],0))</f>
        <v>West Burlington</v>
      </c>
      <c r="C311" s="21">
        <f>IF(Notes!$B$2="June",ROUND('Budget by Source'!C311/10,0)+P311,ROUND('Budget by Source'!C311/10,0))</f>
        <v>12079</v>
      </c>
      <c r="D311" s="21">
        <f>IF(Notes!$B$2="June",ROUND('Budget by Source'!D311/10,0)+Q311,ROUND('Budget by Source'!D311/10,0))</f>
        <v>41498</v>
      </c>
      <c r="E311" s="21">
        <f>IF(Notes!$B$2="June",ROUND('Budget by Source'!E311/10,0)+R311,ROUND('Budget by Source'!E311/10,0))</f>
        <v>5054</v>
      </c>
      <c r="F311" s="21">
        <f>IF(Notes!$B$2="June",ROUND('Budget by Source'!F311/10,0)+S311,ROUND('Budget by Source'!F311/10,0))</f>
        <v>4045</v>
      </c>
      <c r="G311" s="21">
        <f>IF(Notes!$B$2="June",ROUND('Budget by Source'!G311/10,0)+T311,ROUND('Budget by Source'!G311/10,0))</f>
        <v>14926</v>
      </c>
      <c r="H311" s="21">
        <f t="shared" si="12"/>
        <v>199044</v>
      </c>
      <c r="I311" s="21">
        <f>INDEX(Data[],MATCH($A311,Data[Dist],0),MATCH(I$5,Data[#Headers],0))</f>
        <v>276646</v>
      </c>
      <c r="K311" s="59">
        <f>INDEX('Payment Total'!$A$7:$H$331,MATCH('Payment by Source'!$A311,'Payment Total'!$A$7:$A$331,0),4)-I311</f>
        <v>0</v>
      </c>
      <c r="P311" s="138">
        <f>INDEX('Budget by Source'!$A$6:$I$330,MATCH('Payment by Source'!$A311,'Budget by Source'!$A$6:$A$330,0),MATCH(P$3,'Budget by Source'!$A$5:$I$5,0))-(ROUND(INDEX('Budget by Source'!$A$6:$I$330,MATCH('Payment by Source'!$A311,'Budget by Source'!$A$6:$A$330,0),MATCH(P$3,'Budget by Source'!$A$5:$I$5,0))/10,0)*10)</f>
        <v>-1</v>
      </c>
      <c r="Q311" s="138">
        <f>INDEX('Budget by Source'!$A$6:$I$330,MATCH('Payment by Source'!$A311,'Budget by Source'!$A$6:$A$330,0),MATCH(Q$3,'Budget by Source'!$A$5:$I$5,0))-(ROUND(INDEX('Budget by Source'!$A$6:$I$330,MATCH('Payment by Source'!$A311,'Budget by Source'!$A$6:$A$330,0),MATCH(Q$3,'Budget by Source'!$A$5:$I$5,0))/10,0)*10)</f>
        <v>-2</v>
      </c>
      <c r="R311" s="138">
        <f>INDEX('Budget by Source'!$A$6:$I$330,MATCH('Payment by Source'!$A311,'Budget by Source'!$A$6:$A$330,0),MATCH(R$3,'Budget by Source'!$A$5:$I$5,0))-(ROUND(INDEX('Budget by Source'!$A$6:$I$330,MATCH('Payment by Source'!$A311,'Budget by Source'!$A$6:$A$330,0),MATCH(R$3,'Budget by Source'!$A$5:$I$5,0))/10,0)*10)</f>
        <v>-4</v>
      </c>
      <c r="S311" s="138">
        <f>INDEX('Budget by Source'!$A$6:$I$330,MATCH('Payment by Source'!$A311,'Budget by Source'!$A$6:$A$330,0),MATCH(S$3,'Budget by Source'!$A$5:$I$5,0))-(ROUND(INDEX('Budget by Source'!$A$6:$I$330,MATCH('Payment by Source'!$A311,'Budget by Source'!$A$6:$A$330,0),MATCH(S$3,'Budget by Source'!$A$5:$I$5,0))/10,0)*10)</f>
        <v>1</v>
      </c>
      <c r="T311" s="138">
        <f>INDEX('Budget by Source'!$A$6:$I$330,MATCH('Payment by Source'!$A311,'Budget by Source'!$A$6:$A$330,0),MATCH(T$3,'Budget by Source'!$A$5:$I$5,0))-(ROUND(INDEX('Budget by Source'!$A$6:$I$330,MATCH('Payment by Source'!$A311,'Budget by Source'!$A$6:$A$330,0),MATCH(T$3,'Budget by Source'!$A$5:$I$5,0))/10,0)*10)</f>
        <v>-5</v>
      </c>
      <c r="U311" s="139">
        <f>INDEX('Budget by Source'!$A$6:$I$330,MATCH('Payment by Source'!$A311,'Budget by Source'!$A$6:$A$330,0),MATCH(U$3,'Budget by Source'!$A$5:$I$5,0))</f>
        <v>1996213</v>
      </c>
      <c r="V311" s="136">
        <f t="shared" si="13"/>
        <v>199621</v>
      </c>
      <c r="W311" s="136">
        <f t="shared" si="14"/>
        <v>1996210</v>
      </c>
    </row>
    <row r="312" spans="1:23" x14ac:dyDescent="0.2">
      <c r="A312" s="22" t="str">
        <f>Data!B308</f>
        <v>6943</v>
      </c>
      <c r="B312" s="20" t="str">
        <f>INDEX(Data[],MATCH($A312,Data[Dist],0),MATCH(B$5,Data[#Headers],0))</f>
        <v>West Central</v>
      </c>
      <c r="C312" s="21">
        <f>IF(Notes!$B$2="June",ROUND('Budget by Source'!C312/10,0)+P312,ROUND('Budget by Source'!C312/10,0))</f>
        <v>12079</v>
      </c>
      <c r="D312" s="21">
        <f>IF(Notes!$B$2="June",ROUND('Budget by Source'!D312/10,0)+Q312,ROUND('Budget by Source'!D312/10,0))</f>
        <v>38895</v>
      </c>
      <c r="E312" s="21">
        <f>IF(Notes!$B$2="June",ROUND('Budget by Source'!E312/10,0)+R312,ROUND('Budget by Source'!E312/10,0))</f>
        <v>1849</v>
      </c>
      <c r="F312" s="21">
        <f>IF(Notes!$B$2="June",ROUND('Budget by Source'!F312/10,0)+S312,ROUND('Budget by Source'!F312/10,0))</f>
        <v>1965</v>
      </c>
      <c r="G312" s="21">
        <f>IF(Notes!$B$2="June",ROUND('Budget by Source'!G312/10,0)+T312,ROUND('Budget by Source'!G312/10,0))</f>
        <v>9884</v>
      </c>
      <c r="H312" s="21">
        <f t="shared" si="12"/>
        <v>122064</v>
      </c>
      <c r="I312" s="21">
        <f>INDEX(Data[],MATCH($A312,Data[Dist],0),MATCH(I$5,Data[#Headers],0))</f>
        <v>186736</v>
      </c>
      <c r="K312" s="59">
        <f>INDEX('Payment Total'!$A$7:$H$331,MATCH('Payment by Source'!$A312,'Payment Total'!$A$7:$A$331,0),4)-I312</f>
        <v>0</v>
      </c>
      <c r="P312" s="138">
        <f>INDEX('Budget by Source'!$A$6:$I$330,MATCH('Payment by Source'!$A312,'Budget by Source'!$A$6:$A$330,0),MATCH(P$3,'Budget by Source'!$A$5:$I$5,0))-(ROUND(INDEX('Budget by Source'!$A$6:$I$330,MATCH('Payment by Source'!$A312,'Budget by Source'!$A$6:$A$330,0),MATCH(P$3,'Budget by Source'!$A$5:$I$5,0))/10,0)*10)</f>
        <v>-1</v>
      </c>
      <c r="Q312" s="138">
        <f>INDEX('Budget by Source'!$A$6:$I$330,MATCH('Payment by Source'!$A312,'Budget by Source'!$A$6:$A$330,0),MATCH(Q$3,'Budget by Source'!$A$5:$I$5,0))-(ROUND(INDEX('Budget by Source'!$A$6:$I$330,MATCH('Payment by Source'!$A312,'Budget by Source'!$A$6:$A$330,0),MATCH(Q$3,'Budget by Source'!$A$5:$I$5,0))/10,0)*10)</f>
        <v>-3</v>
      </c>
      <c r="R312" s="138">
        <f>INDEX('Budget by Source'!$A$6:$I$330,MATCH('Payment by Source'!$A312,'Budget by Source'!$A$6:$A$330,0),MATCH(R$3,'Budget by Source'!$A$5:$I$5,0))-(ROUND(INDEX('Budget by Source'!$A$6:$I$330,MATCH('Payment by Source'!$A312,'Budget by Source'!$A$6:$A$330,0),MATCH(R$3,'Budget by Source'!$A$5:$I$5,0))/10,0)*10)</f>
        <v>-3</v>
      </c>
      <c r="S312" s="138">
        <f>INDEX('Budget by Source'!$A$6:$I$330,MATCH('Payment by Source'!$A312,'Budget by Source'!$A$6:$A$330,0),MATCH(S$3,'Budget by Source'!$A$5:$I$5,0))-(ROUND(INDEX('Budget by Source'!$A$6:$I$330,MATCH('Payment by Source'!$A312,'Budget by Source'!$A$6:$A$330,0),MATCH(S$3,'Budget by Source'!$A$5:$I$5,0))/10,0)*10)</f>
        <v>-4</v>
      </c>
      <c r="T312" s="138">
        <f>INDEX('Budget by Source'!$A$6:$I$330,MATCH('Payment by Source'!$A312,'Budget by Source'!$A$6:$A$330,0),MATCH(T$3,'Budget by Source'!$A$5:$I$5,0))-(ROUND(INDEX('Budget by Source'!$A$6:$I$330,MATCH('Payment by Source'!$A312,'Budget by Source'!$A$6:$A$330,0),MATCH(T$3,'Budget by Source'!$A$5:$I$5,0))/10,0)*10)</f>
        <v>0</v>
      </c>
      <c r="U312" s="139">
        <f>INDEX('Budget by Source'!$A$6:$I$330,MATCH('Payment by Source'!$A312,'Budget by Source'!$A$6:$A$330,0),MATCH(U$3,'Budget by Source'!$A$5:$I$5,0))</f>
        <v>1224465</v>
      </c>
      <c r="V312" s="136">
        <f t="shared" si="13"/>
        <v>122447</v>
      </c>
      <c r="W312" s="136">
        <f t="shared" si="14"/>
        <v>1224470</v>
      </c>
    </row>
    <row r="313" spans="1:23" x14ac:dyDescent="0.2">
      <c r="A313" s="22" t="str">
        <f>Data!B309</f>
        <v>6950</v>
      </c>
      <c r="B313" s="20" t="str">
        <f>INDEX(Data[],MATCH($A313,Data[Dist],0),MATCH(B$5,Data[#Headers],0))</f>
        <v>West Delaware Co</v>
      </c>
      <c r="C313" s="21">
        <f>IF(Notes!$B$2="June",ROUND('Budget by Source'!C313/10,0)+P313,ROUND('Budget by Source'!C313/10,0))</f>
        <v>23379</v>
      </c>
      <c r="D313" s="21">
        <f>IF(Notes!$B$2="June",ROUND('Budget by Source'!D313/10,0)+Q313,ROUND('Budget by Source'!D313/10,0))</f>
        <v>112024</v>
      </c>
      <c r="E313" s="21">
        <f>IF(Notes!$B$2="June",ROUND('Budget by Source'!E313/10,0)+R313,ROUND('Budget by Source'!E313/10,0))</f>
        <v>10414</v>
      </c>
      <c r="F313" s="21">
        <f>IF(Notes!$B$2="June",ROUND('Budget by Source'!F313/10,0)+S313,ROUND('Budget by Source'!F313/10,0))</f>
        <v>10449</v>
      </c>
      <c r="G313" s="21">
        <f>IF(Notes!$B$2="June",ROUND('Budget by Source'!G313/10,0)+T313,ROUND('Budget by Source'!G313/10,0))</f>
        <v>52865</v>
      </c>
      <c r="H313" s="21">
        <f t="shared" si="12"/>
        <v>682956</v>
      </c>
      <c r="I313" s="21">
        <f>INDEX(Data[],MATCH($A313,Data[Dist],0),MATCH(I$5,Data[#Headers],0))</f>
        <v>892087</v>
      </c>
      <c r="K313" s="59">
        <f>INDEX('Payment Total'!$A$7:$H$331,MATCH('Payment by Source'!$A313,'Payment Total'!$A$7:$A$331,0),4)-I313</f>
        <v>0</v>
      </c>
      <c r="P313" s="138">
        <f>INDEX('Budget by Source'!$A$6:$I$330,MATCH('Payment by Source'!$A313,'Budget by Source'!$A$6:$A$330,0),MATCH(P$3,'Budget by Source'!$A$5:$I$5,0))-(ROUND(INDEX('Budget by Source'!$A$6:$I$330,MATCH('Payment by Source'!$A313,'Budget by Source'!$A$6:$A$330,0),MATCH(P$3,'Budget by Source'!$A$5:$I$5,0))/10,0)*10)</f>
        <v>-5</v>
      </c>
      <c r="Q313" s="138">
        <f>INDEX('Budget by Source'!$A$6:$I$330,MATCH('Payment by Source'!$A313,'Budget by Source'!$A$6:$A$330,0),MATCH(Q$3,'Budget by Source'!$A$5:$I$5,0))-(ROUND(INDEX('Budget by Source'!$A$6:$I$330,MATCH('Payment by Source'!$A313,'Budget by Source'!$A$6:$A$330,0),MATCH(Q$3,'Budget by Source'!$A$5:$I$5,0))/10,0)*10)</f>
        <v>4</v>
      </c>
      <c r="R313" s="138">
        <f>INDEX('Budget by Source'!$A$6:$I$330,MATCH('Payment by Source'!$A313,'Budget by Source'!$A$6:$A$330,0),MATCH(R$3,'Budget by Source'!$A$5:$I$5,0))-(ROUND(INDEX('Budget by Source'!$A$6:$I$330,MATCH('Payment by Source'!$A313,'Budget by Source'!$A$6:$A$330,0),MATCH(R$3,'Budget by Source'!$A$5:$I$5,0))/10,0)*10)</f>
        <v>-3</v>
      </c>
      <c r="S313" s="138">
        <f>INDEX('Budget by Source'!$A$6:$I$330,MATCH('Payment by Source'!$A313,'Budget by Source'!$A$6:$A$330,0),MATCH(S$3,'Budget by Source'!$A$5:$I$5,0))-(ROUND(INDEX('Budget by Source'!$A$6:$I$330,MATCH('Payment by Source'!$A313,'Budget by Source'!$A$6:$A$330,0),MATCH(S$3,'Budget by Source'!$A$5:$I$5,0))/10,0)*10)</f>
        <v>-3</v>
      </c>
      <c r="T313" s="138">
        <f>INDEX('Budget by Source'!$A$6:$I$330,MATCH('Payment by Source'!$A313,'Budget by Source'!$A$6:$A$330,0),MATCH(T$3,'Budget by Source'!$A$5:$I$5,0))-(ROUND(INDEX('Budget by Source'!$A$6:$I$330,MATCH('Payment by Source'!$A313,'Budget by Source'!$A$6:$A$330,0),MATCH(T$3,'Budget by Source'!$A$5:$I$5,0))/10,0)*10)</f>
        <v>-3</v>
      </c>
      <c r="U313" s="139">
        <f>INDEX('Budget by Source'!$A$6:$I$330,MATCH('Payment by Source'!$A313,'Budget by Source'!$A$6:$A$330,0),MATCH(U$3,'Budget by Source'!$A$5:$I$5,0))</f>
        <v>6849501</v>
      </c>
      <c r="V313" s="136">
        <f t="shared" si="13"/>
        <v>684950</v>
      </c>
      <c r="W313" s="136">
        <f t="shared" si="14"/>
        <v>6849500</v>
      </c>
    </row>
    <row r="314" spans="1:23" x14ac:dyDescent="0.2">
      <c r="A314" s="22" t="str">
        <f>Data!B310</f>
        <v>6957</v>
      </c>
      <c r="B314" s="20" t="str">
        <f>INDEX(Data[],MATCH($A314,Data[Dist],0),MATCH(B$5,Data[#Headers],0))</f>
        <v>West Des Moines</v>
      </c>
      <c r="C314" s="21">
        <f>IF(Notes!$B$2="June",ROUND('Budget by Source'!C314/10,0)+P314,ROUND('Budget by Source'!C314/10,0))</f>
        <v>137575</v>
      </c>
      <c r="D314" s="21">
        <f>IF(Notes!$B$2="June",ROUND('Budget by Source'!D314/10,0)+Q314,ROUND('Budget by Source'!D314/10,0))</f>
        <v>622783</v>
      </c>
      <c r="E314" s="21">
        <f>IF(Notes!$B$2="June",ROUND('Budget by Source'!E314/10,0)+R314,ROUND('Budget by Source'!E314/10,0))</f>
        <v>64942</v>
      </c>
      <c r="F314" s="21">
        <f>IF(Notes!$B$2="June",ROUND('Budget by Source'!F314/10,0)+S314,ROUND('Budget by Source'!F314/10,0))</f>
        <v>65352</v>
      </c>
      <c r="G314" s="21">
        <f>IF(Notes!$B$2="June",ROUND('Budget by Source'!G314/10,0)+T314,ROUND('Budget by Source'!G314/10,0))</f>
        <v>336461</v>
      </c>
      <c r="H314" s="21">
        <f t="shared" si="12"/>
        <v>3998950</v>
      </c>
      <c r="I314" s="21">
        <f>INDEX(Data[],MATCH($A314,Data[Dist],0),MATCH(I$5,Data[#Headers],0))</f>
        <v>5226063</v>
      </c>
      <c r="K314" s="59">
        <f>INDEX('Payment Total'!$A$7:$H$331,MATCH('Payment by Source'!$A314,'Payment Total'!$A$7:$A$331,0),4)-I314</f>
        <v>0</v>
      </c>
      <c r="P314" s="138">
        <f>INDEX('Budget by Source'!$A$6:$I$330,MATCH('Payment by Source'!$A314,'Budget by Source'!$A$6:$A$330,0),MATCH(P$3,'Budget by Source'!$A$5:$I$5,0))-(ROUND(INDEX('Budget by Source'!$A$6:$I$330,MATCH('Payment by Source'!$A314,'Budget by Source'!$A$6:$A$330,0),MATCH(P$3,'Budget by Source'!$A$5:$I$5,0))/10,0)*10)</f>
        <v>0</v>
      </c>
      <c r="Q314" s="138">
        <f>INDEX('Budget by Source'!$A$6:$I$330,MATCH('Payment by Source'!$A314,'Budget by Source'!$A$6:$A$330,0),MATCH(Q$3,'Budget by Source'!$A$5:$I$5,0))-(ROUND(INDEX('Budget by Source'!$A$6:$I$330,MATCH('Payment by Source'!$A314,'Budget by Source'!$A$6:$A$330,0),MATCH(Q$3,'Budget by Source'!$A$5:$I$5,0))/10,0)*10)</f>
        <v>-5</v>
      </c>
      <c r="R314" s="138">
        <f>INDEX('Budget by Source'!$A$6:$I$330,MATCH('Payment by Source'!$A314,'Budget by Source'!$A$6:$A$330,0),MATCH(R$3,'Budget by Source'!$A$5:$I$5,0))-(ROUND(INDEX('Budget by Source'!$A$6:$I$330,MATCH('Payment by Source'!$A314,'Budget by Source'!$A$6:$A$330,0),MATCH(R$3,'Budget by Source'!$A$5:$I$5,0))/10,0)*10)</f>
        <v>4</v>
      </c>
      <c r="S314" s="138">
        <f>INDEX('Budget by Source'!$A$6:$I$330,MATCH('Payment by Source'!$A314,'Budget by Source'!$A$6:$A$330,0),MATCH(S$3,'Budget by Source'!$A$5:$I$5,0))-(ROUND(INDEX('Budget by Source'!$A$6:$I$330,MATCH('Payment by Source'!$A314,'Budget by Source'!$A$6:$A$330,0),MATCH(S$3,'Budget by Source'!$A$5:$I$5,0))/10,0)*10)</f>
        <v>1</v>
      </c>
      <c r="T314" s="138">
        <f>INDEX('Budget by Source'!$A$6:$I$330,MATCH('Payment by Source'!$A314,'Budget by Source'!$A$6:$A$330,0),MATCH(T$3,'Budget by Source'!$A$5:$I$5,0))-(ROUND(INDEX('Budget by Source'!$A$6:$I$330,MATCH('Payment by Source'!$A314,'Budget by Source'!$A$6:$A$330,0),MATCH(T$3,'Budget by Source'!$A$5:$I$5,0))/10,0)*10)</f>
        <v>-4</v>
      </c>
      <c r="U314" s="139">
        <f>INDEX('Budget by Source'!$A$6:$I$330,MATCH('Payment by Source'!$A314,'Budget by Source'!$A$6:$A$330,0),MATCH(U$3,'Budget by Source'!$A$5:$I$5,0))</f>
        <v>40118862</v>
      </c>
      <c r="V314" s="136">
        <f t="shared" si="13"/>
        <v>4011886</v>
      </c>
      <c r="W314" s="136">
        <f t="shared" si="14"/>
        <v>40118860</v>
      </c>
    </row>
    <row r="315" spans="1:23" x14ac:dyDescent="0.2">
      <c r="A315" s="22" t="str">
        <f>Data!B311</f>
        <v>6961</v>
      </c>
      <c r="B315" s="20" t="str">
        <f>INDEX(Data[],MATCH($A315,Data[Dist],0),MATCH(B$5,Data[#Headers],0))</f>
        <v>Western Dubuque Co</v>
      </c>
      <c r="C315" s="21">
        <f>IF(Notes!$B$2="June",ROUND('Budget by Source'!C315/10,0)+P315,ROUND('Budget by Source'!C315/10,0))</f>
        <v>113004</v>
      </c>
      <c r="D315" s="21">
        <f>IF(Notes!$B$2="June",ROUND('Budget by Source'!D315/10,0)+Q315,ROUND('Budget by Source'!D315/10,0))</f>
        <v>261219</v>
      </c>
      <c r="E315" s="21">
        <f>IF(Notes!$B$2="June",ROUND('Budget by Source'!E315/10,0)+R315,ROUND('Budget by Source'!E315/10,0))</f>
        <v>27584</v>
      </c>
      <c r="F315" s="21">
        <f>IF(Notes!$B$2="June",ROUND('Budget by Source'!F315/10,0)+S315,ROUND('Budget by Source'!F315/10,0))</f>
        <v>26557</v>
      </c>
      <c r="G315" s="21">
        <f>IF(Notes!$B$2="June",ROUND('Budget by Source'!G315/10,0)+T315,ROUND('Budget by Source'!G315/10,0))</f>
        <v>135144</v>
      </c>
      <c r="H315" s="21">
        <f t="shared" si="12"/>
        <v>1589504</v>
      </c>
      <c r="I315" s="21">
        <f>INDEX(Data[],MATCH($A315,Data[Dist],0),MATCH(I$5,Data[#Headers],0))</f>
        <v>2153012</v>
      </c>
      <c r="K315" s="59">
        <f>INDEX('Payment Total'!$A$7:$H$331,MATCH('Payment by Source'!$A315,'Payment Total'!$A$7:$A$331,0),4)-I315</f>
        <v>0</v>
      </c>
      <c r="P315" s="138">
        <f>INDEX('Budget by Source'!$A$6:$I$330,MATCH('Payment by Source'!$A315,'Budget by Source'!$A$6:$A$330,0),MATCH(P$3,'Budget by Source'!$A$5:$I$5,0))-(ROUND(INDEX('Budget by Source'!$A$6:$I$330,MATCH('Payment by Source'!$A315,'Budget by Source'!$A$6:$A$330,0),MATCH(P$3,'Budget by Source'!$A$5:$I$5,0))/10,0)*10)</f>
        <v>-1</v>
      </c>
      <c r="Q315" s="138">
        <f>INDEX('Budget by Source'!$A$6:$I$330,MATCH('Payment by Source'!$A315,'Budget by Source'!$A$6:$A$330,0),MATCH(Q$3,'Budget by Source'!$A$5:$I$5,0))-(ROUND(INDEX('Budget by Source'!$A$6:$I$330,MATCH('Payment by Source'!$A315,'Budget by Source'!$A$6:$A$330,0),MATCH(Q$3,'Budget by Source'!$A$5:$I$5,0))/10,0)*10)</f>
        <v>-4</v>
      </c>
      <c r="R315" s="138">
        <f>INDEX('Budget by Source'!$A$6:$I$330,MATCH('Payment by Source'!$A315,'Budget by Source'!$A$6:$A$330,0),MATCH(R$3,'Budget by Source'!$A$5:$I$5,0))-(ROUND(INDEX('Budget by Source'!$A$6:$I$330,MATCH('Payment by Source'!$A315,'Budget by Source'!$A$6:$A$330,0),MATCH(R$3,'Budget by Source'!$A$5:$I$5,0))/10,0)*10)</f>
        <v>1</v>
      </c>
      <c r="S315" s="138">
        <f>INDEX('Budget by Source'!$A$6:$I$330,MATCH('Payment by Source'!$A315,'Budget by Source'!$A$6:$A$330,0),MATCH(S$3,'Budget by Source'!$A$5:$I$5,0))-(ROUND(INDEX('Budget by Source'!$A$6:$I$330,MATCH('Payment by Source'!$A315,'Budget by Source'!$A$6:$A$330,0),MATCH(S$3,'Budget by Source'!$A$5:$I$5,0))/10,0)*10)</f>
        <v>3</v>
      </c>
      <c r="T315" s="138">
        <f>INDEX('Budget by Source'!$A$6:$I$330,MATCH('Payment by Source'!$A315,'Budget by Source'!$A$6:$A$330,0),MATCH(T$3,'Budget by Source'!$A$5:$I$5,0))-(ROUND(INDEX('Budget by Source'!$A$6:$I$330,MATCH('Payment by Source'!$A315,'Budget by Source'!$A$6:$A$330,0),MATCH(T$3,'Budget by Source'!$A$5:$I$5,0))/10,0)*10)</f>
        <v>0</v>
      </c>
      <c r="U315" s="139">
        <f>INDEX('Budget by Source'!$A$6:$I$330,MATCH('Payment by Source'!$A315,'Budget by Source'!$A$6:$A$330,0),MATCH(U$3,'Budget by Source'!$A$5:$I$5,0))</f>
        <v>15942938</v>
      </c>
      <c r="V315" s="136">
        <f t="shared" si="13"/>
        <v>1594294</v>
      </c>
      <c r="W315" s="136">
        <f t="shared" si="14"/>
        <v>15942940</v>
      </c>
    </row>
    <row r="316" spans="1:23" x14ac:dyDescent="0.2">
      <c r="A316" s="22" t="str">
        <f>Data!B312</f>
        <v>6969</v>
      </c>
      <c r="B316" s="20" t="str">
        <f>INDEX(Data[],MATCH($A316,Data[Dist],0),MATCH(B$5,Data[#Headers],0))</f>
        <v>West Harrison</v>
      </c>
      <c r="C316" s="21">
        <f>IF(Notes!$B$2="June",ROUND('Budget by Source'!C316/10,0)+P316,ROUND('Budget by Source'!C316/10,0))</f>
        <v>7403</v>
      </c>
      <c r="D316" s="21">
        <f>IF(Notes!$B$2="June",ROUND('Budget by Source'!D316/10,0)+Q316,ROUND('Budget by Source'!D316/10,0))</f>
        <v>37508</v>
      </c>
      <c r="E316" s="21">
        <f>IF(Notes!$B$2="June",ROUND('Budget by Source'!E316/10,0)+R316,ROUND('Budget by Source'!E316/10,0))</f>
        <v>2318</v>
      </c>
      <c r="F316" s="21">
        <f>IF(Notes!$B$2="June",ROUND('Budget by Source'!F316/10,0)+S316,ROUND('Budget by Source'!F316/10,0))</f>
        <v>2646</v>
      </c>
      <c r="G316" s="21">
        <f>IF(Notes!$B$2="June",ROUND('Budget by Source'!G316/10,0)+T316,ROUND('Budget by Source'!G316/10,0))</f>
        <v>13247</v>
      </c>
      <c r="H316" s="21">
        <f t="shared" si="12"/>
        <v>141250</v>
      </c>
      <c r="I316" s="21">
        <f>INDEX(Data[],MATCH($A316,Data[Dist],0),MATCH(I$5,Data[#Headers],0))</f>
        <v>204372</v>
      </c>
      <c r="K316" s="59">
        <f>INDEX('Payment Total'!$A$7:$H$331,MATCH('Payment by Source'!$A316,'Payment Total'!$A$7:$A$331,0),4)-I316</f>
        <v>0</v>
      </c>
      <c r="P316" s="138">
        <f>INDEX('Budget by Source'!$A$6:$I$330,MATCH('Payment by Source'!$A316,'Budget by Source'!$A$6:$A$330,0),MATCH(P$3,'Budget by Source'!$A$5:$I$5,0))-(ROUND(INDEX('Budget by Source'!$A$6:$I$330,MATCH('Payment by Source'!$A316,'Budget by Source'!$A$6:$A$330,0),MATCH(P$3,'Budget by Source'!$A$5:$I$5,0))/10,0)*10)</f>
        <v>2</v>
      </c>
      <c r="Q316" s="138">
        <f>INDEX('Budget by Source'!$A$6:$I$330,MATCH('Payment by Source'!$A316,'Budget by Source'!$A$6:$A$330,0),MATCH(Q$3,'Budget by Source'!$A$5:$I$5,0))-(ROUND(INDEX('Budget by Source'!$A$6:$I$330,MATCH('Payment by Source'!$A316,'Budget by Source'!$A$6:$A$330,0),MATCH(Q$3,'Budget by Source'!$A$5:$I$5,0))/10,0)*10)</f>
        <v>4</v>
      </c>
      <c r="R316" s="138">
        <f>INDEX('Budget by Source'!$A$6:$I$330,MATCH('Payment by Source'!$A316,'Budget by Source'!$A$6:$A$330,0),MATCH(R$3,'Budget by Source'!$A$5:$I$5,0))-(ROUND(INDEX('Budget by Source'!$A$6:$I$330,MATCH('Payment by Source'!$A316,'Budget by Source'!$A$6:$A$330,0),MATCH(R$3,'Budget by Source'!$A$5:$I$5,0))/10,0)*10)</f>
        <v>1</v>
      </c>
      <c r="S316" s="138">
        <f>INDEX('Budget by Source'!$A$6:$I$330,MATCH('Payment by Source'!$A316,'Budget by Source'!$A$6:$A$330,0),MATCH(S$3,'Budget by Source'!$A$5:$I$5,0))-(ROUND(INDEX('Budget by Source'!$A$6:$I$330,MATCH('Payment by Source'!$A316,'Budget by Source'!$A$6:$A$330,0),MATCH(S$3,'Budget by Source'!$A$5:$I$5,0))/10,0)*10)</f>
        <v>4</v>
      </c>
      <c r="T316" s="138">
        <f>INDEX('Budget by Source'!$A$6:$I$330,MATCH('Payment by Source'!$A316,'Budget by Source'!$A$6:$A$330,0),MATCH(T$3,'Budget by Source'!$A$5:$I$5,0))-(ROUND(INDEX('Budget by Source'!$A$6:$I$330,MATCH('Payment by Source'!$A316,'Budget by Source'!$A$6:$A$330,0),MATCH(T$3,'Budget by Source'!$A$5:$I$5,0))/10,0)*10)</f>
        <v>3</v>
      </c>
      <c r="U316" s="139">
        <f>INDEX('Budget by Source'!$A$6:$I$330,MATCH('Payment by Source'!$A316,'Budget by Source'!$A$6:$A$330,0),MATCH(U$3,'Budget by Source'!$A$5:$I$5,0))</f>
        <v>1417747</v>
      </c>
      <c r="V316" s="136">
        <f t="shared" si="13"/>
        <v>141775</v>
      </c>
      <c r="W316" s="136">
        <f t="shared" si="14"/>
        <v>1417750</v>
      </c>
    </row>
    <row r="317" spans="1:23" x14ac:dyDescent="0.2">
      <c r="A317" s="22" t="str">
        <f>Data!B313</f>
        <v>6975</v>
      </c>
      <c r="B317" s="20" t="str">
        <f>INDEX(Data[],MATCH($A317,Data[Dist],0),MATCH(B$5,Data[#Headers],0))</f>
        <v>West Liberty</v>
      </c>
      <c r="C317" s="21">
        <f>IF(Notes!$B$2="June",ROUND('Budget by Source'!C317/10,0)+P317,ROUND('Budget by Source'!C317/10,0))</f>
        <v>21041</v>
      </c>
      <c r="D317" s="21">
        <f>IF(Notes!$B$2="June",ROUND('Budget by Source'!D317/10,0)+Q317,ROUND('Budget by Source'!D317/10,0))</f>
        <v>110183</v>
      </c>
      <c r="E317" s="21">
        <f>IF(Notes!$B$2="June",ROUND('Budget by Source'!E317/10,0)+R317,ROUND('Budget by Source'!E317/10,0))</f>
        <v>11520</v>
      </c>
      <c r="F317" s="21">
        <f>IF(Notes!$B$2="June",ROUND('Budget by Source'!F317/10,0)+S317,ROUND('Budget by Source'!F317/10,0))</f>
        <v>8976</v>
      </c>
      <c r="G317" s="21">
        <f>IF(Notes!$B$2="June",ROUND('Budget by Source'!G317/10,0)+T317,ROUND('Budget by Source'!G317/10,0))</f>
        <v>47346</v>
      </c>
      <c r="H317" s="21">
        <f t="shared" si="12"/>
        <v>872587</v>
      </c>
      <c r="I317" s="21">
        <f>INDEX(Data[],MATCH($A317,Data[Dist],0),MATCH(I$5,Data[#Headers],0))</f>
        <v>1071653</v>
      </c>
      <c r="K317" s="59">
        <f>INDEX('Payment Total'!$A$7:$H$331,MATCH('Payment by Source'!$A317,'Payment Total'!$A$7:$A$331,0),4)-I317</f>
        <v>0</v>
      </c>
      <c r="P317" s="138">
        <f>INDEX('Budget by Source'!$A$6:$I$330,MATCH('Payment by Source'!$A317,'Budget by Source'!$A$6:$A$330,0),MATCH(P$3,'Budget by Source'!$A$5:$I$5,0))-(ROUND(INDEX('Budget by Source'!$A$6:$I$330,MATCH('Payment by Source'!$A317,'Budget by Source'!$A$6:$A$330,0),MATCH(P$3,'Budget by Source'!$A$5:$I$5,0))/10,0)*10)</f>
        <v>-4</v>
      </c>
      <c r="Q317" s="138">
        <f>INDEX('Budget by Source'!$A$6:$I$330,MATCH('Payment by Source'!$A317,'Budget by Source'!$A$6:$A$330,0),MATCH(Q$3,'Budget by Source'!$A$5:$I$5,0))-(ROUND(INDEX('Budget by Source'!$A$6:$I$330,MATCH('Payment by Source'!$A317,'Budget by Source'!$A$6:$A$330,0),MATCH(Q$3,'Budget by Source'!$A$5:$I$5,0))/10,0)*10)</f>
        <v>-4</v>
      </c>
      <c r="R317" s="138">
        <f>INDEX('Budget by Source'!$A$6:$I$330,MATCH('Payment by Source'!$A317,'Budget by Source'!$A$6:$A$330,0),MATCH(R$3,'Budget by Source'!$A$5:$I$5,0))-(ROUND(INDEX('Budget by Source'!$A$6:$I$330,MATCH('Payment by Source'!$A317,'Budget by Source'!$A$6:$A$330,0),MATCH(R$3,'Budget by Source'!$A$5:$I$5,0))/10,0)*10)</f>
        <v>0</v>
      </c>
      <c r="S317" s="138">
        <f>INDEX('Budget by Source'!$A$6:$I$330,MATCH('Payment by Source'!$A317,'Budget by Source'!$A$6:$A$330,0),MATCH(S$3,'Budget by Source'!$A$5:$I$5,0))-(ROUND(INDEX('Budget by Source'!$A$6:$I$330,MATCH('Payment by Source'!$A317,'Budget by Source'!$A$6:$A$330,0),MATCH(S$3,'Budget by Source'!$A$5:$I$5,0))/10,0)*10)</f>
        <v>-4</v>
      </c>
      <c r="T317" s="138">
        <f>INDEX('Budget by Source'!$A$6:$I$330,MATCH('Payment by Source'!$A317,'Budget by Source'!$A$6:$A$330,0),MATCH(T$3,'Budget by Source'!$A$5:$I$5,0))-(ROUND(INDEX('Budget by Source'!$A$6:$I$330,MATCH('Payment by Source'!$A317,'Budget by Source'!$A$6:$A$330,0),MATCH(T$3,'Budget by Source'!$A$5:$I$5,0))/10,0)*10)</f>
        <v>-1</v>
      </c>
      <c r="U317" s="139">
        <f>INDEX('Budget by Source'!$A$6:$I$330,MATCH('Payment by Source'!$A317,'Budget by Source'!$A$6:$A$330,0),MATCH(U$3,'Budget by Source'!$A$5:$I$5,0))</f>
        <v>8744663</v>
      </c>
      <c r="V317" s="136">
        <f t="shared" si="13"/>
        <v>874466</v>
      </c>
      <c r="W317" s="136">
        <f t="shared" si="14"/>
        <v>8744660</v>
      </c>
    </row>
    <row r="318" spans="1:23" x14ac:dyDescent="0.2">
      <c r="A318" s="22" t="str">
        <f>Data!B314</f>
        <v>6983</v>
      </c>
      <c r="B318" s="20" t="str">
        <f>INDEX(Data[],MATCH($A318,Data[Dist],0),MATCH(B$5,Data[#Headers],0))</f>
        <v>West Lyon</v>
      </c>
      <c r="C318" s="21">
        <f>IF(Notes!$B$2="June",ROUND('Budget by Source'!C318/10,0)+P318,ROUND('Budget by Source'!C318/10,0))</f>
        <v>22599</v>
      </c>
      <c r="D318" s="21">
        <f>IF(Notes!$B$2="June",ROUND('Budget by Source'!D318/10,0)+Q318,ROUND('Budget by Source'!D318/10,0))</f>
        <v>83288</v>
      </c>
      <c r="E318" s="21">
        <f>IF(Notes!$B$2="June",ROUND('Budget by Source'!E318/10,0)+R318,ROUND('Budget by Source'!E318/10,0))</f>
        <v>7684</v>
      </c>
      <c r="F318" s="21">
        <f>IF(Notes!$B$2="June",ROUND('Budget by Source'!F318/10,0)+S318,ROUND('Budget by Source'!F318/10,0))</f>
        <v>7464</v>
      </c>
      <c r="G318" s="21">
        <f>IF(Notes!$B$2="June",ROUND('Budget by Source'!G318/10,0)+T318,ROUND('Budget by Source'!G318/10,0))</f>
        <v>39304</v>
      </c>
      <c r="H318" s="21">
        <f t="shared" si="12"/>
        <v>422777</v>
      </c>
      <c r="I318" s="21">
        <f>INDEX(Data[],MATCH($A318,Data[Dist],0),MATCH(I$5,Data[#Headers],0))</f>
        <v>583116</v>
      </c>
      <c r="K318" s="59">
        <f>INDEX('Payment Total'!$A$7:$H$331,MATCH('Payment by Source'!$A318,'Payment Total'!$A$7:$A$331,0),4)-I318</f>
        <v>0</v>
      </c>
      <c r="P318" s="138">
        <f>INDEX('Budget by Source'!$A$6:$I$330,MATCH('Payment by Source'!$A318,'Budget by Source'!$A$6:$A$330,0),MATCH(P$3,'Budget by Source'!$A$5:$I$5,0))-(ROUND(INDEX('Budget by Source'!$A$6:$I$330,MATCH('Payment by Source'!$A318,'Budget by Source'!$A$6:$A$330,0),MATCH(P$3,'Budget by Source'!$A$5:$I$5,0))/10,0)*10)</f>
        <v>2</v>
      </c>
      <c r="Q318" s="138">
        <f>INDEX('Budget by Source'!$A$6:$I$330,MATCH('Payment by Source'!$A318,'Budget by Source'!$A$6:$A$330,0),MATCH(Q$3,'Budget by Source'!$A$5:$I$5,0))-(ROUND(INDEX('Budget by Source'!$A$6:$I$330,MATCH('Payment by Source'!$A318,'Budget by Source'!$A$6:$A$330,0),MATCH(Q$3,'Budget by Source'!$A$5:$I$5,0))/10,0)*10)</f>
        <v>-1</v>
      </c>
      <c r="R318" s="138">
        <f>INDEX('Budget by Source'!$A$6:$I$330,MATCH('Payment by Source'!$A318,'Budget by Source'!$A$6:$A$330,0),MATCH(R$3,'Budget by Source'!$A$5:$I$5,0))-(ROUND(INDEX('Budget by Source'!$A$6:$I$330,MATCH('Payment by Source'!$A318,'Budget by Source'!$A$6:$A$330,0),MATCH(R$3,'Budget by Source'!$A$5:$I$5,0))/10,0)*10)</f>
        <v>1</v>
      </c>
      <c r="S318" s="138">
        <f>INDEX('Budget by Source'!$A$6:$I$330,MATCH('Payment by Source'!$A318,'Budget by Source'!$A$6:$A$330,0),MATCH(S$3,'Budget by Source'!$A$5:$I$5,0))-(ROUND(INDEX('Budget by Source'!$A$6:$I$330,MATCH('Payment by Source'!$A318,'Budget by Source'!$A$6:$A$330,0),MATCH(S$3,'Budget by Source'!$A$5:$I$5,0))/10,0)*10)</f>
        <v>-5</v>
      </c>
      <c r="T318" s="138">
        <f>INDEX('Budget by Source'!$A$6:$I$330,MATCH('Payment by Source'!$A318,'Budget by Source'!$A$6:$A$330,0),MATCH(T$3,'Budget by Source'!$A$5:$I$5,0))-(ROUND(INDEX('Budget by Source'!$A$6:$I$330,MATCH('Payment by Source'!$A318,'Budget by Source'!$A$6:$A$330,0),MATCH(T$3,'Budget by Source'!$A$5:$I$5,0))/10,0)*10)</f>
        <v>-2</v>
      </c>
      <c r="U318" s="139">
        <f>INDEX('Budget by Source'!$A$6:$I$330,MATCH('Payment by Source'!$A318,'Budget by Source'!$A$6:$A$330,0),MATCH(U$3,'Budget by Source'!$A$5:$I$5,0))</f>
        <v>4242029</v>
      </c>
      <c r="V318" s="136">
        <f t="shared" si="13"/>
        <v>424203</v>
      </c>
      <c r="W318" s="136">
        <f t="shared" si="14"/>
        <v>4242030</v>
      </c>
    </row>
    <row r="319" spans="1:23" x14ac:dyDescent="0.2">
      <c r="A319" s="22" t="str">
        <f>Data!B315</f>
        <v>6985</v>
      </c>
      <c r="B319" s="20" t="str">
        <f>INDEX(Data[],MATCH($A319,Data[Dist],0),MATCH(B$5,Data[#Headers],0))</f>
        <v>West Marshall</v>
      </c>
      <c r="C319" s="21">
        <f>IF(Notes!$B$2="June",ROUND('Budget by Source'!C319/10,0)+P319,ROUND('Budget by Source'!C319/10,0))</f>
        <v>15586</v>
      </c>
      <c r="D319" s="21">
        <f>IF(Notes!$B$2="June",ROUND('Budget by Source'!D319/10,0)+Q319,ROUND('Budget by Source'!D319/10,0))</f>
        <v>67609</v>
      </c>
      <c r="E319" s="21">
        <f>IF(Notes!$B$2="June",ROUND('Budget by Source'!E319/10,0)+R319,ROUND('Budget by Source'!E319/10,0))</f>
        <v>6220</v>
      </c>
      <c r="F319" s="21">
        <f>IF(Notes!$B$2="June",ROUND('Budget by Source'!F319/10,0)+S319,ROUND('Budget by Source'!F319/10,0))</f>
        <v>5126</v>
      </c>
      <c r="G319" s="21">
        <f>IF(Notes!$B$2="June",ROUND('Budget by Source'!G319/10,0)+T319,ROUND('Budget by Source'!G319/10,0))</f>
        <v>28992</v>
      </c>
      <c r="H319" s="21">
        <f t="shared" si="12"/>
        <v>390926</v>
      </c>
      <c r="I319" s="21">
        <f>INDEX(Data[],MATCH($A319,Data[Dist],0),MATCH(I$5,Data[#Headers],0))</f>
        <v>514459</v>
      </c>
      <c r="K319" s="59">
        <f>INDEX('Payment Total'!$A$7:$H$331,MATCH('Payment by Source'!$A319,'Payment Total'!$A$7:$A$331,0),4)-I319</f>
        <v>0</v>
      </c>
      <c r="P319" s="138">
        <f>INDEX('Budget by Source'!$A$6:$I$330,MATCH('Payment by Source'!$A319,'Budget by Source'!$A$6:$A$330,0),MATCH(P$3,'Budget by Source'!$A$5:$I$5,0))-(ROUND(INDEX('Budget by Source'!$A$6:$I$330,MATCH('Payment by Source'!$A319,'Budget by Source'!$A$6:$A$330,0),MATCH(P$3,'Budget by Source'!$A$5:$I$5,0))/10,0)*10)</f>
        <v>-3</v>
      </c>
      <c r="Q319" s="138">
        <f>INDEX('Budget by Source'!$A$6:$I$330,MATCH('Payment by Source'!$A319,'Budget by Source'!$A$6:$A$330,0),MATCH(Q$3,'Budget by Source'!$A$5:$I$5,0))-(ROUND(INDEX('Budget by Source'!$A$6:$I$330,MATCH('Payment by Source'!$A319,'Budget by Source'!$A$6:$A$330,0),MATCH(Q$3,'Budget by Source'!$A$5:$I$5,0))/10,0)*10)</f>
        <v>-2</v>
      </c>
      <c r="R319" s="138">
        <f>INDEX('Budget by Source'!$A$6:$I$330,MATCH('Payment by Source'!$A319,'Budget by Source'!$A$6:$A$330,0),MATCH(R$3,'Budget by Source'!$A$5:$I$5,0))-(ROUND(INDEX('Budget by Source'!$A$6:$I$330,MATCH('Payment by Source'!$A319,'Budget by Source'!$A$6:$A$330,0),MATCH(R$3,'Budget by Source'!$A$5:$I$5,0))/10,0)*10)</f>
        <v>4</v>
      </c>
      <c r="S319" s="138">
        <f>INDEX('Budget by Source'!$A$6:$I$330,MATCH('Payment by Source'!$A319,'Budget by Source'!$A$6:$A$330,0),MATCH(S$3,'Budget by Source'!$A$5:$I$5,0))-(ROUND(INDEX('Budget by Source'!$A$6:$I$330,MATCH('Payment by Source'!$A319,'Budget by Source'!$A$6:$A$330,0),MATCH(S$3,'Budget by Source'!$A$5:$I$5,0))/10,0)*10)</f>
        <v>1</v>
      </c>
      <c r="T319" s="138">
        <f>INDEX('Budget by Source'!$A$6:$I$330,MATCH('Payment by Source'!$A319,'Budget by Source'!$A$6:$A$330,0),MATCH(T$3,'Budget by Source'!$A$5:$I$5,0))-(ROUND(INDEX('Budget by Source'!$A$6:$I$330,MATCH('Payment by Source'!$A319,'Budget by Source'!$A$6:$A$330,0),MATCH(T$3,'Budget by Source'!$A$5:$I$5,0))/10,0)*10)</f>
        <v>3</v>
      </c>
      <c r="U319" s="139">
        <f>INDEX('Budget by Source'!$A$6:$I$330,MATCH('Payment by Source'!$A319,'Budget by Source'!$A$6:$A$330,0),MATCH(U$3,'Budget by Source'!$A$5:$I$5,0))</f>
        <v>3920634</v>
      </c>
      <c r="V319" s="136">
        <f t="shared" si="13"/>
        <v>392063</v>
      </c>
      <c r="W319" s="136">
        <f t="shared" si="14"/>
        <v>3920630</v>
      </c>
    </row>
    <row r="320" spans="1:23" x14ac:dyDescent="0.2">
      <c r="A320" s="22" t="str">
        <f>Data!B316</f>
        <v>6987</v>
      </c>
      <c r="B320" s="20" t="str">
        <f>INDEX(Data[],MATCH($A320,Data[Dist],0),MATCH(B$5,Data[#Headers],0))</f>
        <v>West Monona</v>
      </c>
      <c r="C320" s="21">
        <f>IF(Notes!$B$2="June",ROUND('Budget by Source'!C320/10,0)+P320,ROUND('Budget by Source'!C320/10,0))</f>
        <v>17144</v>
      </c>
      <c r="D320" s="21">
        <f>IF(Notes!$B$2="June",ROUND('Budget by Source'!D320/10,0)+Q320,ROUND('Budget by Source'!D320/10,0))</f>
        <v>58482</v>
      </c>
      <c r="E320" s="21">
        <f>IF(Notes!$B$2="June",ROUND('Budget by Source'!E320/10,0)+R320,ROUND('Budget by Source'!E320/10,0))</f>
        <v>4654</v>
      </c>
      <c r="F320" s="21">
        <f>IF(Notes!$B$2="June",ROUND('Budget by Source'!F320/10,0)+S320,ROUND('Budget by Source'!F320/10,0))</f>
        <v>4340</v>
      </c>
      <c r="G320" s="21">
        <f>IF(Notes!$B$2="June",ROUND('Budget by Source'!G320/10,0)+T320,ROUND('Budget by Source'!G320/10,0))</f>
        <v>22178</v>
      </c>
      <c r="H320" s="21">
        <f t="shared" si="12"/>
        <v>294210</v>
      </c>
      <c r="I320" s="21">
        <f>INDEX(Data[],MATCH($A320,Data[Dist],0),MATCH(I$5,Data[#Headers],0))</f>
        <v>401008</v>
      </c>
      <c r="K320" s="59">
        <f>INDEX('Payment Total'!$A$7:$H$331,MATCH('Payment by Source'!$A320,'Payment Total'!$A$7:$A$331,0),4)-I320</f>
        <v>0</v>
      </c>
      <c r="P320" s="138">
        <f>INDEX('Budget by Source'!$A$6:$I$330,MATCH('Payment by Source'!$A320,'Budget by Source'!$A$6:$A$330,0),MATCH(P$3,'Budget by Source'!$A$5:$I$5,0))-(ROUND(INDEX('Budget by Source'!$A$6:$I$330,MATCH('Payment by Source'!$A320,'Budget by Source'!$A$6:$A$330,0),MATCH(P$3,'Budget by Source'!$A$5:$I$5,0))/10,0)*10)</f>
        <v>2</v>
      </c>
      <c r="Q320" s="138">
        <f>INDEX('Budget by Source'!$A$6:$I$330,MATCH('Payment by Source'!$A320,'Budget by Source'!$A$6:$A$330,0),MATCH(Q$3,'Budget by Source'!$A$5:$I$5,0))-(ROUND(INDEX('Budget by Source'!$A$6:$I$330,MATCH('Payment by Source'!$A320,'Budget by Source'!$A$6:$A$330,0),MATCH(Q$3,'Budget by Source'!$A$5:$I$5,0))/10,0)*10)</f>
        <v>3</v>
      </c>
      <c r="R320" s="138">
        <f>INDEX('Budget by Source'!$A$6:$I$330,MATCH('Payment by Source'!$A320,'Budget by Source'!$A$6:$A$330,0),MATCH(R$3,'Budget by Source'!$A$5:$I$5,0))-(ROUND(INDEX('Budget by Source'!$A$6:$I$330,MATCH('Payment by Source'!$A320,'Budget by Source'!$A$6:$A$330,0),MATCH(R$3,'Budget by Source'!$A$5:$I$5,0))/10,0)*10)</f>
        <v>-3</v>
      </c>
      <c r="S320" s="138">
        <f>INDEX('Budget by Source'!$A$6:$I$330,MATCH('Payment by Source'!$A320,'Budget by Source'!$A$6:$A$330,0),MATCH(S$3,'Budget by Source'!$A$5:$I$5,0))-(ROUND(INDEX('Budget by Source'!$A$6:$I$330,MATCH('Payment by Source'!$A320,'Budget by Source'!$A$6:$A$330,0),MATCH(S$3,'Budget by Source'!$A$5:$I$5,0))/10,0)*10)</f>
        <v>-4</v>
      </c>
      <c r="T320" s="138">
        <f>INDEX('Budget by Source'!$A$6:$I$330,MATCH('Payment by Source'!$A320,'Budget by Source'!$A$6:$A$330,0),MATCH(T$3,'Budget by Source'!$A$5:$I$5,0))-(ROUND(INDEX('Budget by Source'!$A$6:$I$330,MATCH('Payment by Source'!$A320,'Budget by Source'!$A$6:$A$330,0),MATCH(T$3,'Budget by Source'!$A$5:$I$5,0))/10,0)*10)</f>
        <v>1</v>
      </c>
      <c r="U320" s="139">
        <f>INDEX('Budget by Source'!$A$6:$I$330,MATCH('Payment by Source'!$A320,'Budget by Source'!$A$6:$A$330,0),MATCH(U$3,'Budget by Source'!$A$5:$I$5,0))</f>
        <v>2950791</v>
      </c>
      <c r="V320" s="136">
        <f t="shared" si="13"/>
        <v>295079</v>
      </c>
      <c r="W320" s="136">
        <f t="shared" si="14"/>
        <v>2950790</v>
      </c>
    </row>
    <row r="321" spans="1:23" x14ac:dyDescent="0.2">
      <c r="A321" s="22" t="str">
        <f>Data!B317</f>
        <v>6990</v>
      </c>
      <c r="B321" s="20" t="str">
        <f>INDEX(Data[],MATCH($A321,Data[Dist],0),MATCH(B$5,Data[#Headers],0))</f>
        <v>West Sioux</v>
      </c>
      <c r="C321" s="21">
        <f>IF(Notes!$B$2="June",ROUND('Budget by Source'!C321/10,0)+P321,ROUND('Budget by Source'!C321/10,0))</f>
        <v>17168</v>
      </c>
      <c r="D321" s="21">
        <f>IF(Notes!$B$2="June",ROUND('Budget by Source'!D321/10,0)+Q321,ROUND('Budget by Source'!D321/10,0))</f>
        <v>72287</v>
      </c>
      <c r="E321" s="21">
        <f>IF(Notes!$B$2="June",ROUND('Budget by Source'!E321/10,0)+R321,ROUND('Budget by Source'!E321/10,0))</f>
        <v>6821</v>
      </c>
      <c r="F321" s="21">
        <f>IF(Notes!$B$2="June",ROUND('Budget by Source'!F321/10,0)+S321,ROUND('Budget by Source'!F321/10,0))</f>
        <v>6568</v>
      </c>
      <c r="G321" s="21">
        <f>IF(Notes!$B$2="June",ROUND('Budget by Source'!G321/10,0)+T321,ROUND('Budget by Source'!G321/10,0))</f>
        <v>30759</v>
      </c>
      <c r="H321" s="21">
        <f t="shared" si="12"/>
        <v>492539</v>
      </c>
      <c r="I321" s="21">
        <f>INDEX(Data[],MATCH($A321,Data[Dist],0),MATCH(I$5,Data[#Headers],0))</f>
        <v>626142</v>
      </c>
      <c r="K321" s="59">
        <f>INDEX('Payment Total'!$A$7:$H$331,MATCH('Payment by Source'!$A321,'Payment Total'!$A$7:$A$331,0),4)-I321</f>
        <v>0</v>
      </c>
      <c r="P321" s="138">
        <f>INDEX('Budget by Source'!$A$6:$I$330,MATCH('Payment by Source'!$A321,'Budget by Source'!$A$6:$A$330,0),MATCH(P$3,'Budget by Source'!$A$5:$I$5,0))-(ROUND(INDEX('Budget by Source'!$A$6:$I$330,MATCH('Payment by Source'!$A321,'Budget by Source'!$A$6:$A$330,0),MATCH(P$3,'Budget by Source'!$A$5:$I$5,0))/10,0)*10)</f>
        <v>-1</v>
      </c>
      <c r="Q321" s="138">
        <f>INDEX('Budget by Source'!$A$6:$I$330,MATCH('Payment by Source'!$A321,'Budget by Source'!$A$6:$A$330,0),MATCH(Q$3,'Budget by Source'!$A$5:$I$5,0))-(ROUND(INDEX('Budget by Source'!$A$6:$I$330,MATCH('Payment by Source'!$A321,'Budget by Source'!$A$6:$A$330,0),MATCH(Q$3,'Budget by Source'!$A$5:$I$5,0))/10,0)*10)</f>
        <v>0</v>
      </c>
      <c r="R321" s="138">
        <f>INDEX('Budget by Source'!$A$6:$I$330,MATCH('Payment by Source'!$A321,'Budget by Source'!$A$6:$A$330,0),MATCH(R$3,'Budget by Source'!$A$5:$I$5,0))-(ROUND(INDEX('Budget by Source'!$A$6:$I$330,MATCH('Payment by Source'!$A321,'Budget by Source'!$A$6:$A$330,0),MATCH(R$3,'Budget by Source'!$A$5:$I$5,0))/10,0)*10)</f>
        <v>-4</v>
      </c>
      <c r="S321" s="138">
        <f>INDEX('Budget by Source'!$A$6:$I$330,MATCH('Payment by Source'!$A321,'Budget by Source'!$A$6:$A$330,0),MATCH(S$3,'Budget by Source'!$A$5:$I$5,0))-(ROUND(INDEX('Budget by Source'!$A$6:$I$330,MATCH('Payment by Source'!$A321,'Budget by Source'!$A$6:$A$330,0),MATCH(S$3,'Budget by Source'!$A$5:$I$5,0))/10,0)*10)</f>
        <v>1</v>
      </c>
      <c r="T321" s="138">
        <f>INDEX('Budget by Source'!$A$6:$I$330,MATCH('Payment by Source'!$A321,'Budget by Source'!$A$6:$A$330,0),MATCH(T$3,'Budget by Source'!$A$5:$I$5,0))-(ROUND(INDEX('Budget by Source'!$A$6:$I$330,MATCH('Payment by Source'!$A321,'Budget by Source'!$A$6:$A$330,0),MATCH(T$3,'Budget by Source'!$A$5:$I$5,0))/10,0)*10)</f>
        <v>4</v>
      </c>
      <c r="U321" s="139">
        <f>INDEX('Budget by Source'!$A$6:$I$330,MATCH('Payment by Source'!$A321,'Budget by Source'!$A$6:$A$330,0),MATCH(U$3,'Budget by Source'!$A$5:$I$5,0))</f>
        <v>4936766</v>
      </c>
      <c r="V321" s="136">
        <f t="shared" si="13"/>
        <v>493677</v>
      </c>
      <c r="W321" s="136">
        <f t="shared" si="14"/>
        <v>4936770</v>
      </c>
    </row>
    <row r="322" spans="1:23" x14ac:dyDescent="0.2">
      <c r="A322" s="22" t="str">
        <f>Data!B318</f>
        <v>6992</v>
      </c>
      <c r="B322" s="20" t="str">
        <f>INDEX(Data[],MATCH($A322,Data[Dist],0),MATCH(B$5,Data[#Headers],0))</f>
        <v>Westwood</v>
      </c>
      <c r="C322" s="21">
        <f>IF(Notes!$B$2="June",ROUND('Budget by Source'!C322/10,0)+P322,ROUND('Budget by Source'!C322/10,0))</f>
        <v>10910</v>
      </c>
      <c r="D322" s="21">
        <f>IF(Notes!$B$2="June",ROUND('Budget by Source'!D322/10,0)+Q322,ROUND('Budget by Source'!D322/10,0))</f>
        <v>49369</v>
      </c>
      <c r="E322" s="21">
        <f>IF(Notes!$B$2="June",ROUND('Budget by Source'!E322/10,0)+R322,ROUND('Budget by Source'!E322/10,0))</f>
        <v>4361</v>
      </c>
      <c r="F322" s="21">
        <f>IF(Notes!$B$2="June",ROUND('Budget by Source'!F322/10,0)+S322,ROUND('Budget by Source'!F322/10,0))</f>
        <v>4374</v>
      </c>
      <c r="G322" s="21">
        <f>IF(Notes!$B$2="June",ROUND('Budget by Source'!G322/10,0)+T322,ROUND('Budget by Source'!G322/10,0))</f>
        <v>20319</v>
      </c>
      <c r="H322" s="21">
        <f t="shared" si="12"/>
        <v>212609</v>
      </c>
      <c r="I322" s="21">
        <f>INDEX(Data[],MATCH($A322,Data[Dist],0),MATCH(I$5,Data[#Headers],0))</f>
        <v>301942</v>
      </c>
      <c r="K322" s="59">
        <f>INDEX('Payment Total'!$A$7:$H$331,MATCH('Payment by Source'!$A322,'Payment Total'!$A$7:$A$331,0),4)-I322</f>
        <v>0</v>
      </c>
      <c r="P322" s="138">
        <f>INDEX('Budget by Source'!$A$6:$I$330,MATCH('Payment by Source'!$A322,'Budget by Source'!$A$6:$A$330,0),MATCH(P$3,'Budget by Source'!$A$5:$I$5,0))-(ROUND(INDEX('Budget by Source'!$A$6:$I$330,MATCH('Payment by Source'!$A322,'Budget by Source'!$A$6:$A$330,0),MATCH(P$3,'Budget by Source'!$A$5:$I$5,0))/10,0)*10)</f>
        <v>0</v>
      </c>
      <c r="Q322" s="138">
        <f>INDEX('Budget by Source'!$A$6:$I$330,MATCH('Payment by Source'!$A322,'Budget by Source'!$A$6:$A$330,0),MATCH(Q$3,'Budget by Source'!$A$5:$I$5,0))-(ROUND(INDEX('Budget by Source'!$A$6:$I$330,MATCH('Payment by Source'!$A322,'Budget by Source'!$A$6:$A$330,0),MATCH(Q$3,'Budget by Source'!$A$5:$I$5,0))/10,0)*10)</f>
        <v>-5</v>
      </c>
      <c r="R322" s="138">
        <f>INDEX('Budget by Source'!$A$6:$I$330,MATCH('Payment by Source'!$A322,'Budget by Source'!$A$6:$A$330,0),MATCH(R$3,'Budget by Source'!$A$5:$I$5,0))-(ROUND(INDEX('Budget by Source'!$A$6:$I$330,MATCH('Payment by Source'!$A322,'Budget by Source'!$A$6:$A$330,0),MATCH(R$3,'Budget by Source'!$A$5:$I$5,0))/10,0)*10)</f>
        <v>-2</v>
      </c>
      <c r="S322" s="138">
        <f>INDEX('Budget by Source'!$A$6:$I$330,MATCH('Payment by Source'!$A322,'Budget by Source'!$A$6:$A$330,0),MATCH(S$3,'Budget by Source'!$A$5:$I$5,0))-(ROUND(INDEX('Budget by Source'!$A$6:$I$330,MATCH('Payment by Source'!$A322,'Budget by Source'!$A$6:$A$330,0),MATCH(S$3,'Budget by Source'!$A$5:$I$5,0))/10,0)*10)</f>
        <v>2</v>
      </c>
      <c r="T322" s="138">
        <f>INDEX('Budget by Source'!$A$6:$I$330,MATCH('Payment by Source'!$A322,'Budget by Source'!$A$6:$A$330,0),MATCH(T$3,'Budget by Source'!$A$5:$I$5,0))-(ROUND(INDEX('Budget by Source'!$A$6:$I$330,MATCH('Payment by Source'!$A322,'Budget by Source'!$A$6:$A$330,0),MATCH(T$3,'Budget by Source'!$A$5:$I$5,0))/10,0)*10)</f>
        <v>-4</v>
      </c>
      <c r="U322" s="139">
        <f>INDEX('Budget by Source'!$A$6:$I$330,MATCH('Payment by Source'!$A322,'Budget by Source'!$A$6:$A$330,0),MATCH(U$3,'Budget by Source'!$A$5:$I$5,0))</f>
        <v>2134098</v>
      </c>
      <c r="V322" s="136">
        <f t="shared" si="13"/>
        <v>213410</v>
      </c>
      <c r="W322" s="136">
        <f t="shared" si="14"/>
        <v>2134100</v>
      </c>
    </row>
    <row r="323" spans="1:23" x14ac:dyDescent="0.2">
      <c r="A323" s="22" t="str">
        <f>Data!B319</f>
        <v>7002</v>
      </c>
      <c r="B323" s="20" t="str">
        <f>INDEX(Data[],MATCH($A323,Data[Dist],0),MATCH(B$5,Data[#Headers],0))</f>
        <v>Whiting</v>
      </c>
      <c r="C323" s="21">
        <f>IF(Notes!$B$2="June",ROUND('Budget by Source'!C323/10,0)+P323,ROUND('Budget by Source'!C323/10,0))</f>
        <v>3117</v>
      </c>
      <c r="D323" s="21">
        <f>IF(Notes!$B$2="June",ROUND('Budget by Source'!D323/10,0)+Q323,ROUND('Budget by Source'!D323/10,0))</f>
        <v>27631</v>
      </c>
      <c r="E323" s="21">
        <f>IF(Notes!$B$2="June",ROUND('Budget by Source'!E323/10,0)+R323,ROUND('Budget by Source'!E323/10,0))</f>
        <v>1929</v>
      </c>
      <c r="F323" s="21">
        <f>IF(Notes!$B$2="June",ROUND('Budget by Source'!F323/10,0)+S323,ROUND('Budget by Source'!F323/10,0))</f>
        <v>1754</v>
      </c>
      <c r="G323" s="21">
        <f>IF(Notes!$B$2="June",ROUND('Budget by Source'!G323/10,0)+T323,ROUND('Budget by Source'!G323/10,0))</f>
        <v>7279</v>
      </c>
      <c r="H323" s="21">
        <f t="shared" si="12"/>
        <v>81981</v>
      </c>
      <c r="I323" s="21">
        <f>INDEX(Data[],MATCH($A323,Data[Dist],0),MATCH(I$5,Data[#Headers],0))</f>
        <v>123691</v>
      </c>
      <c r="K323" s="59">
        <f>INDEX('Payment Total'!$A$7:$H$331,MATCH('Payment by Source'!$A323,'Payment Total'!$A$7:$A$331,0),4)-I323</f>
        <v>0</v>
      </c>
      <c r="P323" s="138">
        <f>INDEX('Budget by Source'!$A$6:$I$330,MATCH('Payment by Source'!$A323,'Budget by Source'!$A$6:$A$330,0),MATCH(P$3,'Budget by Source'!$A$5:$I$5,0))-(ROUND(INDEX('Budget by Source'!$A$6:$I$330,MATCH('Payment by Source'!$A323,'Budget by Source'!$A$6:$A$330,0),MATCH(P$3,'Budget by Source'!$A$5:$I$5,0))/10,0)*10)</f>
        <v>1</v>
      </c>
      <c r="Q323" s="138">
        <f>INDEX('Budget by Source'!$A$6:$I$330,MATCH('Payment by Source'!$A323,'Budget by Source'!$A$6:$A$330,0),MATCH(Q$3,'Budget by Source'!$A$5:$I$5,0))-(ROUND(INDEX('Budget by Source'!$A$6:$I$330,MATCH('Payment by Source'!$A323,'Budget by Source'!$A$6:$A$330,0),MATCH(Q$3,'Budget by Source'!$A$5:$I$5,0))/10,0)*10)</f>
        <v>3</v>
      </c>
      <c r="R323" s="138">
        <f>INDEX('Budget by Source'!$A$6:$I$330,MATCH('Payment by Source'!$A323,'Budget by Source'!$A$6:$A$330,0),MATCH(R$3,'Budget by Source'!$A$5:$I$5,0))-(ROUND(INDEX('Budget by Source'!$A$6:$I$330,MATCH('Payment by Source'!$A323,'Budget by Source'!$A$6:$A$330,0),MATCH(R$3,'Budget by Source'!$A$5:$I$5,0))/10,0)*10)</f>
        <v>-3</v>
      </c>
      <c r="S323" s="138">
        <f>INDEX('Budget by Source'!$A$6:$I$330,MATCH('Payment by Source'!$A323,'Budget by Source'!$A$6:$A$330,0),MATCH(S$3,'Budget by Source'!$A$5:$I$5,0))-(ROUND(INDEX('Budget by Source'!$A$6:$I$330,MATCH('Payment by Source'!$A323,'Budget by Source'!$A$6:$A$330,0),MATCH(S$3,'Budget by Source'!$A$5:$I$5,0))/10,0)*10)</f>
        <v>0</v>
      </c>
      <c r="T323" s="138">
        <f>INDEX('Budget by Source'!$A$6:$I$330,MATCH('Payment by Source'!$A323,'Budget by Source'!$A$6:$A$330,0),MATCH(T$3,'Budget by Source'!$A$5:$I$5,0))-(ROUND(INDEX('Budget by Source'!$A$6:$I$330,MATCH('Payment by Source'!$A323,'Budget by Source'!$A$6:$A$330,0),MATCH(T$3,'Budget by Source'!$A$5:$I$5,0))/10,0)*10)</f>
        <v>0</v>
      </c>
      <c r="U323" s="139">
        <f>INDEX('Budget by Source'!$A$6:$I$330,MATCH('Payment by Source'!$A323,'Budget by Source'!$A$6:$A$330,0),MATCH(U$3,'Budget by Source'!$A$5:$I$5,0))</f>
        <v>822701</v>
      </c>
      <c r="V323" s="136">
        <f t="shared" si="13"/>
        <v>82270</v>
      </c>
      <c r="W323" s="136">
        <f t="shared" si="14"/>
        <v>822700</v>
      </c>
    </row>
    <row r="324" spans="1:23" x14ac:dyDescent="0.2">
      <c r="A324" s="22" t="str">
        <f>Data!B320</f>
        <v>7029</v>
      </c>
      <c r="B324" s="20" t="str">
        <f>INDEX(Data[],MATCH($A324,Data[Dist],0),MATCH(B$5,Data[#Headers],0))</f>
        <v>Williamsburg</v>
      </c>
      <c r="C324" s="21">
        <f>IF(Notes!$B$2="June",ROUND('Budget by Source'!C324/10,0)+P324,ROUND('Budget by Source'!C324/10,0))</f>
        <v>18703</v>
      </c>
      <c r="D324" s="21">
        <f>IF(Notes!$B$2="June",ROUND('Budget by Source'!D324/10,0)+Q324,ROUND('Budget by Source'!D324/10,0))</f>
        <v>95495</v>
      </c>
      <c r="E324" s="21">
        <f>IF(Notes!$B$2="June",ROUND('Budget by Source'!E324/10,0)+R324,ROUND('Budget by Source'!E324/10,0))</f>
        <v>7919</v>
      </c>
      <c r="F324" s="21">
        <f>IF(Notes!$B$2="June",ROUND('Budget by Source'!F324/10,0)+S324,ROUND('Budget by Source'!F324/10,0))</f>
        <v>8812</v>
      </c>
      <c r="G324" s="21">
        <f>IF(Notes!$B$2="June",ROUND('Budget by Source'!G324/10,0)+T324,ROUND('Budget by Source'!G324/10,0))</f>
        <v>45064</v>
      </c>
      <c r="H324" s="21">
        <f t="shared" si="12"/>
        <v>644578</v>
      </c>
      <c r="I324" s="21">
        <f>INDEX(Data[],MATCH($A324,Data[Dist],0),MATCH(I$5,Data[#Headers],0))</f>
        <v>820571</v>
      </c>
      <c r="K324" s="59">
        <f>INDEX('Payment Total'!$A$7:$H$331,MATCH('Payment by Source'!$A324,'Payment Total'!$A$7:$A$331,0),4)-I324</f>
        <v>0</v>
      </c>
      <c r="P324" s="138">
        <f>INDEX('Budget by Source'!$A$6:$I$330,MATCH('Payment by Source'!$A324,'Budget by Source'!$A$6:$A$330,0),MATCH(P$3,'Budget by Source'!$A$5:$I$5,0))-(ROUND(INDEX('Budget by Source'!$A$6:$I$330,MATCH('Payment by Source'!$A324,'Budget by Source'!$A$6:$A$330,0),MATCH(P$3,'Budget by Source'!$A$5:$I$5,0))/10,0)*10)</f>
        <v>-2</v>
      </c>
      <c r="Q324" s="138">
        <f>INDEX('Budget by Source'!$A$6:$I$330,MATCH('Payment by Source'!$A324,'Budget by Source'!$A$6:$A$330,0),MATCH(Q$3,'Budget by Source'!$A$5:$I$5,0))-(ROUND(INDEX('Budget by Source'!$A$6:$I$330,MATCH('Payment by Source'!$A324,'Budget by Source'!$A$6:$A$330,0),MATCH(Q$3,'Budget by Source'!$A$5:$I$5,0))/10,0)*10)</f>
        <v>-1</v>
      </c>
      <c r="R324" s="138">
        <f>INDEX('Budget by Source'!$A$6:$I$330,MATCH('Payment by Source'!$A324,'Budget by Source'!$A$6:$A$330,0),MATCH(R$3,'Budget by Source'!$A$5:$I$5,0))-(ROUND(INDEX('Budget by Source'!$A$6:$I$330,MATCH('Payment by Source'!$A324,'Budget by Source'!$A$6:$A$330,0),MATCH(R$3,'Budget by Source'!$A$5:$I$5,0))/10,0)*10)</f>
        <v>1</v>
      </c>
      <c r="S324" s="138">
        <f>INDEX('Budget by Source'!$A$6:$I$330,MATCH('Payment by Source'!$A324,'Budget by Source'!$A$6:$A$330,0),MATCH(S$3,'Budget by Source'!$A$5:$I$5,0))-(ROUND(INDEX('Budget by Source'!$A$6:$I$330,MATCH('Payment by Source'!$A324,'Budget by Source'!$A$6:$A$330,0),MATCH(S$3,'Budget by Source'!$A$5:$I$5,0))/10,0)*10)</f>
        <v>-5</v>
      </c>
      <c r="T324" s="138">
        <f>INDEX('Budget by Source'!$A$6:$I$330,MATCH('Payment by Source'!$A324,'Budget by Source'!$A$6:$A$330,0),MATCH(T$3,'Budget by Source'!$A$5:$I$5,0))-(ROUND(INDEX('Budget by Source'!$A$6:$I$330,MATCH('Payment by Source'!$A324,'Budget by Source'!$A$6:$A$330,0),MATCH(T$3,'Budget by Source'!$A$5:$I$5,0))/10,0)*10)</f>
        <v>4</v>
      </c>
      <c r="U324" s="139">
        <f>INDEX('Budget by Source'!$A$6:$I$330,MATCH('Payment by Source'!$A324,'Budget by Source'!$A$6:$A$330,0),MATCH(U$3,'Budget by Source'!$A$5:$I$5,0))</f>
        <v>6463064</v>
      </c>
      <c r="V324" s="136">
        <f t="shared" si="13"/>
        <v>646306</v>
      </c>
      <c r="W324" s="136">
        <f t="shared" si="14"/>
        <v>6463060</v>
      </c>
    </row>
    <row r="325" spans="1:23" x14ac:dyDescent="0.2">
      <c r="A325" s="22" t="str">
        <f>Data!B321</f>
        <v>7038</v>
      </c>
      <c r="B325" s="20" t="str">
        <f>INDEX(Data[],MATCH($A325,Data[Dist],0),MATCH(B$5,Data[#Headers],0))</f>
        <v>Wilton</v>
      </c>
      <c r="C325" s="21">
        <f>IF(Notes!$B$2="June",ROUND('Budget by Source'!C325/10,0)+P325,ROUND('Budget by Source'!C325/10,0))</f>
        <v>15586</v>
      </c>
      <c r="D325" s="21">
        <f>IF(Notes!$B$2="June",ROUND('Budget by Source'!D325/10,0)+Q325,ROUND('Budget by Source'!D325/10,0))</f>
        <v>75589</v>
      </c>
      <c r="E325" s="21">
        <f>IF(Notes!$B$2="June",ROUND('Budget by Source'!E325/10,0)+R325,ROUND('Budget by Source'!E325/10,0))</f>
        <v>6697</v>
      </c>
      <c r="F325" s="21">
        <f>IF(Notes!$B$2="June",ROUND('Budget by Source'!F325/10,0)+S325,ROUND('Budget by Source'!F325/10,0))</f>
        <v>6537</v>
      </c>
      <c r="G325" s="21">
        <f>IF(Notes!$B$2="June",ROUND('Budget by Source'!G325/10,0)+T325,ROUND('Budget by Source'!G325/10,0))</f>
        <v>32165</v>
      </c>
      <c r="H325" s="21">
        <f t="shared" si="12"/>
        <v>532346</v>
      </c>
      <c r="I325" s="21">
        <f>INDEX(Data[],MATCH($A325,Data[Dist],0),MATCH(I$5,Data[#Headers],0))</f>
        <v>668920</v>
      </c>
      <c r="K325" s="59">
        <f>INDEX('Payment Total'!$A$7:$H$331,MATCH('Payment by Source'!$A325,'Payment Total'!$A$7:$A$331,0),4)-I325</f>
        <v>0</v>
      </c>
      <c r="P325" s="138">
        <f>INDEX('Budget by Source'!$A$6:$I$330,MATCH('Payment by Source'!$A325,'Budget by Source'!$A$6:$A$330,0),MATCH(P$3,'Budget by Source'!$A$5:$I$5,0))-(ROUND(INDEX('Budget by Source'!$A$6:$I$330,MATCH('Payment by Source'!$A325,'Budget by Source'!$A$6:$A$330,0),MATCH(P$3,'Budget by Source'!$A$5:$I$5,0))/10,0)*10)</f>
        <v>-3</v>
      </c>
      <c r="Q325" s="138">
        <f>INDEX('Budget by Source'!$A$6:$I$330,MATCH('Payment by Source'!$A325,'Budget by Source'!$A$6:$A$330,0),MATCH(Q$3,'Budget by Source'!$A$5:$I$5,0))-(ROUND(INDEX('Budget by Source'!$A$6:$I$330,MATCH('Payment by Source'!$A325,'Budget by Source'!$A$6:$A$330,0),MATCH(Q$3,'Budget by Source'!$A$5:$I$5,0))/10,0)*10)</f>
        <v>4</v>
      </c>
      <c r="R325" s="138">
        <f>INDEX('Budget by Source'!$A$6:$I$330,MATCH('Payment by Source'!$A325,'Budget by Source'!$A$6:$A$330,0),MATCH(R$3,'Budget by Source'!$A$5:$I$5,0))-(ROUND(INDEX('Budget by Source'!$A$6:$I$330,MATCH('Payment by Source'!$A325,'Budget by Source'!$A$6:$A$330,0),MATCH(R$3,'Budget by Source'!$A$5:$I$5,0))/10,0)*10)</f>
        <v>0</v>
      </c>
      <c r="S325" s="138">
        <f>INDEX('Budget by Source'!$A$6:$I$330,MATCH('Payment by Source'!$A325,'Budget by Source'!$A$6:$A$330,0),MATCH(S$3,'Budget by Source'!$A$5:$I$5,0))-(ROUND(INDEX('Budget by Source'!$A$6:$I$330,MATCH('Payment by Source'!$A325,'Budget by Source'!$A$6:$A$330,0),MATCH(S$3,'Budget by Source'!$A$5:$I$5,0))/10,0)*10)</f>
        <v>0</v>
      </c>
      <c r="T325" s="138">
        <f>INDEX('Budget by Source'!$A$6:$I$330,MATCH('Payment by Source'!$A325,'Budget by Source'!$A$6:$A$330,0),MATCH(T$3,'Budget by Source'!$A$5:$I$5,0))-(ROUND(INDEX('Budget by Source'!$A$6:$I$330,MATCH('Payment by Source'!$A325,'Budget by Source'!$A$6:$A$330,0),MATCH(T$3,'Budget by Source'!$A$5:$I$5,0))/10,0)*10)</f>
        <v>-4</v>
      </c>
      <c r="U325" s="139">
        <f>INDEX('Budget by Source'!$A$6:$I$330,MATCH('Payment by Source'!$A325,'Budget by Source'!$A$6:$A$330,0),MATCH(U$3,'Budget by Source'!$A$5:$I$5,0))</f>
        <v>5336245</v>
      </c>
      <c r="V325" s="136">
        <f t="shared" si="13"/>
        <v>533625</v>
      </c>
      <c r="W325" s="136">
        <f t="shared" si="14"/>
        <v>5336250</v>
      </c>
    </row>
    <row r="326" spans="1:23" x14ac:dyDescent="0.2">
      <c r="A326" s="22" t="str">
        <f>Data!B322</f>
        <v>7047</v>
      </c>
      <c r="B326" s="20" t="str">
        <f>INDEX(Data[],MATCH($A326,Data[Dist],0),MATCH(B$5,Data[#Headers],0))</f>
        <v>Winfield-Mt Union</v>
      </c>
      <c r="C326" s="21">
        <f>IF(Notes!$B$2="June",ROUND('Budget by Source'!C326/10,0)+P326,ROUND('Budget by Source'!C326/10,0))</f>
        <v>7403</v>
      </c>
      <c r="D326" s="21">
        <f>IF(Notes!$B$2="June",ROUND('Budget by Source'!D326/10,0)+Q326,ROUND('Budget by Source'!D326/10,0))</f>
        <v>38248</v>
      </c>
      <c r="E326" s="21">
        <f>IF(Notes!$B$2="June",ROUND('Budget by Source'!E326/10,0)+R326,ROUND('Budget by Source'!E326/10,0))</f>
        <v>2725</v>
      </c>
      <c r="F326" s="21">
        <f>IF(Notes!$B$2="June",ROUND('Budget by Source'!F326/10,0)+S326,ROUND('Budget by Source'!F326/10,0))</f>
        <v>2413</v>
      </c>
      <c r="G326" s="21">
        <f>IF(Notes!$B$2="June",ROUND('Budget by Source'!G326/10,0)+T326,ROUND('Budget by Source'!G326/10,0))</f>
        <v>11959</v>
      </c>
      <c r="H326" s="21">
        <f t="shared" si="12"/>
        <v>191114</v>
      </c>
      <c r="I326" s="21">
        <f>INDEX(Data[],MATCH($A326,Data[Dist],0),MATCH(I$5,Data[#Headers],0))</f>
        <v>253862</v>
      </c>
      <c r="K326" s="59">
        <f>INDEX('Payment Total'!$A$7:$H$331,MATCH('Payment by Source'!$A326,'Payment Total'!$A$7:$A$331,0),4)-I326</f>
        <v>0</v>
      </c>
      <c r="P326" s="138">
        <f>INDEX('Budget by Source'!$A$6:$I$330,MATCH('Payment by Source'!$A326,'Budget by Source'!$A$6:$A$330,0),MATCH(P$3,'Budget by Source'!$A$5:$I$5,0))-(ROUND(INDEX('Budget by Source'!$A$6:$I$330,MATCH('Payment by Source'!$A326,'Budget by Source'!$A$6:$A$330,0),MATCH(P$3,'Budget by Source'!$A$5:$I$5,0))/10,0)*10)</f>
        <v>2</v>
      </c>
      <c r="Q326" s="138">
        <f>INDEX('Budget by Source'!$A$6:$I$330,MATCH('Payment by Source'!$A326,'Budget by Source'!$A$6:$A$330,0),MATCH(Q$3,'Budget by Source'!$A$5:$I$5,0))-(ROUND(INDEX('Budget by Source'!$A$6:$I$330,MATCH('Payment by Source'!$A326,'Budget by Source'!$A$6:$A$330,0),MATCH(Q$3,'Budget by Source'!$A$5:$I$5,0))/10,0)*10)</f>
        <v>-5</v>
      </c>
      <c r="R326" s="138">
        <f>INDEX('Budget by Source'!$A$6:$I$330,MATCH('Payment by Source'!$A326,'Budget by Source'!$A$6:$A$330,0),MATCH(R$3,'Budget by Source'!$A$5:$I$5,0))-(ROUND(INDEX('Budget by Source'!$A$6:$I$330,MATCH('Payment by Source'!$A326,'Budget by Source'!$A$6:$A$330,0),MATCH(R$3,'Budget by Source'!$A$5:$I$5,0))/10,0)*10)</f>
        <v>3</v>
      </c>
      <c r="S326" s="138">
        <f>INDEX('Budget by Source'!$A$6:$I$330,MATCH('Payment by Source'!$A326,'Budget by Source'!$A$6:$A$330,0),MATCH(S$3,'Budget by Source'!$A$5:$I$5,0))-(ROUND(INDEX('Budget by Source'!$A$6:$I$330,MATCH('Payment by Source'!$A326,'Budget by Source'!$A$6:$A$330,0),MATCH(S$3,'Budget by Source'!$A$5:$I$5,0))/10,0)*10)</f>
        <v>4</v>
      </c>
      <c r="T326" s="138">
        <f>INDEX('Budget by Source'!$A$6:$I$330,MATCH('Payment by Source'!$A326,'Budget by Source'!$A$6:$A$330,0),MATCH(T$3,'Budget by Source'!$A$5:$I$5,0))-(ROUND(INDEX('Budget by Source'!$A$6:$I$330,MATCH('Payment by Source'!$A326,'Budget by Source'!$A$6:$A$330,0),MATCH(T$3,'Budget by Source'!$A$5:$I$5,0))/10,0)*10)</f>
        <v>2</v>
      </c>
      <c r="U326" s="139">
        <f>INDEX('Budget by Source'!$A$6:$I$330,MATCH('Payment by Source'!$A326,'Budget by Source'!$A$6:$A$330,0),MATCH(U$3,'Budget by Source'!$A$5:$I$5,0))</f>
        <v>1915885</v>
      </c>
      <c r="V326" s="136">
        <f t="shared" si="13"/>
        <v>191589</v>
      </c>
      <c r="W326" s="136">
        <f t="shared" si="14"/>
        <v>1915890</v>
      </c>
    </row>
    <row r="327" spans="1:23" x14ac:dyDescent="0.2">
      <c r="A327" s="22" t="str">
        <f>Data!B323</f>
        <v>7056</v>
      </c>
      <c r="B327" s="20" t="str">
        <f>INDEX(Data[],MATCH($A327,Data[Dist],0),MATCH(B$5,Data[#Headers],0))</f>
        <v>Winterset</v>
      </c>
      <c r="C327" s="21">
        <f>IF(Notes!$B$2="June",ROUND('Budget by Source'!C327/10,0)+P327,ROUND('Budget by Source'!C327/10,0))</f>
        <v>28452</v>
      </c>
      <c r="D327" s="21">
        <f>IF(Notes!$B$2="June",ROUND('Budget by Source'!D327/10,0)+Q327,ROUND('Budget by Source'!D327/10,0))</f>
        <v>122063</v>
      </c>
      <c r="E327" s="21">
        <f>IF(Notes!$B$2="June",ROUND('Budget by Source'!E327/10,0)+R327,ROUND('Budget by Source'!E327/10,0))</f>
        <v>14077</v>
      </c>
      <c r="F327" s="21">
        <f>IF(Notes!$B$2="June",ROUND('Budget by Source'!F327/10,0)+S327,ROUND('Budget by Source'!F327/10,0))</f>
        <v>11885</v>
      </c>
      <c r="G327" s="21">
        <f>IF(Notes!$B$2="June",ROUND('Budget by Source'!G327/10,0)+T327,ROUND('Budget by Source'!G327/10,0))</f>
        <v>63151</v>
      </c>
      <c r="H327" s="21">
        <f t="shared" ref="H327:H330" si="15">I327-SUM(C327:G327)</f>
        <v>988853</v>
      </c>
      <c r="I327" s="21">
        <f>INDEX(Data[],MATCH($A327,Data[Dist],0),MATCH(I$5,Data[#Headers],0))</f>
        <v>1228481</v>
      </c>
      <c r="K327" s="59">
        <f>INDEX('Payment Total'!$A$7:$H$331,MATCH('Payment by Source'!$A327,'Payment Total'!$A$7:$A$331,0),4)-I327</f>
        <v>0</v>
      </c>
      <c r="P327" s="138">
        <f>INDEX('Budget by Source'!$A$6:$I$330,MATCH('Payment by Source'!$A327,'Budget by Source'!$A$6:$A$330,0),MATCH(P$3,'Budget by Source'!$A$5:$I$5,0))-(ROUND(INDEX('Budget by Source'!$A$6:$I$330,MATCH('Payment by Source'!$A327,'Budget by Source'!$A$6:$A$330,0),MATCH(P$3,'Budget by Source'!$A$5:$I$5,0))/10,0)*10)</f>
        <v>-3</v>
      </c>
      <c r="Q327" s="138">
        <f>INDEX('Budget by Source'!$A$6:$I$330,MATCH('Payment by Source'!$A327,'Budget by Source'!$A$6:$A$330,0),MATCH(Q$3,'Budget by Source'!$A$5:$I$5,0))-(ROUND(INDEX('Budget by Source'!$A$6:$I$330,MATCH('Payment by Source'!$A327,'Budget by Source'!$A$6:$A$330,0),MATCH(Q$3,'Budget by Source'!$A$5:$I$5,0))/10,0)*10)</f>
        <v>1</v>
      </c>
      <c r="R327" s="138">
        <f>INDEX('Budget by Source'!$A$6:$I$330,MATCH('Payment by Source'!$A327,'Budget by Source'!$A$6:$A$330,0),MATCH(R$3,'Budget by Source'!$A$5:$I$5,0))-(ROUND(INDEX('Budget by Source'!$A$6:$I$330,MATCH('Payment by Source'!$A327,'Budget by Source'!$A$6:$A$330,0),MATCH(R$3,'Budget by Source'!$A$5:$I$5,0))/10,0)*10)</f>
        <v>-4</v>
      </c>
      <c r="S327" s="138">
        <f>INDEX('Budget by Source'!$A$6:$I$330,MATCH('Payment by Source'!$A327,'Budget by Source'!$A$6:$A$330,0),MATCH(S$3,'Budget by Source'!$A$5:$I$5,0))-(ROUND(INDEX('Budget by Source'!$A$6:$I$330,MATCH('Payment by Source'!$A327,'Budget by Source'!$A$6:$A$330,0),MATCH(S$3,'Budget by Source'!$A$5:$I$5,0))/10,0)*10)</f>
        <v>-2</v>
      </c>
      <c r="T327" s="138">
        <f>INDEX('Budget by Source'!$A$6:$I$330,MATCH('Payment by Source'!$A327,'Budget by Source'!$A$6:$A$330,0),MATCH(T$3,'Budget by Source'!$A$5:$I$5,0))-(ROUND(INDEX('Budget by Source'!$A$6:$I$330,MATCH('Payment by Source'!$A327,'Budget by Source'!$A$6:$A$330,0),MATCH(T$3,'Budget by Source'!$A$5:$I$5,0))/10,0)*10)</f>
        <v>-4</v>
      </c>
      <c r="U327" s="139">
        <f>INDEX('Budget by Source'!$A$6:$I$330,MATCH('Payment by Source'!$A327,'Budget by Source'!$A$6:$A$330,0),MATCH(U$3,'Budget by Source'!$A$5:$I$5,0))</f>
        <v>9913583</v>
      </c>
      <c r="V327" s="136">
        <f t="shared" ref="V327:V329" si="16">ROUND(U327/10,0)</f>
        <v>991358</v>
      </c>
      <c r="W327" s="136">
        <f t="shared" ref="W327:W329" si="17">V327*10</f>
        <v>9913580</v>
      </c>
    </row>
    <row r="328" spans="1:23" x14ac:dyDescent="0.2">
      <c r="A328" s="22" t="str">
        <f>Data!B324</f>
        <v>7092</v>
      </c>
      <c r="B328" s="20" t="str">
        <f>INDEX(Data[],MATCH($A328,Data[Dist],0),MATCH(B$5,Data[#Headers],0))</f>
        <v>Woodbine</v>
      </c>
      <c r="C328" s="21">
        <f>IF(Notes!$B$2="June",ROUND('Budget by Source'!C328/10,0)+P328,ROUND('Budget by Source'!C328/10,0))</f>
        <v>11300</v>
      </c>
      <c r="D328" s="21">
        <f>IF(Notes!$B$2="June",ROUND('Budget by Source'!D328/10,0)+Q328,ROUND('Budget by Source'!D328/10,0))</f>
        <v>51216</v>
      </c>
      <c r="E328" s="21">
        <f>IF(Notes!$B$2="June",ROUND('Budget by Source'!E328/10,0)+R328,ROUND('Budget by Source'!E328/10,0))</f>
        <v>4313</v>
      </c>
      <c r="F328" s="21">
        <f>IF(Notes!$B$2="June",ROUND('Budget by Source'!F328/10,0)+S328,ROUND('Budget by Source'!F328/10,0))</f>
        <v>4127</v>
      </c>
      <c r="G328" s="21">
        <f>IF(Notes!$B$2="June",ROUND('Budget by Source'!G328/10,0)+T328,ROUND('Budget by Source'!G328/10,0))</f>
        <v>19227</v>
      </c>
      <c r="H328" s="21">
        <f t="shared" si="15"/>
        <v>292458</v>
      </c>
      <c r="I328" s="21">
        <f>INDEX(Data[],MATCH($A328,Data[Dist],0),MATCH(I$5,Data[#Headers],0))</f>
        <v>382641</v>
      </c>
      <c r="K328" s="59">
        <f>INDEX('Payment Total'!$A$7:$H$331,MATCH('Payment by Source'!$A328,'Payment Total'!$A$7:$A$331,0),4)-I328</f>
        <v>0</v>
      </c>
      <c r="P328" s="138">
        <f>INDEX('Budget by Source'!$A$6:$I$330,MATCH('Payment by Source'!$A328,'Budget by Source'!$A$6:$A$330,0),MATCH(P$3,'Budget by Source'!$A$5:$I$5,0))-(ROUND(INDEX('Budget by Source'!$A$6:$I$330,MATCH('Payment by Source'!$A328,'Budget by Source'!$A$6:$A$330,0),MATCH(P$3,'Budget by Source'!$A$5:$I$5,0))/10,0)*10)</f>
        <v>-4</v>
      </c>
      <c r="Q328" s="138">
        <f>INDEX('Budget by Source'!$A$6:$I$330,MATCH('Payment by Source'!$A328,'Budget by Source'!$A$6:$A$330,0),MATCH(Q$3,'Budget by Source'!$A$5:$I$5,0))-(ROUND(INDEX('Budget by Source'!$A$6:$I$330,MATCH('Payment by Source'!$A328,'Budget by Source'!$A$6:$A$330,0),MATCH(Q$3,'Budget by Source'!$A$5:$I$5,0))/10,0)*10)</f>
        <v>1</v>
      </c>
      <c r="R328" s="138">
        <f>INDEX('Budget by Source'!$A$6:$I$330,MATCH('Payment by Source'!$A328,'Budget by Source'!$A$6:$A$330,0),MATCH(R$3,'Budget by Source'!$A$5:$I$5,0))-(ROUND(INDEX('Budget by Source'!$A$6:$I$330,MATCH('Payment by Source'!$A328,'Budget by Source'!$A$6:$A$330,0),MATCH(R$3,'Budget by Source'!$A$5:$I$5,0))/10,0)*10)</f>
        <v>-2</v>
      </c>
      <c r="S328" s="138">
        <f>INDEX('Budget by Source'!$A$6:$I$330,MATCH('Payment by Source'!$A328,'Budget by Source'!$A$6:$A$330,0),MATCH(S$3,'Budget by Source'!$A$5:$I$5,0))-(ROUND(INDEX('Budget by Source'!$A$6:$I$330,MATCH('Payment by Source'!$A328,'Budget by Source'!$A$6:$A$330,0),MATCH(S$3,'Budget by Source'!$A$5:$I$5,0))/10,0)*10)</f>
        <v>-5</v>
      </c>
      <c r="T328" s="138">
        <f>INDEX('Budget by Source'!$A$6:$I$330,MATCH('Payment by Source'!$A328,'Budget by Source'!$A$6:$A$330,0),MATCH(T$3,'Budget by Source'!$A$5:$I$5,0))-(ROUND(INDEX('Budget by Source'!$A$6:$I$330,MATCH('Payment by Source'!$A328,'Budget by Source'!$A$6:$A$330,0),MATCH(T$3,'Budget by Source'!$A$5:$I$5,0))/10,0)*10)</f>
        <v>0</v>
      </c>
      <c r="U328" s="139">
        <f>INDEX('Budget by Source'!$A$6:$I$330,MATCH('Payment by Source'!$A328,'Budget by Source'!$A$6:$A$330,0),MATCH(U$3,'Budget by Source'!$A$5:$I$5,0))</f>
        <v>2932201</v>
      </c>
      <c r="V328" s="136">
        <f t="shared" si="16"/>
        <v>293220</v>
      </c>
      <c r="W328" s="136">
        <f t="shared" si="17"/>
        <v>2932200</v>
      </c>
    </row>
    <row r="329" spans="1:23" x14ac:dyDescent="0.2">
      <c r="A329" s="22" t="str">
        <f>Data!B325</f>
        <v>7098</v>
      </c>
      <c r="B329" s="20" t="str">
        <f>INDEX(Data[],MATCH($A329,Data[Dist],0),MATCH(B$5,Data[#Headers],0))</f>
        <v>Woodbury Central</v>
      </c>
      <c r="C329" s="21">
        <f>IF(Notes!$B$2="June",ROUND('Budget by Source'!C329/10,0)+P329,ROUND('Budget by Source'!C329/10,0))</f>
        <v>10910</v>
      </c>
      <c r="D329" s="21">
        <f>IF(Notes!$B$2="June",ROUND('Budget by Source'!D329/10,0)+Q329,ROUND('Budget by Source'!D329/10,0))</f>
        <v>48648</v>
      </c>
      <c r="E329" s="21">
        <f>IF(Notes!$B$2="June",ROUND('Budget by Source'!E329/10,0)+R329,ROUND('Budget by Source'!E329/10,0))</f>
        <v>4019</v>
      </c>
      <c r="F329" s="21">
        <f>IF(Notes!$B$2="June",ROUND('Budget by Source'!F329/10,0)+S329,ROUND('Budget by Source'!F329/10,0))</f>
        <v>3825</v>
      </c>
      <c r="G329" s="21">
        <f>IF(Notes!$B$2="June",ROUND('Budget by Source'!G329/10,0)+T329,ROUND('Budget by Source'!G329/10,0))</f>
        <v>19575</v>
      </c>
      <c r="H329" s="21">
        <f t="shared" si="15"/>
        <v>298369</v>
      </c>
      <c r="I329" s="21">
        <f>INDEX(Data[],MATCH($A329,Data[Dist],0),MATCH(I$5,Data[#Headers],0))</f>
        <v>385346</v>
      </c>
      <c r="K329" s="59">
        <f>INDEX('Payment Total'!$A$7:$H$331,MATCH('Payment by Source'!$A329,'Payment Total'!$A$7:$A$331,0),4)-I329</f>
        <v>0</v>
      </c>
      <c r="P329" s="138">
        <f>INDEX('Budget by Source'!$A$6:$I$330,MATCH('Payment by Source'!$A329,'Budget by Source'!$A$6:$A$330,0),MATCH(P$3,'Budget by Source'!$A$5:$I$5,0))-(ROUND(INDEX('Budget by Source'!$A$6:$I$330,MATCH('Payment by Source'!$A329,'Budget by Source'!$A$6:$A$330,0),MATCH(P$3,'Budget by Source'!$A$5:$I$5,0))/10,0)*10)</f>
        <v>0</v>
      </c>
      <c r="Q329" s="138">
        <f>INDEX('Budget by Source'!$A$6:$I$330,MATCH('Payment by Source'!$A329,'Budget by Source'!$A$6:$A$330,0),MATCH(Q$3,'Budget by Source'!$A$5:$I$5,0))-(ROUND(INDEX('Budget by Source'!$A$6:$I$330,MATCH('Payment by Source'!$A329,'Budget by Source'!$A$6:$A$330,0),MATCH(Q$3,'Budget by Source'!$A$5:$I$5,0))/10,0)*10)</f>
        <v>-4</v>
      </c>
      <c r="R329" s="138">
        <f>INDEX('Budget by Source'!$A$6:$I$330,MATCH('Payment by Source'!$A329,'Budget by Source'!$A$6:$A$330,0),MATCH(R$3,'Budget by Source'!$A$5:$I$5,0))-(ROUND(INDEX('Budget by Source'!$A$6:$I$330,MATCH('Payment by Source'!$A329,'Budget by Source'!$A$6:$A$330,0),MATCH(R$3,'Budget by Source'!$A$5:$I$5,0))/10,0)*10)</f>
        <v>-4</v>
      </c>
      <c r="S329" s="138">
        <f>INDEX('Budget by Source'!$A$6:$I$330,MATCH('Payment by Source'!$A329,'Budget by Source'!$A$6:$A$330,0),MATCH(S$3,'Budget by Source'!$A$5:$I$5,0))-(ROUND(INDEX('Budget by Source'!$A$6:$I$330,MATCH('Payment by Source'!$A329,'Budget by Source'!$A$6:$A$330,0),MATCH(S$3,'Budget by Source'!$A$5:$I$5,0))/10,0)*10)</f>
        <v>4</v>
      </c>
      <c r="T329" s="138">
        <f>INDEX('Budget by Source'!$A$6:$I$330,MATCH('Payment by Source'!$A329,'Budget by Source'!$A$6:$A$330,0),MATCH(T$3,'Budget by Source'!$A$5:$I$5,0))-(ROUND(INDEX('Budget by Source'!$A$6:$I$330,MATCH('Payment by Source'!$A329,'Budget by Source'!$A$6:$A$330,0),MATCH(T$3,'Budget by Source'!$A$5:$I$5,0))/10,0)*10)</f>
        <v>-5</v>
      </c>
      <c r="U329" s="139">
        <f>INDEX('Budget by Source'!$A$6:$I$330,MATCH('Payment by Source'!$A329,'Budget by Source'!$A$6:$A$330,0),MATCH(U$3,'Budget by Source'!$A$5:$I$5,0))</f>
        <v>2991340</v>
      </c>
      <c r="V329" s="136">
        <f t="shared" si="16"/>
        <v>299134</v>
      </c>
      <c r="W329" s="136">
        <f t="shared" si="17"/>
        <v>2991340</v>
      </c>
    </row>
    <row r="330" spans="1:23" x14ac:dyDescent="0.2">
      <c r="A330" s="22" t="str">
        <f>Data!B326</f>
        <v>7110</v>
      </c>
      <c r="B330" s="20" t="str">
        <f>INDEX(Data[],MATCH($A330,Data[Dist],0),MATCH(B$5,Data[#Headers],0))</f>
        <v>Woodward-Granger</v>
      </c>
      <c r="C330" s="21">
        <f>IF(Notes!$B$2="June",ROUND('Budget by Source'!C330/10,0)+P330,ROUND('Budget by Source'!C330/10,0))</f>
        <v>22989</v>
      </c>
      <c r="D330" s="21">
        <f>IF(Notes!$B$2="June",ROUND('Budget by Source'!D330/10,0)+Q330,ROUND('Budget by Source'!D330/10,0))</f>
        <v>86738</v>
      </c>
      <c r="E330" s="21">
        <f>IF(Notes!$B$2="June",ROUND('Budget by Source'!E330/10,0)+R330,ROUND('Budget by Source'!E330/10,0))</f>
        <v>8121</v>
      </c>
      <c r="F330" s="21">
        <f>IF(Notes!$B$2="June",ROUND('Budget by Source'!F330/10,0)+S330,ROUND('Budget by Source'!F330/10,0))</f>
        <v>7654</v>
      </c>
      <c r="G330" s="21">
        <f>IF(Notes!$B$2="June",ROUND('Budget by Source'!G330/10,0)+T330,ROUND('Budget by Source'!G330/10,0))</f>
        <v>40932</v>
      </c>
      <c r="H330" s="21">
        <f t="shared" si="15"/>
        <v>617023</v>
      </c>
      <c r="I330" s="21">
        <f>INDEX(Data[],MATCH($A330,Data[Dist],0),MATCH(I$5,Data[#Headers],0))</f>
        <v>783457</v>
      </c>
      <c r="K330" s="59">
        <f>INDEX('Payment Total'!$A$7:$H$331,MATCH('Payment by Source'!$A330,'Payment Total'!$A$7:$A$331,0),4)-I330</f>
        <v>0</v>
      </c>
      <c r="P330" s="138">
        <f>INDEX('Budget by Source'!$A$6:$I$330,MATCH('Payment by Source'!$A330,'Budget by Source'!$A$6:$A$330,0),MATCH(P$3,'Budget by Source'!$A$5:$I$5,0))-(ROUND(INDEX('Budget by Source'!$A$6:$I$330,MATCH('Payment by Source'!$A330,'Budget by Source'!$A$6:$A$330,0),MATCH(P$3,'Budget by Source'!$A$5:$I$5,0))/10,0)*10)</f>
        <v>-2</v>
      </c>
      <c r="Q330" s="138">
        <f>INDEX('Budget by Source'!$A$6:$I$330,MATCH('Payment by Source'!$A330,'Budget by Source'!$A$6:$A$330,0),MATCH(Q$3,'Budget by Source'!$A$5:$I$5,0))-(ROUND(INDEX('Budget by Source'!$A$6:$I$330,MATCH('Payment by Source'!$A330,'Budget by Source'!$A$6:$A$330,0),MATCH(Q$3,'Budget by Source'!$A$5:$I$5,0))/10,0)*10)</f>
        <v>-2</v>
      </c>
      <c r="R330" s="138">
        <f>INDEX('Budget by Source'!$A$6:$I$330,MATCH('Payment by Source'!$A330,'Budget by Source'!$A$6:$A$330,0),MATCH(R$3,'Budget by Source'!$A$5:$I$5,0))-(ROUND(INDEX('Budget by Source'!$A$6:$I$330,MATCH('Payment by Source'!$A330,'Budget by Source'!$A$6:$A$330,0),MATCH(R$3,'Budget by Source'!$A$5:$I$5,0))/10,0)*10)</f>
        <v>-5</v>
      </c>
      <c r="S330" s="138">
        <f>INDEX('Budget by Source'!$A$6:$I$330,MATCH('Payment by Source'!$A330,'Budget by Source'!$A$6:$A$330,0),MATCH(S$3,'Budget by Source'!$A$5:$I$5,0))-(ROUND(INDEX('Budget by Source'!$A$6:$I$330,MATCH('Payment by Source'!$A330,'Budget by Source'!$A$6:$A$330,0),MATCH(S$3,'Budget by Source'!$A$5:$I$5,0))/10,0)*10)</f>
        <v>-5</v>
      </c>
      <c r="T330" s="138">
        <f>INDEX('Budget by Source'!$A$6:$I$330,MATCH('Payment by Source'!$A330,'Budget by Source'!$A$6:$A$330,0),MATCH(T$3,'Budget by Source'!$A$5:$I$5,0))-(ROUND(INDEX('Budget by Source'!$A$6:$I$330,MATCH('Payment by Source'!$A330,'Budget by Source'!$A$6:$A$330,0),MATCH(T$3,'Budget by Source'!$A$5:$I$5,0))/10,0)*10)</f>
        <v>-1</v>
      </c>
      <c r="U330" s="139">
        <f>INDEX('Budget by Source'!$A$6:$I$330,MATCH('Payment by Source'!$A330,'Budget by Source'!$A$6:$A$330,0),MATCH(U$3,'Budget by Source'!$A$5:$I$5,0))</f>
        <v>6186440</v>
      </c>
      <c r="V330" s="136">
        <f>ROUND(U330/10,0)</f>
        <v>618644</v>
      </c>
      <c r="W330" s="136">
        <f>V330*10</f>
        <v>6186440</v>
      </c>
    </row>
    <row r="331" spans="1:23" ht="13.5" thickBot="1" x14ac:dyDescent="0.25">
      <c r="A331" s="109" t="s">
        <v>779</v>
      </c>
      <c r="B331" s="20" t="s">
        <v>778</v>
      </c>
      <c r="C331" s="23">
        <f t="shared" ref="C331:I331" si="18">SUM(C6:C330)</f>
        <v>9103429</v>
      </c>
      <c r="D331" s="23">
        <f t="shared" si="18"/>
        <v>40114343</v>
      </c>
      <c r="E331" s="23">
        <f t="shared" si="18"/>
        <v>4128940</v>
      </c>
      <c r="F331" s="23">
        <f t="shared" si="18"/>
        <v>3796721</v>
      </c>
      <c r="G331" s="23">
        <f t="shared" si="18"/>
        <v>18922945</v>
      </c>
      <c r="H331" s="23">
        <f t="shared" si="18"/>
        <v>286317122</v>
      </c>
      <c r="I331" s="23">
        <f t="shared" si="18"/>
        <v>362383500</v>
      </c>
    </row>
    <row r="332" spans="1:23" ht="13.5" thickTop="1" x14ac:dyDescent="0.2"/>
  </sheetData>
  <sheetProtection sheet="1" formatCells="0" formatColumns="0" formatRows="0"/>
  <mergeCells count="2">
    <mergeCell ref="A1:I1"/>
    <mergeCell ref="L1:O4"/>
  </mergeCells>
  <pageMargins left="0.5" right="0.45" top="0.5" bottom="0.55000000000000004" header="0.3" footer="0.3"/>
  <pageSetup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AO327"/>
  <sheetViews>
    <sheetView topLeftCell="A286" workbookViewId="0">
      <selection sqref="A1:AO326"/>
    </sheetView>
  </sheetViews>
  <sheetFormatPr defaultRowHeight="12.75" x14ac:dyDescent="0.2"/>
  <cols>
    <col min="1" max="1" width="11.5703125" style="1" customWidth="1"/>
    <col min="2" max="2" width="6" style="2" customWidth="1"/>
    <col min="3" max="3" width="15.5703125" style="2" customWidth="1"/>
    <col min="4" max="4" width="24.5703125" style="1" bestFit="1" customWidth="1"/>
    <col min="5" max="5" width="32.28515625" style="1" customWidth="1"/>
    <col min="6" max="7" width="29.28515625" style="1" customWidth="1"/>
    <col min="8" max="8" width="38.140625" style="1" customWidth="1"/>
    <col min="9" max="9" width="34.28515625" style="1" customWidth="1"/>
    <col min="10" max="10" width="21.140625" style="1" customWidth="1"/>
    <col min="11" max="11" width="28.42578125" style="1" customWidth="1"/>
    <col min="12" max="12" width="25" style="1" customWidth="1"/>
    <col min="13" max="13" width="27" style="1" customWidth="1"/>
    <col min="14" max="14" width="33.140625" style="1" customWidth="1"/>
    <col min="15" max="15" width="28.5703125" style="1" customWidth="1"/>
    <col min="16" max="18" width="33.85546875" style="1" customWidth="1"/>
    <col min="19" max="21" width="31.85546875" style="1" customWidth="1"/>
    <col min="22" max="22" width="18.5703125" style="1" customWidth="1"/>
    <col min="23" max="23" width="16.5703125" style="1" customWidth="1"/>
    <col min="24" max="24" width="18" style="1" customWidth="1"/>
    <col min="25" max="25" width="18.140625" style="1" customWidth="1"/>
    <col min="26" max="26" width="16.7109375" style="1" customWidth="1"/>
    <col min="27" max="34" width="9.140625" style="1"/>
    <col min="35" max="35" width="21.5703125" style="1" customWidth="1"/>
    <col min="36" max="36" width="18.85546875" style="1" bestFit="1" customWidth="1"/>
    <col min="37" max="37" width="16.85546875" style="1" bestFit="1" customWidth="1"/>
    <col min="38" max="38" width="15.85546875" style="1" bestFit="1" customWidth="1"/>
    <col min="39" max="39" width="14.85546875" style="1" bestFit="1" customWidth="1"/>
    <col min="40" max="40" width="15.5703125" style="1" bestFit="1" customWidth="1"/>
    <col min="41" max="41" width="37.42578125" style="1" bestFit="1" customWidth="1"/>
    <col min="42" max="16384" width="9.140625" style="1"/>
  </cols>
  <sheetData>
    <row r="1" spans="1:41" x14ac:dyDescent="0.2">
      <c r="A1" s="1" t="s">
        <v>347</v>
      </c>
      <c r="B1" s="2" t="s">
        <v>788</v>
      </c>
      <c r="C1" s="2" t="s">
        <v>348</v>
      </c>
      <c r="D1" s="1" t="s">
        <v>349</v>
      </c>
      <c r="E1" s="1" t="s">
        <v>350</v>
      </c>
      <c r="F1" s="1" t="s">
        <v>351</v>
      </c>
      <c r="G1" s="1" t="s">
        <v>828</v>
      </c>
      <c r="H1" s="1" t="s">
        <v>352</v>
      </c>
      <c r="I1" s="1" t="s">
        <v>353</v>
      </c>
      <c r="J1" s="1" t="s">
        <v>362</v>
      </c>
      <c r="K1" s="1" t="s">
        <v>363</v>
      </c>
      <c r="L1" s="1" t="s">
        <v>364</v>
      </c>
      <c r="M1" s="1" t="s">
        <v>355</v>
      </c>
      <c r="N1" s="1" t="s">
        <v>698</v>
      </c>
      <c r="O1" s="1" t="s">
        <v>356</v>
      </c>
      <c r="P1" s="1" t="s">
        <v>357</v>
      </c>
      <c r="Q1" s="1" t="s">
        <v>358</v>
      </c>
      <c r="R1" s="1" t="s">
        <v>359</v>
      </c>
      <c r="S1" s="1" t="s">
        <v>360</v>
      </c>
      <c r="T1" s="1" t="s">
        <v>361</v>
      </c>
      <c r="U1" s="1" t="s">
        <v>365</v>
      </c>
      <c r="V1" s="1" t="s">
        <v>366</v>
      </c>
      <c r="W1" s="1" t="s">
        <v>367</v>
      </c>
      <c r="X1" s="1" t="s">
        <v>368</v>
      </c>
      <c r="Y1" s="1" t="s">
        <v>369</v>
      </c>
      <c r="Z1" s="1" t="s">
        <v>370</v>
      </c>
      <c r="AA1" s="5" t="s">
        <v>371</v>
      </c>
      <c r="AB1" s="5" t="s">
        <v>372</v>
      </c>
      <c r="AC1" s="5" t="s">
        <v>373</v>
      </c>
      <c r="AD1" s="5" t="s">
        <v>374</v>
      </c>
      <c r="AE1" s="5" t="s">
        <v>719</v>
      </c>
      <c r="AF1" s="5" t="s">
        <v>720</v>
      </c>
      <c r="AG1" s="5" t="s">
        <v>721</v>
      </c>
      <c r="AH1" s="5" t="s">
        <v>722</v>
      </c>
      <c r="AI1" s="5" t="s">
        <v>723</v>
      </c>
      <c r="AJ1" s="5" t="s">
        <v>724</v>
      </c>
      <c r="AK1" s="5" t="s">
        <v>725</v>
      </c>
      <c r="AL1" s="5" t="s">
        <v>726</v>
      </c>
      <c r="AM1" s="5" t="s">
        <v>727</v>
      </c>
      <c r="AN1" s="5" t="s">
        <v>728</v>
      </c>
      <c r="AO1" s="135" t="s">
        <v>781</v>
      </c>
    </row>
    <row r="2" spans="1:41" x14ac:dyDescent="0.2">
      <c r="A2" s="1">
        <v>2025</v>
      </c>
      <c r="B2" s="2" t="s">
        <v>19</v>
      </c>
      <c r="C2" s="2" t="s">
        <v>19</v>
      </c>
      <c r="D2" s="1" t="s">
        <v>0</v>
      </c>
      <c r="E2" s="3">
        <v>4340958</v>
      </c>
      <c r="F2" s="1">
        <v>531</v>
      </c>
      <c r="G2" s="1">
        <v>0</v>
      </c>
      <c r="H2" s="3">
        <v>15975</v>
      </c>
      <c r="I2" s="1">
        <v>0</v>
      </c>
      <c r="J2" s="3">
        <v>4340427</v>
      </c>
      <c r="K2" s="3">
        <v>4324452</v>
      </c>
      <c r="L2" s="3">
        <v>4324452</v>
      </c>
      <c r="M2" s="3">
        <v>124685</v>
      </c>
      <c r="N2" s="3">
        <v>641999</v>
      </c>
      <c r="O2" s="3">
        <v>49619</v>
      </c>
      <c r="P2" s="3">
        <v>54876</v>
      </c>
      <c r="Q2" s="3">
        <v>273182</v>
      </c>
      <c r="R2" s="3">
        <v>3196066</v>
      </c>
      <c r="S2" s="3">
        <v>3180091</v>
      </c>
      <c r="T2" s="3">
        <v>3180091</v>
      </c>
      <c r="U2" s="3">
        <v>434043</v>
      </c>
      <c r="V2" s="3">
        <v>434043</v>
      </c>
      <c r="W2" s="3">
        <v>434043</v>
      </c>
      <c r="X2" s="3">
        <v>434043</v>
      </c>
      <c r="Y2" s="3">
        <v>431380</v>
      </c>
      <c r="Z2" s="3">
        <v>431380</v>
      </c>
      <c r="AA2" s="4">
        <v>431380</v>
      </c>
      <c r="AB2" s="4">
        <v>431380</v>
      </c>
      <c r="AC2" s="4">
        <v>431380</v>
      </c>
      <c r="AD2" s="4">
        <v>431380</v>
      </c>
      <c r="AE2" s="4">
        <v>434043</v>
      </c>
      <c r="AF2" s="4">
        <v>868086</v>
      </c>
      <c r="AG2" s="4">
        <v>1302129</v>
      </c>
      <c r="AH2" s="4">
        <v>1736172</v>
      </c>
      <c r="AI2" s="4">
        <v>2167552</v>
      </c>
      <c r="AJ2" s="4">
        <v>2598932</v>
      </c>
      <c r="AK2" s="4">
        <v>3030312</v>
      </c>
      <c r="AL2" s="4">
        <v>3461692</v>
      </c>
      <c r="AM2" s="4">
        <v>3893072</v>
      </c>
      <c r="AN2" s="4">
        <v>4324452</v>
      </c>
      <c r="AO2" s="134">
        <v>311787</v>
      </c>
    </row>
    <row r="3" spans="1:41" x14ac:dyDescent="0.2">
      <c r="A3" s="1">
        <v>2025</v>
      </c>
      <c r="B3" s="2" t="s">
        <v>20</v>
      </c>
      <c r="C3" s="2" t="s">
        <v>20</v>
      </c>
      <c r="D3" s="1" t="s">
        <v>375</v>
      </c>
      <c r="E3" s="3">
        <v>1996954</v>
      </c>
      <c r="F3" s="1">
        <v>232</v>
      </c>
      <c r="G3" s="1">
        <v>0</v>
      </c>
      <c r="H3" s="3">
        <v>6406</v>
      </c>
      <c r="I3" s="3">
        <v>0</v>
      </c>
      <c r="J3" s="3">
        <v>1996722</v>
      </c>
      <c r="K3" s="3">
        <v>1990316</v>
      </c>
      <c r="L3" s="3">
        <v>1990316</v>
      </c>
      <c r="M3" s="3">
        <v>54550</v>
      </c>
      <c r="N3" s="3">
        <v>342486</v>
      </c>
      <c r="O3" s="3">
        <v>24155</v>
      </c>
      <c r="P3" s="3">
        <v>21907</v>
      </c>
      <c r="Q3" s="3">
        <v>112881</v>
      </c>
      <c r="R3" s="3">
        <v>1440743</v>
      </c>
      <c r="S3" s="3">
        <v>1434337</v>
      </c>
      <c r="T3" s="3">
        <v>1434337</v>
      </c>
      <c r="U3" s="3">
        <v>199672</v>
      </c>
      <c r="V3" s="3">
        <v>199672</v>
      </c>
      <c r="W3" s="3">
        <v>199672</v>
      </c>
      <c r="X3" s="3">
        <v>199672</v>
      </c>
      <c r="Y3" s="3">
        <v>198605</v>
      </c>
      <c r="Z3" s="3">
        <v>198605</v>
      </c>
      <c r="AA3" s="4">
        <v>198605</v>
      </c>
      <c r="AB3" s="4">
        <v>198605</v>
      </c>
      <c r="AC3" s="4">
        <v>198605</v>
      </c>
      <c r="AD3" s="4">
        <v>198603</v>
      </c>
      <c r="AE3" s="4">
        <v>199672</v>
      </c>
      <c r="AF3" s="4">
        <v>399344</v>
      </c>
      <c r="AG3" s="4">
        <v>599016</v>
      </c>
      <c r="AH3" s="4">
        <v>798688</v>
      </c>
      <c r="AI3" s="4">
        <v>997293</v>
      </c>
      <c r="AJ3" s="4">
        <v>1195898</v>
      </c>
      <c r="AK3" s="4">
        <v>1394503</v>
      </c>
      <c r="AL3" s="4">
        <v>1593108</v>
      </c>
      <c r="AM3" s="4">
        <v>1791713</v>
      </c>
      <c r="AN3" s="4">
        <v>1990316</v>
      </c>
      <c r="AO3" s="134">
        <v>121255</v>
      </c>
    </row>
    <row r="4" spans="1:41" x14ac:dyDescent="0.2">
      <c r="A4" s="1">
        <v>2025</v>
      </c>
      <c r="B4" s="2" t="s">
        <v>21</v>
      </c>
      <c r="C4" s="2" t="s">
        <v>21</v>
      </c>
      <c r="D4" s="1" t="s">
        <v>376</v>
      </c>
      <c r="E4" s="3">
        <v>16731118</v>
      </c>
      <c r="F4" s="1">
        <v>929</v>
      </c>
      <c r="G4" s="1">
        <v>0</v>
      </c>
      <c r="H4" s="3">
        <v>48780</v>
      </c>
      <c r="I4" s="1">
        <v>0</v>
      </c>
      <c r="J4" s="3">
        <v>16730189</v>
      </c>
      <c r="K4" s="3">
        <v>16681409</v>
      </c>
      <c r="L4" s="3">
        <v>16681409</v>
      </c>
      <c r="M4" s="3">
        <v>218199</v>
      </c>
      <c r="N4" s="3">
        <v>1729937</v>
      </c>
      <c r="O4" s="3">
        <v>169322</v>
      </c>
      <c r="P4" s="3">
        <v>161766</v>
      </c>
      <c r="Q4" s="3">
        <v>822529</v>
      </c>
      <c r="R4" s="3">
        <v>13628436</v>
      </c>
      <c r="S4" s="3">
        <v>13579656</v>
      </c>
      <c r="T4" s="3">
        <v>13579656</v>
      </c>
      <c r="U4" s="3">
        <v>1673019</v>
      </c>
      <c r="V4" s="3">
        <v>1673019</v>
      </c>
      <c r="W4" s="3">
        <v>1673019</v>
      </c>
      <c r="X4" s="3">
        <v>1673019</v>
      </c>
      <c r="Y4" s="3">
        <v>1664889</v>
      </c>
      <c r="Z4" s="3">
        <v>1664889</v>
      </c>
      <c r="AA4" s="4">
        <v>1664889</v>
      </c>
      <c r="AB4" s="4">
        <v>1664889</v>
      </c>
      <c r="AC4" s="4">
        <v>1664889</v>
      </c>
      <c r="AD4" s="4">
        <v>1664888</v>
      </c>
      <c r="AE4" s="4">
        <v>1673019</v>
      </c>
      <c r="AF4" s="4">
        <v>3346038</v>
      </c>
      <c r="AG4" s="4">
        <v>5019057</v>
      </c>
      <c r="AH4" s="4">
        <v>6692076</v>
      </c>
      <c r="AI4" s="4">
        <v>8356965</v>
      </c>
      <c r="AJ4" s="4">
        <v>10021854</v>
      </c>
      <c r="AK4" s="4">
        <v>11686743</v>
      </c>
      <c r="AL4" s="4">
        <v>13351632</v>
      </c>
      <c r="AM4" s="4">
        <v>15016521</v>
      </c>
      <c r="AN4" s="4">
        <v>16681409</v>
      </c>
      <c r="AO4" s="134">
        <v>852214</v>
      </c>
    </row>
    <row r="5" spans="1:41" x14ac:dyDescent="0.2">
      <c r="A5" s="1">
        <v>2025</v>
      </c>
      <c r="B5" s="2" t="s">
        <v>22</v>
      </c>
      <c r="C5" s="2" t="s">
        <v>22</v>
      </c>
      <c r="D5" s="1" t="s">
        <v>377</v>
      </c>
      <c r="E5" s="3">
        <v>4033233</v>
      </c>
      <c r="F5" s="1">
        <v>415</v>
      </c>
      <c r="G5" s="1">
        <v>0</v>
      </c>
      <c r="H5" s="3">
        <v>12108</v>
      </c>
      <c r="I5" s="1">
        <v>0</v>
      </c>
      <c r="J5" s="3">
        <v>4032818</v>
      </c>
      <c r="K5" s="3">
        <v>4020710</v>
      </c>
      <c r="L5" s="3">
        <v>4020710</v>
      </c>
      <c r="M5" s="3">
        <v>97410</v>
      </c>
      <c r="N5" s="3">
        <v>497907</v>
      </c>
      <c r="O5" s="3">
        <v>43351</v>
      </c>
      <c r="P5" s="3">
        <v>44227</v>
      </c>
      <c r="Q5" s="3">
        <v>204924</v>
      </c>
      <c r="R5" s="3">
        <v>3144999</v>
      </c>
      <c r="S5" s="3">
        <v>3132891</v>
      </c>
      <c r="T5" s="3">
        <v>3132891</v>
      </c>
      <c r="U5" s="3">
        <v>403282</v>
      </c>
      <c r="V5" s="3">
        <v>403282</v>
      </c>
      <c r="W5" s="3">
        <v>403282</v>
      </c>
      <c r="X5" s="3">
        <v>403282</v>
      </c>
      <c r="Y5" s="3">
        <v>401264</v>
      </c>
      <c r="Z5" s="3">
        <v>401264</v>
      </c>
      <c r="AA5" s="4">
        <v>401264</v>
      </c>
      <c r="AB5" s="4">
        <v>401264</v>
      </c>
      <c r="AC5" s="4">
        <v>401264</v>
      </c>
      <c r="AD5" s="4">
        <v>401262</v>
      </c>
      <c r="AE5" s="4">
        <v>403282</v>
      </c>
      <c r="AF5" s="4">
        <v>806564</v>
      </c>
      <c r="AG5" s="4">
        <v>1209846</v>
      </c>
      <c r="AH5" s="4">
        <v>1613128</v>
      </c>
      <c r="AI5" s="4">
        <v>2014392</v>
      </c>
      <c r="AJ5" s="4">
        <v>2415656</v>
      </c>
      <c r="AK5" s="4">
        <v>2816920</v>
      </c>
      <c r="AL5" s="4">
        <v>3218184</v>
      </c>
      <c r="AM5" s="4">
        <v>3619448</v>
      </c>
      <c r="AN5" s="4">
        <v>4020710</v>
      </c>
      <c r="AO5" s="134">
        <v>231334</v>
      </c>
    </row>
    <row r="6" spans="1:41" x14ac:dyDescent="0.2">
      <c r="A6" s="1">
        <v>2025</v>
      </c>
      <c r="B6" s="2" t="s">
        <v>23</v>
      </c>
      <c r="C6" s="2" t="s">
        <v>23</v>
      </c>
      <c r="D6" s="1" t="s">
        <v>378</v>
      </c>
      <c r="E6" s="3">
        <v>1020271</v>
      </c>
      <c r="F6" s="1">
        <v>166</v>
      </c>
      <c r="G6" s="1">
        <v>0</v>
      </c>
      <c r="H6" s="3">
        <v>4467</v>
      </c>
      <c r="I6" s="3">
        <v>0</v>
      </c>
      <c r="J6" s="3">
        <v>1020105</v>
      </c>
      <c r="K6" s="3">
        <v>1015638</v>
      </c>
      <c r="L6" s="3">
        <v>1015638</v>
      </c>
      <c r="M6" s="3">
        <v>38964</v>
      </c>
      <c r="N6" s="3">
        <v>247230</v>
      </c>
      <c r="O6" s="3">
        <v>11328</v>
      </c>
      <c r="P6" s="3">
        <v>10813</v>
      </c>
      <c r="Q6" s="3">
        <v>77550</v>
      </c>
      <c r="R6" s="3">
        <v>634220</v>
      </c>
      <c r="S6" s="3">
        <v>629753</v>
      </c>
      <c r="T6" s="3">
        <v>629753</v>
      </c>
      <c r="U6" s="3">
        <v>102011</v>
      </c>
      <c r="V6" s="3">
        <v>102011</v>
      </c>
      <c r="W6" s="3">
        <v>102011</v>
      </c>
      <c r="X6" s="3">
        <v>102011</v>
      </c>
      <c r="Y6" s="3">
        <v>101266</v>
      </c>
      <c r="Z6" s="3">
        <v>101266</v>
      </c>
      <c r="AA6" s="4">
        <v>101266</v>
      </c>
      <c r="AB6" s="4">
        <v>101266</v>
      </c>
      <c r="AC6" s="4">
        <v>101266</v>
      </c>
      <c r="AD6" s="4">
        <v>101264</v>
      </c>
      <c r="AE6" s="4">
        <v>102011</v>
      </c>
      <c r="AF6" s="4">
        <v>204022</v>
      </c>
      <c r="AG6" s="4">
        <v>306033</v>
      </c>
      <c r="AH6" s="4">
        <v>408044</v>
      </c>
      <c r="AI6" s="4">
        <v>509310</v>
      </c>
      <c r="AJ6" s="4">
        <v>610576</v>
      </c>
      <c r="AK6" s="4">
        <v>711842</v>
      </c>
      <c r="AL6" s="4">
        <v>813108</v>
      </c>
      <c r="AM6" s="4">
        <v>914374</v>
      </c>
      <c r="AN6" s="4">
        <v>1015638</v>
      </c>
      <c r="AO6" s="134">
        <v>88149</v>
      </c>
    </row>
    <row r="7" spans="1:41" x14ac:dyDescent="0.2">
      <c r="A7" s="1">
        <v>2025</v>
      </c>
      <c r="B7" s="2" t="s">
        <v>24</v>
      </c>
      <c r="C7" s="2" t="s">
        <v>24</v>
      </c>
      <c r="D7" s="1" t="s">
        <v>379</v>
      </c>
      <c r="E7" s="3">
        <v>8592265</v>
      </c>
      <c r="F7" s="3">
        <v>979</v>
      </c>
      <c r="G7" s="3">
        <v>0</v>
      </c>
      <c r="H7" s="3">
        <v>24353</v>
      </c>
      <c r="I7" s="3">
        <v>0</v>
      </c>
      <c r="J7" s="3">
        <v>8591286</v>
      </c>
      <c r="K7" s="3">
        <v>8566933</v>
      </c>
      <c r="L7" s="3">
        <v>8566933</v>
      </c>
      <c r="M7" s="3">
        <v>229888</v>
      </c>
      <c r="N7" s="3">
        <v>868579</v>
      </c>
      <c r="O7" s="3">
        <v>81079</v>
      </c>
      <c r="P7" s="3">
        <v>82316</v>
      </c>
      <c r="Q7" s="3">
        <v>409886</v>
      </c>
      <c r="R7" s="3">
        <v>6919538</v>
      </c>
      <c r="S7" s="3">
        <v>6895185</v>
      </c>
      <c r="T7" s="3">
        <v>6895185</v>
      </c>
      <c r="U7" s="3">
        <v>859129</v>
      </c>
      <c r="V7" s="3">
        <v>859129</v>
      </c>
      <c r="W7" s="3">
        <v>859129</v>
      </c>
      <c r="X7" s="3">
        <v>859129</v>
      </c>
      <c r="Y7" s="3">
        <v>855070</v>
      </c>
      <c r="Z7" s="3">
        <v>855070</v>
      </c>
      <c r="AA7" s="4">
        <v>855069</v>
      </c>
      <c r="AB7" s="4">
        <v>855069</v>
      </c>
      <c r="AC7" s="4">
        <v>855069</v>
      </c>
      <c r="AD7" s="4">
        <v>855070</v>
      </c>
      <c r="AE7" s="4">
        <v>859129</v>
      </c>
      <c r="AF7" s="4">
        <v>1718258</v>
      </c>
      <c r="AG7" s="4">
        <v>2577387</v>
      </c>
      <c r="AH7" s="4">
        <v>3436516</v>
      </c>
      <c r="AI7" s="4">
        <v>4291586</v>
      </c>
      <c r="AJ7" s="4">
        <v>5146656</v>
      </c>
      <c r="AK7" s="4">
        <v>6001725</v>
      </c>
      <c r="AL7" s="4">
        <v>6856794</v>
      </c>
      <c r="AM7" s="4">
        <v>7711863</v>
      </c>
      <c r="AN7" s="4">
        <v>8566933</v>
      </c>
      <c r="AO7" s="134">
        <v>440884</v>
      </c>
    </row>
    <row r="8" spans="1:41" x14ac:dyDescent="0.2">
      <c r="A8" s="1">
        <v>2025</v>
      </c>
      <c r="B8" s="2" t="s">
        <v>25</v>
      </c>
      <c r="C8" s="2" t="s">
        <v>25</v>
      </c>
      <c r="D8" s="1" t="s">
        <v>380</v>
      </c>
      <c r="E8" s="3">
        <v>3712272</v>
      </c>
      <c r="F8" s="3">
        <v>564</v>
      </c>
      <c r="G8" s="3">
        <v>0</v>
      </c>
      <c r="H8" s="3">
        <v>12211</v>
      </c>
      <c r="I8" s="1">
        <v>0</v>
      </c>
      <c r="J8" s="3">
        <v>3711708</v>
      </c>
      <c r="K8" s="3">
        <v>3699497</v>
      </c>
      <c r="L8" s="3">
        <v>3699497</v>
      </c>
      <c r="M8" s="3">
        <v>132478</v>
      </c>
      <c r="N8" s="3">
        <v>524627</v>
      </c>
      <c r="O8" s="3">
        <v>37760</v>
      </c>
      <c r="P8" s="3">
        <v>43510</v>
      </c>
      <c r="Q8" s="3">
        <v>210439</v>
      </c>
      <c r="R8" s="3">
        <v>2762894</v>
      </c>
      <c r="S8" s="3">
        <v>2750683</v>
      </c>
      <c r="T8" s="3">
        <v>2750683</v>
      </c>
      <c r="U8" s="3">
        <v>371171</v>
      </c>
      <c r="V8" s="3">
        <v>371171</v>
      </c>
      <c r="W8" s="3">
        <v>371171</v>
      </c>
      <c r="X8" s="3">
        <v>371171</v>
      </c>
      <c r="Y8" s="3">
        <v>369136</v>
      </c>
      <c r="Z8" s="3">
        <v>369136</v>
      </c>
      <c r="AA8" s="4">
        <v>369135</v>
      </c>
      <c r="AB8" s="4">
        <v>369135</v>
      </c>
      <c r="AC8" s="4">
        <v>369135</v>
      </c>
      <c r="AD8" s="4">
        <v>369136</v>
      </c>
      <c r="AE8" s="4">
        <v>371171</v>
      </c>
      <c r="AF8" s="4">
        <v>742342</v>
      </c>
      <c r="AG8" s="4">
        <v>1113513</v>
      </c>
      <c r="AH8" s="4">
        <v>1484684</v>
      </c>
      <c r="AI8" s="4">
        <v>1853820</v>
      </c>
      <c r="AJ8" s="4">
        <v>2222956</v>
      </c>
      <c r="AK8" s="4">
        <v>2592091</v>
      </c>
      <c r="AL8" s="4">
        <v>2961226</v>
      </c>
      <c r="AM8" s="4">
        <v>3330361</v>
      </c>
      <c r="AN8" s="4">
        <v>3699497</v>
      </c>
      <c r="AO8" s="134">
        <v>213402</v>
      </c>
    </row>
    <row r="9" spans="1:41" x14ac:dyDescent="0.2">
      <c r="A9" s="1">
        <v>2025</v>
      </c>
      <c r="B9" s="2" t="s">
        <v>26</v>
      </c>
      <c r="C9" s="2" t="s">
        <v>26</v>
      </c>
      <c r="D9" s="1" t="s">
        <v>381</v>
      </c>
      <c r="E9" s="3">
        <v>1856674</v>
      </c>
      <c r="F9" s="1">
        <v>348</v>
      </c>
      <c r="G9" s="3">
        <v>7209</v>
      </c>
      <c r="H9" s="3">
        <v>6021</v>
      </c>
      <c r="I9" s="1">
        <v>0</v>
      </c>
      <c r="J9" s="3">
        <v>1849117</v>
      </c>
      <c r="K9" s="3">
        <v>1843096</v>
      </c>
      <c r="L9" s="3">
        <v>1843096</v>
      </c>
      <c r="M9" s="3">
        <v>81825</v>
      </c>
      <c r="N9" s="3">
        <v>321893</v>
      </c>
      <c r="O9" s="3">
        <v>23694</v>
      </c>
      <c r="P9" s="3">
        <v>18593</v>
      </c>
      <c r="Q9" s="3">
        <v>100970</v>
      </c>
      <c r="R9" s="3">
        <v>1302142</v>
      </c>
      <c r="S9" s="3">
        <v>1296121</v>
      </c>
      <c r="T9" s="3">
        <v>1296121</v>
      </c>
      <c r="U9" s="3">
        <v>184912</v>
      </c>
      <c r="V9" s="3">
        <v>184912</v>
      </c>
      <c r="W9" s="3">
        <v>184912</v>
      </c>
      <c r="X9" s="3">
        <v>184912</v>
      </c>
      <c r="Y9" s="3">
        <v>183908</v>
      </c>
      <c r="Z9" s="3">
        <v>183908</v>
      </c>
      <c r="AA9" s="4">
        <v>183908</v>
      </c>
      <c r="AB9" s="4">
        <v>183908</v>
      </c>
      <c r="AC9" s="4">
        <v>183908</v>
      </c>
      <c r="AD9" s="4">
        <v>183908</v>
      </c>
      <c r="AE9" s="4">
        <v>184912</v>
      </c>
      <c r="AF9" s="4">
        <v>369824</v>
      </c>
      <c r="AG9" s="4">
        <v>554736</v>
      </c>
      <c r="AH9" s="4">
        <v>739648</v>
      </c>
      <c r="AI9" s="4">
        <v>923556</v>
      </c>
      <c r="AJ9" s="4">
        <v>1107464</v>
      </c>
      <c r="AK9" s="4">
        <v>1291372</v>
      </c>
      <c r="AL9" s="4">
        <v>1475280</v>
      </c>
      <c r="AM9" s="4">
        <v>1659188</v>
      </c>
      <c r="AN9" s="4">
        <v>1843096</v>
      </c>
      <c r="AO9" s="134">
        <v>109838</v>
      </c>
    </row>
    <row r="10" spans="1:41" x14ac:dyDescent="0.2">
      <c r="A10" s="1">
        <v>2025</v>
      </c>
      <c r="B10" s="2" t="s">
        <v>27</v>
      </c>
      <c r="C10" s="2" t="s">
        <v>27</v>
      </c>
      <c r="D10" s="1" t="s">
        <v>382</v>
      </c>
      <c r="E10" s="3">
        <v>8731472</v>
      </c>
      <c r="F10" s="3">
        <v>2040</v>
      </c>
      <c r="G10" s="3">
        <v>5850</v>
      </c>
      <c r="H10" s="3">
        <v>31795</v>
      </c>
      <c r="I10" s="1">
        <v>0</v>
      </c>
      <c r="J10" s="3">
        <v>8723582</v>
      </c>
      <c r="K10" s="3">
        <v>8691787</v>
      </c>
      <c r="L10" s="3">
        <v>8691787</v>
      </c>
      <c r="M10" s="3">
        <v>467806</v>
      </c>
      <c r="N10" s="3">
        <v>1184105</v>
      </c>
      <c r="O10" s="3">
        <v>106268</v>
      </c>
      <c r="P10" s="3">
        <v>126718</v>
      </c>
      <c r="Q10" s="3">
        <v>588330</v>
      </c>
      <c r="R10" s="3">
        <v>6250355</v>
      </c>
      <c r="S10" s="3">
        <v>6218560</v>
      </c>
      <c r="T10" s="3">
        <v>6218560</v>
      </c>
      <c r="U10" s="3">
        <v>872358</v>
      </c>
      <c r="V10" s="3">
        <v>872358</v>
      </c>
      <c r="W10" s="3">
        <v>872358</v>
      </c>
      <c r="X10" s="3">
        <v>872358</v>
      </c>
      <c r="Y10" s="3">
        <v>867059</v>
      </c>
      <c r="Z10" s="3">
        <v>867059</v>
      </c>
      <c r="AA10" s="4">
        <v>867059</v>
      </c>
      <c r="AB10" s="4">
        <v>867059</v>
      </c>
      <c r="AC10" s="4">
        <v>867059</v>
      </c>
      <c r="AD10" s="4">
        <v>867060</v>
      </c>
      <c r="AE10" s="4">
        <v>872358</v>
      </c>
      <c r="AF10" s="4">
        <v>1744716</v>
      </c>
      <c r="AG10" s="4">
        <v>2617074</v>
      </c>
      <c r="AH10" s="4">
        <v>3489432</v>
      </c>
      <c r="AI10" s="4">
        <v>4356491</v>
      </c>
      <c r="AJ10" s="4">
        <v>5223550</v>
      </c>
      <c r="AK10" s="4">
        <v>6090609</v>
      </c>
      <c r="AL10" s="4">
        <v>6957668</v>
      </c>
      <c r="AM10" s="4">
        <v>7824727</v>
      </c>
      <c r="AN10" s="4">
        <v>8691787</v>
      </c>
      <c r="AO10" s="134">
        <v>636104</v>
      </c>
    </row>
    <row r="11" spans="1:41" x14ac:dyDescent="0.2">
      <c r="A11" s="1">
        <v>2025</v>
      </c>
      <c r="B11" s="2" t="s">
        <v>28</v>
      </c>
      <c r="C11" s="2" t="s">
        <v>28</v>
      </c>
      <c r="D11" s="1" t="s">
        <v>383</v>
      </c>
      <c r="E11" s="3">
        <v>7796456</v>
      </c>
      <c r="F11" s="3">
        <v>1178</v>
      </c>
      <c r="G11" s="3">
        <v>0</v>
      </c>
      <c r="H11" s="3">
        <v>24999</v>
      </c>
      <c r="I11" s="1">
        <v>0</v>
      </c>
      <c r="J11" s="3">
        <v>7795278</v>
      </c>
      <c r="K11" s="3">
        <v>7770279</v>
      </c>
      <c r="L11" s="3">
        <v>7770279</v>
      </c>
      <c r="M11" s="3">
        <v>276645</v>
      </c>
      <c r="N11" s="3">
        <v>1027853</v>
      </c>
      <c r="O11" s="3">
        <v>93451</v>
      </c>
      <c r="P11" s="3">
        <v>85157</v>
      </c>
      <c r="Q11" s="3">
        <v>454723</v>
      </c>
      <c r="R11" s="3">
        <v>5857449</v>
      </c>
      <c r="S11" s="3">
        <v>5832450</v>
      </c>
      <c r="T11" s="3">
        <v>5832450</v>
      </c>
      <c r="U11" s="3">
        <v>779528</v>
      </c>
      <c r="V11" s="3">
        <v>779528</v>
      </c>
      <c r="W11" s="3">
        <v>779528</v>
      </c>
      <c r="X11" s="3">
        <v>779528</v>
      </c>
      <c r="Y11" s="3">
        <v>775361</v>
      </c>
      <c r="Z11" s="3">
        <v>775361</v>
      </c>
      <c r="AA11" s="4">
        <v>775361</v>
      </c>
      <c r="AB11" s="4">
        <v>775361</v>
      </c>
      <c r="AC11" s="4">
        <v>775361</v>
      </c>
      <c r="AD11" s="4">
        <v>775362</v>
      </c>
      <c r="AE11" s="4">
        <v>779528</v>
      </c>
      <c r="AF11" s="4">
        <v>1559056</v>
      </c>
      <c r="AG11" s="4">
        <v>2338584</v>
      </c>
      <c r="AH11" s="4">
        <v>3118112</v>
      </c>
      <c r="AI11" s="4">
        <v>3893473</v>
      </c>
      <c r="AJ11" s="4">
        <v>4668834</v>
      </c>
      <c r="AK11" s="4">
        <v>5444195</v>
      </c>
      <c r="AL11" s="4">
        <v>6219556</v>
      </c>
      <c r="AM11" s="4">
        <v>6994917</v>
      </c>
      <c r="AN11" s="4">
        <v>7770279</v>
      </c>
      <c r="AO11" s="134">
        <v>490536</v>
      </c>
    </row>
    <row r="12" spans="1:41" x14ac:dyDescent="0.2">
      <c r="A12" s="1">
        <v>2025</v>
      </c>
      <c r="B12" s="2" t="s">
        <v>29</v>
      </c>
      <c r="C12" s="2" t="s">
        <v>29</v>
      </c>
      <c r="D12" s="1" t="s">
        <v>384</v>
      </c>
      <c r="E12" s="3">
        <v>3584166</v>
      </c>
      <c r="F12" s="3">
        <v>415</v>
      </c>
      <c r="G12" s="3">
        <v>0</v>
      </c>
      <c r="H12" s="3">
        <v>11608</v>
      </c>
      <c r="I12" s="1">
        <v>0</v>
      </c>
      <c r="J12" s="3">
        <v>3583751</v>
      </c>
      <c r="K12" s="3">
        <v>3572143</v>
      </c>
      <c r="L12" s="3">
        <v>3572143</v>
      </c>
      <c r="M12" s="3">
        <v>97410</v>
      </c>
      <c r="N12" s="3">
        <v>507903</v>
      </c>
      <c r="O12" s="3">
        <v>38335</v>
      </c>
      <c r="P12" s="3">
        <v>44270</v>
      </c>
      <c r="Q12" s="3">
        <v>197753</v>
      </c>
      <c r="R12" s="3">
        <v>2698080</v>
      </c>
      <c r="S12" s="3">
        <v>2686472</v>
      </c>
      <c r="T12" s="3">
        <v>2686472</v>
      </c>
      <c r="U12" s="3">
        <v>358375</v>
      </c>
      <c r="V12" s="3">
        <v>358375</v>
      </c>
      <c r="W12" s="3">
        <v>358375</v>
      </c>
      <c r="X12" s="3">
        <v>358375</v>
      </c>
      <c r="Y12" s="3">
        <v>356441</v>
      </c>
      <c r="Z12" s="3">
        <v>356441</v>
      </c>
      <c r="AA12" s="4">
        <v>356440</v>
      </c>
      <c r="AB12" s="4">
        <v>356440</v>
      </c>
      <c r="AC12" s="4">
        <v>356440</v>
      </c>
      <c r="AD12" s="4">
        <v>356441</v>
      </c>
      <c r="AE12" s="4">
        <v>358375</v>
      </c>
      <c r="AF12" s="4">
        <v>716750</v>
      </c>
      <c r="AG12" s="4">
        <v>1075125</v>
      </c>
      <c r="AH12" s="4">
        <v>1433500</v>
      </c>
      <c r="AI12" s="4">
        <v>1789941</v>
      </c>
      <c r="AJ12" s="4">
        <v>2146382</v>
      </c>
      <c r="AK12" s="4">
        <v>2502822</v>
      </c>
      <c r="AL12" s="4">
        <v>2859262</v>
      </c>
      <c r="AM12" s="4">
        <v>3215702</v>
      </c>
      <c r="AN12" s="4">
        <v>3572143</v>
      </c>
      <c r="AO12" s="134">
        <v>228349</v>
      </c>
    </row>
    <row r="13" spans="1:41" x14ac:dyDescent="0.2">
      <c r="A13" s="1">
        <v>2025</v>
      </c>
      <c r="B13" s="2" t="s">
        <v>30</v>
      </c>
      <c r="C13" s="2" t="s">
        <v>30</v>
      </c>
      <c r="D13" s="1" t="s">
        <v>789</v>
      </c>
      <c r="E13" s="3">
        <v>5245038</v>
      </c>
      <c r="F13" s="3">
        <v>846</v>
      </c>
      <c r="G13" s="3">
        <v>0</v>
      </c>
      <c r="H13" s="3">
        <v>18938</v>
      </c>
      <c r="I13" s="1">
        <v>0</v>
      </c>
      <c r="J13" s="3">
        <v>5244192</v>
      </c>
      <c r="K13" s="3">
        <v>5225254</v>
      </c>
      <c r="L13" s="3">
        <v>5225254</v>
      </c>
      <c r="M13" s="3">
        <v>198717</v>
      </c>
      <c r="N13" s="3">
        <v>827873</v>
      </c>
      <c r="O13" s="3">
        <v>75803</v>
      </c>
      <c r="P13" s="3">
        <v>71046</v>
      </c>
      <c r="Q13" s="3">
        <v>321653</v>
      </c>
      <c r="R13" s="3">
        <v>3749100</v>
      </c>
      <c r="S13" s="3">
        <v>3730162</v>
      </c>
      <c r="T13" s="3">
        <v>3730162</v>
      </c>
      <c r="U13" s="3">
        <v>524419</v>
      </c>
      <c r="V13" s="3">
        <v>524419</v>
      </c>
      <c r="W13" s="3">
        <v>524419</v>
      </c>
      <c r="X13" s="3">
        <v>524419</v>
      </c>
      <c r="Y13" s="3">
        <v>521263</v>
      </c>
      <c r="Z13" s="3">
        <v>521263</v>
      </c>
      <c r="AA13" s="4">
        <v>521263</v>
      </c>
      <c r="AB13" s="4">
        <v>521263</v>
      </c>
      <c r="AC13" s="4">
        <v>521263</v>
      </c>
      <c r="AD13" s="4">
        <v>521263</v>
      </c>
      <c r="AE13" s="4">
        <v>524419</v>
      </c>
      <c r="AF13" s="4">
        <v>1048838</v>
      </c>
      <c r="AG13" s="4">
        <v>1573257</v>
      </c>
      <c r="AH13" s="4">
        <v>2097676</v>
      </c>
      <c r="AI13" s="4">
        <v>2618939</v>
      </c>
      <c r="AJ13" s="4">
        <v>3140202</v>
      </c>
      <c r="AK13" s="4">
        <v>3661465</v>
      </c>
      <c r="AL13" s="4">
        <v>4182728</v>
      </c>
      <c r="AM13" s="4">
        <v>4703991</v>
      </c>
      <c r="AN13" s="4">
        <v>5225254</v>
      </c>
      <c r="AO13" s="134">
        <v>355570</v>
      </c>
    </row>
    <row r="14" spans="1:41" x14ac:dyDescent="0.2">
      <c r="A14" s="1">
        <v>2025</v>
      </c>
      <c r="B14" s="2" t="s">
        <v>31</v>
      </c>
      <c r="C14" s="2" t="s">
        <v>31</v>
      </c>
      <c r="D14" s="1" t="s">
        <v>385</v>
      </c>
      <c r="E14" s="3">
        <v>26503551</v>
      </c>
      <c r="F14" s="3">
        <v>3931</v>
      </c>
      <c r="G14" s="3">
        <v>9670</v>
      </c>
      <c r="H14" s="3">
        <v>102414</v>
      </c>
      <c r="I14" s="1">
        <v>0</v>
      </c>
      <c r="J14" s="3">
        <v>26489950</v>
      </c>
      <c r="K14" s="3">
        <v>26387536</v>
      </c>
      <c r="L14" s="3">
        <v>26387536</v>
      </c>
      <c r="M14" s="3">
        <v>915815</v>
      </c>
      <c r="N14" s="3">
        <v>3379823</v>
      </c>
      <c r="O14" s="3">
        <v>350983</v>
      </c>
      <c r="P14" s="3">
        <v>377782</v>
      </c>
      <c r="Q14" s="3">
        <v>1751392</v>
      </c>
      <c r="R14" s="3">
        <v>19714155</v>
      </c>
      <c r="S14" s="3">
        <v>19611741</v>
      </c>
      <c r="T14" s="3">
        <v>19611741</v>
      </c>
      <c r="U14" s="3">
        <v>2648995</v>
      </c>
      <c r="V14" s="3">
        <v>2648995</v>
      </c>
      <c r="W14" s="3">
        <v>2648995</v>
      </c>
      <c r="X14" s="3">
        <v>2648995</v>
      </c>
      <c r="Y14" s="3">
        <v>2631926</v>
      </c>
      <c r="Z14" s="3">
        <v>2631926</v>
      </c>
      <c r="AA14" s="4">
        <v>2631926</v>
      </c>
      <c r="AB14" s="4">
        <v>2631926</v>
      </c>
      <c r="AC14" s="4">
        <v>2631926</v>
      </c>
      <c r="AD14" s="4">
        <v>2631926</v>
      </c>
      <c r="AE14" s="4">
        <v>2648995</v>
      </c>
      <c r="AF14" s="4">
        <v>5297990</v>
      </c>
      <c r="AG14" s="4">
        <v>7946985</v>
      </c>
      <c r="AH14" s="4">
        <v>10595980</v>
      </c>
      <c r="AI14" s="4">
        <v>13227906</v>
      </c>
      <c r="AJ14" s="4">
        <v>15859832</v>
      </c>
      <c r="AK14" s="4">
        <v>18491758</v>
      </c>
      <c r="AL14" s="4">
        <v>21123684</v>
      </c>
      <c r="AM14" s="4">
        <v>23755610</v>
      </c>
      <c r="AN14" s="4">
        <v>26387536</v>
      </c>
      <c r="AO14" s="134">
        <v>1834193</v>
      </c>
    </row>
    <row r="15" spans="1:41" x14ac:dyDescent="0.2">
      <c r="A15" s="1">
        <v>2025</v>
      </c>
      <c r="B15" s="2" t="s">
        <v>32</v>
      </c>
      <c r="C15" s="2" t="s">
        <v>32</v>
      </c>
      <c r="D15" s="1" t="s">
        <v>386</v>
      </c>
      <c r="E15" s="3">
        <v>9503590</v>
      </c>
      <c r="F15" s="3">
        <v>1095</v>
      </c>
      <c r="G15" s="3">
        <v>0</v>
      </c>
      <c r="H15" s="3">
        <v>28311</v>
      </c>
      <c r="I15" s="1">
        <v>0</v>
      </c>
      <c r="J15" s="3">
        <v>9502495</v>
      </c>
      <c r="K15" s="3">
        <v>9474184</v>
      </c>
      <c r="L15" s="3">
        <v>9474184</v>
      </c>
      <c r="M15" s="3">
        <v>257163</v>
      </c>
      <c r="N15" s="3">
        <v>1175640</v>
      </c>
      <c r="O15" s="3">
        <v>96182</v>
      </c>
      <c r="P15" s="3">
        <v>106080</v>
      </c>
      <c r="Q15" s="3">
        <v>484943</v>
      </c>
      <c r="R15" s="3">
        <v>7382487</v>
      </c>
      <c r="S15" s="3">
        <v>7354176</v>
      </c>
      <c r="T15" s="3">
        <v>7354176</v>
      </c>
      <c r="U15" s="3">
        <v>950250</v>
      </c>
      <c r="V15" s="3">
        <v>950250</v>
      </c>
      <c r="W15" s="3">
        <v>950250</v>
      </c>
      <c r="X15" s="3">
        <v>950250</v>
      </c>
      <c r="Y15" s="3">
        <v>945531</v>
      </c>
      <c r="Z15" s="3">
        <v>945531</v>
      </c>
      <c r="AA15" s="4">
        <v>945531</v>
      </c>
      <c r="AB15" s="4">
        <v>945531</v>
      </c>
      <c r="AC15" s="4">
        <v>945531</v>
      </c>
      <c r="AD15" s="4">
        <v>945529</v>
      </c>
      <c r="AE15" s="4">
        <v>950250</v>
      </c>
      <c r="AF15" s="4">
        <v>1900500</v>
      </c>
      <c r="AG15" s="4">
        <v>2850750</v>
      </c>
      <c r="AH15" s="4">
        <v>3801000</v>
      </c>
      <c r="AI15" s="4">
        <v>4746531</v>
      </c>
      <c r="AJ15" s="4">
        <v>5692062</v>
      </c>
      <c r="AK15" s="4">
        <v>6637593</v>
      </c>
      <c r="AL15" s="4">
        <v>7583124</v>
      </c>
      <c r="AM15" s="4">
        <v>8528655</v>
      </c>
      <c r="AN15" s="4">
        <v>9474184</v>
      </c>
      <c r="AO15" s="134">
        <v>508400</v>
      </c>
    </row>
    <row r="16" spans="1:41" x14ac:dyDescent="0.2">
      <c r="A16" s="1">
        <v>2025</v>
      </c>
      <c r="B16" s="2" t="s">
        <v>33</v>
      </c>
      <c r="C16" s="2" t="s">
        <v>33</v>
      </c>
      <c r="D16" s="1" t="s">
        <v>387</v>
      </c>
      <c r="E16" s="3">
        <v>1679842</v>
      </c>
      <c r="F16" s="1">
        <v>332</v>
      </c>
      <c r="G16" s="1">
        <v>0</v>
      </c>
      <c r="H16" s="3">
        <v>5001</v>
      </c>
      <c r="I16" s="1">
        <v>0</v>
      </c>
      <c r="J16" s="3">
        <v>1679510</v>
      </c>
      <c r="K16" s="3">
        <v>1674509</v>
      </c>
      <c r="L16" s="3">
        <v>1674509</v>
      </c>
      <c r="M16" s="3">
        <v>77928</v>
      </c>
      <c r="N16" s="3">
        <v>281792</v>
      </c>
      <c r="O16" s="3">
        <v>21069</v>
      </c>
      <c r="P16" s="3">
        <v>18509</v>
      </c>
      <c r="Q16" s="3">
        <v>88391</v>
      </c>
      <c r="R16" s="3">
        <v>1191821</v>
      </c>
      <c r="S16" s="3">
        <v>1186820</v>
      </c>
      <c r="T16" s="3">
        <v>1186820</v>
      </c>
      <c r="U16" s="3">
        <v>167951</v>
      </c>
      <c r="V16" s="3">
        <v>167951</v>
      </c>
      <c r="W16" s="3">
        <v>167951</v>
      </c>
      <c r="X16" s="3">
        <v>167951</v>
      </c>
      <c r="Y16" s="3">
        <v>167118</v>
      </c>
      <c r="Z16" s="3">
        <v>167118</v>
      </c>
      <c r="AA16" s="4">
        <v>167117</v>
      </c>
      <c r="AB16" s="4">
        <v>167117</v>
      </c>
      <c r="AC16" s="4">
        <v>167117</v>
      </c>
      <c r="AD16" s="4">
        <v>167118</v>
      </c>
      <c r="AE16" s="4">
        <v>167951</v>
      </c>
      <c r="AF16" s="4">
        <v>335902</v>
      </c>
      <c r="AG16" s="4">
        <v>503853</v>
      </c>
      <c r="AH16" s="4">
        <v>671804</v>
      </c>
      <c r="AI16" s="4">
        <v>838922</v>
      </c>
      <c r="AJ16" s="4">
        <v>1006040</v>
      </c>
      <c r="AK16" s="4">
        <v>1173157</v>
      </c>
      <c r="AL16" s="4">
        <v>1340274</v>
      </c>
      <c r="AM16" s="4">
        <v>1507391</v>
      </c>
      <c r="AN16" s="4">
        <v>1674509</v>
      </c>
      <c r="AO16" s="134">
        <v>100428</v>
      </c>
    </row>
    <row r="17" spans="1:41" x14ac:dyDescent="0.2">
      <c r="A17" s="1">
        <v>2025</v>
      </c>
      <c r="B17" s="2" t="s">
        <v>34</v>
      </c>
      <c r="C17" s="2" t="s">
        <v>34</v>
      </c>
      <c r="D17" s="1" t="s">
        <v>388</v>
      </c>
      <c r="E17" s="3">
        <v>87770170</v>
      </c>
      <c r="F17" s="3">
        <v>4329</v>
      </c>
      <c r="G17" s="3">
        <v>62791</v>
      </c>
      <c r="H17" s="3">
        <v>284664</v>
      </c>
      <c r="I17" s="1">
        <v>0</v>
      </c>
      <c r="J17" s="3">
        <v>87703050</v>
      </c>
      <c r="K17" s="3">
        <v>87418386</v>
      </c>
      <c r="L17" s="3">
        <v>87418386</v>
      </c>
      <c r="M17" s="3">
        <v>1016964</v>
      </c>
      <c r="N17" s="3">
        <v>9135057</v>
      </c>
      <c r="O17" s="3">
        <v>944353</v>
      </c>
      <c r="P17" s="3">
        <v>895489</v>
      </c>
      <c r="Q17" s="3">
        <v>4935249</v>
      </c>
      <c r="R17" s="3">
        <v>70775938</v>
      </c>
      <c r="S17" s="3">
        <v>70491274</v>
      </c>
      <c r="T17" s="3">
        <v>70491274</v>
      </c>
      <c r="U17" s="3">
        <v>8770305</v>
      </c>
      <c r="V17" s="3">
        <v>8770305</v>
      </c>
      <c r="W17" s="3">
        <v>8770305</v>
      </c>
      <c r="X17" s="3">
        <v>8770305</v>
      </c>
      <c r="Y17" s="3">
        <v>8722861</v>
      </c>
      <c r="Z17" s="3">
        <v>8722861</v>
      </c>
      <c r="AA17" s="4">
        <v>8722861</v>
      </c>
      <c r="AB17" s="4">
        <v>8722861</v>
      </c>
      <c r="AC17" s="4">
        <v>8722861</v>
      </c>
      <c r="AD17" s="4">
        <v>8722861</v>
      </c>
      <c r="AE17" s="4">
        <v>8770305</v>
      </c>
      <c r="AF17" s="4">
        <v>17540610</v>
      </c>
      <c r="AG17" s="4">
        <v>26310915</v>
      </c>
      <c r="AH17" s="4">
        <v>35081220</v>
      </c>
      <c r="AI17" s="4">
        <v>43804081</v>
      </c>
      <c r="AJ17" s="4">
        <v>52526942</v>
      </c>
      <c r="AK17" s="4">
        <v>61249803</v>
      </c>
      <c r="AL17" s="4">
        <v>69972664</v>
      </c>
      <c r="AM17" s="4">
        <v>78695525</v>
      </c>
      <c r="AN17" s="4">
        <v>87418386</v>
      </c>
      <c r="AO17" s="134">
        <v>5001999</v>
      </c>
    </row>
    <row r="18" spans="1:41" x14ac:dyDescent="0.2">
      <c r="A18" s="1">
        <v>2025</v>
      </c>
      <c r="B18" s="2" t="s">
        <v>35</v>
      </c>
      <c r="C18" s="2" t="s">
        <v>35</v>
      </c>
      <c r="D18" s="1" t="s">
        <v>389</v>
      </c>
      <c r="E18" s="3">
        <v>6109045</v>
      </c>
      <c r="F18" s="1">
        <v>680</v>
      </c>
      <c r="G18" s="3">
        <v>6389</v>
      </c>
      <c r="H18" s="3">
        <v>17883</v>
      </c>
      <c r="I18" s="3">
        <v>0</v>
      </c>
      <c r="J18" s="3">
        <v>6101976</v>
      </c>
      <c r="K18" s="3">
        <v>6084093</v>
      </c>
      <c r="L18" s="3">
        <v>6084093</v>
      </c>
      <c r="M18" s="3">
        <v>159753</v>
      </c>
      <c r="N18" s="3">
        <v>722771</v>
      </c>
      <c r="O18" s="3">
        <v>73466</v>
      </c>
      <c r="P18" s="3">
        <v>63140</v>
      </c>
      <c r="Q18" s="3">
        <v>305932</v>
      </c>
      <c r="R18" s="3">
        <v>4776914</v>
      </c>
      <c r="S18" s="3">
        <v>4759031</v>
      </c>
      <c r="T18" s="3">
        <v>4759031</v>
      </c>
      <c r="U18" s="3">
        <v>610198</v>
      </c>
      <c r="V18" s="3">
        <v>610198</v>
      </c>
      <c r="W18" s="3">
        <v>610198</v>
      </c>
      <c r="X18" s="3">
        <v>610198</v>
      </c>
      <c r="Y18" s="3">
        <v>607217</v>
      </c>
      <c r="Z18" s="3">
        <v>607217</v>
      </c>
      <c r="AA18" s="4">
        <v>607217</v>
      </c>
      <c r="AB18" s="4">
        <v>607217</v>
      </c>
      <c r="AC18" s="4">
        <v>607217</v>
      </c>
      <c r="AD18" s="4">
        <v>607216</v>
      </c>
      <c r="AE18" s="4">
        <v>610198</v>
      </c>
      <c r="AF18" s="4">
        <v>1220396</v>
      </c>
      <c r="AG18" s="4">
        <v>1830594</v>
      </c>
      <c r="AH18" s="4">
        <v>2440792</v>
      </c>
      <c r="AI18" s="4">
        <v>3048009</v>
      </c>
      <c r="AJ18" s="4">
        <v>3655226</v>
      </c>
      <c r="AK18" s="4">
        <v>4262443</v>
      </c>
      <c r="AL18" s="4">
        <v>4869660</v>
      </c>
      <c r="AM18" s="4">
        <v>5476877</v>
      </c>
      <c r="AN18" s="4">
        <v>6084093</v>
      </c>
      <c r="AO18" s="134">
        <v>344975</v>
      </c>
    </row>
    <row r="19" spans="1:41" x14ac:dyDescent="0.2">
      <c r="A19" s="1">
        <v>2025</v>
      </c>
      <c r="B19" s="2" t="s">
        <v>36</v>
      </c>
      <c r="C19" s="2" t="s">
        <v>36</v>
      </c>
      <c r="D19" s="1" t="s">
        <v>390</v>
      </c>
      <c r="E19" s="3">
        <v>1834300</v>
      </c>
      <c r="F19" s="1">
        <v>249</v>
      </c>
      <c r="G19" s="1">
        <v>0</v>
      </c>
      <c r="H19" s="3">
        <v>8943</v>
      </c>
      <c r="I19" s="1">
        <v>0</v>
      </c>
      <c r="J19" s="3">
        <v>1834051</v>
      </c>
      <c r="K19" s="3">
        <v>1825108</v>
      </c>
      <c r="L19" s="3">
        <v>1825108</v>
      </c>
      <c r="M19" s="3">
        <v>58446</v>
      </c>
      <c r="N19" s="3">
        <v>465425</v>
      </c>
      <c r="O19" s="3">
        <v>38002</v>
      </c>
      <c r="P19" s="3">
        <v>35226</v>
      </c>
      <c r="Q19" s="3">
        <v>153740</v>
      </c>
      <c r="R19" s="3">
        <v>1083212</v>
      </c>
      <c r="S19" s="3">
        <v>1074269</v>
      </c>
      <c r="T19" s="3">
        <v>1074269</v>
      </c>
      <c r="U19" s="3">
        <v>183405</v>
      </c>
      <c r="V19" s="3">
        <v>183405</v>
      </c>
      <c r="W19" s="3">
        <v>183405</v>
      </c>
      <c r="X19" s="3">
        <v>183405</v>
      </c>
      <c r="Y19" s="3">
        <v>181915</v>
      </c>
      <c r="Z19" s="3">
        <v>181915</v>
      </c>
      <c r="AA19" s="4">
        <v>181915</v>
      </c>
      <c r="AB19" s="4">
        <v>181915</v>
      </c>
      <c r="AC19" s="4">
        <v>181915</v>
      </c>
      <c r="AD19" s="4">
        <v>181913</v>
      </c>
      <c r="AE19" s="4">
        <v>183405</v>
      </c>
      <c r="AF19" s="4">
        <v>366810</v>
      </c>
      <c r="AG19" s="4">
        <v>550215</v>
      </c>
      <c r="AH19" s="4">
        <v>733620</v>
      </c>
      <c r="AI19" s="4">
        <v>915535</v>
      </c>
      <c r="AJ19" s="4">
        <v>1097450</v>
      </c>
      <c r="AK19" s="4">
        <v>1279365</v>
      </c>
      <c r="AL19" s="4">
        <v>1461280</v>
      </c>
      <c r="AM19" s="4">
        <v>1643195</v>
      </c>
      <c r="AN19" s="4">
        <v>1825108</v>
      </c>
      <c r="AO19" s="134">
        <v>182992</v>
      </c>
    </row>
    <row r="20" spans="1:41" x14ac:dyDescent="0.2">
      <c r="A20" s="1">
        <v>2025</v>
      </c>
      <c r="B20" s="2" t="s">
        <v>37</v>
      </c>
      <c r="C20" s="2" t="s">
        <v>37</v>
      </c>
      <c r="D20" s="1" t="s">
        <v>391</v>
      </c>
      <c r="E20" s="3">
        <v>1544475</v>
      </c>
      <c r="F20" s="3">
        <v>182</v>
      </c>
      <c r="G20" s="3">
        <v>0</v>
      </c>
      <c r="H20" s="3">
        <v>6593</v>
      </c>
      <c r="I20" s="3">
        <v>0</v>
      </c>
      <c r="J20" s="3">
        <v>1544293</v>
      </c>
      <c r="K20" s="3">
        <v>1537700</v>
      </c>
      <c r="L20" s="3">
        <v>1537700</v>
      </c>
      <c r="M20" s="3">
        <v>42861</v>
      </c>
      <c r="N20" s="3">
        <v>393425</v>
      </c>
      <c r="O20" s="3">
        <v>23624</v>
      </c>
      <c r="P20" s="3">
        <v>22872</v>
      </c>
      <c r="Q20" s="3">
        <v>123408</v>
      </c>
      <c r="R20" s="3">
        <v>938103</v>
      </c>
      <c r="S20" s="3">
        <v>931510</v>
      </c>
      <c r="T20" s="3">
        <v>931510</v>
      </c>
      <c r="U20" s="3">
        <v>154429</v>
      </c>
      <c r="V20" s="3">
        <v>154429</v>
      </c>
      <c r="W20" s="3">
        <v>154429</v>
      </c>
      <c r="X20" s="3">
        <v>154429</v>
      </c>
      <c r="Y20" s="3">
        <v>153331</v>
      </c>
      <c r="Z20" s="3">
        <v>153331</v>
      </c>
      <c r="AA20" s="4">
        <v>153331</v>
      </c>
      <c r="AB20" s="4">
        <v>153331</v>
      </c>
      <c r="AC20" s="4">
        <v>153331</v>
      </c>
      <c r="AD20" s="4">
        <v>153329</v>
      </c>
      <c r="AE20" s="4">
        <v>154429</v>
      </c>
      <c r="AF20" s="4">
        <v>308858</v>
      </c>
      <c r="AG20" s="4">
        <v>463287</v>
      </c>
      <c r="AH20" s="4">
        <v>617716</v>
      </c>
      <c r="AI20" s="4">
        <v>771047</v>
      </c>
      <c r="AJ20" s="4">
        <v>924378</v>
      </c>
      <c r="AK20" s="4">
        <v>1077709</v>
      </c>
      <c r="AL20" s="4">
        <v>1231040</v>
      </c>
      <c r="AM20" s="4">
        <v>1384371</v>
      </c>
      <c r="AN20" s="4">
        <v>1537700</v>
      </c>
      <c r="AO20" s="134">
        <v>128330</v>
      </c>
    </row>
    <row r="21" spans="1:41" x14ac:dyDescent="0.2">
      <c r="A21" s="1">
        <v>2025</v>
      </c>
      <c r="B21" s="2" t="s">
        <v>38</v>
      </c>
      <c r="C21" s="2" t="s">
        <v>38</v>
      </c>
      <c r="D21" s="1" t="s">
        <v>392</v>
      </c>
      <c r="E21" s="3">
        <v>11274566</v>
      </c>
      <c r="F21" s="3">
        <v>1476</v>
      </c>
      <c r="G21" s="3">
        <v>389</v>
      </c>
      <c r="H21" s="3">
        <v>31856</v>
      </c>
      <c r="I21" s="1">
        <v>0</v>
      </c>
      <c r="J21" s="3">
        <v>11272701</v>
      </c>
      <c r="K21" s="3">
        <v>11240845</v>
      </c>
      <c r="L21" s="3">
        <v>11240845</v>
      </c>
      <c r="M21" s="3">
        <v>342963</v>
      </c>
      <c r="N21" s="3">
        <v>1069212</v>
      </c>
      <c r="O21" s="3">
        <v>126604</v>
      </c>
      <c r="P21" s="3">
        <v>113428</v>
      </c>
      <c r="Q21" s="3">
        <v>534578</v>
      </c>
      <c r="R21" s="3">
        <v>9085916</v>
      </c>
      <c r="S21" s="3">
        <v>9054060</v>
      </c>
      <c r="T21" s="3">
        <v>9054060</v>
      </c>
      <c r="U21" s="3">
        <v>1127270</v>
      </c>
      <c r="V21" s="3">
        <v>1127270</v>
      </c>
      <c r="W21" s="3">
        <v>1127270</v>
      </c>
      <c r="X21" s="3">
        <v>1127270</v>
      </c>
      <c r="Y21" s="3">
        <v>1121961</v>
      </c>
      <c r="Z21" s="3">
        <v>1121961</v>
      </c>
      <c r="AA21" s="4">
        <v>1121961</v>
      </c>
      <c r="AB21" s="4">
        <v>1121961</v>
      </c>
      <c r="AC21" s="4">
        <v>1121961</v>
      </c>
      <c r="AD21" s="4">
        <v>1121960</v>
      </c>
      <c r="AE21" s="4">
        <v>1127270</v>
      </c>
      <c r="AF21" s="4">
        <v>2254540</v>
      </c>
      <c r="AG21" s="4">
        <v>3381810</v>
      </c>
      <c r="AH21" s="4">
        <v>4509080</v>
      </c>
      <c r="AI21" s="4">
        <v>5631041</v>
      </c>
      <c r="AJ21" s="4">
        <v>6753002</v>
      </c>
      <c r="AK21" s="4">
        <v>7874963</v>
      </c>
      <c r="AL21" s="4">
        <v>8996924</v>
      </c>
      <c r="AM21" s="4">
        <v>10118885</v>
      </c>
      <c r="AN21" s="4">
        <v>11240845</v>
      </c>
      <c r="AO21" s="134">
        <v>606214</v>
      </c>
    </row>
    <row r="22" spans="1:41" x14ac:dyDescent="0.2">
      <c r="A22" s="1">
        <v>2025</v>
      </c>
      <c r="B22" s="2" t="s">
        <v>39</v>
      </c>
      <c r="C22" s="2" t="s">
        <v>39</v>
      </c>
      <c r="D22" s="1" t="s">
        <v>393</v>
      </c>
      <c r="E22" s="3">
        <v>3276528</v>
      </c>
      <c r="F22" s="3">
        <v>630</v>
      </c>
      <c r="G22" s="3">
        <v>0</v>
      </c>
      <c r="H22" s="3">
        <v>11499</v>
      </c>
      <c r="I22" s="3">
        <v>0</v>
      </c>
      <c r="J22" s="3">
        <v>3275898</v>
      </c>
      <c r="K22" s="3">
        <v>3264399</v>
      </c>
      <c r="L22" s="3">
        <v>3264399</v>
      </c>
      <c r="M22" s="3">
        <v>148064</v>
      </c>
      <c r="N22" s="3">
        <v>495520</v>
      </c>
      <c r="O22" s="3">
        <v>37808</v>
      </c>
      <c r="P22" s="3">
        <v>41057</v>
      </c>
      <c r="Q22" s="3">
        <v>195103</v>
      </c>
      <c r="R22" s="3">
        <v>2358346</v>
      </c>
      <c r="S22" s="3">
        <v>2346847</v>
      </c>
      <c r="T22" s="3">
        <v>2346847</v>
      </c>
      <c r="U22" s="3">
        <v>327590</v>
      </c>
      <c r="V22" s="3">
        <v>327590</v>
      </c>
      <c r="W22" s="3">
        <v>327590</v>
      </c>
      <c r="X22" s="3">
        <v>327590</v>
      </c>
      <c r="Y22" s="3">
        <v>325673</v>
      </c>
      <c r="Z22" s="3">
        <v>325673</v>
      </c>
      <c r="AA22" s="4">
        <v>325673</v>
      </c>
      <c r="AB22" s="4">
        <v>325673</v>
      </c>
      <c r="AC22" s="4">
        <v>325673</v>
      </c>
      <c r="AD22" s="4">
        <v>325674</v>
      </c>
      <c r="AE22" s="4">
        <v>327590</v>
      </c>
      <c r="AF22" s="4">
        <v>655180</v>
      </c>
      <c r="AG22" s="4">
        <v>982770</v>
      </c>
      <c r="AH22" s="4">
        <v>1310360</v>
      </c>
      <c r="AI22" s="4">
        <v>1636033</v>
      </c>
      <c r="AJ22" s="4">
        <v>1961706</v>
      </c>
      <c r="AK22" s="4">
        <v>2287379</v>
      </c>
      <c r="AL22" s="4">
        <v>2613052</v>
      </c>
      <c r="AM22" s="4">
        <v>2938725</v>
      </c>
      <c r="AN22" s="4">
        <v>3264399</v>
      </c>
      <c r="AO22" s="134">
        <v>203425</v>
      </c>
    </row>
    <row r="23" spans="1:41" x14ac:dyDescent="0.2">
      <c r="A23" s="1">
        <v>2025</v>
      </c>
      <c r="B23" s="2" t="s">
        <v>40</v>
      </c>
      <c r="C23" s="2" t="s">
        <v>40</v>
      </c>
      <c r="D23" s="1" t="s">
        <v>18</v>
      </c>
      <c r="E23" s="3">
        <v>4333015</v>
      </c>
      <c r="F23" s="1">
        <v>713</v>
      </c>
      <c r="G23" s="1">
        <v>0</v>
      </c>
      <c r="H23" s="3">
        <v>17586</v>
      </c>
      <c r="I23" s="1">
        <v>0</v>
      </c>
      <c r="J23" s="3">
        <v>4332302</v>
      </c>
      <c r="K23" s="3">
        <v>4314716</v>
      </c>
      <c r="L23" s="3">
        <v>4314716</v>
      </c>
      <c r="M23" s="3">
        <v>167546</v>
      </c>
      <c r="N23" s="3">
        <v>693931</v>
      </c>
      <c r="O23" s="3">
        <v>56282</v>
      </c>
      <c r="P23" s="3">
        <v>50732</v>
      </c>
      <c r="Q23" s="3">
        <v>295279</v>
      </c>
      <c r="R23" s="3">
        <v>3068532</v>
      </c>
      <c r="S23" s="3">
        <v>3050946</v>
      </c>
      <c r="T23" s="3">
        <v>3050946</v>
      </c>
      <c r="U23" s="3">
        <v>433230</v>
      </c>
      <c r="V23" s="3">
        <v>433230</v>
      </c>
      <c r="W23" s="3">
        <v>433230</v>
      </c>
      <c r="X23" s="3">
        <v>433230</v>
      </c>
      <c r="Y23" s="3">
        <v>430299</v>
      </c>
      <c r="Z23" s="3">
        <v>430299</v>
      </c>
      <c r="AA23" s="4">
        <v>430300</v>
      </c>
      <c r="AB23" s="4">
        <v>430300</v>
      </c>
      <c r="AC23" s="4">
        <v>430300</v>
      </c>
      <c r="AD23" s="4">
        <v>430298</v>
      </c>
      <c r="AE23" s="4">
        <v>433230</v>
      </c>
      <c r="AF23" s="4">
        <v>866460</v>
      </c>
      <c r="AG23" s="4">
        <v>1299690</v>
      </c>
      <c r="AH23" s="4">
        <v>1732920</v>
      </c>
      <c r="AI23" s="4">
        <v>2163219</v>
      </c>
      <c r="AJ23" s="4">
        <v>2593518</v>
      </c>
      <c r="AK23" s="4">
        <v>3023818</v>
      </c>
      <c r="AL23" s="4">
        <v>3454118</v>
      </c>
      <c r="AM23" s="4">
        <v>3884418</v>
      </c>
      <c r="AN23" s="4">
        <v>4314716</v>
      </c>
      <c r="AO23" s="134">
        <v>321544</v>
      </c>
    </row>
    <row r="24" spans="1:41" x14ac:dyDescent="0.2">
      <c r="A24" s="1">
        <v>2025</v>
      </c>
      <c r="B24" s="2" t="s">
        <v>41</v>
      </c>
      <c r="C24" s="2" t="s">
        <v>41</v>
      </c>
      <c r="D24" s="1" t="s">
        <v>394</v>
      </c>
      <c r="E24" s="3">
        <v>13550279</v>
      </c>
      <c r="F24" s="3">
        <v>2222</v>
      </c>
      <c r="G24" s="3">
        <v>5936</v>
      </c>
      <c r="H24" s="3">
        <v>39042</v>
      </c>
      <c r="I24" s="1">
        <v>0</v>
      </c>
      <c r="J24" s="3">
        <v>13542121</v>
      </c>
      <c r="K24" s="3">
        <v>13503079</v>
      </c>
      <c r="L24" s="3">
        <v>13503079</v>
      </c>
      <c r="M24" s="3">
        <v>514485</v>
      </c>
      <c r="N24" s="3">
        <v>1277143</v>
      </c>
      <c r="O24" s="3">
        <v>137540</v>
      </c>
      <c r="P24" s="3">
        <v>117949</v>
      </c>
      <c r="Q24" s="3">
        <v>660743</v>
      </c>
      <c r="R24" s="3">
        <v>10834261</v>
      </c>
      <c r="S24" s="3">
        <v>10795219</v>
      </c>
      <c r="T24" s="3">
        <v>10795219</v>
      </c>
      <c r="U24" s="3">
        <v>1354212</v>
      </c>
      <c r="V24" s="3">
        <v>1354212</v>
      </c>
      <c r="W24" s="3">
        <v>1354212</v>
      </c>
      <c r="X24" s="3">
        <v>1354212</v>
      </c>
      <c r="Y24" s="3">
        <v>1347705</v>
      </c>
      <c r="Z24" s="3">
        <v>1347705</v>
      </c>
      <c r="AA24" s="4">
        <v>1347705</v>
      </c>
      <c r="AB24" s="4">
        <v>1347705</v>
      </c>
      <c r="AC24" s="4">
        <v>1347705</v>
      </c>
      <c r="AD24" s="4">
        <v>1347706</v>
      </c>
      <c r="AE24" s="4">
        <v>1354212</v>
      </c>
      <c r="AF24" s="4">
        <v>2708424</v>
      </c>
      <c r="AG24" s="4">
        <v>4062636</v>
      </c>
      <c r="AH24" s="4">
        <v>5416848</v>
      </c>
      <c r="AI24" s="4">
        <v>6764553</v>
      </c>
      <c r="AJ24" s="4">
        <v>8112258</v>
      </c>
      <c r="AK24" s="4">
        <v>9459963</v>
      </c>
      <c r="AL24" s="4">
        <v>10807668</v>
      </c>
      <c r="AM24" s="4">
        <v>12155373</v>
      </c>
      <c r="AN24" s="4">
        <v>13503079</v>
      </c>
      <c r="AO24" s="134">
        <v>674748</v>
      </c>
    </row>
    <row r="25" spans="1:41" x14ac:dyDescent="0.2">
      <c r="A25" s="1">
        <v>2025</v>
      </c>
      <c r="B25" s="2" t="s">
        <v>42</v>
      </c>
      <c r="C25" s="2" t="s">
        <v>42</v>
      </c>
      <c r="D25" s="1" t="s">
        <v>395</v>
      </c>
      <c r="E25" s="3">
        <v>2827022</v>
      </c>
      <c r="F25" s="3">
        <v>481</v>
      </c>
      <c r="G25" s="3">
        <v>0</v>
      </c>
      <c r="H25" s="3">
        <v>7627</v>
      </c>
      <c r="I25" s="3">
        <v>0</v>
      </c>
      <c r="J25" s="3">
        <v>2826541</v>
      </c>
      <c r="K25" s="3">
        <v>2818914</v>
      </c>
      <c r="L25" s="3">
        <v>2818914</v>
      </c>
      <c r="M25" s="3">
        <v>112996</v>
      </c>
      <c r="N25" s="3">
        <v>447199</v>
      </c>
      <c r="O25" s="3">
        <v>27298</v>
      </c>
      <c r="P25" s="3">
        <v>25415</v>
      </c>
      <c r="Q25" s="3">
        <v>132929</v>
      </c>
      <c r="R25" s="3">
        <v>2080704</v>
      </c>
      <c r="S25" s="3">
        <v>2073077</v>
      </c>
      <c r="T25" s="3">
        <v>2073077</v>
      </c>
      <c r="U25" s="3">
        <v>282654</v>
      </c>
      <c r="V25" s="3">
        <v>282654</v>
      </c>
      <c r="W25" s="3">
        <v>282654</v>
      </c>
      <c r="X25" s="3">
        <v>282654</v>
      </c>
      <c r="Y25" s="3">
        <v>281383</v>
      </c>
      <c r="Z25" s="3">
        <v>281383</v>
      </c>
      <c r="AA25" s="4">
        <v>281383</v>
      </c>
      <c r="AB25" s="4">
        <v>281383</v>
      </c>
      <c r="AC25" s="4">
        <v>281383</v>
      </c>
      <c r="AD25" s="4">
        <v>281383</v>
      </c>
      <c r="AE25" s="4">
        <v>282654</v>
      </c>
      <c r="AF25" s="4">
        <v>565308</v>
      </c>
      <c r="AG25" s="4">
        <v>847962</v>
      </c>
      <c r="AH25" s="4">
        <v>1130616</v>
      </c>
      <c r="AI25" s="4">
        <v>1411999</v>
      </c>
      <c r="AJ25" s="4">
        <v>1693382</v>
      </c>
      <c r="AK25" s="4">
        <v>1974765</v>
      </c>
      <c r="AL25" s="4">
        <v>2256148</v>
      </c>
      <c r="AM25" s="4">
        <v>2537531</v>
      </c>
      <c r="AN25" s="4">
        <v>2818914</v>
      </c>
      <c r="AO25" s="134">
        <v>137019</v>
      </c>
    </row>
    <row r="26" spans="1:41" x14ac:dyDescent="0.2">
      <c r="A26" s="1">
        <v>2025</v>
      </c>
      <c r="B26" s="2" t="s">
        <v>43</v>
      </c>
      <c r="C26" s="2" t="s">
        <v>43</v>
      </c>
      <c r="D26" s="1" t="s">
        <v>1</v>
      </c>
      <c r="E26" s="3">
        <v>2744327</v>
      </c>
      <c r="F26" s="1">
        <v>381</v>
      </c>
      <c r="G26" s="3">
        <v>6152</v>
      </c>
      <c r="H26" s="3">
        <v>10040</v>
      </c>
      <c r="I26" s="1">
        <v>0</v>
      </c>
      <c r="J26" s="3">
        <v>2737794</v>
      </c>
      <c r="K26" s="3">
        <v>2727754</v>
      </c>
      <c r="L26" s="3">
        <v>2727754</v>
      </c>
      <c r="M26" s="3">
        <v>89618</v>
      </c>
      <c r="N26" s="3">
        <v>516588</v>
      </c>
      <c r="O26" s="3">
        <v>33149</v>
      </c>
      <c r="P26" s="3">
        <v>34113</v>
      </c>
      <c r="Q26" s="3">
        <v>170247</v>
      </c>
      <c r="R26" s="3">
        <v>1894079</v>
      </c>
      <c r="S26" s="3">
        <v>1884039</v>
      </c>
      <c r="T26" s="3">
        <v>1884039</v>
      </c>
      <c r="U26" s="3">
        <v>273779</v>
      </c>
      <c r="V26" s="3">
        <v>273779</v>
      </c>
      <c r="W26" s="3">
        <v>273779</v>
      </c>
      <c r="X26" s="3">
        <v>273779</v>
      </c>
      <c r="Y26" s="3">
        <v>272106</v>
      </c>
      <c r="Z26" s="3">
        <v>272106</v>
      </c>
      <c r="AA26" s="4">
        <v>272107</v>
      </c>
      <c r="AB26" s="4">
        <v>272107</v>
      </c>
      <c r="AC26" s="4">
        <v>272107</v>
      </c>
      <c r="AD26" s="4">
        <v>272105</v>
      </c>
      <c r="AE26" s="4">
        <v>273779</v>
      </c>
      <c r="AF26" s="4">
        <v>547558</v>
      </c>
      <c r="AG26" s="4">
        <v>821337</v>
      </c>
      <c r="AH26" s="4">
        <v>1095116</v>
      </c>
      <c r="AI26" s="4">
        <v>1367222</v>
      </c>
      <c r="AJ26" s="4">
        <v>1639328</v>
      </c>
      <c r="AK26" s="4">
        <v>1911435</v>
      </c>
      <c r="AL26" s="4">
        <v>2183542</v>
      </c>
      <c r="AM26" s="4">
        <v>2455649</v>
      </c>
      <c r="AN26" s="4">
        <v>2727754</v>
      </c>
      <c r="AO26" s="134">
        <v>202974</v>
      </c>
    </row>
    <row r="27" spans="1:41" x14ac:dyDescent="0.2">
      <c r="A27" s="1">
        <v>2025</v>
      </c>
      <c r="B27" s="2" t="s">
        <v>44</v>
      </c>
      <c r="C27" s="2" t="s">
        <v>44</v>
      </c>
      <c r="D27" s="1" t="s">
        <v>396</v>
      </c>
      <c r="E27" s="3">
        <v>3544531</v>
      </c>
      <c r="F27" s="1">
        <v>514</v>
      </c>
      <c r="G27" s="3">
        <v>12735</v>
      </c>
      <c r="H27" s="3">
        <v>11511</v>
      </c>
      <c r="I27" s="1">
        <v>0</v>
      </c>
      <c r="J27" s="3">
        <v>3531282</v>
      </c>
      <c r="K27" s="3">
        <v>3519771</v>
      </c>
      <c r="L27" s="3">
        <v>3519771</v>
      </c>
      <c r="M27" s="3">
        <v>120789</v>
      </c>
      <c r="N27" s="3">
        <v>470831</v>
      </c>
      <c r="O27" s="3">
        <v>42902</v>
      </c>
      <c r="P27" s="3">
        <v>39080</v>
      </c>
      <c r="Q27" s="3">
        <v>193781</v>
      </c>
      <c r="R27" s="3">
        <v>2663899</v>
      </c>
      <c r="S27" s="3">
        <v>2652388</v>
      </c>
      <c r="T27" s="3">
        <v>2652388</v>
      </c>
      <c r="U27" s="3">
        <v>353128</v>
      </c>
      <c r="V27" s="3">
        <v>353128</v>
      </c>
      <c r="W27" s="3">
        <v>353128</v>
      </c>
      <c r="X27" s="3">
        <v>353128</v>
      </c>
      <c r="Y27" s="3">
        <v>351210</v>
      </c>
      <c r="Z27" s="3">
        <v>351210</v>
      </c>
      <c r="AA27" s="4">
        <v>351210</v>
      </c>
      <c r="AB27" s="4">
        <v>351210</v>
      </c>
      <c r="AC27" s="4">
        <v>351210</v>
      </c>
      <c r="AD27" s="4">
        <v>351209</v>
      </c>
      <c r="AE27" s="4">
        <v>353128</v>
      </c>
      <c r="AF27" s="4">
        <v>706256</v>
      </c>
      <c r="AG27" s="4">
        <v>1059384</v>
      </c>
      <c r="AH27" s="4">
        <v>1412512</v>
      </c>
      <c r="AI27" s="4">
        <v>1763722</v>
      </c>
      <c r="AJ27" s="4">
        <v>2114932</v>
      </c>
      <c r="AK27" s="4">
        <v>2466142</v>
      </c>
      <c r="AL27" s="4">
        <v>2817352</v>
      </c>
      <c r="AM27" s="4">
        <v>3168562</v>
      </c>
      <c r="AN27" s="4">
        <v>3519771</v>
      </c>
      <c r="AO27" s="134">
        <v>211352</v>
      </c>
    </row>
    <row r="28" spans="1:41" x14ac:dyDescent="0.2">
      <c r="A28" s="1">
        <v>2025</v>
      </c>
      <c r="B28" s="2" t="s">
        <v>45</v>
      </c>
      <c r="C28" s="2" t="s">
        <v>45</v>
      </c>
      <c r="D28" s="1" t="s">
        <v>397</v>
      </c>
      <c r="E28" s="3">
        <v>3752416</v>
      </c>
      <c r="F28" s="1">
        <v>415</v>
      </c>
      <c r="G28" s="1">
        <v>0</v>
      </c>
      <c r="H28" s="3">
        <v>10677</v>
      </c>
      <c r="I28" s="1">
        <v>0</v>
      </c>
      <c r="J28" s="3">
        <v>3752001</v>
      </c>
      <c r="K28" s="3">
        <v>3741324</v>
      </c>
      <c r="L28" s="3">
        <v>3741324</v>
      </c>
      <c r="M28" s="3">
        <v>97410</v>
      </c>
      <c r="N28" s="3">
        <v>546944</v>
      </c>
      <c r="O28" s="3">
        <v>32637</v>
      </c>
      <c r="P28" s="3">
        <v>31835</v>
      </c>
      <c r="Q28" s="3">
        <v>179427</v>
      </c>
      <c r="R28" s="3">
        <v>2863748</v>
      </c>
      <c r="S28" s="3">
        <v>2853071</v>
      </c>
      <c r="T28" s="3">
        <v>2853071</v>
      </c>
      <c r="U28" s="3">
        <v>375200</v>
      </c>
      <c r="V28" s="3">
        <v>375200</v>
      </c>
      <c r="W28" s="3">
        <v>375200</v>
      </c>
      <c r="X28" s="3">
        <v>375200</v>
      </c>
      <c r="Y28" s="3">
        <v>373421</v>
      </c>
      <c r="Z28" s="3">
        <v>373421</v>
      </c>
      <c r="AA28" s="4">
        <v>373421</v>
      </c>
      <c r="AB28" s="4">
        <v>373421</v>
      </c>
      <c r="AC28" s="4">
        <v>373421</v>
      </c>
      <c r="AD28" s="4">
        <v>373419</v>
      </c>
      <c r="AE28" s="4">
        <v>375200</v>
      </c>
      <c r="AF28" s="4">
        <v>750400</v>
      </c>
      <c r="AG28" s="4">
        <v>1125600</v>
      </c>
      <c r="AH28" s="4">
        <v>1500800</v>
      </c>
      <c r="AI28" s="4">
        <v>1874221</v>
      </c>
      <c r="AJ28" s="4">
        <v>2247642</v>
      </c>
      <c r="AK28" s="4">
        <v>2621063</v>
      </c>
      <c r="AL28" s="4">
        <v>2994484</v>
      </c>
      <c r="AM28" s="4">
        <v>3367905</v>
      </c>
      <c r="AN28" s="4">
        <v>3741324</v>
      </c>
      <c r="AO28" s="134">
        <v>191232</v>
      </c>
    </row>
    <row r="29" spans="1:41" x14ac:dyDescent="0.2">
      <c r="A29" s="1">
        <v>2025</v>
      </c>
      <c r="B29" s="2" t="s">
        <v>46</v>
      </c>
      <c r="C29" s="2" t="s">
        <v>46</v>
      </c>
      <c r="D29" s="1" t="s">
        <v>398</v>
      </c>
      <c r="E29" s="3">
        <v>4242070</v>
      </c>
      <c r="F29" s="3">
        <v>945</v>
      </c>
      <c r="G29" s="3">
        <v>0</v>
      </c>
      <c r="H29" s="3">
        <v>13995</v>
      </c>
      <c r="I29" s="3">
        <v>0</v>
      </c>
      <c r="J29" s="3">
        <v>4241125</v>
      </c>
      <c r="K29" s="3">
        <v>4227130</v>
      </c>
      <c r="L29" s="3">
        <v>4227130</v>
      </c>
      <c r="M29" s="3">
        <v>222096</v>
      </c>
      <c r="N29" s="3">
        <v>624379</v>
      </c>
      <c r="O29" s="3">
        <v>49172</v>
      </c>
      <c r="P29" s="3">
        <v>52111</v>
      </c>
      <c r="Q29" s="3">
        <v>256977</v>
      </c>
      <c r="R29" s="3">
        <v>3036390</v>
      </c>
      <c r="S29" s="3">
        <v>3022395</v>
      </c>
      <c r="T29" s="3">
        <v>3022395</v>
      </c>
      <c r="U29" s="3">
        <v>424113</v>
      </c>
      <c r="V29" s="3">
        <v>424113</v>
      </c>
      <c r="W29" s="3">
        <v>424113</v>
      </c>
      <c r="X29" s="3">
        <v>424113</v>
      </c>
      <c r="Y29" s="3">
        <v>421780</v>
      </c>
      <c r="Z29" s="3">
        <v>421780</v>
      </c>
      <c r="AA29" s="4">
        <v>421780</v>
      </c>
      <c r="AB29" s="4">
        <v>421780</v>
      </c>
      <c r="AC29" s="4">
        <v>421780</v>
      </c>
      <c r="AD29" s="4">
        <v>421778</v>
      </c>
      <c r="AE29" s="4">
        <v>424113</v>
      </c>
      <c r="AF29" s="4">
        <v>848226</v>
      </c>
      <c r="AG29" s="4">
        <v>1272339</v>
      </c>
      <c r="AH29" s="4">
        <v>1696452</v>
      </c>
      <c r="AI29" s="4">
        <v>2118232</v>
      </c>
      <c r="AJ29" s="4">
        <v>2540012</v>
      </c>
      <c r="AK29" s="4">
        <v>2961792</v>
      </c>
      <c r="AL29" s="4">
        <v>3383572</v>
      </c>
      <c r="AM29" s="4">
        <v>3805352</v>
      </c>
      <c r="AN29" s="4">
        <v>4227130</v>
      </c>
      <c r="AO29" s="134">
        <v>254702</v>
      </c>
    </row>
    <row r="30" spans="1:41" x14ac:dyDescent="0.2">
      <c r="A30" s="1">
        <v>2025</v>
      </c>
      <c r="B30" s="2" t="s">
        <v>47</v>
      </c>
      <c r="C30" s="2" t="s">
        <v>47</v>
      </c>
      <c r="D30" s="1" t="s">
        <v>399</v>
      </c>
      <c r="E30" s="3">
        <v>5309862</v>
      </c>
      <c r="F30" s="3">
        <v>381</v>
      </c>
      <c r="G30" s="3">
        <v>6497</v>
      </c>
      <c r="H30" s="3">
        <v>16829</v>
      </c>
      <c r="I30" s="1">
        <v>0</v>
      </c>
      <c r="J30" s="3">
        <v>5302984</v>
      </c>
      <c r="K30" s="3">
        <v>5286155</v>
      </c>
      <c r="L30" s="3">
        <v>5286155</v>
      </c>
      <c r="M30" s="3">
        <v>85800</v>
      </c>
      <c r="N30" s="3">
        <v>663216</v>
      </c>
      <c r="O30" s="3">
        <v>61763</v>
      </c>
      <c r="P30" s="3">
        <v>53343</v>
      </c>
      <c r="Q30" s="3">
        <v>282210</v>
      </c>
      <c r="R30" s="3">
        <v>4156652</v>
      </c>
      <c r="S30" s="3">
        <v>4139823</v>
      </c>
      <c r="T30" s="3">
        <v>4139823</v>
      </c>
      <c r="U30" s="3">
        <v>530298</v>
      </c>
      <c r="V30" s="3">
        <v>530298</v>
      </c>
      <c r="W30" s="3">
        <v>530298</v>
      </c>
      <c r="X30" s="3">
        <v>530298</v>
      </c>
      <c r="Y30" s="3">
        <v>527494</v>
      </c>
      <c r="Z30" s="3">
        <v>527494</v>
      </c>
      <c r="AA30" s="4">
        <v>527494</v>
      </c>
      <c r="AB30" s="4">
        <v>527494</v>
      </c>
      <c r="AC30" s="4">
        <v>527494</v>
      </c>
      <c r="AD30" s="4">
        <v>527493</v>
      </c>
      <c r="AE30" s="4">
        <v>530298</v>
      </c>
      <c r="AF30" s="4">
        <v>1060596</v>
      </c>
      <c r="AG30" s="4">
        <v>1590894</v>
      </c>
      <c r="AH30" s="4">
        <v>2121192</v>
      </c>
      <c r="AI30" s="4">
        <v>2648686</v>
      </c>
      <c r="AJ30" s="4">
        <v>3176180</v>
      </c>
      <c r="AK30" s="4">
        <v>3703674</v>
      </c>
      <c r="AL30" s="4">
        <v>4231168</v>
      </c>
      <c r="AM30" s="4">
        <v>4758662</v>
      </c>
      <c r="AN30" s="4">
        <v>5286155</v>
      </c>
      <c r="AO30" s="134">
        <v>316370</v>
      </c>
    </row>
    <row r="31" spans="1:41" x14ac:dyDescent="0.2">
      <c r="A31" s="1">
        <v>2025</v>
      </c>
      <c r="B31" s="2" t="s">
        <v>48</v>
      </c>
      <c r="C31" s="2" t="s">
        <v>48</v>
      </c>
      <c r="D31" s="1" t="s">
        <v>400</v>
      </c>
      <c r="E31" s="3">
        <v>1012207</v>
      </c>
      <c r="F31" s="3">
        <v>133</v>
      </c>
      <c r="G31" s="3">
        <v>0</v>
      </c>
      <c r="H31" s="3">
        <v>3611</v>
      </c>
      <c r="I31" s="3">
        <v>0</v>
      </c>
      <c r="J31" s="3">
        <v>1012074</v>
      </c>
      <c r="K31" s="3">
        <v>1008463</v>
      </c>
      <c r="L31" s="3">
        <v>1008463</v>
      </c>
      <c r="M31" s="3">
        <v>31171</v>
      </c>
      <c r="N31" s="3">
        <v>193040</v>
      </c>
      <c r="O31" s="3">
        <v>13189</v>
      </c>
      <c r="P31" s="3">
        <v>8427</v>
      </c>
      <c r="Q31" s="3">
        <v>64566</v>
      </c>
      <c r="R31" s="3">
        <v>701681</v>
      </c>
      <c r="S31" s="3">
        <v>698070</v>
      </c>
      <c r="T31" s="3">
        <v>698070</v>
      </c>
      <c r="U31" s="3">
        <v>101207</v>
      </c>
      <c r="V31" s="3">
        <v>101207</v>
      </c>
      <c r="W31" s="3">
        <v>101207</v>
      </c>
      <c r="X31" s="3">
        <v>101207</v>
      </c>
      <c r="Y31" s="3">
        <v>100606</v>
      </c>
      <c r="Z31" s="3">
        <v>100606</v>
      </c>
      <c r="AA31" s="4">
        <v>100606</v>
      </c>
      <c r="AB31" s="4">
        <v>100606</v>
      </c>
      <c r="AC31" s="4">
        <v>100606</v>
      </c>
      <c r="AD31" s="4">
        <v>100605</v>
      </c>
      <c r="AE31" s="4">
        <v>101207</v>
      </c>
      <c r="AF31" s="4">
        <v>202414</v>
      </c>
      <c r="AG31" s="4">
        <v>303621</v>
      </c>
      <c r="AH31" s="4">
        <v>404828</v>
      </c>
      <c r="AI31" s="4">
        <v>505434</v>
      </c>
      <c r="AJ31" s="4">
        <v>606040</v>
      </c>
      <c r="AK31" s="4">
        <v>706646</v>
      </c>
      <c r="AL31" s="4">
        <v>807252</v>
      </c>
      <c r="AM31" s="4">
        <v>907858</v>
      </c>
      <c r="AN31" s="4">
        <v>1008463</v>
      </c>
      <c r="AO31" s="134">
        <v>77143</v>
      </c>
    </row>
    <row r="32" spans="1:41" x14ac:dyDescent="0.2">
      <c r="A32" s="1">
        <v>2025</v>
      </c>
      <c r="B32" s="2" t="s">
        <v>49</v>
      </c>
      <c r="C32" s="2" t="s">
        <v>49</v>
      </c>
      <c r="D32" s="1" t="s">
        <v>401</v>
      </c>
      <c r="E32" s="3">
        <v>9587225</v>
      </c>
      <c r="F32" s="3">
        <v>1924</v>
      </c>
      <c r="G32" s="3">
        <v>0</v>
      </c>
      <c r="H32" s="3">
        <v>33383</v>
      </c>
      <c r="I32" s="1">
        <v>0</v>
      </c>
      <c r="J32" s="3">
        <v>9585301</v>
      </c>
      <c r="K32" s="3">
        <v>9551918</v>
      </c>
      <c r="L32" s="3">
        <v>9551918</v>
      </c>
      <c r="M32" s="3">
        <v>451984</v>
      </c>
      <c r="N32" s="3">
        <v>1161489</v>
      </c>
      <c r="O32" s="3">
        <v>108234</v>
      </c>
      <c r="P32" s="3">
        <v>113083</v>
      </c>
      <c r="Q32" s="3">
        <v>583231</v>
      </c>
      <c r="R32" s="3">
        <v>7167280</v>
      </c>
      <c r="S32" s="3">
        <v>7133897</v>
      </c>
      <c r="T32" s="3">
        <v>7133897</v>
      </c>
      <c r="U32" s="3">
        <v>958530</v>
      </c>
      <c r="V32" s="3">
        <v>958530</v>
      </c>
      <c r="W32" s="3">
        <v>958530</v>
      </c>
      <c r="X32" s="3">
        <v>958530</v>
      </c>
      <c r="Y32" s="3">
        <v>952966</v>
      </c>
      <c r="Z32" s="3">
        <v>952966</v>
      </c>
      <c r="AA32" s="4">
        <v>952967</v>
      </c>
      <c r="AB32" s="4">
        <v>952967</v>
      </c>
      <c r="AC32" s="4">
        <v>952967</v>
      </c>
      <c r="AD32" s="4">
        <v>952965</v>
      </c>
      <c r="AE32" s="4">
        <v>958530</v>
      </c>
      <c r="AF32" s="4">
        <v>1917060</v>
      </c>
      <c r="AG32" s="4">
        <v>2875590</v>
      </c>
      <c r="AH32" s="4">
        <v>3834120</v>
      </c>
      <c r="AI32" s="4">
        <v>4787086</v>
      </c>
      <c r="AJ32" s="4">
        <v>5740052</v>
      </c>
      <c r="AK32" s="4">
        <v>6693019</v>
      </c>
      <c r="AL32" s="4">
        <v>7645986</v>
      </c>
      <c r="AM32" s="4">
        <v>8598953</v>
      </c>
      <c r="AN32" s="4">
        <v>9551918</v>
      </c>
      <c r="AO32" s="134">
        <v>607260</v>
      </c>
    </row>
    <row r="33" spans="1:41" x14ac:dyDescent="0.2">
      <c r="A33" s="1">
        <v>2025</v>
      </c>
      <c r="B33" s="2" t="s">
        <v>50</v>
      </c>
      <c r="C33" s="2" t="s">
        <v>50</v>
      </c>
      <c r="D33" s="1" t="s">
        <v>402</v>
      </c>
      <c r="E33" s="3">
        <v>28131879</v>
      </c>
      <c r="F33" s="3">
        <v>3864</v>
      </c>
      <c r="G33" s="3">
        <v>6432</v>
      </c>
      <c r="H33" s="3">
        <v>89034</v>
      </c>
      <c r="I33" s="1">
        <v>0</v>
      </c>
      <c r="J33" s="3">
        <v>28121583</v>
      </c>
      <c r="K33" s="3">
        <v>28032549</v>
      </c>
      <c r="L33" s="3">
        <v>28032549</v>
      </c>
      <c r="M33" s="3">
        <v>907865</v>
      </c>
      <c r="N33" s="3">
        <v>2862134</v>
      </c>
      <c r="O33" s="3">
        <v>311433</v>
      </c>
      <c r="P33" s="3">
        <v>306603</v>
      </c>
      <c r="Q33" s="3">
        <v>1546279</v>
      </c>
      <c r="R33" s="3">
        <v>22187269</v>
      </c>
      <c r="S33" s="3">
        <v>22098235</v>
      </c>
      <c r="T33" s="3">
        <v>22098235</v>
      </c>
      <c r="U33" s="3">
        <v>2812158</v>
      </c>
      <c r="V33" s="3">
        <v>2812158</v>
      </c>
      <c r="W33" s="3">
        <v>2812158</v>
      </c>
      <c r="X33" s="3">
        <v>2812158</v>
      </c>
      <c r="Y33" s="3">
        <v>2797320</v>
      </c>
      <c r="Z33" s="3">
        <v>2797320</v>
      </c>
      <c r="AA33" s="4">
        <v>2797319</v>
      </c>
      <c r="AB33" s="4">
        <v>2797319</v>
      </c>
      <c r="AC33" s="4">
        <v>2797319</v>
      </c>
      <c r="AD33" s="4">
        <v>2797320</v>
      </c>
      <c r="AE33" s="4">
        <v>2812158</v>
      </c>
      <c r="AF33" s="4">
        <v>5624316</v>
      </c>
      <c r="AG33" s="4">
        <v>8436474</v>
      </c>
      <c r="AH33" s="4">
        <v>11248632</v>
      </c>
      <c r="AI33" s="4">
        <v>14045952</v>
      </c>
      <c r="AJ33" s="4">
        <v>16843272</v>
      </c>
      <c r="AK33" s="4">
        <v>19640591</v>
      </c>
      <c r="AL33" s="4">
        <v>22437910</v>
      </c>
      <c r="AM33" s="4">
        <v>25235229</v>
      </c>
      <c r="AN33" s="4">
        <v>28032549</v>
      </c>
      <c r="AO33" s="134">
        <v>1642055</v>
      </c>
    </row>
    <row r="34" spans="1:41" x14ac:dyDescent="0.2">
      <c r="A34" s="1">
        <v>2025</v>
      </c>
      <c r="B34" s="2" t="s">
        <v>51</v>
      </c>
      <c r="C34" s="2" t="s">
        <v>51</v>
      </c>
      <c r="D34" s="1" t="s">
        <v>403</v>
      </c>
      <c r="E34" s="3">
        <v>4708382</v>
      </c>
      <c r="F34" s="3">
        <v>697</v>
      </c>
      <c r="G34" s="3">
        <v>0</v>
      </c>
      <c r="H34" s="3">
        <v>17906</v>
      </c>
      <c r="I34" s="1">
        <v>0</v>
      </c>
      <c r="J34" s="3">
        <v>4707685</v>
      </c>
      <c r="K34" s="3">
        <v>4689779</v>
      </c>
      <c r="L34" s="3">
        <v>4689779</v>
      </c>
      <c r="M34" s="3">
        <v>159831</v>
      </c>
      <c r="N34" s="3">
        <v>933648</v>
      </c>
      <c r="O34" s="3">
        <v>71728</v>
      </c>
      <c r="P34" s="3">
        <v>59595</v>
      </c>
      <c r="Q34" s="3">
        <v>307944</v>
      </c>
      <c r="R34" s="3">
        <v>3174939</v>
      </c>
      <c r="S34" s="3">
        <v>3157033</v>
      </c>
      <c r="T34" s="3">
        <v>3157033</v>
      </c>
      <c r="U34" s="3">
        <v>470769</v>
      </c>
      <c r="V34" s="3">
        <v>470769</v>
      </c>
      <c r="W34" s="3">
        <v>470769</v>
      </c>
      <c r="X34" s="3">
        <v>470769</v>
      </c>
      <c r="Y34" s="3">
        <v>467784</v>
      </c>
      <c r="Z34" s="3">
        <v>467784</v>
      </c>
      <c r="AA34" s="4">
        <v>467784</v>
      </c>
      <c r="AB34" s="4">
        <v>467784</v>
      </c>
      <c r="AC34" s="4">
        <v>467784</v>
      </c>
      <c r="AD34" s="4">
        <v>467783</v>
      </c>
      <c r="AE34" s="4">
        <v>470769</v>
      </c>
      <c r="AF34" s="4">
        <v>941538</v>
      </c>
      <c r="AG34" s="4">
        <v>1412307</v>
      </c>
      <c r="AH34" s="4">
        <v>1883076</v>
      </c>
      <c r="AI34" s="4">
        <v>2350860</v>
      </c>
      <c r="AJ34" s="4">
        <v>2818644</v>
      </c>
      <c r="AK34" s="4">
        <v>3286428</v>
      </c>
      <c r="AL34" s="4">
        <v>3754212</v>
      </c>
      <c r="AM34" s="4">
        <v>4221996</v>
      </c>
      <c r="AN34" s="4">
        <v>4689779</v>
      </c>
      <c r="AO34" s="134">
        <v>330645</v>
      </c>
    </row>
    <row r="35" spans="1:41" x14ac:dyDescent="0.2">
      <c r="A35" s="1">
        <v>2025</v>
      </c>
      <c r="B35" s="2" t="s">
        <v>52</v>
      </c>
      <c r="C35" s="2" t="s">
        <v>52</v>
      </c>
      <c r="D35" s="1" t="s">
        <v>404</v>
      </c>
      <c r="E35" s="3">
        <v>19290429</v>
      </c>
      <c r="F35" s="3">
        <v>1708</v>
      </c>
      <c r="G35" s="3">
        <v>10447</v>
      </c>
      <c r="H35" s="3">
        <v>57664</v>
      </c>
      <c r="I35" s="1">
        <v>0</v>
      </c>
      <c r="J35" s="3">
        <v>19278274</v>
      </c>
      <c r="K35" s="3">
        <v>19220610</v>
      </c>
      <c r="L35" s="3">
        <v>19220610</v>
      </c>
      <c r="M35" s="3">
        <v>401331</v>
      </c>
      <c r="N35" s="3">
        <v>1886583</v>
      </c>
      <c r="O35" s="3">
        <v>201854</v>
      </c>
      <c r="P35" s="3">
        <v>174181</v>
      </c>
      <c r="Q35" s="3">
        <v>976042</v>
      </c>
      <c r="R35" s="3">
        <v>15638283</v>
      </c>
      <c r="S35" s="3">
        <v>15580619</v>
      </c>
      <c r="T35" s="3">
        <v>15580619</v>
      </c>
      <c r="U35" s="3">
        <v>1927827</v>
      </c>
      <c r="V35" s="3">
        <v>1927827</v>
      </c>
      <c r="W35" s="3">
        <v>1927827</v>
      </c>
      <c r="X35" s="3">
        <v>1927827</v>
      </c>
      <c r="Y35" s="3">
        <v>1918217</v>
      </c>
      <c r="Z35" s="3">
        <v>1918217</v>
      </c>
      <c r="AA35" s="4">
        <v>1918217</v>
      </c>
      <c r="AB35" s="4">
        <v>1918217</v>
      </c>
      <c r="AC35" s="4">
        <v>1918217</v>
      </c>
      <c r="AD35" s="4">
        <v>1918217</v>
      </c>
      <c r="AE35" s="4">
        <v>1927827</v>
      </c>
      <c r="AF35" s="4">
        <v>3855654</v>
      </c>
      <c r="AG35" s="4">
        <v>5783481</v>
      </c>
      <c r="AH35" s="4">
        <v>7711308</v>
      </c>
      <c r="AI35" s="4">
        <v>9629525</v>
      </c>
      <c r="AJ35" s="4">
        <v>11547742</v>
      </c>
      <c r="AK35" s="4">
        <v>13465959</v>
      </c>
      <c r="AL35" s="4">
        <v>15384176</v>
      </c>
      <c r="AM35" s="4">
        <v>17302393</v>
      </c>
      <c r="AN35" s="4">
        <v>19220610</v>
      </c>
      <c r="AO35" s="134">
        <v>1000789</v>
      </c>
    </row>
    <row r="36" spans="1:41" x14ac:dyDescent="0.2">
      <c r="A36" s="1">
        <v>2025</v>
      </c>
      <c r="B36" s="2" t="s">
        <v>53</v>
      </c>
      <c r="C36" s="2" t="s">
        <v>53</v>
      </c>
      <c r="D36" s="1" t="s">
        <v>405</v>
      </c>
      <c r="E36" s="3">
        <v>16520445</v>
      </c>
      <c r="F36" s="3">
        <v>1443</v>
      </c>
      <c r="G36" s="3">
        <v>0</v>
      </c>
      <c r="H36" s="3">
        <v>44966</v>
      </c>
      <c r="I36" s="1">
        <v>0</v>
      </c>
      <c r="J36" s="3">
        <v>16519002</v>
      </c>
      <c r="K36" s="3">
        <v>16474036</v>
      </c>
      <c r="L36" s="3">
        <v>16474036</v>
      </c>
      <c r="M36" s="3">
        <v>338988</v>
      </c>
      <c r="N36" s="3">
        <v>1526848</v>
      </c>
      <c r="O36" s="3">
        <v>164389</v>
      </c>
      <c r="P36" s="3">
        <v>175138</v>
      </c>
      <c r="Q36" s="3">
        <v>789930</v>
      </c>
      <c r="R36" s="3">
        <v>13523709</v>
      </c>
      <c r="S36" s="3">
        <v>13478743</v>
      </c>
      <c r="T36" s="3">
        <v>13478743</v>
      </c>
      <c r="U36" s="3">
        <v>1651900</v>
      </c>
      <c r="V36" s="3">
        <v>1651900</v>
      </c>
      <c r="W36" s="3">
        <v>1651900</v>
      </c>
      <c r="X36" s="3">
        <v>1651900</v>
      </c>
      <c r="Y36" s="3">
        <v>1644406</v>
      </c>
      <c r="Z36" s="3">
        <v>1644406</v>
      </c>
      <c r="AA36" s="4">
        <v>1644406</v>
      </c>
      <c r="AB36" s="4">
        <v>1644406</v>
      </c>
      <c r="AC36" s="4">
        <v>1644406</v>
      </c>
      <c r="AD36" s="4">
        <v>1644406</v>
      </c>
      <c r="AE36" s="4">
        <v>1651900</v>
      </c>
      <c r="AF36" s="4">
        <v>3303800</v>
      </c>
      <c r="AG36" s="4">
        <v>4955700</v>
      </c>
      <c r="AH36" s="4">
        <v>6607600</v>
      </c>
      <c r="AI36" s="4">
        <v>8252006</v>
      </c>
      <c r="AJ36" s="4">
        <v>9896412</v>
      </c>
      <c r="AK36" s="4">
        <v>11540818</v>
      </c>
      <c r="AL36" s="4">
        <v>13185224</v>
      </c>
      <c r="AM36" s="4">
        <v>14829630</v>
      </c>
      <c r="AN36" s="4">
        <v>16474036</v>
      </c>
      <c r="AO36" s="134">
        <v>829503</v>
      </c>
    </row>
    <row r="37" spans="1:41" x14ac:dyDescent="0.2">
      <c r="A37" s="1">
        <v>2025</v>
      </c>
      <c r="B37" s="2" t="s">
        <v>54</v>
      </c>
      <c r="C37" s="2" t="s">
        <v>54</v>
      </c>
      <c r="D37" s="1" t="s">
        <v>406</v>
      </c>
      <c r="E37" s="3">
        <v>4440245</v>
      </c>
      <c r="F37" s="3">
        <v>1028</v>
      </c>
      <c r="G37" s="3">
        <v>0</v>
      </c>
      <c r="H37" s="3">
        <v>12696</v>
      </c>
      <c r="I37" s="1">
        <v>0</v>
      </c>
      <c r="J37" s="3">
        <v>4439217</v>
      </c>
      <c r="K37" s="3">
        <v>4426521</v>
      </c>
      <c r="L37" s="3">
        <v>4426521</v>
      </c>
      <c r="M37" s="3">
        <v>241578</v>
      </c>
      <c r="N37" s="3">
        <v>725613</v>
      </c>
      <c r="O37" s="3">
        <v>69565</v>
      </c>
      <c r="P37" s="3">
        <v>57943</v>
      </c>
      <c r="Q37" s="3">
        <v>298641</v>
      </c>
      <c r="R37" s="3">
        <v>3045877</v>
      </c>
      <c r="S37" s="3">
        <v>3033181</v>
      </c>
      <c r="T37" s="3">
        <v>3033181</v>
      </c>
      <c r="U37" s="3">
        <v>443922</v>
      </c>
      <c r="V37" s="3">
        <v>443922</v>
      </c>
      <c r="W37" s="3">
        <v>443922</v>
      </c>
      <c r="X37" s="3">
        <v>443922</v>
      </c>
      <c r="Y37" s="3">
        <v>441806</v>
      </c>
      <c r="Z37" s="3">
        <v>441806</v>
      </c>
      <c r="AA37" s="4">
        <v>441805</v>
      </c>
      <c r="AB37" s="4">
        <v>441805</v>
      </c>
      <c r="AC37" s="4">
        <v>441805</v>
      </c>
      <c r="AD37" s="4">
        <v>441806</v>
      </c>
      <c r="AE37" s="4">
        <v>443922</v>
      </c>
      <c r="AF37" s="4">
        <v>887844</v>
      </c>
      <c r="AG37" s="4">
        <v>1331766</v>
      </c>
      <c r="AH37" s="4">
        <v>1775688</v>
      </c>
      <c r="AI37" s="4">
        <v>2217494</v>
      </c>
      <c r="AJ37" s="4">
        <v>2659300</v>
      </c>
      <c r="AK37" s="4">
        <v>3101105</v>
      </c>
      <c r="AL37" s="4">
        <v>3542910</v>
      </c>
      <c r="AM37" s="4">
        <v>3984715</v>
      </c>
      <c r="AN37" s="4">
        <v>4426521</v>
      </c>
      <c r="AO37" s="134">
        <v>259788</v>
      </c>
    </row>
    <row r="38" spans="1:41" x14ac:dyDescent="0.2">
      <c r="A38" s="1">
        <v>2025</v>
      </c>
      <c r="B38" s="2" t="s">
        <v>55</v>
      </c>
      <c r="C38" s="2" t="s">
        <v>55</v>
      </c>
      <c r="D38" s="1" t="s">
        <v>407</v>
      </c>
      <c r="E38" s="3">
        <v>3718414</v>
      </c>
      <c r="F38" s="3">
        <v>647</v>
      </c>
      <c r="G38" s="3">
        <v>0</v>
      </c>
      <c r="H38" s="3">
        <v>13076</v>
      </c>
      <c r="I38" s="1">
        <v>0</v>
      </c>
      <c r="J38" s="3">
        <v>3717767</v>
      </c>
      <c r="K38" s="3">
        <v>3704691</v>
      </c>
      <c r="L38" s="3">
        <v>3704691</v>
      </c>
      <c r="M38" s="3">
        <v>151960</v>
      </c>
      <c r="N38" s="3">
        <v>533701</v>
      </c>
      <c r="O38" s="3">
        <v>45688</v>
      </c>
      <c r="P38" s="3">
        <v>40920</v>
      </c>
      <c r="Q38" s="3">
        <v>219656</v>
      </c>
      <c r="R38" s="3">
        <v>2725842</v>
      </c>
      <c r="S38" s="3">
        <v>2712766</v>
      </c>
      <c r="T38" s="3">
        <v>2712766</v>
      </c>
      <c r="U38" s="3">
        <v>371777</v>
      </c>
      <c r="V38" s="3">
        <v>371777</v>
      </c>
      <c r="W38" s="3">
        <v>371777</v>
      </c>
      <c r="X38" s="3">
        <v>371777</v>
      </c>
      <c r="Y38" s="3">
        <v>369597</v>
      </c>
      <c r="Z38" s="3">
        <v>369597</v>
      </c>
      <c r="AA38" s="4">
        <v>369597</v>
      </c>
      <c r="AB38" s="4">
        <v>369597</v>
      </c>
      <c r="AC38" s="4">
        <v>369597</v>
      </c>
      <c r="AD38" s="4">
        <v>369598</v>
      </c>
      <c r="AE38" s="4">
        <v>371777</v>
      </c>
      <c r="AF38" s="4">
        <v>743554</v>
      </c>
      <c r="AG38" s="4">
        <v>1115331</v>
      </c>
      <c r="AH38" s="4">
        <v>1487108</v>
      </c>
      <c r="AI38" s="4">
        <v>1856705</v>
      </c>
      <c r="AJ38" s="4">
        <v>2226302</v>
      </c>
      <c r="AK38" s="4">
        <v>2595899</v>
      </c>
      <c r="AL38" s="4">
        <v>2965496</v>
      </c>
      <c r="AM38" s="4">
        <v>3335093</v>
      </c>
      <c r="AN38" s="4">
        <v>3704691</v>
      </c>
      <c r="AO38" s="134">
        <v>239323</v>
      </c>
    </row>
    <row r="39" spans="1:41" x14ac:dyDescent="0.2">
      <c r="A39" s="1">
        <v>2025</v>
      </c>
      <c r="B39" s="2" t="s">
        <v>56</v>
      </c>
      <c r="C39" s="2" t="s">
        <v>56</v>
      </c>
      <c r="D39" s="1" t="s">
        <v>408</v>
      </c>
      <c r="E39" s="3">
        <v>3643890</v>
      </c>
      <c r="F39" s="1">
        <v>481</v>
      </c>
      <c r="G39" s="3">
        <v>0</v>
      </c>
      <c r="H39" s="3">
        <v>11545</v>
      </c>
      <c r="I39" s="1">
        <v>0</v>
      </c>
      <c r="J39" s="3">
        <v>3643409</v>
      </c>
      <c r="K39" s="3">
        <v>3631864</v>
      </c>
      <c r="L39" s="3">
        <v>3631864</v>
      </c>
      <c r="M39" s="3">
        <v>112996</v>
      </c>
      <c r="N39" s="3">
        <v>477783</v>
      </c>
      <c r="O39" s="3">
        <v>39319</v>
      </c>
      <c r="P39" s="3">
        <v>36746</v>
      </c>
      <c r="Q39" s="3">
        <v>193592</v>
      </c>
      <c r="R39" s="3">
        <v>2782973</v>
      </c>
      <c r="S39" s="3">
        <v>2771428</v>
      </c>
      <c r="T39" s="3">
        <v>2771428</v>
      </c>
      <c r="U39" s="3">
        <v>364341</v>
      </c>
      <c r="V39" s="3">
        <v>364341</v>
      </c>
      <c r="W39" s="3">
        <v>364341</v>
      </c>
      <c r="X39" s="3">
        <v>364341</v>
      </c>
      <c r="Y39" s="3">
        <v>362417</v>
      </c>
      <c r="Z39" s="3">
        <v>362417</v>
      </c>
      <c r="AA39" s="4">
        <v>362417</v>
      </c>
      <c r="AB39" s="4">
        <v>362417</v>
      </c>
      <c r="AC39" s="4">
        <v>362417</v>
      </c>
      <c r="AD39" s="4">
        <v>362415</v>
      </c>
      <c r="AE39" s="4">
        <v>364341</v>
      </c>
      <c r="AF39" s="4">
        <v>728682</v>
      </c>
      <c r="AG39" s="4">
        <v>1093023</v>
      </c>
      <c r="AH39" s="4">
        <v>1457364</v>
      </c>
      <c r="AI39" s="4">
        <v>1819781</v>
      </c>
      <c r="AJ39" s="4">
        <v>2182198</v>
      </c>
      <c r="AK39" s="4">
        <v>2544615</v>
      </c>
      <c r="AL39" s="4">
        <v>2907032</v>
      </c>
      <c r="AM39" s="4">
        <v>3269449</v>
      </c>
      <c r="AN39" s="4">
        <v>3631864</v>
      </c>
      <c r="AO39" s="134">
        <v>220077</v>
      </c>
    </row>
    <row r="40" spans="1:41" x14ac:dyDescent="0.2">
      <c r="A40" s="1">
        <v>2025</v>
      </c>
      <c r="B40" s="2" t="s">
        <v>57</v>
      </c>
      <c r="C40" s="2" t="s">
        <v>57</v>
      </c>
      <c r="D40" s="1" t="s">
        <v>409</v>
      </c>
      <c r="E40" s="3">
        <v>2436481</v>
      </c>
      <c r="F40" s="1">
        <v>216</v>
      </c>
      <c r="G40" s="1">
        <v>0</v>
      </c>
      <c r="H40" s="3">
        <v>10630</v>
      </c>
      <c r="I40" s="1">
        <v>0</v>
      </c>
      <c r="J40" s="3">
        <v>2436265</v>
      </c>
      <c r="K40" s="3">
        <v>2425635</v>
      </c>
      <c r="L40" s="3">
        <v>2425635</v>
      </c>
      <c r="M40" s="3">
        <v>50653</v>
      </c>
      <c r="N40" s="3">
        <v>504711</v>
      </c>
      <c r="O40" s="3">
        <v>35369</v>
      </c>
      <c r="P40" s="3">
        <v>36620</v>
      </c>
      <c r="Q40" s="3">
        <v>178256</v>
      </c>
      <c r="R40" s="3">
        <v>1630656</v>
      </c>
      <c r="S40" s="3">
        <v>1620026</v>
      </c>
      <c r="T40" s="3">
        <v>1620026</v>
      </c>
      <c r="U40" s="3">
        <v>243627</v>
      </c>
      <c r="V40" s="3">
        <v>243627</v>
      </c>
      <c r="W40" s="3">
        <v>243627</v>
      </c>
      <c r="X40" s="3">
        <v>243627</v>
      </c>
      <c r="Y40" s="3">
        <v>241855</v>
      </c>
      <c r="Z40" s="3">
        <v>241855</v>
      </c>
      <c r="AA40" s="4">
        <v>241854</v>
      </c>
      <c r="AB40" s="4">
        <v>241854</v>
      </c>
      <c r="AC40" s="4">
        <v>241854</v>
      </c>
      <c r="AD40" s="4">
        <v>241855</v>
      </c>
      <c r="AE40" s="4">
        <v>243627</v>
      </c>
      <c r="AF40" s="4">
        <v>487254</v>
      </c>
      <c r="AG40" s="4">
        <v>730881</v>
      </c>
      <c r="AH40" s="4">
        <v>974508</v>
      </c>
      <c r="AI40" s="4">
        <v>1216363</v>
      </c>
      <c r="AJ40" s="4">
        <v>1458218</v>
      </c>
      <c r="AK40" s="4">
        <v>1700072</v>
      </c>
      <c r="AL40" s="4">
        <v>1941926</v>
      </c>
      <c r="AM40" s="4">
        <v>2183780</v>
      </c>
      <c r="AN40" s="4">
        <v>2425635</v>
      </c>
      <c r="AO40" s="134">
        <v>205899</v>
      </c>
    </row>
    <row r="41" spans="1:41" x14ac:dyDescent="0.2">
      <c r="A41" s="1">
        <v>2025</v>
      </c>
      <c r="B41" s="2" t="s">
        <v>58</v>
      </c>
      <c r="C41" s="2" t="s">
        <v>58</v>
      </c>
      <c r="D41" s="1" t="s">
        <v>410</v>
      </c>
      <c r="E41" s="3">
        <v>32213305</v>
      </c>
      <c r="F41" s="3">
        <v>2521</v>
      </c>
      <c r="G41" s="3">
        <v>6087</v>
      </c>
      <c r="H41" s="3">
        <v>85522</v>
      </c>
      <c r="I41" s="3">
        <v>0</v>
      </c>
      <c r="J41" s="3">
        <v>32204697</v>
      </c>
      <c r="K41" s="3">
        <v>32119175</v>
      </c>
      <c r="L41" s="3">
        <v>32119175</v>
      </c>
      <c r="M41" s="3">
        <v>592255</v>
      </c>
      <c r="N41" s="3">
        <v>2997470</v>
      </c>
      <c r="O41" s="3">
        <v>350792</v>
      </c>
      <c r="P41" s="3">
        <v>286530</v>
      </c>
      <c r="Q41" s="3">
        <v>1482856</v>
      </c>
      <c r="R41" s="3">
        <v>26494794</v>
      </c>
      <c r="S41" s="3">
        <v>26409272</v>
      </c>
      <c r="T41" s="3">
        <v>26409272</v>
      </c>
      <c r="U41" s="3">
        <v>3220470</v>
      </c>
      <c r="V41" s="3">
        <v>3220470</v>
      </c>
      <c r="W41" s="3">
        <v>3220470</v>
      </c>
      <c r="X41" s="3">
        <v>3220470</v>
      </c>
      <c r="Y41" s="3">
        <v>3206216</v>
      </c>
      <c r="Z41" s="3">
        <v>3206216</v>
      </c>
      <c r="AA41" s="4">
        <v>3206216</v>
      </c>
      <c r="AB41" s="4">
        <v>3206216</v>
      </c>
      <c r="AC41" s="4">
        <v>3206216</v>
      </c>
      <c r="AD41" s="4">
        <v>3206215</v>
      </c>
      <c r="AE41" s="4">
        <v>3220470</v>
      </c>
      <c r="AF41" s="4">
        <v>6440940</v>
      </c>
      <c r="AG41" s="4">
        <v>9661410</v>
      </c>
      <c r="AH41" s="4">
        <v>12881880</v>
      </c>
      <c r="AI41" s="4">
        <v>16088096</v>
      </c>
      <c r="AJ41" s="4">
        <v>19294312</v>
      </c>
      <c r="AK41" s="4">
        <v>22500528</v>
      </c>
      <c r="AL41" s="4">
        <v>25706744</v>
      </c>
      <c r="AM41" s="4">
        <v>28912960</v>
      </c>
      <c r="AN41" s="4">
        <v>32119175</v>
      </c>
      <c r="AO41" s="134">
        <v>1649345</v>
      </c>
    </row>
    <row r="42" spans="1:41" x14ac:dyDescent="0.2">
      <c r="A42" s="1">
        <v>2025</v>
      </c>
      <c r="B42" s="2" t="s">
        <v>59</v>
      </c>
      <c r="C42" s="2" t="s">
        <v>59</v>
      </c>
      <c r="D42" s="1" t="s">
        <v>2</v>
      </c>
      <c r="E42" s="3">
        <v>2144964</v>
      </c>
      <c r="F42" s="3">
        <v>365</v>
      </c>
      <c r="G42" s="3">
        <v>0</v>
      </c>
      <c r="H42" s="3">
        <v>10083</v>
      </c>
      <c r="I42" s="3">
        <v>0</v>
      </c>
      <c r="J42" s="3">
        <v>2144599</v>
      </c>
      <c r="K42" s="3">
        <v>2134516</v>
      </c>
      <c r="L42" s="3">
        <v>2134516</v>
      </c>
      <c r="M42" s="3">
        <v>85721</v>
      </c>
      <c r="N42" s="3">
        <v>701631</v>
      </c>
      <c r="O42" s="3">
        <v>34361</v>
      </c>
      <c r="P42" s="3">
        <v>33336</v>
      </c>
      <c r="Q42" s="3">
        <v>170961</v>
      </c>
      <c r="R42" s="3">
        <v>1118589</v>
      </c>
      <c r="S42" s="3">
        <v>1108506</v>
      </c>
      <c r="T42" s="3">
        <v>1108506</v>
      </c>
      <c r="U42" s="3">
        <v>214460</v>
      </c>
      <c r="V42" s="3">
        <v>214460</v>
      </c>
      <c r="W42" s="3">
        <v>214460</v>
      </c>
      <c r="X42" s="3">
        <v>214460</v>
      </c>
      <c r="Y42" s="3">
        <v>212779</v>
      </c>
      <c r="Z42" s="3">
        <v>212779</v>
      </c>
      <c r="AA42" s="4">
        <v>212780</v>
      </c>
      <c r="AB42" s="4">
        <v>212780</v>
      </c>
      <c r="AC42" s="4">
        <v>212780</v>
      </c>
      <c r="AD42" s="4">
        <v>212778</v>
      </c>
      <c r="AE42" s="4">
        <v>214460</v>
      </c>
      <c r="AF42" s="4">
        <v>428920</v>
      </c>
      <c r="AG42" s="4">
        <v>643380</v>
      </c>
      <c r="AH42" s="4">
        <v>857840</v>
      </c>
      <c r="AI42" s="4">
        <v>1070619</v>
      </c>
      <c r="AJ42" s="4">
        <v>1283398</v>
      </c>
      <c r="AK42" s="4">
        <v>1496178</v>
      </c>
      <c r="AL42" s="4">
        <v>1708958</v>
      </c>
      <c r="AM42" s="4">
        <v>1921738</v>
      </c>
      <c r="AN42" s="4">
        <v>2134516</v>
      </c>
      <c r="AO42" s="134">
        <v>185595</v>
      </c>
    </row>
    <row r="43" spans="1:41" x14ac:dyDescent="0.2">
      <c r="A43" s="1">
        <v>2025</v>
      </c>
      <c r="B43" s="2" t="s">
        <v>60</v>
      </c>
      <c r="C43" s="2" t="s">
        <v>60</v>
      </c>
      <c r="D43" s="1" t="s">
        <v>3</v>
      </c>
      <c r="E43" s="3">
        <v>2093380</v>
      </c>
      <c r="F43" s="3">
        <v>265</v>
      </c>
      <c r="G43" s="3">
        <v>0</v>
      </c>
      <c r="H43" s="3">
        <v>6418</v>
      </c>
      <c r="I43" s="3">
        <v>0</v>
      </c>
      <c r="J43" s="3">
        <v>2093115</v>
      </c>
      <c r="K43" s="3">
        <v>2086697</v>
      </c>
      <c r="L43" s="3">
        <v>2086697</v>
      </c>
      <c r="M43" s="3">
        <v>62343</v>
      </c>
      <c r="N43" s="3">
        <v>353926</v>
      </c>
      <c r="O43" s="3">
        <v>25055</v>
      </c>
      <c r="P43" s="3">
        <v>24267</v>
      </c>
      <c r="Q43" s="3">
        <v>111018</v>
      </c>
      <c r="R43" s="3">
        <v>1516506</v>
      </c>
      <c r="S43" s="3">
        <v>1510088</v>
      </c>
      <c r="T43" s="3">
        <v>1510088</v>
      </c>
      <c r="U43" s="3">
        <v>209312</v>
      </c>
      <c r="V43" s="3">
        <v>209312</v>
      </c>
      <c r="W43" s="3">
        <v>209312</v>
      </c>
      <c r="X43" s="3">
        <v>209312</v>
      </c>
      <c r="Y43" s="3">
        <v>208242</v>
      </c>
      <c r="Z43" s="3">
        <v>208242</v>
      </c>
      <c r="AA43" s="4">
        <v>208241</v>
      </c>
      <c r="AB43" s="4">
        <v>208241</v>
      </c>
      <c r="AC43" s="4">
        <v>208241</v>
      </c>
      <c r="AD43" s="4">
        <v>208242</v>
      </c>
      <c r="AE43" s="4">
        <v>209312</v>
      </c>
      <c r="AF43" s="4">
        <v>418624</v>
      </c>
      <c r="AG43" s="4">
        <v>627936</v>
      </c>
      <c r="AH43" s="4">
        <v>837248</v>
      </c>
      <c r="AI43" s="4">
        <v>1045490</v>
      </c>
      <c r="AJ43" s="4">
        <v>1253732</v>
      </c>
      <c r="AK43" s="4">
        <v>1461973</v>
      </c>
      <c r="AL43" s="4">
        <v>1670214</v>
      </c>
      <c r="AM43" s="4">
        <v>1878455</v>
      </c>
      <c r="AN43" s="4">
        <v>2086697</v>
      </c>
      <c r="AO43" s="134">
        <v>124064</v>
      </c>
    </row>
    <row r="44" spans="1:41" x14ac:dyDescent="0.2">
      <c r="A44" s="1">
        <v>2025</v>
      </c>
      <c r="B44" s="2" t="s">
        <v>61</v>
      </c>
      <c r="C44" s="2" t="s">
        <v>61</v>
      </c>
      <c r="D44" s="1" t="s">
        <v>411</v>
      </c>
      <c r="E44" s="3">
        <v>2550886</v>
      </c>
      <c r="F44" s="3">
        <v>365</v>
      </c>
      <c r="G44" s="3">
        <v>0</v>
      </c>
      <c r="H44" s="3">
        <v>8161</v>
      </c>
      <c r="I44" s="1">
        <v>0</v>
      </c>
      <c r="J44" s="3">
        <v>2550521</v>
      </c>
      <c r="K44" s="3">
        <v>2542360</v>
      </c>
      <c r="L44" s="3">
        <v>2542360</v>
      </c>
      <c r="M44" s="3">
        <v>85721</v>
      </c>
      <c r="N44" s="3">
        <v>387491</v>
      </c>
      <c r="O44" s="3">
        <v>31598</v>
      </c>
      <c r="P44" s="3">
        <v>29955</v>
      </c>
      <c r="Q44" s="3">
        <v>140520</v>
      </c>
      <c r="R44" s="3">
        <v>1875236</v>
      </c>
      <c r="S44" s="3">
        <v>1867075</v>
      </c>
      <c r="T44" s="3">
        <v>1867075</v>
      </c>
      <c r="U44" s="3">
        <v>255052</v>
      </c>
      <c r="V44" s="3">
        <v>255052</v>
      </c>
      <c r="W44" s="3">
        <v>255052</v>
      </c>
      <c r="X44" s="3">
        <v>255052</v>
      </c>
      <c r="Y44" s="3">
        <v>253692</v>
      </c>
      <c r="Z44" s="3">
        <v>253692</v>
      </c>
      <c r="AA44" s="4">
        <v>253692</v>
      </c>
      <c r="AB44" s="4">
        <v>253692</v>
      </c>
      <c r="AC44" s="4">
        <v>253692</v>
      </c>
      <c r="AD44" s="4">
        <v>253692</v>
      </c>
      <c r="AE44" s="4">
        <v>255052</v>
      </c>
      <c r="AF44" s="4">
        <v>510104</v>
      </c>
      <c r="AG44" s="4">
        <v>765156</v>
      </c>
      <c r="AH44" s="4">
        <v>1020208</v>
      </c>
      <c r="AI44" s="4">
        <v>1273900</v>
      </c>
      <c r="AJ44" s="4">
        <v>1527592</v>
      </c>
      <c r="AK44" s="4">
        <v>1781284</v>
      </c>
      <c r="AL44" s="4">
        <v>2034976</v>
      </c>
      <c r="AM44" s="4">
        <v>2288668</v>
      </c>
      <c r="AN44" s="4">
        <v>2542360</v>
      </c>
      <c r="AO44" s="134">
        <v>164290</v>
      </c>
    </row>
    <row r="45" spans="1:41" x14ac:dyDescent="0.2">
      <c r="A45" s="1">
        <v>2025</v>
      </c>
      <c r="B45" s="2" t="s">
        <v>62</v>
      </c>
      <c r="C45" s="2" t="s">
        <v>62</v>
      </c>
      <c r="D45" s="1" t="s">
        <v>412</v>
      </c>
      <c r="E45" s="3">
        <v>6095551</v>
      </c>
      <c r="F45" s="3">
        <v>647</v>
      </c>
      <c r="G45" s="3">
        <v>0</v>
      </c>
      <c r="H45" s="3">
        <v>18523</v>
      </c>
      <c r="I45" s="1">
        <v>0</v>
      </c>
      <c r="J45" s="3">
        <v>6094904</v>
      </c>
      <c r="K45" s="3">
        <v>6076381</v>
      </c>
      <c r="L45" s="3">
        <v>6076381</v>
      </c>
      <c r="M45" s="3">
        <v>151960</v>
      </c>
      <c r="N45" s="3">
        <v>963876</v>
      </c>
      <c r="O45" s="3">
        <v>70933</v>
      </c>
      <c r="P45" s="3">
        <v>60288</v>
      </c>
      <c r="Q45" s="3">
        <v>314835</v>
      </c>
      <c r="R45" s="3">
        <v>4533012</v>
      </c>
      <c r="S45" s="3">
        <v>4514489</v>
      </c>
      <c r="T45" s="3">
        <v>4514489</v>
      </c>
      <c r="U45" s="3">
        <v>609490</v>
      </c>
      <c r="V45" s="3">
        <v>609490</v>
      </c>
      <c r="W45" s="3">
        <v>609490</v>
      </c>
      <c r="X45" s="3">
        <v>609490</v>
      </c>
      <c r="Y45" s="3">
        <v>606404</v>
      </c>
      <c r="Z45" s="3">
        <v>606404</v>
      </c>
      <c r="AA45" s="4">
        <v>606403</v>
      </c>
      <c r="AB45" s="4">
        <v>606403</v>
      </c>
      <c r="AC45" s="4">
        <v>606403</v>
      </c>
      <c r="AD45" s="4">
        <v>606404</v>
      </c>
      <c r="AE45" s="4">
        <v>609490</v>
      </c>
      <c r="AF45" s="4">
        <v>1218980</v>
      </c>
      <c r="AG45" s="4">
        <v>1828470</v>
      </c>
      <c r="AH45" s="4">
        <v>2437960</v>
      </c>
      <c r="AI45" s="4">
        <v>3044364</v>
      </c>
      <c r="AJ45" s="4">
        <v>3650768</v>
      </c>
      <c r="AK45" s="4">
        <v>4257171</v>
      </c>
      <c r="AL45" s="4">
        <v>4863574</v>
      </c>
      <c r="AM45" s="4">
        <v>5469977</v>
      </c>
      <c r="AN45" s="4">
        <v>6076381</v>
      </c>
      <c r="AO45" s="134">
        <v>340240</v>
      </c>
    </row>
    <row r="46" spans="1:41" x14ac:dyDescent="0.2">
      <c r="A46" s="1">
        <v>2025</v>
      </c>
      <c r="B46" s="2" t="s">
        <v>63</v>
      </c>
      <c r="C46" s="2" t="s">
        <v>63</v>
      </c>
      <c r="D46" s="1" t="s">
        <v>413</v>
      </c>
      <c r="E46" s="3">
        <v>4794430</v>
      </c>
      <c r="F46" s="3">
        <v>1144</v>
      </c>
      <c r="G46" s="3">
        <v>0</v>
      </c>
      <c r="H46" s="3">
        <v>12171</v>
      </c>
      <c r="I46" s="3">
        <v>0</v>
      </c>
      <c r="J46" s="3">
        <v>4793286</v>
      </c>
      <c r="K46" s="3">
        <v>4781115</v>
      </c>
      <c r="L46" s="3">
        <v>4781115</v>
      </c>
      <c r="M46" s="3">
        <v>268853</v>
      </c>
      <c r="N46" s="3">
        <v>774812</v>
      </c>
      <c r="O46" s="3">
        <v>48702</v>
      </c>
      <c r="P46" s="3">
        <v>37404</v>
      </c>
      <c r="Q46" s="3">
        <v>211352</v>
      </c>
      <c r="R46" s="3">
        <v>3452163</v>
      </c>
      <c r="S46" s="3">
        <v>3439992</v>
      </c>
      <c r="T46" s="3">
        <v>3439992</v>
      </c>
      <c r="U46" s="3">
        <v>479329</v>
      </c>
      <c r="V46" s="3">
        <v>479329</v>
      </c>
      <c r="W46" s="3">
        <v>479329</v>
      </c>
      <c r="X46" s="3">
        <v>479329</v>
      </c>
      <c r="Y46" s="3">
        <v>477300</v>
      </c>
      <c r="Z46" s="3">
        <v>477300</v>
      </c>
      <c r="AA46" s="4">
        <v>477300</v>
      </c>
      <c r="AB46" s="4">
        <v>477300</v>
      </c>
      <c r="AC46" s="4">
        <v>477300</v>
      </c>
      <c r="AD46" s="4">
        <v>477299</v>
      </c>
      <c r="AE46" s="4">
        <v>479329</v>
      </c>
      <c r="AF46" s="4">
        <v>958658</v>
      </c>
      <c r="AG46" s="4">
        <v>1437987</v>
      </c>
      <c r="AH46" s="4">
        <v>1917316</v>
      </c>
      <c r="AI46" s="4">
        <v>2394616</v>
      </c>
      <c r="AJ46" s="4">
        <v>2871916</v>
      </c>
      <c r="AK46" s="4">
        <v>3349216</v>
      </c>
      <c r="AL46" s="4">
        <v>3826516</v>
      </c>
      <c r="AM46" s="4">
        <v>4303816</v>
      </c>
      <c r="AN46" s="4">
        <v>4781115</v>
      </c>
      <c r="AO46" s="134">
        <v>234906</v>
      </c>
    </row>
    <row r="47" spans="1:41" x14ac:dyDescent="0.2">
      <c r="A47" s="1">
        <v>2025</v>
      </c>
      <c r="B47" s="2" t="s">
        <v>64</v>
      </c>
      <c r="C47" s="2" t="s">
        <v>64</v>
      </c>
      <c r="D47" s="1" t="s">
        <v>414</v>
      </c>
      <c r="E47" s="3">
        <v>16876219</v>
      </c>
      <c r="F47" s="3">
        <v>1542</v>
      </c>
      <c r="G47" s="3">
        <v>6799</v>
      </c>
      <c r="H47" s="3">
        <v>44709</v>
      </c>
      <c r="I47" s="1">
        <v>0</v>
      </c>
      <c r="J47" s="3">
        <v>16867878</v>
      </c>
      <c r="K47" s="3">
        <v>16823169</v>
      </c>
      <c r="L47" s="3">
        <v>16823169</v>
      </c>
      <c r="M47" s="3">
        <v>362367</v>
      </c>
      <c r="N47" s="3">
        <v>1468876</v>
      </c>
      <c r="O47" s="3">
        <v>160562</v>
      </c>
      <c r="P47" s="3">
        <v>136340</v>
      </c>
      <c r="Q47" s="3">
        <v>759937</v>
      </c>
      <c r="R47" s="3">
        <v>13979796</v>
      </c>
      <c r="S47" s="3">
        <v>13935087</v>
      </c>
      <c r="T47" s="3">
        <v>13935087</v>
      </c>
      <c r="U47" s="3">
        <v>1686788</v>
      </c>
      <c r="V47" s="3">
        <v>1686788</v>
      </c>
      <c r="W47" s="3">
        <v>1686788</v>
      </c>
      <c r="X47" s="3">
        <v>1686788</v>
      </c>
      <c r="Y47" s="3">
        <v>1679336</v>
      </c>
      <c r="Z47" s="3">
        <v>1679336</v>
      </c>
      <c r="AA47" s="4">
        <v>1679336</v>
      </c>
      <c r="AB47" s="4">
        <v>1679336</v>
      </c>
      <c r="AC47" s="4">
        <v>1679336</v>
      </c>
      <c r="AD47" s="4">
        <v>1679337</v>
      </c>
      <c r="AE47" s="4">
        <v>1686788</v>
      </c>
      <c r="AF47" s="4">
        <v>3373576</v>
      </c>
      <c r="AG47" s="4">
        <v>5060364</v>
      </c>
      <c r="AH47" s="4">
        <v>6747152</v>
      </c>
      <c r="AI47" s="4">
        <v>8426488</v>
      </c>
      <c r="AJ47" s="4">
        <v>10105824</v>
      </c>
      <c r="AK47" s="4">
        <v>11785160</v>
      </c>
      <c r="AL47" s="4">
        <v>13464496</v>
      </c>
      <c r="AM47" s="4">
        <v>15143832</v>
      </c>
      <c r="AN47" s="4">
        <v>16823169</v>
      </c>
      <c r="AO47" s="134">
        <v>780876</v>
      </c>
    </row>
    <row r="48" spans="1:41" x14ac:dyDescent="0.2">
      <c r="A48" s="1">
        <v>2025</v>
      </c>
      <c r="B48" s="2" t="s">
        <v>65</v>
      </c>
      <c r="C48" s="2" t="s">
        <v>65</v>
      </c>
      <c r="D48" s="1" t="s">
        <v>415</v>
      </c>
      <c r="E48" s="3">
        <v>10508166</v>
      </c>
      <c r="F48" s="3">
        <v>2687</v>
      </c>
      <c r="G48" s="3">
        <v>0</v>
      </c>
      <c r="H48" s="3">
        <v>36350</v>
      </c>
      <c r="I48" s="1">
        <v>0</v>
      </c>
      <c r="J48" s="3">
        <v>10505479</v>
      </c>
      <c r="K48" s="3">
        <v>10469129</v>
      </c>
      <c r="L48" s="3">
        <v>10469129</v>
      </c>
      <c r="M48" s="3">
        <v>631219</v>
      </c>
      <c r="N48" s="3">
        <v>1446168</v>
      </c>
      <c r="O48" s="3">
        <v>151246</v>
      </c>
      <c r="P48" s="3">
        <v>148513</v>
      </c>
      <c r="Q48" s="3">
        <v>748190</v>
      </c>
      <c r="R48" s="3">
        <v>7380143</v>
      </c>
      <c r="S48" s="3">
        <v>7343793</v>
      </c>
      <c r="T48" s="3">
        <v>7343793</v>
      </c>
      <c r="U48" s="3">
        <v>1050548</v>
      </c>
      <c r="V48" s="3">
        <v>1050548</v>
      </c>
      <c r="W48" s="3">
        <v>1050548</v>
      </c>
      <c r="X48" s="3">
        <v>1050548</v>
      </c>
      <c r="Y48" s="3">
        <v>1044490</v>
      </c>
      <c r="Z48" s="3">
        <v>1044490</v>
      </c>
      <c r="AA48" s="4">
        <v>1044489</v>
      </c>
      <c r="AB48" s="4">
        <v>1044489</v>
      </c>
      <c r="AC48" s="4">
        <v>1044489</v>
      </c>
      <c r="AD48" s="4">
        <v>1044490</v>
      </c>
      <c r="AE48" s="4">
        <v>1050548</v>
      </c>
      <c r="AF48" s="4">
        <v>2101096</v>
      </c>
      <c r="AG48" s="4">
        <v>3151644</v>
      </c>
      <c r="AH48" s="4">
        <v>4202192</v>
      </c>
      <c r="AI48" s="4">
        <v>5246682</v>
      </c>
      <c r="AJ48" s="4">
        <v>6291172</v>
      </c>
      <c r="AK48" s="4">
        <v>7335661</v>
      </c>
      <c r="AL48" s="4">
        <v>8380150</v>
      </c>
      <c r="AM48" s="4">
        <v>9424639</v>
      </c>
      <c r="AN48" s="4">
        <v>10469129</v>
      </c>
      <c r="AO48" s="134">
        <v>710532</v>
      </c>
    </row>
    <row r="49" spans="1:41" x14ac:dyDescent="0.2">
      <c r="A49" s="1">
        <v>2025</v>
      </c>
      <c r="B49" s="2" t="s">
        <v>66</v>
      </c>
      <c r="C49" s="2" t="s">
        <v>66</v>
      </c>
      <c r="D49" s="1" t="s">
        <v>416</v>
      </c>
      <c r="E49" s="3">
        <v>40686930</v>
      </c>
      <c r="F49" s="3">
        <v>3035</v>
      </c>
      <c r="G49" s="3">
        <v>12606</v>
      </c>
      <c r="H49" s="3">
        <v>124460</v>
      </c>
      <c r="I49" s="1">
        <v>0</v>
      </c>
      <c r="J49" s="3">
        <v>40671289</v>
      </c>
      <c r="K49" s="3">
        <v>40546829</v>
      </c>
      <c r="L49" s="3">
        <v>40546829</v>
      </c>
      <c r="M49" s="3">
        <v>713044</v>
      </c>
      <c r="N49" s="3">
        <v>3963848</v>
      </c>
      <c r="O49" s="3">
        <v>445713</v>
      </c>
      <c r="P49" s="3">
        <v>441291</v>
      </c>
      <c r="Q49" s="3">
        <v>2141484</v>
      </c>
      <c r="R49" s="3">
        <v>32965909</v>
      </c>
      <c r="S49" s="3">
        <v>32841449</v>
      </c>
      <c r="T49" s="3">
        <v>32841449</v>
      </c>
      <c r="U49" s="3">
        <v>4067129</v>
      </c>
      <c r="V49" s="3">
        <v>4067129</v>
      </c>
      <c r="W49" s="3">
        <v>4067129</v>
      </c>
      <c r="X49" s="3">
        <v>4067129</v>
      </c>
      <c r="Y49" s="3">
        <v>4046386</v>
      </c>
      <c r="Z49" s="3">
        <v>4046386</v>
      </c>
      <c r="AA49" s="4">
        <v>4046385</v>
      </c>
      <c r="AB49" s="4">
        <v>4046385</v>
      </c>
      <c r="AC49" s="4">
        <v>4046385</v>
      </c>
      <c r="AD49" s="4">
        <v>4046386</v>
      </c>
      <c r="AE49" s="4">
        <v>4067129</v>
      </c>
      <c r="AF49" s="4">
        <v>8134258</v>
      </c>
      <c r="AG49" s="4">
        <v>12201387</v>
      </c>
      <c r="AH49" s="4">
        <v>16268516</v>
      </c>
      <c r="AI49" s="4">
        <v>20314902</v>
      </c>
      <c r="AJ49" s="4">
        <v>24361288</v>
      </c>
      <c r="AK49" s="4">
        <v>28407673</v>
      </c>
      <c r="AL49" s="4">
        <v>32454058</v>
      </c>
      <c r="AM49" s="4">
        <v>36500443</v>
      </c>
      <c r="AN49" s="4">
        <v>40546829</v>
      </c>
      <c r="AO49" s="134">
        <v>2408716</v>
      </c>
    </row>
    <row r="50" spans="1:41" x14ac:dyDescent="0.2">
      <c r="A50" s="1">
        <v>2025</v>
      </c>
      <c r="B50" s="2" t="s">
        <v>67</v>
      </c>
      <c r="C50" s="2" t="s">
        <v>67</v>
      </c>
      <c r="D50" s="1" t="s">
        <v>417</v>
      </c>
      <c r="E50" s="3">
        <v>125622443</v>
      </c>
      <c r="F50" s="3">
        <v>11079</v>
      </c>
      <c r="G50" s="3">
        <v>24737</v>
      </c>
      <c r="H50" s="3">
        <v>363556</v>
      </c>
      <c r="I50" s="1">
        <v>0</v>
      </c>
      <c r="J50" s="3">
        <v>125586627</v>
      </c>
      <c r="K50" s="3">
        <v>125223071</v>
      </c>
      <c r="L50" s="3">
        <v>125223071</v>
      </c>
      <c r="M50" s="3">
        <v>2606623</v>
      </c>
      <c r="N50" s="3">
        <v>11873994</v>
      </c>
      <c r="O50" s="3">
        <v>1434512</v>
      </c>
      <c r="P50" s="3">
        <v>1314955</v>
      </c>
      <c r="Q50" s="3">
        <v>6414970</v>
      </c>
      <c r="R50" s="3">
        <v>101941573</v>
      </c>
      <c r="S50" s="3">
        <v>101578017</v>
      </c>
      <c r="T50" s="3">
        <v>101578017</v>
      </c>
      <c r="U50" s="3">
        <v>12558663</v>
      </c>
      <c r="V50" s="3">
        <v>12558663</v>
      </c>
      <c r="W50" s="3">
        <v>12558663</v>
      </c>
      <c r="X50" s="3">
        <v>12558663</v>
      </c>
      <c r="Y50" s="3">
        <v>12498070</v>
      </c>
      <c r="Z50" s="3">
        <v>12498070</v>
      </c>
      <c r="AA50" s="4">
        <v>12498070</v>
      </c>
      <c r="AB50" s="4">
        <v>12498070</v>
      </c>
      <c r="AC50" s="4">
        <v>12498070</v>
      </c>
      <c r="AD50" s="4">
        <v>12498069</v>
      </c>
      <c r="AE50" s="4">
        <v>12558663</v>
      </c>
      <c r="AF50" s="4">
        <v>25117326</v>
      </c>
      <c r="AG50" s="4">
        <v>37675989</v>
      </c>
      <c r="AH50" s="4">
        <v>50234652</v>
      </c>
      <c r="AI50" s="4">
        <v>62732722</v>
      </c>
      <c r="AJ50" s="4">
        <v>75230792</v>
      </c>
      <c r="AK50" s="4">
        <v>87728862</v>
      </c>
      <c r="AL50" s="4">
        <v>100226932</v>
      </c>
      <c r="AM50" s="4">
        <v>112725002</v>
      </c>
      <c r="AN50" s="4">
        <v>125223071</v>
      </c>
      <c r="AO50" s="134">
        <v>6834441</v>
      </c>
    </row>
    <row r="51" spans="1:41" x14ac:dyDescent="0.2">
      <c r="A51" s="1">
        <v>2025</v>
      </c>
      <c r="B51" s="2" t="s">
        <v>68</v>
      </c>
      <c r="C51" s="2" t="s">
        <v>68</v>
      </c>
      <c r="D51" s="1" t="s">
        <v>418</v>
      </c>
      <c r="E51" s="3">
        <v>9112361</v>
      </c>
      <c r="F51" s="3">
        <v>1244</v>
      </c>
      <c r="G51" s="3">
        <v>0</v>
      </c>
      <c r="H51" s="3">
        <v>26450</v>
      </c>
      <c r="I51" s="1">
        <v>0</v>
      </c>
      <c r="J51" s="3">
        <v>9111117</v>
      </c>
      <c r="K51" s="3">
        <v>9084667</v>
      </c>
      <c r="L51" s="3">
        <v>9084667</v>
      </c>
      <c r="M51" s="3">
        <v>292231</v>
      </c>
      <c r="N51" s="3">
        <v>943902</v>
      </c>
      <c r="O51" s="3">
        <v>90751</v>
      </c>
      <c r="P51" s="3">
        <v>87332</v>
      </c>
      <c r="Q51" s="3">
        <v>445431</v>
      </c>
      <c r="R51" s="3">
        <v>7251470</v>
      </c>
      <c r="S51" s="3">
        <v>7225020</v>
      </c>
      <c r="T51" s="3">
        <v>7225020</v>
      </c>
      <c r="U51" s="3">
        <v>911112</v>
      </c>
      <c r="V51" s="3">
        <v>911112</v>
      </c>
      <c r="W51" s="3">
        <v>911112</v>
      </c>
      <c r="X51" s="3">
        <v>911112</v>
      </c>
      <c r="Y51" s="3">
        <v>906703</v>
      </c>
      <c r="Z51" s="3">
        <v>906703</v>
      </c>
      <c r="AA51" s="4">
        <v>906703</v>
      </c>
      <c r="AB51" s="4">
        <v>906703</v>
      </c>
      <c r="AC51" s="4">
        <v>906703</v>
      </c>
      <c r="AD51" s="4">
        <v>906704</v>
      </c>
      <c r="AE51" s="4">
        <v>911112</v>
      </c>
      <c r="AF51" s="4">
        <v>1822224</v>
      </c>
      <c r="AG51" s="4">
        <v>2733336</v>
      </c>
      <c r="AH51" s="4">
        <v>3644448</v>
      </c>
      <c r="AI51" s="4">
        <v>4551151</v>
      </c>
      <c r="AJ51" s="4">
        <v>5457854</v>
      </c>
      <c r="AK51" s="4">
        <v>6364557</v>
      </c>
      <c r="AL51" s="4">
        <v>7271260</v>
      </c>
      <c r="AM51" s="4">
        <v>8177963</v>
      </c>
      <c r="AN51" s="4">
        <v>9084667</v>
      </c>
      <c r="AO51" s="134">
        <v>491845</v>
      </c>
    </row>
    <row r="52" spans="1:41" x14ac:dyDescent="0.2">
      <c r="A52" s="1">
        <v>2025</v>
      </c>
      <c r="B52" s="2" t="s">
        <v>69</v>
      </c>
      <c r="C52" s="2" t="s">
        <v>69</v>
      </c>
      <c r="D52" s="1" t="s">
        <v>419</v>
      </c>
      <c r="E52" s="3">
        <v>11501368</v>
      </c>
      <c r="F52" s="3">
        <v>962</v>
      </c>
      <c r="G52" s="3">
        <v>0</v>
      </c>
      <c r="H52" s="3">
        <v>29971</v>
      </c>
      <c r="I52" s="1">
        <v>0</v>
      </c>
      <c r="J52" s="3">
        <v>11500406</v>
      </c>
      <c r="K52" s="3">
        <v>11470435</v>
      </c>
      <c r="L52" s="3">
        <v>11470435</v>
      </c>
      <c r="M52" s="3">
        <v>225992</v>
      </c>
      <c r="N52" s="3">
        <v>1065012</v>
      </c>
      <c r="O52" s="3">
        <v>108529</v>
      </c>
      <c r="P52" s="3">
        <v>102262</v>
      </c>
      <c r="Q52" s="3">
        <v>502583</v>
      </c>
      <c r="R52" s="3">
        <v>9496028</v>
      </c>
      <c r="S52" s="3">
        <v>9466057</v>
      </c>
      <c r="T52" s="3">
        <v>9466057</v>
      </c>
      <c r="U52" s="3">
        <v>1150041</v>
      </c>
      <c r="V52" s="3">
        <v>1150041</v>
      </c>
      <c r="W52" s="3">
        <v>1150041</v>
      </c>
      <c r="X52" s="3">
        <v>1150041</v>
      </c>
      <c r="Y52" s="3">
        <v>1145045</v>
      </c>
      <c r="Z52" s="3">
        <v>1145045</v>
      </c>
      <c r="AA52" s="4">
        <v>1145045</v>
      </c>
      <c r="AB52" s="4">
        <v>1145045</v>
      </c>
      <c r="AC52" s="4">
        <v>1145045</v>
      </c>
      <c r="AD52" s="4">
        <v>1145046</v>
      </c>
      <c r="AE52" s="4">
        <v>1150041</v>
      </c>
      <c r="AF52" s="4">
        <v>2300082</v>
      </c>
      <c r="AG52" s="4">
        <v>3450123</v>
      </c>
      <c r="AH52" s="4">
        <v>4600164</v>
      </c>
      <c r="AI52" s="4">
        <v>5745209</v>
      </c>
      <c r="AJ52" s="4">
        <v>6890254</v>
      </c>
      <c r="AK52" s="4">
        <v>8035299</v>
      </c>
      <c r="AL52" s="4">
        <v>9180344</v>
      </c>
      <c r="AM52" s="4">
        <v>10325389</v>
      </c>
      <c r="AN52" s="4">
        <v>11470435</v>
      </c>
      <c r="AO52" s="134">
        <v>548929</v>
      </c>
    </row>
    <row r="53" spans="1:41" x14ac:dyDescent="0.2">
      <c r="A53" s="1">
        <v>2025</v>
      </c>
      <c r="B53" s="2" t="s">
        <v>70</v>
      </c>
      <c r="C53" s="2" t="s">
        <v>70</v>
      </c>
      <c r="D53" s="1" t="s">
        <v>420</v>
      </c>
      <c r="E53" s="3">
        <v>5598207</v>
      </c>
      <c r="F53" s="3">
        <v>1211</v>
      </c>
      <c r="G53" s="3">
        <v>0</v>
      </c>
      <c r="H53" s="3">
        <v>18280</v>
      </c>
      <c r="I53" s="1">
        <v>0</v>
      </c>
      <c r="J53" s="3">
        <v>5596996</v>
      </c>
      <c r="K53" s="3">
        <v>5578716</v>
      </c>
      <c r="L53" s="3">
        <v>5578716</v>
      </c>
      <c r="M53" s="3">
        <v>280620</v>
      </c>
      <c r="N53" s="3">
        <v>725711</v>
      </c>
      <c r="O53" s="3">
        <v>63413</v>
      </c>
      <c r="P53" s="3">
        <v>72128</v>
      </c>
      <c r="Q53" s="3">
        <v>308802</v>
      </c>
      <c r="R53" s="3">
        <v>4146322</v>
      </c>
      <c r="S53" s="3">
        <v>4128042</v>
      </c>
      <c r="T53" s="3">
        <v>4128042</v>
      </c>
      <c r="U53" s="3">
        <v>559700</v>
      </c>
      <c r="V53" s="3">
        <v>559700</v>
      </c>
      <c r="W53" s="3">
        <v>559700</v>
      </c>
      <c r="X53" s="3">
        <v>559700</v>
      </c>
      <c r="Y53" s="3">
        <v>556653</v>
      </c>
      <c r="Z53" s="3">
        <v>556653</v>
      </c>
      <c r="AA53" s="4">
        <v>556653</v>
      </c>
      <c r="AB53" s="4">
        <v>556653</v>
      </c>
      <c r="AC53" s="4">
        <v>556653</v>
      </c>
      <c r="AD53" s="4">
        <v>556651</v>
      </c>
      <c r="AE53" s="4">
        <v>559700</v>
      </c>
      <c r="AF53" s="4">
        <v>1119400</v>
      </c>
      <c r="AG53" s="4">
        <v>1679100</v>
      </c>
      <c r="AH53" s="4">
        <v>2238800</v>
      </c>
      <c r="AI53" s="4">
        <v>2795453</v>
      </c>
      <c r="AJ53" s="4">
        <v>3352106</v>
      </c>
      <c r="AK53" s="4">
        <v>3908759</v>
      </c>
      <c r="AL53" s="4">
        <v>4465412</v>
      </c>
      <c r="AM53" s="4">
        <v>5022065</v>
      </c>
      <c r="AN53" s="4">
        <v>5578716</v>
      </c>
      <c r="AO53" s="134">
        <v>329109</v>
      </c>
    </row>
    <row r="54" spans="1:41" x14ac:dyDescent="0.2">
      <c r="A54" s="1">
        <v>2025</v>
      </c>
      <c r="B54" s="2" t="s">
        <v>71</v>
      </c>
      <c r="C54" s="2" t="s">
        <v>71</v>
      </c>
      <c r="D54" s="1" t="s">
        <v>421</v>
      </c>
      <c r="E54" s="3">
        <v>3545829</v>
      </c>
      <c r="F54" s="3">
        <v>381</v>
      </c>
      <c r="G54" s="3">
        <v>0</v>
      </c>
      <c r="H54" s="3">
        <v>10526</v>
      </c>
      <c r="I54" s="1">
        <v>0</v>
      </c>
      <c r="J54" s="3">
        <v>3545448</v>
      </c>
      <c r="K54" s="3">
        <v>3534922</v>
      </c>
      <c r="L54" s="3">
        <v>3534922</v>
      </c>
      <c r="M54" s="3">
        <v>89618</v>
      </c>
      <c r="N54" s="3">
        <v>499791</v>
      </c>
      <c r="O54" s="3">
        <v>33692</v>
      </c>
      <c r="P54" s="3">
        <v>33636</v>
      </c>
      <c r="Q54" s="3">
        <v>176518</v>
      </c>
      <c r="R54" s="3">
        <v>2712193</v>
      </c>
      <c r="S54" s="3">
        <v>2701667</v>
      </c>
      <c r="T54" s="3">
        <v>2701667</v>
      </c>
      <c r="U54" s="3">
        <v>354545</v>
      </c>
      <c r="V54" s="3">
        <v>354545</v>
      </c>
      <c r="W54" s="3">
        <v>354545</v>
      </c>
      <c r="X54" s="3">
        <v>354545</v>
      </c>
      <c r="Y54" s="3">
        <v>352790</v>
      </c>
      <c r="Z54" s="3">
        <v>352790</v>
      </c>
      <c r="AA54" s="4">
        <v>352791</v>
      </c>
      <c r="AB54" s="4">
        <v>352791</v>
      </c>
      <c r="AC54" s="4">
        <v>352791</v>
      </c>
      <c r="AD54" s="4">
        <v>352789</v>
      </c>
      <c r="AE54" s="4">
        <v>354545</v>
      </c>
      <c r="AF54" s="4">
        <v>709090</v>
      </c>
      <c r="AG54" s="4">
        <v>1063635</v>
      </c>
      <c r="AH54" s="4">
        <v>1418180</v>
      </c>
      <c r="AI54" s="4">
        <v>1770970</v>
      </c>
      <c r="AJ54" s="4">
        <v>2123760</v>
      </c>
      <c r="AK54" s="4">
        <v>2476551</v>
      </c>
      <c r="AL54" s="4">
        <v>2829342</v>
      </c>
      <c r="AM54" s="4">
        <v>3182133</v>
      </c>
      <c r="AN54" s="4">
        <v>3534922</v>
      </c>
      <c r="AO54" s="134">
        <v>204637</v>
      </c>
    </row>
    <row r="55" spans="1:41" x14ac:dyDescent="0.2">
      <c r="A55" s="1">
        <v>2025</v>
      </c>
      <c r="B55" s="2" t="s">
        <v>72</v>
      </c>
      <c r="C55" s="2" t="s">
        <v>72</v>
      </c>
      <c r="D55" s="1" t="s">
        <v>422</v>
      </c>
      <c r="E55" s="3">
        <v>11138728</v>
      </c>
      <c r="F55" s="3">
        <v>1609</v>
      </c>
      <c r="G55" s="3">
        <v>0</v>
      </c>
      <c r="H55" s="3">
        <v>33172</v>
      </c>
      <c r="I55" s="1">
        <v>0</v>
      </c>
      <c r="J55" s="3">
        <v>11137119</v>
      </c>
      <c r="K55" s="3">
        <v>11103947</v>
      </c>
      <c r="L55" s="3">
        <v>11103947</v>
      </c>
      <c r="M55" s="3">
        <v>377952</v>
      </c>
      <c r="N55" s="3">
        <v>1428303</v>
      </c>
      <c r="O55" s="3">
        <v>110588</v>
      </c>
      <c r="P55" s="3">
        <v>114621</v>
      </c>
      <c r="Q55" s="3">
        <v>579302</v>
      </c>
      <c r="R55" s="3">
        <v>8526353</v>
      </c>
      <c r="S55" s="3">
        <v>8493181</v>
      </c>
      <c r="T55" s="3">
        <v>8493181</v>
      </c>
      <c r="U55" s="3">
        <v>1113712</v>
      </c>
      <c r="V55" s="3">
        <v>1113712</v>
      </c>
      <c r="W55" s="3">
        <v>1113712</v>
      </c>
      <c r="X55" s="3">
        <v>1113712</v>
      </c>
      <c r="Y55" s="3">
        <v>1108183</v>
      </c>
      <c r="Z55" s="3">
        <v>1108183</v>
      </c>
      <c r="AA55" s="4">
        <v>1108183</v>
      </c>
      <c r="AB55" s="4">
        <v>1108183</v>
      </c>
      <c r="AC55" s="4">
        <v>1108183</v>
      </c>
      <c r="AD55" s="4">
        <v>1108184</v>
      </c>
      <c r="AE55" s="4">
        <v>1113712</v>
      </c>
      <c r="AF55" s="4">
        <v>2227424</v>
      </c>
      <c r="AG55" s="4">
        <v>3341136</v>
      </c>
      <c r="AH55" s="4">
        <v>4454848</v>
      </c>
      <c r="AI55" s="4">
        <v>5563031</v>
      </c>
      <c r="AJ55" s="4">
        <v>6671214</v>
      </c>
      <c r="AK55" s="4">
        <v>7779397</v>
      </c>
      <c r="AL55" s="4">
        <v>8887580</v>
      </c>
      <c r="AM55" s="4">
        <v>9995763</v>
      </c>
      <c r="AN55" s="4">
        <v>11103947</v>
      </c>
      <c r="AO55" s="134">
        <v>614529</v>
      </c>
    </row>
    <row r="56" spans="1:41" x14ac:dyDescent="0.2">
      <c r="A56" s="1">
        <v>2025</v>
      </c>
      <c r="B56" s="2" t="s">
        <v>73</v>
      </c>
      <c r="C56" s="2" t="s">
        <v>73</v>
      </c>
      <c r="D56" s="1" t="s">
        <v>423</v>
      </c>
      <c r="E56" s="3">
        <v>3292026</v>
      </c>
      <c r="F56" s="1">
        <v>299</v>
      </c>
      <c r="G56" s="1">
        <v>0</v>
      </c>
      <c r="H56" s="3">
        <v>9481</v>
      </c>
      <c r="I56" s="1">
        <v>0</v>
      </c>
      <c r="J56" s="3">
        <v>3291727</v>
      </c>
      <c r="K56" s="3">
        <v>3282246</v>
      </c>
      <c r="L56" s="3">
        <v>3282246</v>
      </c>
      <c r="M56" s="3">
        <v>70135</v>
      </c>
      <c r="N56" s="3">
        <v>533296</v>
      </c>
      <c r="O56" s="3">
        <v>34698</v>
      </c>
      <c r="P56" s="3">
        <v>30612</v>
      </c>
      <c r="Q56" s="3">
        <v>161635</v>
      </c>
      <c r="R56" s="3">
        <v>2461351</v>
      </c>
      <c r="S56" s="3">
        <v>2451870</v>
      </c>
      <c r="T56" s="3">
        <v>2451870</v>
      </c>
      <c r="U56" s="3">
        <v>329173</v>
      </c>
      <c r="V56" s="3">
        <v>329173</v>
      </c>
      <c r="W56" s="3">
        <v>329173</v>
      </c>
      <c r="X56" s="3">
        <v>329173</v>
      </c>
      <c r="Y56" s="3">
        <v>327592</v>
      </c>
      <c r="Z56" s="3">
        <v>327592</v>
      </c>
      <c r="AA56" s="4">
        <v>327593</v>
      </c>
      <c r="AB56" s="4">
        <v>327593</v>
      </c>
      <c r="AC56" s="4">
        <v>327593</v>
      </c>
      <c r="AD56" s="4">
        <v>327591</v>
      </c>
      <c r="AE56" s="4">
        <v>329173</v>
      </c>
      <c r="AF56" s="4">
        <v>658346</v>
      </c>
      <c r="AG56" s="4">
        <v>987519</v>
      </c>
      <c r="AH56" s="4">
        <v>1316692</v>
      </c>
      <c r="AI56" s="4">
        <v>1644284</v>
      </c>
      <c r="AJ56" s="4">
        <v>1971876</v>
      </c>
      <c r="AK56" s="4">
        <v>2299469</v>
      </c>
      <c r="AL56" s="4">
        <v>2627062</v>
      </c>
      <c r="AM56" s="4">
        <v>2954655</v>
      </c>
      <c r="AN56" s="4">
        <v>3282246</v>
      </c>
      <c r="AO56" s="134">
        <v>176040</v>
      </c>
    </row>
    <row r="57" spans="1:41" x14ac:dyDescent="0.2">
      <c r="A57" s="1">
        <v>2025</v>
      </c>
      <c r="B57" s="2" t="s">
        <v>74</v>
      </c>
      <c r="C57" s="2" t="s">
        <v>74</v>
      </c>
      <c r="D57" s="1" t="s">
        <v>424</v>
      </c>
      <c r="E57" s="3">
        <v>5838028</v>
      </c>
      <c r="F57" s="3">
        <v>415</v>
      </c>
      <c r="G57" s="3">
        <v>0</v>
      </c>
      <c r="H57" s="3">
        <v>14245</v>
      </c>
      <c r="I57" s="1">
        <v>0</v>
      </c>
      <c r="J57" s="3">
        <v>5837613</v>
      </c>
      <c r="K57" s="3">
        <v>5823368</v>
      </c>
      <c r="L57" s="3">
        <v>5823368</v>
      </c>
      <c r="M57" s="3">
        <v>97410</v>
      </c>
      <c r="N57" s="3">
        <v>653370</v>
      </c>
      <c r="O57" s="3">
        <v>58440</v>
      </c>
      <c r="P57" s="3">
        <v>46032</v>
      </c>
      <c r="Q57" s="3">
        <v>238883</v>
      </c>
      <c r="R57" s="3">
        <v>4743478</v>
      </c>
      <c r="S57" s="3">
        <v>4729233</v>
      </c>
      <c r="T57" s="3">
        <v>4729233</v>
      </c>
      <c r="U57" s="3">
        <v>583761</v>
      </c>
      <c r="V57" s="3">
        <v>583761</v>
      </c>
      <c r="W57" s="3">
        <v>583761</v>
      </c>
      <c r="X57" s="3">
        <v>583761</v>
      </c>
      <c r="Y57" s="3">
        <v>581387</v>
      </c>
      <c r="Z57" s="3">
        <v>581387</v>
      </c>
      <c r="AA57" s="4">
        <v>581388</v>
      </c>
      <c r="AB57" s="4">
        <v>581388</v>
      </c>
      <c r="AC57" s="4">
        <v>581388</v>
      </c>
      <c r="AD57" s="4">
        <v>581386</v>
      </c>
      <c r="AE57" s="4">
        <v>583761</v>
      </c>
      <c r="AF57" s="4">
        <v>1167522</v>
      </c>
      <c r="AG57" s="4">
        <v>1751283</v>
      </c>
      <c r="AH57" s="4">
        <v>2335044</v>
      </c>
      <c r="AI57" s="4">
        <v>2916431</v>
      </c>
      <c r="AJ57" s="4">
        <v>3497818</v>
      </c>
      <c r="AK57" s="4">
        <v>4079206</v>
      </c>
      <c r="AL57" s="4">
        <v>4660594</v>
      </c>
      <c r="AM57" s="4">
        <v>5241982</v>
      </c>
      <c r="AN57" s="4">
        <v>5823368</v>
      </c>
      <c r="AO57" s="134">
        <v>274182</v>
      </c>
    </row>
    <row r="58" spans="1:41" x14ac:dyDescent="0.2">
      <c r="A58" s="1">
        <v>2025</v>
      </c>
      <c r="B58" s="2" t="s">
        <v>75</v>
      </c>
      <c r="C58" s="2" t="s">
        <v>75</v>
      </c>
      <c r="D58" s="1" t="s">
        <v>425</v>
      </c>
      <c r="E58" s="3">
        <v>5566699</v>
      </c>
      <c r="F58" s="1">
        <v>713</v>
      </c>
      <c r="G58" s="1">
        <v>0</v>
      </c>
      <c r="H58" s="3">
        <v>17106</v>
      </c>
      <c r="I58" s="3">
        <v>0</v>
      </c>
      <c r="J58" s="3">
        <v>5565986</v>
      </c>
      <c r="K58" s="3">
        <v>5548880</v>
      </c>
      <c r="L58" s="3">
        <v>5548880</v>
      </c>
      <c r="M58" s="3">
        <v>167546</v>
      </c>
      <c r="N58" s="3">
        <v>906704</v>
      </c>
      <c r="O58" s="3">
        <v>59753</v>
      </c>
      <c r="P58" s="3">
        <v>63132</v>
      </c>
      <c r="Q58" s="3">
        <v>316697</v>
      </c>
      <c r="R58" s="3">
        <v>4052154</v>
      </c>
      <c r="S58" s="3">
        <v>4035048</v>
      </c>
      <c r="T58" s="3">
        <v>4035048</v>
      </c>
      <c r="U58" s="3">
        <v>556599</v>
      </c>
      <c r="V58" s="3">
        <v>556599</v>
      </c>
      <c r="W58" s="3">
        <v>556599</v>
      </c>
      <c r="X58" s="3">
        <v>556599</v>
      </c>
      <c r="Y58" s="3">
        <v>553747</v>
      </c>
      <c r="Z58" s="3">
        <v>553747</v>
      </c>
      <c r="AA58" s="4">
        <v>553748</v>
      </c>
      <c r="AB58" s="4">
        <v>553748</v>
      </c>
      <c r="AC58" s="4">
        <v>553748</v>
      </c>
      <c r="AD58" s="4">
        <v>553746</v>
      </c>
      <c r="AE58" s="4">
        <v>556599</v>
      </c>
      <c r="AF58" s="4">
        <v>1113198</v>
      </c>
      <c r="AG58" s="4">
        <v>1669797</v>
      </c>
      <c r="AH58" s="4">
        <v>2226396</v>
      </c>
      <c r="AI58" s="4">
        <v>2780143</v>
      </c>
      <c r="AJ58" s="4">
        <v>3333890</v>
      </c>
      <c r="AK58" s="4">
        <v>3887638</v>
      </c>
      <c r="AL58" s="4">
        <v>4441386</v>
      </c>
      <c r="AM58" s="4">
        <v>4995134</v>
      </c>
      <c r="AN58" s="4">
        <v>5548880</v>
      </c>
      <c r="AO58" s="134">
        <v>325364</v>
      </c>
    </row>
    <row r="59" spans="1:41" x14ac:dyDescent="0.2">
      <c r="A59" s="1">
        <v>2025</v>
      </c>
      <c r="B59" s="2" t="s">
        <v>76</v>
      </c>
      <c r="C59" s="2" t="s">
        <v>76</v>
      </c>
      <c r="D59" s="1" t="s">
        <v>426</v>
      </c>
      <c r="E59" s="3">
        <v>10685959</v>
      </c>
      <c r="F59" s="3">
        <v>680</v>
      </c>
      <c r="G59" s="3">
        <v>0</v>
      </c>
      <c r="H59" s="3">
        <v>29516</v>
      </c>
      <c r="I59" s="1">
        <v>0</v>
      </c>
      <c r="J59" s="3">
        <v>10685279</v>
      </c>
      <c r="K59" s="3">
        <v>10655763</v>
      </c>
      <c r="L59" s="3">
        <v>10655763</v>
      </c>
      <c r="M59" s="3">
        <v>159753</v>
      </c>
      <c r="N59" s="3">
        <v>1052045</v>
      </c>
      <c r="O59" s="3">
        <v>118195</v>
      </c>
      <c r="P59" s="3">
        <v>93710</v>
      </c>
      <c r="Q59" s="3">
        <v>496464</v>
      </c>
      <c r="R59" s="3">
        <v>8765112</v>
      </c>
      <c r="S59" s="3">
        <v>8735596</v>
      </c>
      <c r="T59" s="3">
        <v>8735596</v>
      </c>
      <c r="U59" s="3">
        <v>1068528</v>
      </c>
      <c r="V59" s="3">
        <v>1068528</v>
      </c>
      <c r="W59" s="3">
        <v>1068528</v>
      </c>
      <c r="X59" s="3">
        <v>1068528</v>
      </c>
      <c r="Y59" s="3">
        <v>1063609</v>
      </c>
      <c r="Z59" s="3">
        <v>1063609</v>
      </c>
      <c r="AA59" s="4">
        <v>1063608</v>
      </c>
      <c r="AB59" s="4">
        <v>1063608</v>
      </c>
      <c r="AC59" s="4">
        <v>1063608</v>
      </c>
      <c r="AD59" s="4">
        <v>1063609</v>
      </c>
      <c r="AE59" s="4">
        <v>1068528</v>
      </c>
      <c r="AF59" s="4">
        <v>2137056</v>
      </c>
      <c r="AG59" s="4">
        <v>3205584</v>
      </c>
      <c r="AH59" s="4">
        <v>4274112</v>
      </c>
      <c r="AI59" s="4">
        <v>5337721</v>
      </c>
      <c r="AJ59" s="4">
        <v>6401330</v>
      </c>
      <c r="AK59" s="4">
        <v>7464938</v>
      </c>
      <c r="AL59" s="4">
        <v>8528546</v>
      </c>
      <c r="AM59" s="4">
        <v>9592154</v>
      </c>
      <c r="AN59" s="4">
        <v>10655763</v>
      </c>
      <c r="AO59" s="134">
        <v>535073</v>
      </c>
    </row>
    <row r="60" spans="1:41" x14ac:dyDescent="0.2">
      <c r="A60" s="1">
        <v>2025</v>
      </c>
      <c r="B60" s="2" t="s">
        <v>77</v>
      </c>
      <c r="C60" s="2" t="s">
        <v>77</v>
      </c>
      <c r="D60" s="1" t="s">
        <v>427</v>
      </c>
      <c r="E60" s="3">
        <v>11605414</v>
      </c>
      <c r="F60" s="3">
        <v>1144</v>
      </c>
      <c r="G60" s="3">
        <v>0</v>
      </c>
      <c r="H60" s="3">
        <v>33100</v>
      </c>
      <c r="I60" s="1">
        <v>0</v>
      </c>
      <c r="J60" s="3">
        <v>11604270</v>
      </c>
      <c r="K60" s="3">
        <v>11571170</v>
      </c>
      <c r="L60" s="3">
        <v>11571170</v>
      </c>
      <c r="M60" s="3">
        <v>268853</v>
      </c>
      <c r="N60" s="3">
        <v>1146389</v>
      </c>
      <c r="O60" s="3">
        <v>123119</v>
      </c>
      <c r="P60" s="3">
        <v>123119</v>
      </c>
      <c r="Q60" s="3">
        <v>591314</v>
      </c>
      <c r="R60" s="3">
        <v>9351476</v>
      </c>
      <c r="S60" s="3">
        <v>9318376</v>
      </c>
      <c r="T60" s="3">
        <v>9318376</v>
      </c>
      <c r="U60" s="3">
        <v>1160427</v>
      </c>
      <c r="V60" s="3">
        <v>1160427</v>
      </c>
      <c r="W60" s="3">
        <v>1160427</v>
      </c>
      <c r="X60" s="3">
        <v>1160427</v>
      </c>
      <c r="Y60" s="3">
        <v>1154910</v>
      </c>
      <c r="Z60" s="3">
        <v>1154910</v>
      </c>
      <c r="AA60" s="4">
        <v>1154911</v>
      </c>
      <c r="AB60" s="4">
        <v>1154911</v>
      </c>
      <c r="AC60" s="4">
        <v>1154911</v>
      </c>
      <c r="AD60" s="4">
        <v>1154909</v>
      </c>
      <c r="AE60" s="4">
        <v>1160427</v>
      </c>
      <c r="AF60" s="4">
        <v>2320854</v>
      </c>
      <c r="AG60" s="4">
        <v>3481281</v>
      </c>
      <c r="AH60" s="4">
        <v>4641708</v>
      </c>
      <c r="AI60" s="4">
        <v>5796618</v>
      </c>
      <c r="AJ60" s="4">
        <v>6951528</v>
      </c>
      <c r="AK60" s="4">
        <v>8106439</v>
      </c>
      <c r="AL60" s="4">
        <v>9261350</v>
      </c>
      <c r="AM60" s="4">
        <v>10416261</v>
      </c>
      <c r="AN60" s="4">
        <v>11571170</v>
      </c>
      <c r="AO60" s="134">
        <v>674178</v>
      </c>
    </row>
    <row r="61" spans="1:41" x14ac:dyDescent="0.2">
      <c r="A61" s="1">
        <v>2025</v>
      </c>
      <c r="B61" s="2" t="s">
        <v>78</v>
      </c>
      <c r="C61" s="2" t="s">
        <v>78</v>
      </c>
      <c r="D61" s="1" t="s">
        <v>428</v>
      </c>
      <c r="E61" s="3">
        <v>1777556</v>
      </c>
      <c r="F61" s="1">
        <v>149</v>
      </c>
      <c r="G61" s="1">
        <v>0</v>
      </c>
      <c r="H61" s="3">
        <v>6267</v>
      </c>
      <c r="I61" s="1">
        <v>0</v>
      </c>
      <c r="J61" s="3">
        <v>1777407</v>
      </c>
      <c r="K61" s="3">
        <v>1771140</v>
      </c>
      <c r="L61" s="3">
        <v>1771140</v>
      </c>
      <c r="M61" s="3">
        <v>35068</v>
      </c>
      <c r="N61" s="3">
        <v>335020</v>
      </c>
      <c r="O61" s="3">
        <v>23975</v>
      </c>
      <c r="P61" s="3">
        <v>21896</v>
      </c>
      <c r="Q61" s="3">
        <v>105842</v>
      </c>
      <c r="R61" s="3">
        <v>1255606</v>
      </c>
      <c r="S61" s="3">
        <v>1249339</v>
      </c>
      <c r="T61" s="3">
        <v>1249339</v>
      </c>
      <c r="U61" s="3">
        <v>177741</v>
      </c>
      <c r="V61" s="3">
        <v>177741</v>
      </c>
      <c r="W61" s="3">
        <v>177741</v>
      </c>
      <c r="X61" s="3">
        <v>177741</v>
      </c>
      <c r="Y61" s="3">
        <v>176696</v>
      </c>
      <c r="Z61" s="3">
        <v>176696</v>
      </c>
      <c r="AA61" s="4">
        <v>176696</v>
      </c>
      <c r="AB61" s="4">
        <v>176696</v>
      </c>
      <c r="AC61" s="4">
        <v>176696</v>
      </c>
      <c r="AD61" s="4">
        <v>176696</v>
      </c>
      <c r="AE61" s="4">
        <v>177741</v>
      </c>
      <c r="AF61" s="4">
        <v>355482</v>
      </c>
      <c r="AG61" s="4">
        <v>533223</v>
      </c>
      <c r="AH61" s="4">
        <v>710964</v>
      </c>
      <c r="AI61" s="4">
        <v>887660</v>
      </c>
      <c r="AJ61" s="4">
        <v>1064356</v>
      </c>
      <c r="AK61" s="4">
        <v>1241052</v>
      </c>
      <c r="AL61" s="4">
        <v>1417748</v>
      </c>
      <c r="AM61" s="4">
        <v>1594444</v>
      </c>
      <c r="AN61" s="4">
        <v>1771140</v>
      </c>
      <c r="AO61" s="134">
        <v>122581</v>
      </c>
    </row>
    <row r="62" spans="1:41" x14ac:dyDescent="0.2">
      <c r="A62" s="1">
        <v>2025</v>
      </c>
      <c r="B62" s="2" t="s">
        <v>79</v>
      </c>
      <c r="C62" s="2" t="s">
        <v>79</v>
      </c>
      <c r="D62" s="1" t="s">
        <v>429</v>
      </c>
      <c r="E62" s="3">
        <v>8191977</v>
      </c>
      <c r="F62" s="3">
        <v>580</v>
      </c>
      <c r="G62" s="3">
        <v>0</v>
      </c>
      <c r="H62" s="3">
        <v>23411</v>
      </c>
      <c r="I62" s="1">
        <v>0</v>
      </c>
      <c r="J62" s="3">
        <v>8191397</v>
      </c>
      <c r="K62" s="3">
        <v>8167986</v>
      </c>
      <c r="L62" s="3">
        <v>8167986</v>
      </c>
      <c r="M62" s="3">
        <v>132557</v>
      </c>
      <c r="N62" s="3">
        <v>833519</v>
      </c>
      <c r="O62" s="3">
        <v>85938</v>
      </c>
      <c r="P62" s="3">
        <v>80191</v>
      </c>
      <c r="Q62" s="3">
        <v>393341</v>
      </c>
      <c r="R62" s="3">
        <v>6665851</v>
      </c>
      <c r="S62" s="3">
        <v>6642440</v>
      </c>
      <c r="T62" s="3">
        <v>6642440</v>
      </c>
      <c r="U62" s="3">
        <v>819140</v>
      </c>
      <c r="V62" s="3">
        <v>819140</v>
      </c>
      <c r="W62" s="3">
        <v>819140</v>
      </c>
      <c r="X62" s="3">
        <v>819140</v>
      </c>
      <c r="Y62" s="3">
        <v>815238</v>
      </c>
      <c r="Z62" s="3">
        <v>815238</v>
      </c>
      <c r="AA62" s="4">
        <v>815238</v>
      </c>
      <c r="AB62" s="4">
        <v>815238</v>
      </c>
      <c r="AC62" s="4">
        <v>815238</v>
      </c>
      <c r="AD62" s="4">
        <v>815236</v>
      </c>
      <c r="AE62" s="4">
        <v>819140</v>
      </c>
      <c r="AF62" s="4">
        <v>1638280</v>
      </c>
      <c r="AG62" s="4">
        <v>2457420</v>
      </c>
      <c r="AH62" s="4">
        <v>3276560</v>
      </c>
      <c r="AI62" s="4">
        <v>4091798</v>
      </c>
      <c r="AJ62" s="4">
        <v>4907036</v>
      </c>
      <c r="AK62" s="4">
        <v>5722274</v>
      </c>
      <c r="AL62" s="4">
        <v>6537512</v>
      </c>
      <c r="AM62" s="4">
        <v>7352750</v>
      </c>
      <c r="AN62" s="4">
        <v>8167986</v>
      </c>
      <c r="AO62" s="134">
        <v>445221</v>
      </c>
    </row>
    <row r="63" spans="1:41" x14ac:dyDescent="0.2">
      <c r="A63" s="1">
        <v>2025</v>
      </c>
      <c r="B63" s="2" t="s">
        <v>80</v>
      </c>
      <c r="C63" s="2" t="s">
        <v>80</v>
      </c>
      <c r="D63" s="1" t="s">
        <v>430</v>
      </c>
      <c r="E63" s="3">
        <v>7266284</v>
      </c>
      <c r="F63" s="1">
        <v>730</v>
      </c>
      <c r="G63" s="1">
        <v>0</v>
      </c>
      <c r="H63" s="3">
        <v>21596</v>
      </c>
      <c r="I63" s="1">
        <v>0</v>
      </c>
      <c r="J63" s="3">
        <v>7265554</v>
      </c>
      <c r="K63" s="3">
        <v>7243958</v>
      </c>
      <c r="L63" s="3">
        <v>7243958</v>
      </c>
      <c r="M63" s="3">
        <v>171442</v>
      </c>
      <c r="N63" s="3">
        <v>799419</v>
      </c>
      <c r="O63" s="3">
        <v>72915</v>
      </c>
      <c r="P63" s="3">
        <v>63088</v>
      </c>
      <c r="Q63" s="3">
        <v>377249</v>
      </c>
      <c r="R63" s="3">
        <v>5781441</v>
      </c>
      <c r="S63" s="3">
        <v>5759845</v>
      </c>
      <c r="T63" s="3">
        <v>5759845</v>
      </c>
      <c r="U63" s="3">
        <v>726555</v>
      </c>
      <c r="V63" s="3">
        <v>726555</v>
      </c>
      <c r="W63" s="3">
        <v>726555</v>
      </c>
      <c r="X63" s="3">
        <v>726555</v>
      </c>
      <c r="Y63" s="3">
        <v>722956</v>
      </c>
      <c r="Z63" s="3">
        <v>722956</v>
      </c>
      <c r="AA63" s="4">
        <v>722957</v>
      </c>
      <c r="AB63" s="4">
        <v>722957</v>
      </c>
      <c r="AC63" s="4">
        <v>722957</v>
      </c>
      <c r="AD63" s="4">
        <v>722955</v>
      </c>
      <c r="AE63" s="4">
        <v>726555</v>
      </c>
      <c r="AF63" s="4">
        <v>1453110</v>
      </c>
      <c r="AG63" s="4">
        <v>2179665</v>
      </c>
      <c r="AH63" s="4">
        <v>2906220</v>
      </c>
      <c r="AI63" s="4">
        <v>3629176</v>
      </c>
      <c r="AJ63" s="4">
        <v>4352132</v>
      </c>
      <c r="AK63" s="4">
        <v>5075089</v>
      </c>
      <c r="AL63" s="4">
        <v>5798046</v>
      </c>
      <c r="AM63" s="4">
        <v>6521003</v>
      </c>
      <c r="AN63" s="4">
        <v>7243958</v>
      </c>
      <c r="AO63" s="134">
        <v>403015</v>
      </c>
    </row>
    <row r="64" spans="1:41" x14ac:dyDescent="0.2">
      <c r="A64" s="1">
        <v>2025</v>
      </c>
      <c r="B64" s="2" t="s">
        <v>81</v>
      </c>
      <c r="C64" s="2" t="s">
        <v>81</v>
      </c>
      <c r="D64" s="1" t="s">
        <v>431</v>
      </c>
      <c r="E64" s="3">
        <v>6186988</v>
      </c>
      <c r="F64" s="3">
        <v>862</v>
      </c>
      <c r="G64" s="3">
        <v>7771</v>
      </c>
      <c r="H64" s="3">
        <v>21976</v>
      </c>
      <c r="I64" s="1">
        <v>0</v>
      </c>
      <c r="J64" s="3">
        <v>6178355</v>
      </c>
      <c r="K64" s="3">
        <v>6156379</v>
      </c>
      <c r="L64" s="3">
        <v>6156379</v>
      </c>
      <c r="M64" s="3">
        <v>198796</v>
      </c>
      <c r="N64" s="3">
        <v>781729</v>
      </c>
      <c r="O64" s="3">
        <v>82637</v>
      </c>
      <c r="P64" s="3">
        <v>75792</v>
      </c>
      <c r="Q64" s="3">
        <v>372621</v>
      </c>
      <c r="R64" s="3">
        <v>4666780</v>
      </c>
      <c r="S64" s="3">
        <v>4644804</v>
      </c>
      <c r="T64" s="3">
        <v>4644804</v>
      </c>
      <c r="U64" s="3">
        <v>617836</v>
      </c>
      <c r="V64" s="3">
        <v>617836</v>
      </c>
      <c r="W64" s="3">
        <v>617836</v>
      </c>
      <c r="X64" s="3">
        <v>617836</v>
      </c>
      <c r="Y64" s="3">
        <v>614173</v>
      </c>
      <c r="Z64" s="3">
        <v>614173</v>
      </c>
      <c r="AA64" s="4">
        <v>614172</v>
      </c>
      <c r="AB64" s="4">
        <v>614172</v>
      </c>
      <c r="AC64" s="4">
        <v>614172</v>
      </c>
      <c r="AD64" s="4">
        <v>614173</v>
      </c>
      <c r="AE64" s="4">
        <v>617836</v>
      </c>
      <c r="AF64" s="4">
        <v>1235672</v>
      </c>
      <c r="AG64" s="4">
        <v>1853508</v>
      </c>
      <c r="AH64" s="4">
        <v>2471344</v>
      </c>
      <c r="AI64" s="4">
        <v>3085517</v>
      </c>
      <c r="AJ64" s="4">
        <v>3699690</v>
      </c>
      <c r="AK64" s="4">
        <v>4313862</v>
      </c>
      <c r="AL64" s="4">
        <v>4928034</v>
      </c>
      <c r="AM64" s="4">
        <v>5542206</v>
      </c>
      <c r="AN64" s="4">
        <v>6156379</v>
      </c>
      <c r="AO64" s="134">
        <v>420776</v>
      </c>
    </row>
    <row r="65" spans="1:41" x14ac:dyDescent="0.2">
      <c r="A65" s="1">
        <v>2025</v>
      </c>
      <c r="B65" s="2" t="s">
        <v>82</v>
      </c>
      <c r="C65" s="2" t="s">
        <v>82</v>
      </c>
      <c r="D65" s="1" t="s">
        <v>432</v>
      </c>
      <c r="E65" s="3">
        <v>12168680</v>
      </c>
      <c r="F65" s="3">
        <v>813</v>
      </c>
      <c r="G65" s="3">
        <v>0</v>
      </c>
      <c r="H65" s="3">
        <v>32192</v>
      </c>
      <c r="I65" s="1">
        <v>0</v>
      </c>
      <c r="J65" s="3">
        <v>12167867</v>
      </c>
      <c r="K65" s="3">
        <v>12135675</v>
      </c>
      <c r="L65" s="3">
        <v>12135675</v>
      </c>
      <c r="M65" s="3">
        <v>190924</v>
      </c>
      <c r="N65" s="3">
        <v>1130383</v>
      </c>
      <c r="O65" s="3">
        <v>124935</v>
      </c>
      <c r="P65" s="3">
        <v>100463</v>
      </c>
      <c r="Q65" s="3">
        <v>540584</v>
      </c>
      <c r="R65" s="3">
        <v>10080578</v>
      </c>
      <c r="S65" s="3">
        <v>10048386</v>
      </c>
      <c r="T65" s="3">
        <v>10048386</v>
      </c>
      <c r="U65" s="3">
        <v>1216787</v>
      </c>
      <c r="V65" s="3">
        <v>1216787</v>
      </c>
      <c r="W65" s="3">
        <v>1216787</v>
      </c>
      <c r="X65" s="3">
        <v>1216787</v>
      </c>
      <c r="Y65" s="3">
        <v>1211421</v>
      </c>
      <c r="Z65" s="3">
        <v>1211421</v>
      </c>
      <c r="AA65" s="4">
        <v>1211421</v>
      </c>
      <c r="AB65" s="4">
        <v>1211421</v>
      </c>
      <c r="AC65" s="4">
        <v>1211421</v>
      </c>
      <c r="AD65" s="4">
        <v>1211422</v>
      </c>
      <c r="AE65" s="4">
        <v>1216787</v>
      </c>
      <c r="AF65" s="4">
        <v>2433574</v>
      </c>
      <c r="AG65" s="4">
        <v>3650361</v>
      </c>
      <c r="AH65" s="4">
        <v>4867148</v>
      </c>
      <c r="AI65" s="4">
        <v>6078569</v>
      </c>
      <c r="AJ65" s="4">
        <v>7289990</v>
      </c>
      <c r="AK65" s="4">
        <v>8501411</v>
      </c>
      <c r="AL65" s="4">
        <v>9712832</v>
      </c>
      <c r="AM65" s="4">
        <v>10924253</v>
      </c>
      <c r="AN65" s="4">
        <v>12135675</v>
      </c>
      <c r="AO65" s="134">
        <v>592415</v>
      </c>
    </row>
    <row r="66" spans="1:41" x14ac:dyDescent="0.2">
      <c r="A66" s="1">
        <v>2025</v>
      </c>
      <c r="B66" s="2" t="s">
        <v>83</v>
      </c>
      <c r="C66" s="2" t="s">
        <v>83</v>
      </c>
      <c r="D66" s="1" t="s">
        <v>433</v>
      </c>
      <c r="E66" s="3">
        <v>2395114</v>
      </c>
      <c r="F66" s="3">
        <v>315</v>
      </c>
      <c r="G66" s="3">
        <v>0</v>
      </c>
      <c r="H66" s="3">
        <v>6321</v>
      </c>
      <c r="I66" s="1">
        <v>0</v>
      </c>
      <c r="J66" s="3">
        <v>2394799</v>
      </c>
      <c r="K66" s="3">
        <v>2388478</v>
      </c>
      <c r="L66" s="3">
        <v>2388478</v>
      </c>
      <c r="M66" s="3">
        <v>74032</v>
      </c>
      <c r="N66" s="3">
        <v>377883</v>
      </c>
      <c r="O66" s="3">
        <v>24032</v>
      </c>
      <c r="P66" s="3">
        <v>23218</v>
      </c>
      <c r="Q66" s="3">
        <v>107127</v>
      </c>
      <c r="R66" s="3">
        <v>1788507</v>
      </c>
      <c r="S66" s="3">
        <v>1782186</v>
      </c>
      <c r="T66" s="3">
        <v>1782186</v>
      </c>
      <c r="U66" s="3">
        <v>239480</v>
      </c>
      <c r="V66" s="3">
        <v>239480</v>
      </c>
      <c r="W66" s="3">
        <v>239480</v>
      </c>
      <c r="X66" s="3">
        <v>239480</v>
      </c>
      <c r="Y66" s="3">
        <v>238426</v>
      </c>
      <c r="Z66" s="3">
        <v>238426</v>
      </c>
      <c r="AA66" s="4">
        <v>238427</v>
      </c>
      <c r="AB66" s="4">
        <v>238427</v>
      </c>
      <c r="AC66" s="4">
        <v>238427</v>
      </c>
      <c r="AD66" s="4">
        <v>238425</v>
      </c>
      <c r="AE66" s="4">
        <v>239480</v>
      </c>
      <c r="AF66" s="4">
        <v>478960</v>
      </c>
      <c r="AG66" s="4">
        <v>718440</v>
      </c>
      <c r="AH66" s="4">
        <v>957920</v>
      </c>
      <c r="AI66" s="4">
        <v>1196346</v>
      </c>
      <c r="AJ66" s="4">
        <v>1434772</v>
      </c>
      <c r="AK66" s="4">
        <v>1673199</v>
      </c>
      <c r="AL66" s="4">
        <v>1911626</v>
      </c>
      <c r="AM66" s="4">
        <v>2150053</v>
      </c>
      <c r="AN66" s="4">
        <v>2388478</v>
      </c>
      <c r="AO66" s="134">
        <v>128348</v>
      </c>
    </row>
    <row r="67" spans="1:41" x14ac:dyDescent="0.2">
      <c r="A67" s="1">
        <v>2025</v>
      </c>
      <c r="B67" s="2" t="s">
        <v>84</v>
      </c>
      <c r="C67" s="2" t="s">
        <v>84</v>
      </c>
      <c r="D67" s="1" t="s">
        <v>434</v>
      </c>
      <c r="E67" s="3">
        <v>975255</v>
      </c>
      <c r="F67" s="3">
        <v>83</v>
      </c>
      <c r="G67" s="3">
        <v>0</v>
      </c>
      <c r="H67" s="3">
        <v>5969</v>
      </c>
      <c r="I67" s="1">
        <v>0</v>
      </c>
      <c r="J67" s="3">
        <v>975172</v>
      </c>
      <c r="K67" s="3">
        <v>969203</v>
      </c>
      <c r="L67" s="3">
        <v>969203</v>
      </c>
      <c r="M67" s="3">
        <v>19482</v>
      </c>
      <c r="N67" s="3">
        <v>332370</v>
      </c>
      <c r="O67" s="3">
        <v>21215</v>
      </c>
      <c r="P67" s="3">
        <v>22773</v>
      </c>
      <c r="Q67" s="3">
        <v>106911</v>
      </c>
      <c r="R67" s="3">
        <v>472421</v>
      </c>
      <c r="S67" s="3">
        <v>466452</v>
      </c>
      <c r="T67" s="3">
        <v>466452</v>
      </c>
      <c r="U67" s="3">
        <v>97517</v>
      </c>
      <c r="V67" s="3">
        <v>97517</v>
      </c>
      <c r="W67" s="3">
        <v>97517</v>
      </c>
      <c r="X67" s="3">
        <v>97517</v>
      </c>
      <c r="Y67" s="3">
        <v>96523</v>
      </c>
      <c r="Z67" s="3">
        <v>96523</v>
      </c>
      <c r="AA67" s="4">
        <v>96522</v>
      </c>
      <c r="AB67" s="4">
        <v>96522</v>
      </c>
      <c r="AC67" s="4">
        <v>96522</v>
      </c>
      <c r="AD67" s="4">
        <v>96523</v>
      </c>
      <c r="AE67" s="4">
        <v>97517</v>
      </c>
      <c r="AF67" s="4">
        <v>195034</v>
      </c>
      <c r="AG67" s="4">
        <v>292551</v>
      </c>
      <c r="AH67" s="4">
        <v>390068</v>
      </c>
      <c r="AI67" s="4">
        <v>486591</v>
      </c>
      <c r="AJ67" s="4">
        <v>583114</v>
      </c>
      <c r="AK67" s="4">
        <v>679636</v>
      </c>
      <c r="AL67" s="4">
        <v>776158</v>
      </c>
      <c r="AM67" s="4">
        <v>872680</v>
      </c>
      <c r="AN67" s="4">
        <v>969203</v>
      </c>
      <c r="AO67" s="134">
        <v>135780</v>
      </c>
    </row>
    <row r="68" spans="1:41" x14ac:dyDescent="0.2">
      <c r="A68" s="1">
        <v>2025</v>
      </c>
      <c r="B68" s="2" t="s">
        <v>85</v>
      </c>
      <c r="C68" s="2" t="s">
        <v>85</v>
      </c>
      <c r="D68" s="1" t="s">
        <v>435</v>
      </c>
      <c r="E68" s="3">
        <v>21247315</v>
      </c>
      <c r="F68" s="3">
        <v>2620</v>
      </c>
      <c r="G68" s="3">
        <v>0</v>
      </c>
      <c r="H68" s="3">
        <v>68386</v>
      </c>
      <c r="I68" s="1">
        <v>0</v>
      </c>
      <c r="J68" s="3">
        <v>21244695</v>
      </c>
      <c r="K68" s="3">
        <v>21176309</v>
      </c>
      <c r="L68" s="3">
        <v>21176309</v>
      </c>
      <c r="M68" s="3">
        <v>615634</v>
      </c>
      <c r="N68" s="3">
        <v>2239395</v>
      </c>
      <c r="O68" s="3">
        <v>210167</v>
      </c>
      <c r="P68" s="3">
        <v>225773</v>
      </c>
      <c r="Q68" s="3">
        <v>1158113</v>
      </c>
      <c r="R68" s="3">
        <v>16795613</v>
      </c>
      <c r="S68" s="3">
        <v>16727227</v>
      </c>
      <c r="T68" s="3">
        <v>16727227</v>
      </c>
      <c r="U68" s="3">
        <v>2124470</v>
      </c>
      <c r="V68" s="3">
        <v>2124470</v>
      </c>
      <c r="W68" s="3">
        <v>2124470</v>
      </c>
      <c r="X68" s="3">
        <v>2124470</v>
      </c>
      <c r="Y68" s="3">
        <v>2113072</v>
      </c>
      <c r="Z68" s="3">
        <v>2113072</v>
      </c>
      <c r="AA68" s="4">
        <v>2113071</v>
      </c>
      <c r="AB68" s="4">
        <v>2113071</v>
      </c>
      <c r="AC68" s="4">
        <v>2113071</v>
      </c>
      <c r="AD68" s="4">
        <v>2113072</v>
      </c>
      <c r="AE68" s="4">
        <v>2124470</v>
      </c>
      <c r="AF68" s="4">
        <v>4248940</v>
      </c>
      <c r="AG68" s="4">
        <v>6373410</v>
      </c>
      <c r="AH68" s="4">
        <v>8497880</v>
      </c>
      <c r="AI68" s="4">
        <v>10610952</v>
      </c>
      <c r="AJ68" s="4">
        <v>12724024</v>
      </c>
      <c r="AK68" s="4">
        <v>14837095</v>
      </c>
      <c r="AL68" s="4">
        <v>16950166</v>
      </c>
      <c r="AM68" s="4">
        <v>19063237</v>
      </c>
      <c r="AN68" s="4">
        <v>21176309</v>
      </c>
      <c r="AO68" s="134">
        <v>1251087</v>
      </c>
    </row>
    <row r="69" spans="1:41" x14ac:dyDescent="0.2">
      <c r="A69" s="1">
        <v>2025</v>
      </c>
      <c r="B69" s="2" t="s">
        <v>86</v>
      </c>
      <c r="C69" s="2" t="s">
        <v>86</v>
      </c>
      <c r="D69" s="1" t="s">
        <v>436</v>
      </c>
      <c r="E69" s="3">
        <v>4943385</v>
      </c>
      <c r="F69" s="3">
        <v>796</v>
      </c>
      <c r="G69" s="3">
        <v>13361</v>
      </c>
      <c r="H69" s="3">
        <v>26112</v>
      </c>
      <c r="I69" s="1">
        <v>0</v>
      </c>
      <c r="J69" s="3">
        <v>4929228</v>
      </c>
      <c r="K69" s="3">
        <v>4903116</v>
      </c>
      <c r="L69" s="3">
        <v>4903116</v>
      </c>
      <c r="M69" s="3">
        <v>187028</v>
      </c>
      <c r="N69" s="3">
        <v>945503</v>
      </c>
      <c r="O69" s="3">
        <v>88885</v>
      </c>
      <c r="P69" s="3">
        <v>84657</v>
      </c>
      <c r="Q69" s="3">
        <v>446186</v>
      </c>
      <c r="R69" s="3">
        <v>3176969</v>
      </c>
      <c r="S69" s="3">
        <v>3150857</v>
      </c>
      <c r="T69" s="3">
        <v>3150857</v>
      </c>
      <c r="U69" s="3">
        <v>492923</v>
      </c>
      <c r="V69" s="3">
        <v>492923</v>
      </c>
      <c r="W69" s="3">
        <v>492923</v>
      </c>
      <c r="X69" s="3">
        <v>492923</v>
      </c>
      <c r="Y69" s="3">
        <v>488571</v>
      </c>
      <c r="Z69" s="3">
        <v>488571</v>
      </c>
      <c r="AA69" s="4">
        <v>488571</v>
      </c>
      <c r="AB69" s="4">
        <v>488571</v>
      </c>
      <c r="AC69" s="4">
        <v>488571</v>
      </c>
      <c r="AD69" s="4">
        <v>488569</v>
      </c>
      <c r="AE69" s="4">
        <v>492923</v>
      </c>
      <c r="AF69" s="4">
        <v>985846</v>
      </c>
      <c r="AG69" s="4">
        <v>1478769</v>
      </c>
      <c r="AH69" s="4">
        <v>1971692</v>
      </c>
      <c r="AI69" s="4">
        <v>2460263</v>
      </c>
      <c r="AJ69" s="4">
        <v>2948834</v>
      </c>
      <c r="AK69" s="4">
        <v>3437405</v>
      </c>
      <c r="AL69" s="4">
        <v>3925976</v>
      </c>
      <c r="AM69" s="4">
        <v>4414547</v>
      </c>
      <c r="AN69" s="4">
        <v>4903116</v>
      </c>
      <c r="AO69" s="134">
        <v>500535</v>
      </c>
    </row>
    <row r="70" spans="1:41" x14ac:dyDescent="0.2">
      <c r="A70" s="1">
        <v>2025</v>
      </c>
      <c r="B70" s="2" t="s">
        <v>87</v>
      </c>
      <c r="C70" s="2" t="s">
        <v>87</v>
      </c>
      <c r="D70" s="1" t="s">
        <v>437</v>
      </c>
      <c r="E70" s="3">
        <v>32200828</v>
      </c>
      <c r="F70" s="3">
        <v>3085</v>
      </c>
      <c r="G70" s="3">
        <v>0</v>
      </c>
      <c r="H70" s="3">
        <v>80156</v>
      </c>
      <c r="I70" s="1">
        <v>0</v>
      </c>
      <c r="J70" s="3">
        <v>32197743</v>
      </c>
      <c r="K70" s="3">
        <v>32117587</v>
      </c>
      <c r="L70" s="3">
        <v>32117587</v>
      </c>
      <c r="M70" s="3">
        <v>724733</v>
      </c>
      <c r="N70" s="3">
        <v>2570596</v>
      </c>
      <c r="O70" s="3">
        <v>326963</v>
      </c>
      <c r="P70" s="3">
        <v>283063</v>
      </c>
      <c r="Q70" s="3">
        <v>1383057</v>
      </c>
      <c r="R70" s="3">
        <v>26909331</v>
      </c>
      <c r="S70" s="3">
        <v>26829175</v>
      </c>
      <c r="T70" s="3">
        <v>26829175</v>
      </c>
      <c r="U70" s="3">
        <v>3219774</v>
      </c>
      <c r="V70" s="3">
        <v>3219774</v>
      </c>
      <c r="W70" s="3">
        <v>3219774</v>
      </c>
      <c r="X70" s="3">
        <v>3219774</v>
      </c>
      <c r="Y70" s="3">
        <v>3206415</v>
      </c>
      <c r="Z70" s="3">
        <v>3206415</v>
      </c>
      <c r="AA70" s="4">
        <v>3206415</v>
      </c>
      <c r="AB70" s="4">
        <v>3206415</v>
      </c>
      <c r="AC70" s="4">
        <v>3206415</v>
      </c>
      <c r="AD70" s="4">
        <v>3206416</v>
      </c>
      <c r="AE70" s="4">
        <v>3219774</v>
      </c>
      <c r="AF70" s="4">
        <v>6439548</v>
      </c>
      <c r="AG70" s="4">
        <v>9659322</v>
      </c>
      <c r="AH70" s="4">
        <v>12879096</v>
      </c>
      <c r="AI70" s="4">
        <v>16085511</v>
      </c>
      <c r="AJ70" s="4">
        <v>19291926</v>
      </c>
      <c r="AK70" s="4">
        <v>22498341</v>
      </c>
      <c r="AL70" s="4">
        <v>25704756</v>
      </c>
      <c r="AM70" s="4">
        <v>28911171</v>
      </c>
      <c r="AN70" s="4">
        <v>32117587</v>
      </c>
      <c r="AO70" s="134">
        <v>1583566</v>
      </c>
    </row>
    <row r="71" spans="1:41" x14ac:dyDescent="0.2">
      <c r="A71" s="1">
        <v>2025</v>
      </c>
      <c r="B71" s="2" t="s">
        <v>88</v>
      </c>
      <c r="C71" s="2" t="s">
        <v>88</v>
      </c>
      <c r="D71" s="1" t="s">
        <v>438</v>
      </c>
      <c r="E71" s="3">
        <v>5392087</v>
      </c>
      <c r="F71" s="3">
        <v>680</v>
      </c>
      <c r="G71" s="3">
        <v>0</v>
      </c>
      <c r="H71" s="3">
        <v>16007</v>
      </c>
      <c r="I71" s="1">
        <v>0</v>
      </c>
      <c r="J71" s="3">
        <v>5391407</v>
      </c>
      <c r="K71" s="3">
        <v>5375400</v>
      </c>
      <c r="L71" s="3">
        <v>5375400</v>
      </c>
      <c r="M71" s="3">
        <v>159753</v>
      </c>
      <c r="N71" s="3">
        <v>659903</v>
      </c>
      <c r="O71" s="3">
        <v>55766</v>
      </c>
      <c r="P71" s="3">
        <v>48055</v>
      </c>
      <c r="Q71" s="3">
        <v>270688</v>
      </c>
      <c r="R71" s="3">
        <v>4197242</v>
      </c>
      <c r="S71" s="3">
        <v>4181235</v>
      </c>
      <c r="T71" s="3">
        <v>4181235</v>
      </c>
      <c r="U71" s="3">
        <v>539141</v>
      </c>
      <c r="V71" s="3">
        <v>539141</v>
      </c>
      <c r="W71" s="3">
        <v>539141</v>
      </c>
      <c r="X71" s="3">
        <v>539141</v>
      </c>
      <c r="Y71" s="3">
        <v>536473</v>
      </c>
      <c r="Z71" s="3">
        <v>536473</v>
      </c>
      <c r="AA71" s="4">
        <v>536473</v>
      </c>
      <c r="AB71" s="4">
        <v>536473</v>
      </c>
      <c r="AC71" s="4">
        <v>536473</v>
      </c>
      <c r="AD71" s="4">
        <v>536471</v>
      </c>
      <c r="AE71" s="4">
        <v>539141</v>
      </c>
      <c r="AF71" s="4">
        <v>1078282</v>
      </c>
      <c r="AG71" s="4">
        <v>1617423</v>
      </c>
      <c r="AH71" s="4">
        <v>2156564</v>
      </c>
      <c r="AI71" s="4">
        <v>2693037</v>
      </c>
      <c r="AJ71" s="4">
        <v>3229510</v>
      </c>
      <c r="AK71" s="4">
        <v>3765983</v>
      </c>
      <c r="AL71" s="4">
        <v>4302456</v>
      </c>
      <c r="AM71" s="4">
        <v>4838929</v>
      </c>
      <c r="AN71" s="4">
        <v>5375400</v>
      </c>
      <c r="AO71" s="134">
        <v>285745</v>
      </c>
    </row>
    <row r="72" spans="1:41" x14ac:dyDescent="0.2">
      <c r="A72" s="1">
        <v>2025</v>
      </c>
      <c r="B72" s="2" t="s">
        <v>89</v>
      </c>
      <c r="C72" s="2" t="s">
        <v>89</v>
      </c>
      <c r="D72" s="1" t="s">
        <v>439</v>
      </c>
      <c r="E72" s="3">
        <v>33811846</v>
      </c>
      <c r="F72" s="3">
        <v>4776</v>
      </c>
      <c r="G72" s="3">
        <v>21823</v>
      </c>
      <c r="H72" s="3">
        <v>114323</v>
      </c>
      <c r="I72" s="1">
        <v>0</v>
      </c>
      <c r="J72" s="3">
        <v>33785247</v>
      </c>
      <c r="K72" s="3">
        <v>33670924</v>
      </c>
      <c r="L72" s="3">
        <v>33670924</v>
      </c>
      <c r="M72" s="3">
        <v>1122168</v>
      </c>
      <c r="N72" s="3">
        <v>3589781</v>
      </c>
      <c r="O72" s="3">
        <v>423469</v>
      </c>
      <c r="P72" s="3">
        <v>402573</v>
      </c>
      <c r="Q72" s="3">
        <v>1939393</v>
      </c>
      <c r="R72" s="3">
        <v>26307863</v>
      </c>
      <c r="S72" s="3">
        <v>26193540</v>
      </c>
      <c r="T72" s="3">
        <v>26193540</v>
      </c>
      <c r="U72" s="3">
        <v>3378525</v>
      </c>
      <c r="V72" s="3">
        <v>3378525</v>
      </c>
      <c r="W72" s="3">
        <v>3378525</v>
      </c>
      <c r="X72" s="3">
        <v>3378525</v>
      </c>
      <c r="Y72" s="3">
        <v>3359471</v>
      </c>
      <c r="Z72" s="3">
        <v>3359471</v>
      </c>
      <c r="AA72" s="4">
        <v>3359471</v>
      </c>
      <c r="AB72" s="4">
        <v>3359471</v>
      </c>
      <c r="AC72" s="4">
        <v>3359471</v>
      </c>
      <c r="AD72" s="4">
        <v>3359469</v>
      </c>
      <c r="AE72" s="4">
        <v>3378525</v>
      </c>
      <c r="AF72" s="4">
        <v>6757050</v>
      </c>
      <c r="AG72" s="4">
        <v>10135575</v>
      </c>
      <c r="AH72" s="4">
        <v>13514100</v>
      </c>
      <c r="AI72" s="4">
        <v>16873571</v>
      </c>
      <c r="AJ72" s="4">
        <v>20233042</v>
      </c>
      <c r="AK72" s="4">
        <v>23592513</v>
      </c>
      <c r="AL72" s="4">
        <v>26951984</v>
      </c>
      <c r="AM72" s="4">
        <v>30311455</v>
      </c>
      <c r="AN72" s="4">
        <v>33670924</v>
      </c>
      <c r="AO72" s="134">
        <v>2063974</v>
      </c>
    </row>
    <row r="73" spans="1:41" x14ac:dyDescent="0.2">
      <c r="A73" s="1">
        <v>2025</v>
      </c>
      <c r="B73" s="2" t="s">
        <v>90</v>
      </c>
      <c r="C73" s="2" t="s">
        <v>90</v>
      </c>
      <c r="D73" s="1" t="s">
        <v>440</v>
      </c>
      <c r="E73" s="3">
        <v>3413317</v>
      </c>
      <c r="F73" s="1">
        <v>365</v>
      </c>
      <c r="G73" s="3">
        <v>6346</v>
      </c>
      <c r="H73" s="3">
        <v>9950</v>
      </c>
      <c r="I73" s="1">
        <v>0</v>
      </c>
      <c r="J73" s="3">
        <v>3406606</v>
      </c>
      <c r="K73" s="3">
        <v>3396656</v>
      </c>
      <c r="L73" s="3">
        <v>3396656</v>
      </c>
      <c r="M73" s="3">
        <v>85721</v>
      </c>
      <c r="N73" s="3">
        <v>487817</v>
      </c>
      <c r="O73" s="3">
        <v>35261</v>
      </c>
      <c r="P73" s="3">
        <v>32292</v>
      </c>
      <c r="Q73" s="3">
        <v>170961</v>
      </c>
      <c r="R73" s="3">
        <v>2594554</v>
      </c>
      <c r="S73" s="3">
        <v>2584604</v>
      </c>
      <c r="T73" s="3">
        <v>2584604</v>
      </c>
      <c r="U73" s="3">
        <v>340661</v>
      </c>
      <c r="V73" s="3">
        <v>340661</v>
      </c>
      <c r="W73" s="3">
        <v>340661</v>
      </c>
      <c r="X73" s="3">
        <v>340661</v>
      </c>
      <c r="Y73" s="3">
        <v>339002</v>
      </c>
      <c r="Z73" s="3">
        <v>339002</v>
      </c>
      <c r="AA73" s="4">
        <v>339002</v>
      </c>
      <c r="AB73" s="4">
        <v>339002</v>
      </c>
      <c r="AC73" s="4">
        <v>339002</v>
      </c>
      <c r="AD73" s="4">
        <v>339002</v>
      </c>
      <c r="AE73" s="4">
        <v>340661</v>
      </c>
      <c r="AF73" s="4">
        <v>681322</v>
      </c>
      <c r="AG73" s="4">
        <v>1021983</v>
      </c>
      <c r="AH73" s="4">
        <v>1362644</v>
      </c>
      <c r="AI73" s="4">
        <v>1701646</v>
      </c>
      <c r="AJ73" s="4">
        <v>2040648</v>
      </c>
      <c r="AK73" s="4">
        <v>2379650</v>
      </c>
      <c r="AL73" s="4">
        <v>2718652</v>
      </c>
      <c r="AM73" s="4">
        <v>3057654</v>
      </c>
      <c r="AN73" s="4">
        <v>3396656</v>
      </c>
      <c r="AO73" s="134">
        <v>180262</v>
      </c>
    </row>
    <row r="74" spans="1:41" x14ac:dyDescent="0.2">
      <c r="A74" s="1">
        <v>2025</v>
      </c>
      <c r="B74" s="2" t="s">
        <v>91</v>
      </c>
      <c r="C74" s="2" t="s">
        <v>91</v>
      </c>
      <c r="D74" s="1" t="s">
        <v>441</v>
      </c>
      <c r="E74" s="3">
        <v>2605509</v>
      </c>
      <c r="F74" s="3">
        <v>365</v>
      </c>
      <c r="G74" s="3">
        <v>6476</v>
      </c>
      <c r="H74" s="3">
        <v>10247</v>
      </c>
      <c r="I74" s="1">
        <v>0</v>
      </c>
      <c r="J74" s="3">
        <v>2598668</v>
      </c>
      <c r="K74" s="3">
        <v>2588421</v>
      </c>
      <c r="L74" s="3">
        <v>2588421</v>
      </c>
      <c r="M74" s="3">
        <v>85721</v>
      </c>
      <c r="N74" s="3">
        <v>486529</v>
      </c>
      <c r="O74" s="3">
        <v>35478</v>
      </c>
      <c r="P74" s="3">
        <v>33308</v>
      </c>
      <c r="Q74" s="3">
        <v>171834</v>
      </c>
      <c r="R74" s="3">
        <v>1785798</v>
      </c>
      <c r="S74" s="3">
        <v>1775551</v>
      </c>
      <c r="T74" s="3">
        <v>1775551</v>
      </c>
      <c r="U74" s="3">
        <v>259867</v>
      </c>
      <c r="V74" s="3">
        <v>259867</v>
      </c>
      <c r="W74" s="3">
        <v>259867</v>
      </c>
      <c r="X74" s="3">
        <v>259867</v>
      </c>
      <c r="Y74" s="3">
        <v>258159</v>
      </c>
      <c r="Z74" s="3">
        <v>258159</v>
      </c>
      <c r="AA74" s="4">
        <v>258159</v>
      </c>
      <c r="AB74" s="4">
        <v>258159</v>
      </c>
      <c r="AC74" s="4">
        <v>258159</v>
      </c>
      <c r="AD74" s="4">
        <v>258158</v>
      </c>
      <c r="AE74" s="4">
        <v>259867</v>
      </c>
      <c r="AF74" s="4">
        <v>519734</v>
      </c>
      <c r="AG74" s="4">
        <v>779601</v>
      </c>
      <c r="AH74" s="4">
        <v>1039468</v>
      </c>
      <c r="AI74" s="4">
        <v>1297627</v>
      </c>
      <c r="AJ74" s="4">
        <v>1555786</v>
      </c>
      <c r="AK74" s="4">
        <v>1813945</v>
      </c>
      <c r="AL74" s="4">
        <v>2072104</v>
      </c>
      <c r="AM74" s="4">
        <v>2330263</v>
      </c>
      <c r="AN74" s="4">
        <v>2588421</v>
      </c>
      <c r="AO74" s="134">
        <v>179434</v>
      </c>
    </row>
    <row r="75" spans="1:41" x14ac:dyDescent="0.2">
      <c r="A75" s="1">
        <v>2025</v>
      </c>
      <c r="B75" s="2" t="s">
        <v>92</v>
      </c>
      <c r="C75" s="2" t="s">
        <v>92</v>
      </c>
      <c r="D75" s="1" t="s">
        <v>442</v>
      </c>
      <c r="E75" s="3">
        <v>6391178</v>
      </c>
      <c r="F75" s="1">
        <v>746</v>
      </c>
      <c r="G75" s="3">
        <v>15844</v>
      </c>
      <c r="H75" s="3">
        <v>17057</v>
      </c>
      <c r="I75" s="1">
        <v>0</v>
      </c>
      <c r="J75" s="3">
        <v>6374588</v>
      </c>
      <c r="K75" s="3">
        <v>6357531</v>
      </c>
      <c r="L75" s="3">
        <v>6357531</v>
      </c>
      <c r="M75" s="3">
        <v>175339</v>
      </c>
      <c r="N75" s="3">
        <v>797430</v>
      </c>
      <c r="O75" s="3">
        <v>66013</v>
      </c>
      <c r="P75" s="3">
        <v>63272</v>
      </c>
      <c r="Q75" s="3">
        <v>286025</v>
      </c>
      <c r="R75" s="3">
        <v>4986509</v>
      </c>
      <c r="S75" s="3">
        <v>4969452</v>
      </c>
      <c r="T75" s="3">
        <v>4969452</v>
      </c>
      <c r="U75" s="3">
        <v>637459</v>
      </c>
      <c r="V75" s="3">
        <v>637459</v>
      </c>
      <c r="W75" s="3">
        <v>637459</v>
      </c>
      <c r="X75" s="3">
        <v>637459</v>
      </c>
      <c r="Y75" s="3">
        <v>634616</v>
      </c>
      <c r="Z75" s="3">
        <v>634616</v>
      </c>
      <c r="AA75" s="4">
        <v>634616</v>
      </c>
      <c r="AB75" s="4">
        <v>634616</v>
      </c>
      <c r="AC75" s="4">
        <v>634616</v>
      </c>
      <c r="AD75" s="4">
        <v>634615</v>
      </c>
      <c r="AE75" s="4">
        <v>637459</v>
      </c>
      <c r="AF75" s="4">
        <v>1274918</v>
      </c>
      <c r="AG75" s="4">
        <v>1912377</v>
      </c>
      <c r="AH75" s="4">
        <v>2549836</v>
      </c>
      <c r="AI75" s="4">
        <v>3184452</v>
      </c>
      <c r="AJ75" s="4">
        <v>3819068</v>
      </c>
      <c r="AK75" s="4">
        <v>4453684</v>
      </c>
      <c r="AL75" s="4">
        <v>5088300</v>
      </c>
      <c r="AM75" s="4">
        <v>5722916</v>
      </c>
      <c r="AN75" s="4">
        <v>6357531</v>
      </c>
      <c r="AO75" s="134">
        <v>316457</v>
      </c>
    </row>
    <row r="76" spans="1:41" x14ac:dyDescent="0.2">
      <c r="A76" s="1">
        <v>2025</v>
      </c>
      <c r="B76" s="2" t="s">
        <v>93</v>
      </c>
      <c r="C76" s="2" t="s">
        <v>93</v>
      </c>
      <c r="D76" s="1" t="s">
        <v>443</v>
      </c>
      <c r="E76" s="3">
        <v>3142759</v>
      </c>
      <c r="F76" s="3">
        <v>232</v>
      </c>
      <c r="G76" s="3">
        <v>0</v>
      </c>
      <c r="H76" s="3">
        <v>9799</v>
      </c>
      <c r="I76" s="3">
        <v>0</v>
      </c>
      <c r="J76" s="3">
        <v>3142527</v>
      </c>
      <c r="K76" s="3">
        <v>3132728</v>
      </c>
      <c r="L76" s="3">
        <v>3132728</v>
      </c>
      <c r="M76" s="3">
        <v>54550</v>
      </c>
      <c r="N76" s="3">
        <v>466315</v>
      </c>
      <c r="O76" s="3">
        <v>37762</v>
      </c>
      <c r="P76" s="3">
        <v>35107</v>
      </c>
      <c r="Q76" s="3">
        <v>164695</v>
      </c>
      <c r="R76" s="3">
        <v>2384098</v>
      </c>
      <c r="S76" s="3">
        <v>2374299</v>
      </c>
      <c r="T76" s="3">
        <v>2374299</v>
      </c>
      <c r="U76" s="3">
        <v>314253</v>
      </c>
      <c r="V76" s="3">
        <v>314253</v>
      </c>
      <c r="W76" s="3">
        <v>314253</v>
      </c>
      <c r="X76" s="3">
        <v>314253</v>
      </c>
      <c r="Y76" s="3">
        <v>312619</v>
      </c>
      <c r="Z76" s="3">
        <v>312619</v>
      </c>
      <c r="AA76" s="4">
        <v>312620</v>
      </c>
      <c r="AB76" s="4">
        <v>312620</v>
      </c>
      <c r="AC76" s="4">
        <v>312620</v>
      </c>
      <c r="AD76" s="4">
        <v>312618</v>
      </c>
      <c r="AE76" s="4">
        <v>314253</v>
      </c>
      <c r="AF76" s="4">
        <v>628506</v>
      </c>
      <c r="AG76" s="4">
        <v>942759</v>
      </c>
      <c r="AH76" s="4">
        <v>1257012</v>
      </c>
      <c r="AI76" s="4">
        <v>1569631</v>
      </c>
      <c r="AJ76" s="4">
        <v>1882250</v>
      </c>
      <c r="AK76" s="4">
        <v>2194870</v>
      </c>
      <c r="AL76" s="4">
        <v>2507490</v>
      </c>
      <c r="AM76" s="4">
        <v>2820110</v>
      </c>
      <c r="AN76" s="4">
        <v>3132728</v>
      </c>
      <c r="AO76" s="134">
        <v>176863</v>
      </c>
    </row>
    <row r="77" spans="1:41" x14ac:dyDescent="0.2">
      <c r="A77" s="1">
        <v>2025</v>
      </c>
      <c r="B77" s="2" t="s">
        <v>94</v>
      </c>
      <c r="C77" s="2" t="s">
        <v>94</v>
      </c>
      <c r="D77" s="1" t="s">
        <v>444</v>
      </c>
      <c r="E77" s="3">
        <v>1958792</v>
      </c>
      <c r="F77" s="3">
        <v>381</v>
      </c>
      <c r="G77" s="3">
        <v>0</v>
      </c>
      <c r="H77" s="3">
        <v>8474</v>
      </c>
      <c r="I77" s="1">
        <v>0</v>
      </c>
      <c r="J77" s="3">
        <v>1958411</v>
      </c>
      <c r="K77" s="3">
        <v>1949937</v>
      </c>
      <c r="L77" s="3">
        <v>1949937</v>
      </c>
      <c r="M77" s="3">
        <v>89618</v>
      </c>
      <c r="N77" s="3">
        <v>402357</v>
      </c>
      <c r="O77" s="3">
        <v>34008</v>
      </c>
      <c r="P77" s="3">
        <v>29050</v>
      </c>
      <c r="Q77" s="3">
        <v>142106</v>
      </c>
      <c r="R77" s="3">
        <v>1261272</v>
      </c>
      <c r="S77" s="3">
        <v>1252798</v>
      </c>
      <c r="T77" s="3">
        <v>1252798</v>
      </c>
      <c r="U77" s="3">
        <v>195841</v>
      </c>
      <c r="V77" s="3">
        <v>195841</v>
      </c>
      <c r="W77" s="3">
        <v>195841</v>
      </c>
      <c r="X77" s="3">
        <v>195841</v>
      </c>
      <c r="Y77" s="3">
        <v>194429</v>
      </c>
      <c r="Z77" s="3">
        <v>194429</v>
      </c>
      <c r="AA77" s="4">
        <v>194429</v>
      </c>
      <c r="AB77" s="4">
        <v>194429</v>
      </c>
      <c r="AC77" s="4">
        <v>194429</v>
      </c>
      <c r="AD77" s="4">
        <v>194428</v>
      </c>
      <c r="AE77" s="4">
        <v>195841</v>
      </c>
      <c r="AF77" s="4">
        <v>391682</v>
      </c>
      <c r="AG77" s="4">
        <v>587523</v>
      </c>
      <c r="AH77" s="4">
        <v>783364</v>
      </c>
      <c r="AI77" s="4">
        <v>977793</v>
      </c>
      <c r="AJ77" s="4">
        <v>1172222</v>
      </c>
      <c r="AK77" s="4">
        <v>1366651</v>
      </c>
      <c r="AL77" s="4">
        <v>1561080</v>
      </c>
      <c r="AM77" s="4">
        <v>1755509</v>
      </c>
      <c r="AN77" s="4">
        <v>1949937</v>
      </c>
      <c r="AO77" s="134">
        <v>162186</v>
      </c>
    </row>
    <row r="78" spans="1:41" x14ac:dyDescent="0.2">
      <c r="A78" s="1">
        <v>2025</v>
      </c>
      <c r="B78" s="2" t="s">
        <v>95</v>
      </c>
      <c r="C78" s="2" t="s">
        <v>95</v>
      </c>
      <c r="D78" s="1" t="s">
        <v>445</v>
      </c>
      <c r="E78" s="3">
        <v>78458890</v>
      </c>
      <c r="F78" s="3">
        <v>5971</v>
      </c>
      <c r="G78" s="3">
        <v>0</v>
      </c>
      <c r="H78" s="3">
        <v>194452</v>
      </c>
      <c r="I78" s="1">
        <v>0</v>
      </c>
      <c r="J78" s="3">
        <v>78452919</v>
      </c>
      <c r="K78" s="3">
        <v>78258467</v>
      </c>
      <c r="L78" s="3">
        <v>78258467</v>
      </c>
      <c r="M78" s="3">
        <v>1410344</v>
      </c>
      <c r="N78" s="3">
        <v>6216079</v>
      </c>
      <c r="O78" s="3">
        <v>835698</v>
      </c>
      <c r="P78" s="3">
        <v>666691</v>
      </c>
      <c r="Q78" s="3">
        <v>3358260</v>
      </c>
      <c r="R78" s="3">
        <v>65965847</v>
      </c>
      <c r="S78" s="3">
        <v>65771395</v>
      </c>
      <c r="T78" s="3">
        <v>65771395</v>
      </c>
      <c r="U78" s="3">
        <v>7845292</v>
      </c>
      <c r="V78" s="3">
        <v>7845292</v>
      </c>
      <c r="W78" s="3">
        <v>7845292</v>
      </c>
      <c r="X78" s="3">
        <v>7845292</v>
      </c>
      <c r="Y78" s="3">
        <v>7812883</v>
      </c>
      <c r="Z78" s="3">
        <v>7812883</v>
      </c>
      <c r="AA78" s="4">
        <v>7812883</v>
      </c>
      <c r="AB78" s="4">
        <v>7812883</v>
      </c>
      <c r="AC78" s="4">
        <v>7812883</v>
      </c>
      <c r="AD78" s="4">
        <v>7812884</v>
      </c>
      <c r="AE78" s="4">
        <v>7845292</v>
      </c>
      <c r="AF78" s="4">
        <v>15690584</v>
      </c>
      <c r="AG78" s="4">
        <v>23535876</v>
      </c>
      <c r="AH78" s="4">
        <v>31381168</v>
      </c>
      <c r="AI78" s="4">
        <v>39194051</v>
      </c>
      <c r="AJ78" s="4">
        <v>47006934</v>
      </c>
      <c r="AK78" s="4">
        <v>54819817</v>
      </c>
      <c r="AL78" s="4">
        <v>62632700</v>
      </c>
      <c r="AM78" s="4">
        <v>70445583</v>
      </c>
      <c r="AN78" s="4">
        <v>78258467</v>
      </c>
      <c r="AO78" s="134">
        <v>3954764</v>
      </c>
    </row>
    <row r="79" spans="1:41" x14ac:dyDescent="0.2">
      <c r="A79" s="1">
        <v>2025</v>
      </c>
      <c r="B79" s="2" t="s">
        <v>96</v>
      </c>
      <c r="C79" s="2" t="s">
        <v>96</v>
      </c>
      <c r="D79" s="1" t="s">
        <v>446</v>
      </c>
      <c r="E79" s="3">
        <v>10654864</v>
      </c>
      <c r="F79" s="3">
        <v>1360</v>
      </c>
      <c r="G79" s="3">
        <v>0</v>
      </c>
      <c r="H79" s="3">
        <v>30847</v>
      </c>
      <c r="I79" s="1">
        <v>0</v>
      </c>
      <c r="J79" s="3">
        <v>10653504</v>
      </c>
      <c r="K79" s="3">
        <v>10622657</v>
      </c>
      <c r="L79" s="3">
        <v>10622657</v>
      </c>
      <c r="M79" s="3">
        <v>319506</v>
      </c>
      <c r="N79" s="3">
        <v>1124966</v>
      </c>
      <c r="O79" s="3">
        <v>120120</v>
      </c>
      <c r="P79" s="3">
        <v>105686</v>
      </c>
      <c r="Q79" s="3">
        <v>530876</v>
      </c>
      <c r="R79" s="3">
        <v>8452350</v>
      </c>
      <c r="S79" s="3">
        <v>8421503</v>
      </c>
      <c r="T79" s="3">
        <v>8421503</v>
      </c>
      <c r="U79" s="3">
        <v>1065350</v>
      </c>
      <c r="V79" s="3">
        <v>1065350</v>
      </c>
      <c r="W79" s="3">
        <v>1065350</v>
      </c>
      <c r="X79" s="3">
        <v>1065350</v>
      </c>
      <c r="Y79" s="3">
        <v>1060210</v>
      </c>
      <c r="Z79" s="3">
        <v>1060210</v>
      </c>
      <c r="AA79" s="4">
        <v>1060209</v>
      </c>
      <c r="AB79" s="4">
        <v>1060209</v>
      </c>
      <c r="AC79" s="4">
        <v>1060209</v>
      </c>
      <c r="AD79" s="4">
        <v>1060210</v>
      </c>
      <c r="AE79" s="4">
        <v>1065350</v>
      </c>
      <c r="AF79" s="4">
        <v>2130700</v>
      </c>
      <c r="AG79" s="4">
        <v>3196050</v>
      </c>
      <c r="AH79" s="4">
        <v>4261400</v>
      </c>
      <c r="AI79" s="4">
        <v>5321610</v>
      </c>
      <c r="AJ79" s="4">
        <v>6381820</v>
      </c>
      <c r="AK79" s="4">
        <v>7442029</v>
      </c>
      <c r="AL79" s="4">
        <v>8502238</v>
      </c>
      <c r="AM79" s="4">
        <v>9562447</v>
      </c>
      <c r="AN79" s="4">
        <v>10622657</v>
      </c>
      <c r="AO79" s="134">
        <v>577646</v>
      </c>
    </row>
    <row r="80" spans="1:41" x14ac:dyDescent="0.2">
      <c r="A80" s="1">
        <v>2025</v>
      </c>
      <c r="B80" s="2" t="s">
        <v>97</v>
      </c>
      <c r="C80" s="2" t="s">
        <v>97</v>
      </c>
      <c r="D80" s="1" t="s">
        <v>447</v>
      </c>
      <c r="E80" s="3">
        <v>24898078</v>
      </c>
      <c r="F80" s="3">
        <v>2737</v>
      </c>
      <c r="G80" s="3">
        <v>6583</v>
      </c>
      <c r="H80" s="3">
        <v>78874</v>
      </c>
      <c r="I80" s="1">
        <v>0</v>
      </c>
      <c r="J80" s="3">
        <v>24888758</v>
      </c>
      <c r="K80" s="3">
        <v>24809884</v>
      </c>
      <c r="L80" s="3">
        <v>24809884</v>
      </c>
      <c r="M80" s="3">
        <v>642908</v>
      </c>
      <c r="N80" s="3">
        <v>2474084</v>
      </c>
      <c r="O80" s="3">
        <v>272252</v>
      </c>
      <c r="P80" s="3">
        <v>243060</v>
      </c>
      <c r="Q80" s="3">
        <v>1336633</v>
      </c>
      <c r="R80" s="3">
        <v>19919821</v>
      </c>
      <c r="S80" s="3">
        <v>19840947</v>
      </c>
      <c r="T80" s="3">
        <v>19840947</v>
      </c>
      <c r="U80" s="3">
        <v>2488876</v>
      </c>
      <c r="V80" s="3">
        <v>2488876</v>
      </c>
      <c r="W80" s="3">
        <v>2488876</v>
      </c>
      <c r="X80" s="3">
        <v>2488876</v>
      </c>
      <c r="Y80" s="3">
        <v>2475730</v>
      </c>
      <c r="Z80" s="3">
        <v>2475730</v>
      </c>
      <c r="AA80" s="4">
        <v>2475730</v>
      </c>
      <c r="AB80" s="4">
        <v>2475730</v>
      </c>
      <c r="AC80" s="4">
        <v>2475730</v>
      </c>
      <c r="AD80" s="4">
        <v>2475730</v>
      </c>
      <c r="AE80" s="4">
        <v>2488876</v>
      </c>
      <c r="AF80" s="4">
        <v>4977752</v>
      </c>
      <c r="AG80" s="4">
        <v>7466628</v>
      </c>
      <c r="AH80" s="4">
        <v>9955504</v>
      </c>
      <c r="AI80" s="4">
        <v>12431234</v>
      </c>
      <c r="AJ80" s="4">
        <v>14906964</v>
      </c>
      <c r="AK80" s="4">
        <v>17382694</v>
      </c>
      <c r="AL80" s="4">
        <v>19858424</v>
      </c>
      <c r="AM80" s="4">
        <v>22334154</v>
      </c>
      <c r="AN80" s="4">
        <v>24809884</v>
      </c>
      <c r="AO80" s="134">
        <v>1373932</v>
      </c>
    </row>
    <row r="81" spans="1:41" x14ac:dyDescent="0.2">
      <c r="A81" s="1">
        <v>2025</v>
      </c>
      <c r="B81" s="2" t="s">
        <v>98</v>
      </c>
      <c r="C81" s="2" t="s">
        <v>98</v>
      </c>
      <c r="D81" s="1" t="s">
        <v>448</v>
      </c>
      <c r="E81" s="3">
        <v>3435191</v>
      </c>
      <c r="F81" s="3">
        <v>514</v>
      </c>
      <c r="G81" s="3">
        <v>7771</v>
      </c>
      <c r="H81" s="3">
        <v>9959</v>
      </c>
      <c r="I81" s="1">
        <v>0</v>
      </c>
      <c r="J81" s="3">
        <v>3426906</v>
      </c>
      <c r="K81" s="3">
        <v>3416947</v>
      </c>
      <c r="L81" s="3">
        <v>3416947</v>
      </c>
      <c r="M81" s="3">
        <v>120789</v>
      </c>
      <c r="N81" s="3">
        <v>474978</v>
      </c>
      <c r="O81" s="3">
        <v>36958</v>
      </c>
      <c r="P81" s="3">
        <v>33259</v>
      </c>
      <c r="Q81" s="3">
        <v>167754</v>
      </c>
      <c r="R81" s="3">
        <v>2593168</v>
      </c>
      <c r="S81" s="3">
        <v>2583209</v>
      </c>
      <c r="T81" s="3">
        <v>2583209</v>
      </c>
      <c r="U81" s="3">
        <v>342691</v>
      </c>
      <c r="V81" s="3">
        <v>342691</v>
      </c>
      <c r="W81" s="3">
        <v>342691</v>
      </c>
      <c r="X81" s="3">
        <v>342691</v>
      </c>
      <c r="Y81" s="3">
        <v>341031</v>
      </c>
      <c r="Z81" s="3">
        <v>341031</v>
      </c>
      <c r="AA81" s="4">
        <v>341030</v>
      </c>
      <c r="AB81" s="4">
        <v>341030</v>
      </c>
      <c r="AC81" s="4">
        <v>341030</v>
      </c>
      <c r="AD81" s="4">
        <v>341031</v>
      </c>
      <c r="AE81" s="4">
        <v>342691</v>
      </c>
      <c r="AF81" s="4">
        <v>685382</v>
      </c>
      <c r="AG81" s="4">
        <v>1028073</v>
      </c>
      <c r="AH81" s="4">
        <v>1370764</v>
      </c>
      <c r="AI81" s="4">
        <v>1711795</v>
      </c>
      <c r="AJ81" s="4">
        <v>2052826</v>
      </c>
      <c r="AK81" s="4">
        <v>2393856</v>
      </c>
      <c r="AL81" s="4">
        <v>2734886</v>
      </c>
      <c r="AM81" s="4">
        <v>3075916</v>
      </c>
      <c r="AN81" s="4">
        <v>3416947</v>
      </c>
      <c r="AO81" s="134">
        <v>185765</v>
      </c>
    </row>
    <row r="82" spans="1:41" x14ac:dyDescent="0.2">
      <c r="A82" s="1">
        <v>2025</v>
      </c>
      <c r="B82" s="2" t="s">
        <v>99</v>
      </c>
      <c r="C82" s="2" t="s">
        <v>99</v>
      </c>
      <c r="D82" s="1" t="s">
        <v>449</v>
      </c>
      <c r="E82" s="3">
        <v>109914612</v>
      </c>
      <c r="F82" s="3">
        <v>10847</v>
      </c>
      <c r="G82" s="3">
        <v>32183</v>
      </c>
      <c r="H82" s="3">
        <v>310544</v>
      </c>
      <c r="I82" s="1">
        <v>0</v>
      </c>
      <c r="J82" s="3">
        <v>109871582</v>
      </c>
      <c r="K82" s="3">
        <v>109561038</v>
      </c>
      <c r="L82" s="3">
        <v>109561038</v>
      </c>
      <c r="M82" s="3">
        <v>2540620</v>
      </c>
      <c r="N82" s="3">
        <v>10299838</v>
      </c>
      <c r="O82" s="3">
        <v>1378978</v>
      </c>
      <c r="P82" s="3">
        <v>1182318</v>
      </c>
      <c r="Q82" s="3">
        <v>5564526</v>
      </c>
      <c r="R82" s="3">
        <v>88905302</v>
      </c>
      <c r="S82" s="3">
        <v>88594758</v>
      </c>
      <c r="T82" s="3">
        <v>88594758</v>
      </c>
      <c r="U82" s="3">
        <v>10987158</v>
      </c>
      <c r="V82" s="3">
        <v>10987158</v>
      </c>
      <c r="W82" s="3">
        <v>10987158</v>
      </c>
      <c r="X82" s="3">
        <v>10987158</v>
      </c>
      <c r="Y82" s="3">
        <v>10935401</v>
      </c>
      <c r="Z82" s="3">
        <v>10935401</v>
      </c>
      <c r="AA82" s="4">
        <v>10935401</v>
      </c>
      <c r="AB82" s="4">
        <v>10935401</v>
      </c>
      <c r="AC82" s="4">
        <v>10935401</v>
      </c>
      <c r="AD82" s="4">
        <v>10935401</v>
      </c>
      <c r="AE82" s="4">
        <v>10987158</v>
      </c>
      <c r="AF82" s="4">
        <v>21974316</v>
      </c>
      <c r="AG82" s="4">
        <v>32961474</v>
      </c>
      <c r="AH82" s="4">
        <v>43948632</v>
      </c>
      <c r="AI82" s="4">
        <v>54884033</v>
      </c>
      <c r="AJ82" s="4">
        <v>65819434</v>
      </c>
      <c r="AK82" s="4">
        <v>76754835</v>
      </c>
      <c r="AL82" s="4">
        <v>87690236</v>
      </c>
      <c r="AM82" s="4">
        <v>98625637</v>
      </c>
      <c r="AN82" s="4">
        <v>109561038</v>
      </c>
      <c r="AO82" s="134">
        <v>6003311</v>
      </c>
    </row>
    <row r="83" spans="1:41" x14ac:dyDescent="0.2">
      <c r="A83" s="1">
        <v>2025</v>
      </c>
      <c r="B83" s="2" t="s">
        <v>100</v>
      </c>
      <c r="C83" s="2" t="s">
        <v>100</v>
      </c>
      <c r="D83" s="1" t="s">
        <v>450</v>
      </c>
      <c r="E83" s="3">
        <v>8320487</v>
      </c>
      <c r="F83" s="3">
        <v>614</v>
      </c>
      <c r="G83" s="3">
        <v>12714</v>
      </c>
      <c r="H83" s="3">
        <v>25182</v>
      </c>
      <c r="I83" s="1">
        <v>0</v>
      </c>
      <c r="J83" s="3">
        <v>8307159</v>
      </c>
      <c r="K83" s="3">
        <v>8281977</v>
      </c>
      <c r="L83" s="3">
        <v>8281977</v>
      </c>
      <c r="M83" s="3">
        <v>144167</v>
      </c>
      <c r="N83" s="3">
        <v>898837</v>
      </c>
      <c r="O83" s="3">
        <v>85531</v>
      </c>
      <c r="P83" s="3">
        <v>83836</v>
      </c>
      <c r="Q83" s="3">
        <v>424164</v>
      </c>
      <c r="R83" s="3">
        <v>6670624</v>
      </c>
      <c r="S83" s="3">
        <v>6645442</v>
      </c>
      <c r="T83" s="3">
        <v>6645442</v>
      </c>
      <c r="U83" s="3">
        <v>830716</v>
      </c>
      <c r="V83" s="3">
        <v>830716</v>
      </c>
      <c r="W83" s="3">
        <v>830716</v>
      </c>
      <c r="X83" s="3">
        <v>830716</v>
      </c>
      <c r="Y83" s="3">
        <v>826519</v>
      </c>
      <c r="Z83" s="3">
        <v>826519</v>
      </c>
      <c r="AA83" s="4">
        <v>826519</v>
      </c>
      <c r="AB83" s="4">
        <v>826519</v>
      </c>
      <c r="AC83" s="4">
        <v>826519</v>
      </c>
      <c r="AD83" s="4">
        <v>826518</v>
      </c>
      <c r="AE83" s="4">
        <v>830716</v>
      </c>
      <c r="AF83" s="4">
        <v>1661432</v>
      </c>
      <c r="AG83" s="4">
        <v>2492148</v>
      </c>
      <c r="AH83" s="4">
        <v>3322864</v>
      </c>
      <c r="AI83" s="4">
        <v>4149383</v>
      </c>
      <c r="AJ83" s="4">
        <v>4975902</v>
      </c>
      <c r="AK83" s="4">
        <v>5802421</v>
      </c>
      <c r="AL83" s="4">
        <v>6628940</v>
      </c>
      <c r="AM83" s="4">
        <v>7455459</v>
      </c>
      <c r="AN83" s="4">
        <v>8281977</v>
      </c>
      <c r="AO83" s="134">
        <v>453731</v>
      </c>
    </row>
    <row r="84" spans="1:41" x14ac:dyDescent="0.2">
      <c r="A84" s="1">
        <v>2025</v>
      </c>
      <c r="B84" s="2" t="s">
        <v>101</v>
      </c>
      <c r="C84" s="2" t="s">
        <v>101</v>
      </c>
      <c r="D84" s="1" t="s">
        <v>451</v>
      </c>
      <c r="E84" s="3">
        <v>9752623</v>
      </c>
      <c r="F84" s="3">
        <v>1493</v>
      </c>
      <c r="G84" s="3">
        <v>0</v>
      </c>
      <c r="H84" s="3">
        <v>33983</v>
      </c>
      <c r="I84" s="1">
        <v>0</v>
      </c>
      <c r="J84" s="3">
        <v>9751130</v>
      </c>
      <c r="K84" s="3">
        <v>9717147</v>
      </c>
      <c r="L84" s="3">
        <v>9717147</v>
      </c>
      <c r="M84" s="3">
        <v>350677</v>
      </c>
      <c r="N84" s="3">
        <v>1307578</v>
      </c>
      <c r="O84" s="3">
        <v>121112</v>
      </c>
      <c r="P84" s="3">
        <v>123242</v>
      </c>
      <c r="Q84" s="3">
        <v>595923</v>
      </c>
      <c r="R84" s="3">
        <v>7252598</v>
      </c>
      <c r="S84" s="3">
        <v>7218615</v>
      </c>
      <c r="T84" s="3">
        <v>7218615</v>
      </c>
      <c r="U84" s="3">
        <v>975113</v>
      </c>
      <c r="V84" s="3">
        <v>975113</v>
      </c>
      <c r="W84" s="3">
        <v>975113</v>
      </c>
      <c r="X84" s="3">
        <v>975113</v>
      </c>
      <c r="Y84" s="3">
        <v>969449</v>
      </c>
      <c r="Z84" s="3">
        <v>969449</v>
      </c>
      <c r="AA84" s="4">
        <v>969449</v>
      </c>
      <c r="AB84" s="4">
        <v>969449</v>
      </c>
      <c r="AC84" s="4">
        <v>969449</v>
      </c>
      <c r="AD84" s="4">
        <v>969450</v>
      </c>
      <c r="AE84" s="4">
        <v>975113</v>
      </c>
      <c r="AF84" s="4">
        <v>1950226</v>
      </c>
      <c r="AG84" s="4">
        <v>2925339</v>
      </c>
      <c r="AH84" s="4">
        <v>3900452</v>
      </c>
      <c r="AI84" s="4">
        <v>4869901</v>
      </c>
      <c r="AJ84" s="4">
        <v>5839350</v>
      </c>
      <c r="AK84" s="4">
        <v>6808799</v>
      </c>
      <c r="AL84" s="4">
        <v>7778248</v>
      </c>
      <c r="AM84" s="4">
        <v>8747697</v>
      </c>
      <c r="AN84" s="4">
        <v>9717147</v>
      </c>
      <c r="AO84" s="134">
        <v>655573</v>
      </c>
    </row>
    <row r="85" spans="1:41" x14ac:dyDescent="0.2">
      <c r="A85" s="1">
        <v>2025</v>
      </c>
      <c r="B85" s="2" t="s">
        <v>102</v>
      </c>
      <c r="C85" s="2" t="s">
        <v>102</v>
      </c>
      <c r="D85" s="1" t="s">
        <v>452</v>
      </c>
      <c r="E85" s="3">
        <v>1435267</v>
      </c>
      <c r="F85" s="3">
        <v>315</v>
      </c>
      <c r="G85" s="3">
        <v>0</v>
      </c>
      <c r="H85" s="3">
        <v>4122</v>
      </c>
      <c r="I85" s="3">
        <v>0</v>
      </c>
      <c r="J85" s="3">
        <v>1434952</v>
      </c>
      <c r="K85" s="3">
        <v>1430830</v>
      </c>
      <c r="L85" s="3">
        <v>1430830</v>
      </c>
      <c r="M85" s="3">
        <v>74032</v>
      </c>
      <c r="N85" s="3">
        <v>220376</v>
      </c>
      <c r="O85" s="3">
        <v>15444</v>
      </c>
      <c r="P85" s="3">
        <v>10122</v>
      </c>
      <c r="Q85" s="3">
        <v>73706</v>
      </c>
      <c r="R85" s="3">
        <v>1041272</v>
      </c>
      <c r="S85" s="3">
        <v>1037150</v>
      </c>
      <c r="T85" s="3">
        <v>1037150</v>
      </c>
      <c r="U85" s="3">
        <v>143495</v>
      </c>
      <c r="V85" s="3">
        <v>143495</v>
      </c>
      <c r="W85" s="3">
        <v>143495</v>
      </c>
      <c r="X85" s="3">
        <v>143495</v>
      </c>
      <c r="Y85" s="3">
        <v>142808</v>
      </c>
      <c r="Z85" s="3">
        <v>142808</v>
      </c>
      <c r="AA85" s="4">
        <v>142809</v>
      </c>
      <c r="AB85" s="4">
        <v>142809</v>
      </c>
      <c r="AC85" s="4">
        <v>142809</v>
      </c>
      <c r="AD85" s="4">
        <v>142807</v>
      </c>
      <c r="AE85" s="4">
        <v>143495</v>
      </c>
      <c r="AF85" s="4">
        <v>286990</v>
      </c>
      <c r="AG85" s="4">
        <v>430485</v>
      </c>
      <c r="AH85" s="4">
        <v>573980</v>
      </c>
      <c r="AI85" s="4">
        <v>716788</v>
      </c>
      <c r="AJ85" s="4">
        <v>859596</v>
      </c>
      <c r="AK85" s="4">
        <v>1002405</v>
      </c>
      <c r="AL85" s="4">
        <v>1145214</v>
      </c>
      <c r="AM85" s="4">
        <v>1288023</v>
      </c>
      <c r="AN85" s="4">
        <v>1430830</v>
      </c>
      <c r="AO85" s="134">
        <v>80645</v>
      </c>
    </row>
    <row r="86" spans="1:41" x14ac:dyDescent="0.2">
      <c r="A86" s="1">
        <v>2025</v>
      </c>
      <c r="B86" s="2" t="s">
        <v>103</v>
      </c>
      <c r="C86" s="2" t="s">
        <v>103</v>
      </c>
      <c r="D86" s="1" t="s">
        <v>453</v>
      </c>
      <c r="E86" s="3">
        <v>17385447</v>
      </c>
      <c r="F86" s="3">
        <v>1907</v>
      </c>
      <c r="G86" s="3">
        <v>0</v>
      </c>
      <c r="H86" s="3">
        <v>44117</v>
      </c>
      <c r="I86" s="3">
        <v>0</v>
      </c>
      <c r="J86" s="3">
        <v>17383540</v>
      </c>
      <c r="K86" s="3">
        <v>17339423</v>
      </c>
      <c r="L86" s="3">
        <v>17339423</v>
      </c>
      <c r="M86" s="3">
        <v>451906</v>
      </c>
      <c r="N86" s="3">
        <v>1516115</v>
      </c>
      <c r="O86" s="3">
        <v>192159</v>
      </c>
      <c r="P86" s="3">
        <v>159600</v>
      </c>
      <c r="Q86" s="3">
        <v>784377</v>
      </c>
      <c r="R86" s="3">
        <v>14279383</v>
      </c>
      <c r="S86" s="3">
        <v>14235266</v>
      </c>
      <c r="T86" s="3">
        <v>14235266</v>
      </c>
      <c r="U86" s="3">
        <v>1738354</v>
      </c>
      <c r="V86" s="3">
        <v>1738354</v>
      </c>
      <c r="W86" s="3">
        <v>1738354</v>
      </c>
      <c r="X86" s="3">
        <v>1738354</v>
      </c>
      <c r="Y86" s="3">
        <v>1731001</v>
      </c>
      <c r="Z86" s="3">
        <v>1731001</v>
      </c>
      <c r="AA86" s="4">
        <v>1731001</v>
      </c>
      <c r="AB86" s="4">
        <v>1731001</v>
      </c>
      <c r="AC86" s="4">
        <v>1731001</v>
      </c>
      <c r="AD86" s="4">
        <v>1731002</v>
      </c>
      <c r="AE86" s="4">
        <v>1738354</v>
      </c>
      <c r="AF86" s="4">
        <v>3476708</v>
      </c>
      <c r="AG86" s="4">
        <v>5215062</v>
      </c>
      <c r="AH86" s="4">
        <v>6953416</v>
      </c>
      <c r="AI86" s="4">
        <v>8684417</v>
      </c>
      <c r="AJ86" s="4">
        <v>10415418</v>
      </c>
      <c r="AK86" s="4">
        <v>12146419</v>
      </c>
      <c r="AL86" s="4">
        <v>13877420</v>
      </c>
      <c r="AM86" s="4">
        <v>15608421</v>
      </c>
      <c r="AN86" s="4">
        <v>17339423</v>
      </c>
      <c r="AO86" s="134">
        <v>852229</v>
      </c>
    </row>
    <row r="87" spans="1:41" x14ac:dyDescent="0.2">
      <c r="A87" s="1">
        <v>2025</v>
      </c>
      <c r="B87" s="2" t="s">
        <v>104</v>
      </c>
      <c r="C87" s="2" t="s">
        <v>104</v>
      </c>
      <c r="D87" s="1" t="s">
        <v>454</v>
      </c>
      <c r="E87" s="3">
        <v>6910287</v>
      </c>
      <c r="F87" s="1">
        <v>730</v>
      </c>
      <c r="G87" s="1">
        <v>0</v>
      </c>
      <c r="H87" s="3">
        <v>19469</v>
      </c>
      <c r="I87" s="3">
        <v>0</v>
      </c>
      <c r="J87" s="3">
        <v>6909557</v>
      </c>
      <c r="K87" s="3">
        <v>6890088</v>
      </c>
      <c r="L87" s="3">
        <v>6890088</v>
      </c>
      <c r="M87" s="3">
        <v>171442</v>
      </c>
      <c r="N87" s="3">
        <v>772583</v>
      </c>
      <c r="O87" s="3">
        <v>57405</v>
      </c>
      <c r="P87" s="3">
        <v>57257</v>
      </c>
      <c r="Q87" s="3">
        <v>328747</v>
      </c>
      <c r="R87" s="3">
        <v>5522123</v>
      </c>
      <c r="S87" s="3">
        <v>5502654</v>
      </c>
      <c r="T87" s="3">
        <v>5502654</v>
      </c>
      <c r="U87" s="3">
        <v>690956</v>
      </c>
      <c r="V87" s="3">
        <v>690956</v>
      </c>
      <c r="W87" s="3">
        <v>690956</v>
      </c>
      <c r="X87" s="3">
        <v>690956</v>
      </c>
      <c r="Y87" s="3">
        <v>687711</v>
      </c>
      <c r="Z87" s="3">
        <v>687711</v>
      </c>
      <c r="AA87" s="4">
        <v>687711</v>
      </c>
      <c r="AB87" s="4">
        <v>687711</v>
      </c>
      <c r="AC87" s="4">
        <v>687711</v>
      </c>
      <c r="AD87" s="4">
        <v>687709</v>
      </c>
      <c r="AE87" s="4">
        <v>690956</v>
      </c>
      <c r="AF87" s="4">
        <v>1381912</v>
      </c>
      <c r="AG87" s="4">
        <v>2072868</v>
      </c>
      <c r="AH87" s="4">
        <v>2763824</v>
      </c>
      <c r="AI87" s="4">
        <v>3451535</v>
      </c>
      <c r="AJ87" s="4">
        <v>4139246</v>
      </c>
      <c r="AK87" s="4">
        <v>4826957</v>
      </c>
      <c r="AL87" s="4">
        <v>5514668</v>
      </c>
      <c r="AM87" s="4">
        <v>6202379</v>
      </c>
      <c r="AN87" s="4">
        <v>6890088</v>
      </c>
      <c r="AO87" s="134">
        <v>358224</v>
      </c>
    </row>
    <row r="88" spans="1:41" x14ac:dyDescent="0.2">
      <c r="A88" s="1">
        <v>2025</v>
      </c>
      <c r="B88" s="2" t="s">
        <v>105</v>
      </c>
      <c r="C88" s="2" t="s">
        <v>105</v>
      </c>
      <c r="D88" s="1" t="s">
        <v>455</v>
      </c>
      <c r="E88" s="3">
        <v>274015904</v>
      </c>
      <c r="F88" s="3">
        <v>22572</v>
      </c>
      <c r="G88" s="3">
        <v>710009</v>
      </c>
      <c r="H88" s="3">
        <v>693835</v>
      </c>
      <c r="I88" s="3">
        <v>0</v>
      </c>
      <c r="J88" s="3">
        <v>273283323</v>
      </c>
      <c r="K88" s="3">
        <v>272589488</v>
      </c>
      <c r="L88" s="3">
        <v>272589488</v>
      </c>
      <c r="M88" s="3">
        <v>5287751</v>
      </c>
      <c r="N88" s="3">
        <v>22501822</v>
      </c>
      <c r="O88" s="3">
        <v>3299049</v>
      </c>
      <c r="P88" s="3">
        <v>2769321</v>
      </c>
      <c r="Q88" s="3">
        <v>12156693</v>
      </c>
      <c r="R88" s="3">
        <v>227268687</v>
      </c>
      <c r="S88" s="3">
        <v>226574852</v>
      </c>
      <c r="T88" s="3">
        <v>226574852</v>
      </c>
      <c r="U88" s="3">
        <v>27328332</v>
      </c>
      <c r="V88" s="3">
        <v>27328332</v>
      </c>
      <c r="W88" s="3">
        <v>27328332</v>
      </c>
      <c r="X88" s="3">
        <v>27328332</v>
      </c>
      <c r="Y88" s="3">
        <v>27212693</v>
      </c>
      <c r="Z88" s="3">
        <v>27212693</v>
      </c>
      <c r="AA88" s="4">
        <v>27212694</v>
      </c>
      <c r="AB88" s="4">
        <v>27212694</v>
      </c>
      <c r="AC88" s="4">
        <v>27212694</v>
      </c>
      <c r="AD88" s="4">
        <v>27212692</v>
      </c>
      <c r="AE88" s="4">
        <v>27328332</v>
      </c>
      <c r="AF88" s="4">
        <v>54656664</v>
      </c>
      <c r="AG88" s="4">
        <v>81984996</v>
      </c>
      <c r="AH88" s="4">
        <v>109313328</v>
      </c>
      <c r="AI88" s="4">
        <v>136526021</v>
      </c>
      <c r="AJ88" s="4">
        <v>163738714</v>
      </c>
      <c r="AK88" s="4">
        <v>190951408</v>
      </c>
      <c r="AL88" s="4">
        <v>218164102</v>
      </c>
      <c r="AM88" s="4">
        <v>245376796</v>
      </c>
      <c r="AN88" s="4">
        <v>272589488</v>
      </c>
      <c r="AO88" s="134">
        <v>12791800</v>
      </c>
    </row>
    <row r="89" spans="1:41" x14ac:dyDescent="0.2">
      <c r="A89" s="1">
        <v>2025</v>
      </c>
      <c r="B89" s="2" t="s">
        <v>106</v>
      </c>
      <c r="C89" s="2" t="s">
        <v>106</v>
      </c>
      <c r="D89" s="1" t="s">
        <v>456</v>
      </c>
      <c r="E89" s="3">
        <v>861226</v>
      </c>
      <c r="F89" s="3">
        <v>116</v>
      </c>
      <c r="G89" s="3">
        <v>0</v>
      </c>
      <c r="H89" s="3">
        <v>1960</v>
      </c>
      <c r="I89" s="1">
        <v>0</v>
      </c>
      <c r="J89" s="3">
        <v>861110</v>
      </c>
      <c r="K89" s="3">
        <v>859150</v>
      </c>
      <c r="L89" s="3">
        <v>859150</v>
      </c>
      <c r="M89" s="3">
        <v>27275</v>
      </c>
      <c r="N89" s="3">
        <v>248144</v>
      </c>
      <c r="O89" s="3">
        <v>12678</v>
      </c>
      <c r="P89" s="3">
        <v>11519</v>
      </c>
      <c r="Q89" s="3">
        <v>41275</v>
      </c>
      <c r="R89" s="3">
        <v>520219</v>
      </c>
      <c r="S89" s="3">
        <v>518259</v>
      </c>
      <c r="T89" s="3">
        <v>518259</v>
      </c>
      <c r="U89" s="3">
        <v>86111</v>
      </c>
      <c r="V89" s="3">
        <v>86111</v>
      </c>
      <c r="W89" s="3">
        <v>86111</v>
      </c>
      <c r="X89" s="3">
        <v>86111</v>
      </c>
      <c r="Y89" s="3">
        <v>85784</v>
      </c>
      <c r="Z89" s="3">
        <v>85784</v>
      </c>
      <c r="AA89" s="4">
        <v>85785</v>
      </c>
      <c r="AB89" s="4">
        <v>85785</v>
      </c>
      <c r="AC89" s="4">
        <v>85785</v>
      </c>
      <c r="AD89" s="4">
        <v>85783</v>
      </c>
      <c r="AE89" s="4">
        <v>86111</v>
      </c>
      <c r="AF89" s="4">
        <v>172222</v>
      </c>
      <c r="AG89" s="4">
        <v>258333</v>
      </c>
      <c r="AH89" s="4">
        <v>344444</v>
      </c>
      <c r="AI89" s="4">
        <v>430228</v>
      </c>
      <c r="AJ89" s="4">
        <v>516012</v>
      </c>
      <c r="AK89" s="4">
        <v>601797</v>
      </c>
      <c r="AL89" s="4">
        <v>687582</v>
      </c>
      <c r="AM89" s="4">
        <v>773367</v>
      </c>
      <c r="AN89" s="4">
        <v>859150</v>
      </c>
      <c r="AO89" s="134">
        <v>45450</v>
      </c>
    </row>
    <row r="90" spans="1:41" x14ac:dyDescent="0.2">
      <c r="A90" s="1">
        <v>2025</v>
      </c>
      <c r="B90" s="2" t="s">
        <v>107</v>
      </c>
      <c r="C90" s="2" t="s">
        <v>107</v>
      </c>
      <c r="D90" s="1" t="s">
        <v>457</v>
      </c>
      <c r="E90" s="3">
        <v>6755931</v>
      </c>
      <c r="F90" s="3">
        <v>763</v>
      </c>
      <c r="G90" s="3">
        <v>0</v>
      </c>
      <c r="H90" s="3">
        <v>19654</v>
      </c>
      <c r="I90" s="3">
        <v>0</v>
      </c>
      <c r="J90" s="3">
        <v>6755168</v>
      </c>
      <c r="K90" s="3">
        <v>6735514</v>
      </c>
      <c r="L90" s="3">
        <v>6735514</v>
      </c>
      <c r="M90" s="3">
        <v>179235</v>
      </c>
      <c r="N90" s="3">
        <v>778974</v>
      </c>
      <c r="O90" s="3">
        <v>62732</v>
      </c>
      <c r="P90" s="3">
        <v>64830</v>
      </c>
      <c r="Q90" s="3">
        <v>331467</v>
      </c>
      <c r="R90" s="3">
        <v>5337930</v>
      </c>
      <c r="S90" s="3">
        <v>5318276</v>
      </c>
      <c r="T90" s="3">
        <v>5318276</v>
      </c>
      <c r="U90" s="3">
        <v>675517</v>
      </c>
      <c r="V90" s="3">
        <v>675517</v>
      </c>
      <c r="W90" s="3">
        <v>675517</v>
      </c>
      <c r="X90" s="3">
        <v>675517</v>
      </c>
      <c r="Y90" s="3">
        <v>672241</v>
      </c>
      <c r="Z90" s="3">
        <v>672241</v>
      </c>
      <c r="AA90" s="4">
        <v>672241</v>
      </c>
      <c r="AB90" s="4">
        <v>672241</v>
      </c>
      <c r="AC90" s="4">
        <v>672241</v>
      </c>
      <c r="AD90" s="4">
        <v>672241</v>
      </c>
      <c r="AE90" s="4">
        <v>675517</v>
      </c>
      <c r="AF90" s="4">
        <v>1351034</v>
      </c>
      <c r="AG90" s="4">
        <v>2026551</v>
      </c>
      <c r="AH90" s="4">
        <v>2702068</v>
      </c>
      <c r="AI90" s="4">
        <v>3374309</v>
      </c>
      <c r="AJ90" s="4">
        <v>4046550</v>
      </c>
      <c r="AK90" s="4">
        <v>4718791</v>
      </c>
      <c r="AL90" s="4">
        <v>5391032</v>
      </c>
      <c r="AM90" s="4">
        <v>6063273</v>
      </c>
      <c r="AN90" s="4">
        <v>6735514</v>
      </c>
      <c r="AO90" s="134">
        <v>373430</v>
      </c>
    </row>
    <row r="91" spans="1:41" x14ac:dyDescent="0.2">
      <c r="A91" s="1">
        <v>2025</v>
      </c>
      <c r="B91" s="2" t="s">
        <v>108</v>
      </c>
      <c r="C91" s="2" t="s">
        <v>108</v>
      </c>
      <c r="D91" s="1" t="s">
        <v>458</v>
      </c>
      <c r="E91" s="3">
        <v>79366751</v>
      </c>
      <c r="F91" s="3">
        <v>11444</v>
      </c>
      <c r="G91" s="3">
        <v>0</v>
      </c>
      <c r="H91" s="3">
        <v>225169</v>
      </c>
      <c r="I91" s="1">
        <v>0</v>
      </c>
      <c r="J91" s="3">
        <v>79355307</v>
      </c>
      <c r="K91" s="3">
        <v>79130138</v>
      </c>
      <c r="L91" s="3">
        <v>79130138</v>
      </c>
      <c r="M91" s="3">
        <v>2684708</v>
      </c>
      <c r="N91" s="3">
        <v>8604513</v>
      </c>
      <c r="O91" s="3">
        <v>886416</v>
      </c>
      <c r="P91" s="3">
        <v>869555</v>
      </c>
      <c r="Q91" s="3">
        <v>4031241</v>
      </c>
      <c r="R91" s="3">
        <v>62278874</v>
      </c>
      <c r="S91" s="3">
        <v>62053705</v>
      </c>
      <c r="T91" s="3">
        <v>62053705</v>
      </c>
      <c r="U91" s="3">
        <v>7935531</v>
      </c>
      <c r="V91" s="3">
        <v>7935531</v>
      </c>
      <c r="W91" s="3">
        <v>7935531</v>
      </c>
      <c r="X91" s="3">
        <v>7935531</v>
      </c>
      <c r="Y91" s="3">
        <v>7898002</v>
      </c>
      <c r="Z91" s="3">
        <v>7898002</v>
      </c>
      <c r="AA91" s="4">
        <v>7898003</v>
      </c>
      <c r="AB91" s="4">
        <v>7898003</v>
      </c>
      <c r="AC91" s="4">
        <v>7898003</v>
      </c>
      <c r="AD91" s="4">
        <v>7898001</v>
      </c>
      <c r="AE91" s="4">
        <v>7935531</v>
      </c>
      <c r="AF91" s="4">
        <v>15871062</v>
      </c>
      <c r="AG91" s="4">
        <v>23806593</v>
      </c>
      <c r="AH91" s="4">
        <v>31742124</v>
      </c>
      <c r="AI91" s="4">
        <v>39640126</v>
      </c>
      <c r="AJ91" s="4">
        <v>47538128</v>
      </c>
      <c r="AK91" s="4">
        <v>55436131</v>
      </c>
      <c r="AL91" s="4">
        <v>63334134</v>
      </c>
      <c r="AM91" s="4">
        <v>71232137</v>
      </c>
      <c r="AN91" s="4">
        <v>79130138</v>
      </c>
      <c r="AO91" s="134">
        <v>4616416</v>
      </c>
    </row>
    <row r="92" spans="1:41" x14ac:dyDescent="0.2">
      <c r="A92" s="1">
        <v>2025</v>
      </c>
      <c r="B92" s="2" t="s">
        <v>109</v>
      </c>
      <c r="C92" s="2" t="s">
        <v>109</v>
      </c>
      <c r="D92" s="1" t="s">
        <v>459</v>
      </c>
      <c r="E92" s="3">
        <v>2743555</v>
      </c>
      <c r="F92" s="1">
        <v>431</v>
      </c>
      <c r="G92" s="1">
        <v>0</v>
      </c>
      <c r="H92" s="3">
        <v>8096</v>
      </c>
      <c r="I92" s="1">
        <v>0</v>
      </c>
      <c r="J92" s="3">
        <v>2743124</v>
      </c>
      <c r="K92" s="3">
        <v>2735028</v>
      </c>
      <c r="L92" s="3">
        <v>2735028</v>
      </c>
      <c r="M92" s="3">
        <v>101307</v>
      </c>
      <c r="N92" s="3">
        <v>420268</v>
      </c>
      <c r="O92" s="3">
        <v>29075</v>
      </c>
      <c r="P92" s="3">
        <v>26992</v>
      </c>
      <c r="Q92" s="3">
        <v>138026</v>
      </c>
      <c r="R92" s="3">
        <v>2027456</v>
      </c>
      <c r="S92" s="3">
        <v>2019360</v>
      </c>
      <c r="T92" s="3">
        <v>2019360</v>
      </c>
      <c r="U92" s="3">
        <v>274312</v>
      </c>
      <c r="V92" s="3">
        <v>274312</v>
      </c>
      <c r="W92" s="3">
        <v>274312</v>
      </c>
      <c r="X92" s="3">
        <v>274312</v>
      </c>
      <c r="Y92" s="3">
        <v>272963</v>
      </c>
      <c r="Z92" s="3">
        <v>272963</v>
      </c>
      <c r="AA92" s="4">
        <v>272964</v>
      </c>
      <c r="AB92" s="4">
        <v>272964</v>
      </c>
      <c r="AC92" s="4">
        <v>272964</v>
      </c>
      <c r="AD92" s="4">
        <v>272962</v>
      </c>
      <c r="AE92" s="4">
        <v>274312</v>
      </c>
      <c r="AF92" s="4">
        <v>548624</v>
      </c>
      <c r="AG92" s="4">
        <v>822936</v>
      </c>
      <c r="AH92" s="4">
        <v>1097248</v>
      </c>
      <c r="AI92" s="4">
        <v>1370211</v>
      </c>
      <c r="AJ92" s="4">
        <v>1643174</v>
      </c>
      <c r="AK92" s="4">
        <v>1916138</v>
      </c>
      <c r="AL92" s="4">
        <v>2189102</v>
      </c>
      <c r="AM92" s="4">
        <v>2462066</v>
      </c>
      <c r="AN92" s="4">
        <v>2735028</v>
      </c>
      <c r="AO92" s="134">
        <v>167472</v>
      </c>
    </row>
    <row r="93" spans="1:41" x14ac:dyDescent="0.2">
      <c r="A93" s="1">
        <v>2025</v>
      </c>
      <c r="B93" s="2" t="s">
        <v>110</v>
      </c>
      <c r="C93" s="2" t="s">
        <v>110</v>
      </c>
      <c r="D93" s="1" t="s">
        <v>460</v>
      </c>
      <c r="E93" s="3">
        <v>2292956</v>
      </c>
      <c r="F93" s="3">
        <v>415</v>
      </c>
      <c r="G93" s="3">
        <v>0</v>
      </c>
      <c r="H93" s="3">
        <v>8686</v>
      </c>
      <c r="I93" s="3">
        <v>0</v>
      </c>
      <c r="J93" s="3">
        <v>2292541</v>
      </c>
      <c r="K93" s="3">
        <v>2283855</v>
      </c>
      <c r="L93" s="3">
        <v>2283855</v>
      </c>
      <c r="M93" s="3">
        <v>97410</v>
      </c>
      <c r="N93" s="3">
        <v>415619</v>
      </c>
      <c r="O93" s="3">
        <v>33167</v>
      </c>
      <c r="P93" s="3">
        <v>34376</v>
      </c>
      <c r="Q93" s="3">
        <v>146790</v>
      </c>
      <c r="R93" s="3">
        <v>1565179</v>
      </c>
      <c r="S93" s="3">
        <v>1556493</v>
      </c>
      <c r="T93" s="3">
        <v>1556493</v>
      </c>
      <c r="U93" s="3">
        <v>229254</v>
      </c>
      <c r="V93" s="3">
        <v>229254</v>
      </c>
      <c r="W93" s="3">
        <v>229254</v>
      </c>
      <c r="X93" s="3">
        <v>229254</v>
      </c>
      <c r="Y93" s="3">
        <v>227807</v>
      </c>
      <c r="Z93" s="3">
        <v>227807</v>
      </c>
      <c r="AA93" s="4">
        <v>227806</v>
      </c>
      <c r="AB93" s="4">
        <v>227806</v>
      </c>
      <c r="AC93" s="4">
        <v>227806</v>
      </c>
      <c r="AD93" s="4">
        <v>227807</v>
      </c>
      <c r="AE93" s="4">
        <v>229254</v>
      </c>
      <c r="AF93" s="4">
        <v>458508</v>
      </c>
      <c r="AG93" s="4">
        <v>687762</v>
      </c>
      <c r="AH93" s="4">
        <v>917016</v>
      </c>
      <c r="AI93" s="4">
        <v>1144823</v>
      </c>
      <c r="AJ93" s="4">
        <v>1372630</v>
      </c>
      <c r="AK93" s="4">
        <v>1600436</v>
      </c>
      <c r="AL93" s="4">
        <v>1828242</v>
      </c>
      <c r="AM93" s="4">
        <v>2056048</v>
      </c>
      <c r="AN93" s="4">
        <v>2283855</v>
      </c>
      <c r="AO93" s="134">
        <v>156275</v>
      </c>
    </row>
    <row r="94" spans="1:41" x14ac:dyDescent="0.2">
      <c r="A94" s="1">
        <v>2025</v>
      </c>
      <c r="B94" s="2" t="s">
        <v>111</v>
      </c>
      <c r="C94" s="2" t="s">
        <v>111</v>
      </c>
      <c r="D94" s="1" t="s">
        <v>461</v>
      </c>
      <c r="E94" s="3">
        <v>3299498</v>
      </c>
      <c r="F94" s="1">
        <v>514</v>
      </c>
      <c r="G94" s="1">
        <v>0</v>
      </c>
      <c r="H94" s="3">
        <v>11044</v>
      </c>
      <c r="I94" s="1">
        <v>0</v>
      </c>
      <c r="J94" s="3">
        <v>3298984</v>
      </c>
      <c r="K94" s="3">
        <v>3287940</v>
      </c>
      <c r="L94" s="3">
        <v>3287940</v>
      </c>
      <c r="M94" s="3">
        <v>120789</v>
      </c>
      <c r="N94" s="3">
        <v>452751</v>
      </c>
      <c r="O94" s="3">
        <v>36253</v>
      </c>
      <c r="P94" s="3">
        <v>43208</v>
      </c>
      <c r="Q94" s="3">
        <v>186339</v>
      </c>
      <c r="R94" s="3">
        <v>2459644</v>
      </c>
      <c r="S94" s="3">
        <v>2448600</v>
      </c>
      <c r="T94" s="3">
        <v>2448600</v>
      </c>
      <c r="U94" s="3">
        <v>329898</v>
      </c>
      <c r="V94" s="3">
        <v>329898</v>
      </c>
      <c r="W94" s="3">
        <v>329898</v>
      </c>
      <c r="X94" s="3">
        <v>329898</v>
      </c>
      <c r="Y94" s="3">
        <v>328058</v>
      </c>
      <c r="Z94" s="3">
        <v>328058</v>
      </c>
      <c r="AA94" s="4">
        <v>328058</v>
      </c>
      <c r="AB94" s="4">
        <v>328058</v>
      </c>
      <c r="AC94" s="4">
        <v>328058</v>
      </c>
      <c r="AD94" s="4">
        <v>328058</v>
      </c>
      <c r="AE94" s="4">
        <v>329898</v>
      </c>
      <c r="AF94" s="4">
        <v>659796</v>
      </c>
      <c r="AG94" s="4">
        <v>989694</v>
      </c>
      <c r="AH94" s="4">
        <v>1319592</v>
      </c>
      <c r="AI94" s="4">
        <v>1647650</v>
      </c>
      <c r="AJ94" s="4">
        <v>1975708</v>
      </c>
      <c r="AK94" s="4">
        <v>2303766</v>
      </c>
      <c r="AL94" s="4">
        <v>2631824</v>
      </c>
      <c r="AM94" s="4">
        <v>2959882</v>
      </c>
      <c r="AN94" s="4">
        <v>3287940</v>
      </c>
      <c r="AO94" s="134">
        <v>204952</v>
      </c>
    </row>
    <row r="95" spans="1:41" x14ac:dyDescent="0.2">
      <c r="A95" s="1">
        <v>2025</v>
      </c>
      <c r="B95" s="2" t="s">
        <v>112</v>
      </c>
      <c r="C95" s="2" t="s">
        <v>687</v>
      </c>
      <c r="D95" s="1" t="s">
        <v>462</v>
      </c>
      <c r="E95" s="3">
        <v>6717373</v>
      </c>
      <c r="F95" s="3">
        <v>746</v>
      </c>
      <c r="G95" s="3">
        <v>0</v>
      </c>
      <c r="H95" s="3">
        <v>21282</v>
      </c>
      <c r="I95" s="1">
        <v>0</v>
      </c>
      <c r="J95" s="3">
        <v>6716627</v>
      </c>
      <c r="K95" s="3">
        <v>6695345</v>
      </c>
      <c r="L95" s="3">
        <v>6695345</v>
      </c>
      <c r="M95" s="3">
        <v>175339</v>
      </c>
      <c r="N95" s="3">
        <v>819436</v>
      </c>
      <c r="O95" s="3">
        <v>71385</v>
      </c>
      <c r="P95" s="3">
        <v>59977</v>
      </c>
      <c r="Q95" s="3">
        <v>361799</v>
      </c>
      <c r="R95" s="3">
        <v>5228691</v>
      </c>
      <c r="S95" s="3">
        <v>5207409</v>
      </c>
      <c r="T95" s="3">
        <v>5207409</v>
      </c>
      <c r="U95" s="3">
        <v>671663</v>
      </c>
      <c r="V95" s="3">
        <v>671663</v>
      </c>
      <c r="W95" s="3">
        <v>671663</v>
      </c>
      <c r="X95" s="3">
        <v>671663</v>
      </c>
      <c r="Y95" s="3">
        <v>668116</v>
      </c>
      <c r="Z95" s="3">
        <v>668116</v>
      </c>
      <c r="AA95" s="4">
        <v>668115</v>
      </c>
      <c r="AB95" s="4">
        <v>668115</v>
      </c>
      <c r="AC95" s="4">
        <v>668115</v>
      </c>
      <c r="AD95" s="4">
        <v>668116</v>
      </c>
      <c r="AE95" s="4">
        <v>671663</v>
      </c>
      <c r="AF95" s="4">
        <v>1343326</v>
      </c>
      <c r="AG95" s="4">
        <v>2014989</v>
      </c>
      <c r="AH95" s="4">
        <v>2686652</v>
      </c>
      <c r="AI95" s="4">
        <v>3354768</v>
      </c>
      <c r="AJ95" s="4">
        <v>4022884</v>
      </c>
      <c r="AK95" s="4">
        <v>4690999</v>
      </c>
      <c r="AL95" s="4">
        <v>5359114</v>
      </c>
      <c r="AM95" s="4">
        <v>6027229</v>
      </c>
      <c r="AN95" s="4">
        <v>6695345</v>
      </c>
      <c r="AO95" s="134">
        <v>425740</v>
      </c>
    </row>
    <row r="96" spans="1:41" x14ac:dyDescent="0.2">
      <c r="A96" s="1">
        <v>2025</v>
      </c>
      <c r="B96" s="2" t="s">
        <v>113</v>
      </c>
      <c r="C96" s="2" t="s">
        <v>113</v>
      </c>
      <c r="D96" s="1" t="s">
        <v>463</v>
      </c>
      <c r="E96" s="3">
        <v>8031736</v>
      </c>
      <c r="F96" s="3">
        <v>995</v>
      </c>
      <c r="G96" s="3">
        <v>12778</v>
      </c>
      <c r="H96" s="3">
        <v>22071</v>
      </c>
      <c r="I96" s="1">
        <v>0</v>
      </c>
      <c r="J96" s="3">
        <v>8017963</v>
      </c>
      <c r="K96" s="3">
        <v>7995892</v>
      </c>
      <c r="L96" s="3">
        <v>7995892</v>
      </c>
      <c r="M96" s="3">
        <v>233785</v>
      </c>
      <c r="N96" s="3">
        <v>950695</v>
      </c>
      <c r="O96" s="3">
        <v>83220</v>
      </c>
      <c r="P96" s="3">
        <v>74208</v>
      </c>
      <c r="Q96" s="3">
        <v>371621</v>
      </c>
      <c r="R96" s="3">
        <v>6304434</v>
      </c>
      <c r="S96" s="3">
        <v>6282363</v>
      </c>
      <c r="T96" s="3">
        <v>6282363</v>
      </c>
      <c r="U96" s="3">
        <v>801796</v>
      </c>
      <c r="V96" s="3">
        <v>801796</v>
      </c>
      <c r="W96" s="3">
        <v>801796</v>
      </c>
      <c r="X96" s="3">
        <v>801796</v>
      </c>
      <c r="Y96" s="3">
        <v>798118</v>
      </c>
      <c r="Z96" s="3">
        <v>798118</v>
      </c>
      <c r="AA96" s="4">
        <v>798118</v>
      </c>
      <c r="AB96" s="4">
        <v>798118</v>
      </c>
      <c r="AC96" s="4">
        <v>798118</v>
      </c>
      <c r="AD96" s="4">
        <v>798118</v>
      </c>
      <c r="AE96" s="4">
        <v>801796</v>
      </c>
      <c r="AF96" s="4">
        <v>1603592</v>
      </c>
      <c r="AG96" s="4">
        <v>2405388</v>
      </c>
      <c r="AH96" s="4">
        <v>3207184</v>
      </c>
      <c r="AI96" s="4">
        <v>4005302</v>
      </c>
      <c r="AJ96" s="4">
        <v>4803420</v>
      </c>
      <c r="AK96" s="4">
        <v>5601538</v>
      </c>
      <c r="AL96" s="4">
        <v>6399656</v>
      </c>
      <c r="AM96" s="4">
        <v>7197774</v>
      </c>
      <c r="AN96" s="4">
        <v>7995892</v>
      </c>
      <c r="AO96" s="134">
        <v>424213</v>
      </c>
    </row>
    <row r="97" spans="1:41" x14ac:dyDescent="0.2">
      <c r="A97" s="1">
        <v>2025</v>
      </c>
      <c r="B97" s="2" t="s">
        <v>114</v>
      </c>
      <c r="C97" s="2" t="s">
        <v>114</v>
      </c>
      <c r="D97" s="1" t="s">
        <v>464</v>
      </c>
      <c r="E97" s="3">
        <v>4428343</v>
      </c>
      <c r="F97" s="1">
        <v>630</v>
      </c>
      <c r="G97" s="1">
        <v>0</v>
      </c>
      <c r="H97" s="3">
        <v>12988</v>
      </c>
      <c r="I97" s="1">
        <v>0</v>
      </c>
      <c r="J97" s="3">
        <v>4427713</v>
      </c>
      <c r="K97" s="3">
        <v>4414725</v>
      </c>
      <c r="L97" s="3">
        <v>4414725</v>
      </c>
      <c r="M97" s="3">
        <v>148064</v>
      </c>
      <c r="N97" s="3">
        <v>737079</v>
      </c>
      <c r="O97" s="3">
        <v>47189</v>
      </c>
      <c r="P97" s="3">
        <v>41786</v>
      </c>
      <c r="Q97" s="3">
        <v>217805</v>
      </c>
      <c r="R97" s="3">
        <v>3235790</v>
      </c>
      <c r="S97" s="3">
        <v>3222802</v>
      </c>
      <c r="T97" s="3">
        <v>3222802</v>
      </c>
      <c r="U97" s="3">
        <v>442771</v>
      </c>
      <c r="V97" s="3">
        <v>442771</v>
      </c>
      <c r="W97" s="3">
        <v>442771</v>
      </c>
      <c r="X97" s="3">
        <v>442771</v>
      </c>
      <c r="Y97" s="3">
        <v>440607</v>
      </c>
      <c r="Z97" s="3">
        <v>440607</v>
      </c>
      <c r="AA97" s="4">
        <v>440607</v>
      </c>
      <c r="AB97" s="4">
        <v>440607</v>
      </c>
      <c r="AC97" s="4">
        <v>440607</v>
      </c>
      <c r="AD97" s="4">
        <v>440606</v>
      </c>
      <c r="AE97" s="4">
        <v>442771</v>
      </c>
      <c r="AF97" s="4">
        <v>885542</v>
      </c>
      <c r="AG97" s="4">
        <v>1328313</v>
      </c>
      <c r="AH97" s="4">
        <v>1771084</v>
      </c>
      <c r="AI97" s="4">
        <v>2211691</v>
      </c>
      <c r="AJ97" s="4">
        <v>2652298</v>
      </c>
      <c r="AK97" s="4">
        <v>3092905</v>
      </c>
      <c r="AL97" s="4">
        <v>3533512</v>
      </c>
      <c r="AM97" s="4">
        <v>3974119</v>
      </c>
      <c r="AN97" s="4">
        <v>4414725</v>
      </c>
      <c r="AO97" s="134">
        <v>220889</v>
      </c>
    </row>
    <row r="98" spans="1:41" x14ac:dyDescent="0.2">
      <c r="A98" s="1">
        <v>2025</v>
      </c>
      <c r="B98" s="2" t="s">
        <v>115</v>
      </c>
      <c r="C98" s="2" t="s">
        <v>115</v>
      </c>
      <c r="D98" s="1" t="s">
        <v>465</v>
      </c>
      <c r="E98" s="3">
        <v>4076190</v>
      </c>
      <c r="F98" s="1">
        <v>564</v>
      </c>
      <c r="G98" s="1">
        <v>0</v>
      </c>
      <c r="H98" s="3">
        <v>12040</v>
      </c>
      <c r="I98" s="1">
        <v>0</v>
      </c>
      <c r="J98" s="3">
        <v>4075626</v>
      </c>
      <c r="K98" s="3">
        <v>4063586</v>
      </c>
      <c r="L98" s="3">
        <v>4063586</v>
      </c>
      <c r="M98" s="3">
        <v>132478</v>
      </c>
      <c r="N98" s="3">
        <v>491482</v>
      </c>
      <c r="O98" s="3">
        <v>42047</v>
      </c>
      <c r="P98" s="3">
        <v>39809</v>
      </c>
      <c r="Q98" s="3">
        <v>202280</v>
      </c>
      <c r="R98" s="3">
        <v>3167530</v>
      </c>
      <c r="S98" s="3">
        <v>3155490</v>
      </c>
      <c r="T98" s="3">
        <v>3155490</v>
      </c>
      <c r="U98" s="3">
        <v>407563</v>
      </c>
      <c r="V98" s="3">
        <v>407563</v>
      </c>
      <c r="W98" s="3">
        <v>407563</v>
      </c>
      <c r="X98" s="3">
        <v>407563</v>
      </c>
      <c r="Y98" s="3">
        <v>405556</v>
      </c>
      <c r="Z98" s="3">
        <v>405556</v>
      </c>
      <c r="AA98" s="4">
        <v>405556</v>
      </c>
      <c r="AB98" s="4">
        <v>405556</v>
      </c>
      <c r="AC98" s="4">
        <v>405556</v>
      </c>
      <c r="AD98" s="4">
        <v>405554</v>
      </c>
      <c r="AE98" s="4">
        <v>407563</v>
      </c>
      <c r="AF98" s="4">
        <v>815126</v>
      </c>
      <c r="AG98" s="4">
        <v>1222689</v>
      </c>
      <c r="AH98" s="4">
        <v>1630252</v>
      </c>
      <c r="AI98" s="4">
        <v>2035808</v>
      </c>
      <c r="AJ98" s="4">
        <v>2441364</v>
      </c>
      <c r="AK98" s="4">
        <v>2846920</v>
      </c>
      <c r="AL98" s="4">
        <v>3252476</v>
      </c>
      <c r="AM98" s="4">
        <v>3658032</v>
      </c>
      <c r="AN98" s="4">
        <v>4063586</v>
      </c>
      <c r="AO98" s="134">
        <v>234259</v>
      </c>
    </row>
    <row r="99" spans="1:41" x14ac:dyDescent="0.2">
      <c r="A99" s="1">
        <v>2025</v>
      </c>
      <c r="B99" s="2" t="s">
        <v>116</v>
      </c>
      <c r="C99" s="2" t="s">
        <v>116</v>
      </c>
      <c r="D99" s="1" t="s">
        <v>466</v>
      </c>
      <c r="E99" s="3">
        <v>4227807</v>
      </c>
      <c r="F99" s="1">
        <v>481</v>
      </c>
      <c r="G99" s="1">
        <v>0</v>
      </c>
      <c r="H99" s="3">
        <v>12486</v>
      </c>
      <c r="I99" s="1">
        <v>0</v>
      </c>
      <c r="J99" s="3">
        <v>4227326</v>
      </c>
      <c r="K99" s="3">
        <v>4214840</v>
      </c>
      <c r="L99" s="3">
        <v>4214840</v>
      </c>
      <c r="M99" s="3">
        <v>112996</v>
      </c>
      <c r="N99" s="3">
        <v>695430</v>
      </c>
      <c r="O99" s="3">
        <v>39654</v>
      </c>
      <c r="P99" s="3">
        <v>41764</v>
      </c>
      <c r="Q99" s="3">
        <v>209759</v>
      </c>
      <c r="R99" s="3">
        <v>3127723</v>
      </c>
      <c r="S99" s="3">
        <v>3115237</v>
      </c>
      <c r="T99" s="3">
        <v>3115237</v>
      </c>
      <c r="U99" s="3">
        <v>422733</v>
      </c>
      <c r="V99" s="3">
        <v>422733</v>
      </c>
      <c r="W99" s="3">
        <v>422733</v>
      </c>
      <c r="X99" s="3">
        <v>422733</v>
      </c>
      <c r="Y99" s="3">
        <v>420651</v>
      </c>
      <c r="Z99" s="3">
        <v>420651</v>
      </c>
      <c r="AA99" s="4">
        <v>420652</v>
      </c>
      <c r="AB99" s="4">
        <v>420652</v>
      </c>
      <c r="AC99" s="4">
        <v>420652</v>
      </c>
      <c r="AD99" s="4">
        <v>420650</v>
      </c>
      <c r="AE99" s="4">
        <v>422733</v>
      </c>
      <c r="AF99" s="4">
        <v>845466</v>
      </c>
      <c r="AG99" s="4">
        <v>1268199</v>
      </c>
      <c r="AH99" s="4">
        <v>1690932</v>
      </c>
      <c r="AI99" s="4">
        <v>2111583</v>
      </c>
      <c r="AJ99" s="4">
        <v>2532234</v>
      </c>
      <c r="AK99" s="4">
        <v>2952886</v>
      </c>
      <c r="AL99" s="4">
        <v>3373538</v>
      </c>
      <c r="AM99" s="4">
        <v>3794190</v>
      </c>
      <c r="AN99" s="4">
        <v>4214840</v>
      </c>
      <c r="AO99" s="134">
        <v>234819</v>
      </c>
    </row>
    <row r="100" spans="1:41" x14ac:dyDescent="0.2">
      <c r="A100" s="1">
        <v>2025</v>
      </c>
      <c r="B100" s="2" t="s">
        <v>117</v>
      </c>
      <c r="C100" s="2" t="s">
        <v>117</v>
      </c>
      <c r="D100" s="1" t="s">
        <v>467</v>
      </c>
      <c r="E100" s="3">
        <v>3519772</v>
      </c>
      <c r="F100" s="1">
        <v>431</v>
      </c>
      <c r="G100" s="1">
        <v>0</v>
      </c>
      <c r="H100" s="3">
        <v>9810</v>
      </c>
      <c r="I100" s="1">
        <v>0</v>
      </c>
      <c r="J100" s="3">
        <v>3519341</v>
      </c>
      <c r="K100" s="3">
        <v>3509531</v>
      </c>
      <c r="L100" s="3">
        <v>3509531</v>
      </c>
      <c r="M100" s="3">
        <v>101307</v>
      </c>
      <c r="N100" s="3">
        <v>580535</v>
      </c>
      <c r="O100" s="3">
        <v>38665</v>
      </c>
      <c r="P100" s="3">
        <v>31549</v>
      </c>
      <c r="Q100" s="3">
        <v>174130</v>
      </c>
      <c r="R100" s="3">
        <v>2593155</v>
      </c>
      <c r="S100" s="3">
        <v>2583345</v>
      </c>
      <c r="T100" s="3">
        <v>2583345</v>
      </c>
      <c r="U100" s="3">
        <v>351934</v>
      </c>
      <c r="V100" s="3">
        <v>351934</v>
      </c>
      <c r="W100" s="3">
        <v>351934</v>
      </c>
      <c r="X100" s="3">
        <v>351934</v>
      </c>
      <c r="Y100" s="3">
        <v>350299</v>
      </c>
      <c r="Z100" s="3">
        <v>350299</v>
      </c>
      <c r="AA100" s="4">
        <v>350299</v>
      </c>
      <c r="AB100" s="4">
        <v>350299</v>
      </c>
      <c r="AC100" s="4">
        <v>350299</v>
      </c>
      <c r="AD100" s="4">
        <v>350300</v>
      </c>
      <c r="AE100" s="4">
        <v>351934</v>
      </c>
      <c r="AF100" s="4">
        <v>703868</v>
      </c>
      <c r="AG100" s="4">
        <v>1055802</v>
      </c>
      <c r="AH100" s="4">
        <v>1407736</v>
      </c>
      <c r="AI100" s="4">
        <v>1758035</v>
      </c>
      <c r="AJ100" s="4">
        <v>2108334</v>
      </c>
      <c r="AK100" s="4">
        <v>2458633</v>
      </c>
      <c r="AL100" s="4">
        <v>2808932</v>
      </c>
      <c r="AM100" s="4">
        <v>3159231</v>
      </c>
      <c r="AN100" s="4">
        <v>3509531</v>
      </c>
      <c r="AO100" s="134">
        <v>195403</v>
      </c>
    </row>
    <row r="101" spans="1:41" x14ac:dyDescent="0.2">
      <c r="A101" s="1">
        <v>2025</v>
      </c>
      <c r="B101" s="2" t="s">
        <v>118</v>
      </c>
      <c r="C101" s="2" t="s">
        <v>118</v>
      </c>
      <c r="D101" s="1" t="s">
        <v>468</v>
      </c>
      <c r="E101" s="3">
        <v>1871677</v>
      </c>
      <c r="F101" s="3">
        <v>299</v>
      </c>
      <c r="G101" s="3">
        <v>0</v>
      </c>
      <c r="H101" s="3">
        <v>6787</v>
      </c>
      <c r="I101" s="1">
        <v>0</v>
      </c>
      <c r="J101" s="3">
        <v>1871378</v>
      </c>
      <c r="K101" s="3">
        <v>1864591</v>
      </c>
      <c r="L101" s="3">
        <v>1864591</v>
      </c>
      <c r="M101" s="3">
        <v>70135</v>
      </c>
      <c r="N101" s="3">
        <v>496815</v>
      </c>
      <c r="O101" s="3">
        <v>28088</v>
      </c>
      <c r="P101" s="3">
        <v>23400</v>
      </c>
      <c r="Q101" s="3">
        <v>122094</v>
      </c>
      <c r="R101" s="3">
        <v>1130846</v>
      </c>
      <c r="S101" s="3">
        <v>1124059</v>
      </c>
      <c r="T101" s="3">
        <v>1124059</v>
      </c>
      <c r="U101" s="3">
        <v>187138</v>
      </c>
      <c r="V101" s="3">
        <v>187138</v>
      </c>
      <c r="W101" s="3">
        <v>187138</v>
      </c>
      <c r="X101" s="3">
        <v>187138</v>
      </c>
      <c r="Y101" s="3">
        <v>186007</v>
      </c>
      <c r="Z101" s="3">
        <v>186007</v>
      </c>
      <c r="AA101" s="4">
        <v>186006</v>
      </c>
      <c r="AB101" s="4">
        <v>186006</v>
      </c>
      <c r="AC101" s="4">
        <v>186006</v>
      </c>
      <c r="AD101" s="4">
        <v>186007</v>
      </c>
      <c r="AE101" s="4">
        <v>187138</v>
      </c>
      <c r="AF101" s="4">
        <v>374276</v>
      </c>
      <c r="AG101" s="4">
        <v>561414</v>
      </c>
      <c r="AH101" s="4">
        <v>748552</v>
      </c>
      <c r="AI101" s="4">
        <v>934559</v>
      </c>
      <c r="AJ101" s="4">
        <v>1120566</v>
      </c>
      <c r="AK101" s="4">
        <v>1306572</v>
      </c>
      <c r="AL101" s="4">
        <v>1492578</v>
      </c>
      <c r="AM101" s="4">
        <v>1678584</v>
      </c>
      <c r="AN101" s="4">
        <v>1864591</v>
      </c>
      <c r="AO101" s="134">
        <v>141562</v>
      </c>
    </row>
    <row r="102" spans="1:41" x14ac:dyDescent="0.2">
      <c r="A102" s="1">
        <v>2025</v>
      </c>
      <c r="B102" s="2" t="s">
        <v>119</v>
      </c>
      <c r="C102" s="2" t="s">
        <v>119</v>
      </c>
      <c r="D102" s="1" t="s">
        <v>469</v>
      </c>
      <c r="E102" s="3">
        <v>2499159</v>
      </c>
      <c r="F102" s="1">
        <v>182</v>
      </c>
      <c r="G102" s="1">
        <v>0</v>
      </c>
      <c r="H102" s="3">
        <v>8359</v>
      </c>
      <c r="I102" s="3">
        <v>0</v>
      </c>
      <c r="J102" s="3">
        <v>2498977</v>
      </c>
      <c r="K102" s="3">
        <v>2490618</v>
      </c>
      <c r="L102" s="3">
        <v>2490618</v>
      </c>
      <c r="M102" s="3">
        <v>42861</v>
      </c>
      <c r="N102" s="3">
        <v>406880</v>
      </c>
      <c r="O102" s="3">
        <v>33113</v>
      </c>
      <c r="P102" s="3">
        <v>29553</v>
      </c>
      <c r="Q102" s="3">
        <v>140935</v>
      </c>
      <c r="R102" s="3">
        <v>1845635</v>
      </c>
      <c r="S102" s="3">
        <v>1837276</v>
      </c>
      <c r="T102" s="3">
        <v>1837276</v>
      </c>
      <c r="U102" s="3">
        <v>249898</v>
      </c>
      <c r="V102" s="3">
        <v>249898</v>
      </c>
      <c r="W102" s="3">
        <v>249898</v>
      </c>
      <c r="X102" s="3">
        <v>249898</v>
      </c>
      <c r="Y102" s="3">
        <v>248504</v>
      </c>
      <c r="Z102" s="3">
        <v>248504</v>
      </c>
      <c r="AA102" s="4">
        <v>248505</v>
      </c>
      <c r="AB102" s="4">
        <v>248505</v>
      </c>
      <c r="AC102" s="4">
        <v>248505</v>
      </c>
      <c r="AD102" s="4">
        <v>248503</v>
      </c>
      <c r="AE102" s="4">
        <v>249898</v>
      </c>
      <c r="AF102" s="4">
        <v>499796</v>
      </c>
      <c r="AG102" s="4">
        <v>749694</v>
      </c>
      <c r="AH102" s="4">
        <v>999592</v>
      </c>
      <c r="AI102" s="4">
        <v>1248096</v>
      </c>
      <c r="AJ102" s="4">
        <v>1496600</v>
      </c>
      <c r="AK102" s="4">
        <v>1745105</v>
      </c>
      <c r="AL102" s="4">
        <v>1993610</v>
      </c>
      <c r="AM102" s="4">
        <v>2242115</v>
      </c>
      <c r="AN102" s="4">
        <v>2490618</v>
      </c>
      <c r="AO102" s="134">
        <v>165924</v>
      </c>
    </row>
    <row r="103" spans="1:41" x14ac:dyDescent="0.2">
      <c r="A103" s="1">
        <v>2025</v>
      </c>
      <c r="B103" s="2" t="s">
        <v>120</v>
      </c>
      <c r="C103" s="2" t="s">
        <v>120</v>
      </c>
      <c r="D103" s="1" t="s">
        <v>470</v>
      </c>
      <c r="E103" s="3">
        <v>2919934</v>
      </c>
      <c r="F103" s="1">
        <v>448</v>
      </c>
      <c r="G103" s="1">
        <v>0</v>
      </c>
      <c r="H103" s="3">
        <v>8830</v>
      </c>
      <c r="I103" s="3">
        <v>0</v>
      </c>
      <c r="J103" s="3">
        <v>2919486</v>
      </c>
      <c r="K103" s="3">
        <v>2910656</v>
      </c>
      <c r="L103" s="3">
        <v>2910656</v>
      </c>
      <c r="M103" s="3">
        <v>105203</v>
      </c>
      <c r="N103" s="3">
        <v>559324</v>
      </c>
      <c r="O103" s="3">
        <v>35242</v>
      </c>
      <c r="P103" s="3">
        <v>32772</v>
      </c>
      <c r="Q103" s="3">
        <v>152229</v>
      </c>
      <c r="R103" s="3">
        <v>2034716</v>
      </c>
      <c r="S103" s="3">
        <v>2025886</v>
      </c>
      <c r="T103" s="3">
        <v>2025886</v>
      </c>
      <c r="U103" s="3">
        <v>291949</v>
      </c>
      <c r="V103" s="3">
        <v>291949</v>
      </c>
      <c r="W103" s="3">
        <v>291949</v>
      </c>
      <c r="X103" s="3">
        <v>291949</v>
      </c>
      <c r="Y103" s="3">
        <v>290477</v>
      </c>
      <c r="Z103" s="3">
        <v>290477</v>
      </c>
      <c r="AA103" s="4">
        <v>290477</v>
      </c>
      <c r="AB103" s="4">
        <v>290477</v>
      </c>
      <c r="AC103" s="4">
        <v>290477</v>
      </c>
      <c r="AD103" s="4">
        <v>290475</v>
      </c>
      <c r="AE103" s="4">
        <v>291949</v>
      </c>
      <c r="AF103" s="4">
        <v>583898</v>
      </c>
      <c r="AG103" s="4">
        <v>875847</v>
      </c>
      <c r="AH103" s="4">
        <v>1167796</v>
      </c>
      <c r="AI103" s="4">
        <v>1458273</v>
      </c>
      <c r="AJ103" s="4">
        <v>1748750</v>
      </c>
      <c r="AK103" s="4">
        <v>2039227</v>
      </c>
      <c r="AL103" s="4">
        <v>2329704</v>
      </c>
      <c r="AM103" s="4">
        <v>2620181</v>
      </c>
      <c r="AN103" s="4">
        <v>2910656</v>
      </c>
      <c r="AO103" s="134">
        <v>161968</v>
      </c>
    </row>
    <row r="104" spans="1:41" x14ac:dyDescent="0.2">
      <c r="A104" s="1">
        <v>2025</v>
      </c>
      <c r="B104" s="2" t="s">
        <v>121</v>
      </c>
      <c r="C104" s="2" t="s">
        <v>121</v>
      </c>
      <c r="D104" s="1" t="s">
        <v>471</v>
      </c>
      <c r="E104" s="3">
        <v>4265283</v>
      </c>
      <c r="F104" s="1">
        <v>448</v>
      </c>
      <c r="G104" s="3">
        <v>2374</v>
      </c>
      <c r="H104" s="3">
        <v>12182</v>
      </c>
      <c r="I104" s="1">
        <v>0</v>
      </c>
      <c r="J104" s="3">
        <v>4262461</v>
      </c>
      <c r="K104" s="3">
        <v>4250279</v>
      </c>
      <c r="L104" s="3">
        <v>4250279</v>
      </c>
      <c r="M104" s="3">
        <v>105203</v>
      </c>
      <c r="N104" s="3">
        <v>515284</v>
      </c>
      <c r="O104" s="3">
        <v>44654</v>
      </c>
      <c r="P104" s="3">
        <v>44497</v>
      </c>
      <c r="Q104" s="3">
        <v>206635</v>
      </c>
      <c r="R104" s="3">
        <v>3346188</v>
      </c>
      <c r="S104" s="3">
        <v>3334006</v>
      </c>
      <c r="T104" s="3">
        <v>3334006</v>
      </c>
      <c r="U104" s="3">
        <v>426246</v>
      </c>
      <c r="V104" s="3">
        <v>426246</v>
      </c>
      <c r="W104" s="3">
        <v>426246</v>
      </c>
      <c r="X104" s="3">
        <v>426246</v>
      </c>
      <c r="Y104" s="3">
        <v>424216</v>
      </c>
      <c r="Z104" s="3">
        <v>424216</v>
      </c>
      <c r="AA104" s="4">
        <v>424216</v>
      </c>
      <c r="AB104" s="4">
        <v>424216</v>
      </c>
      <c r="AC104" s="4">
        <v>424216</v>
      </c>
      <c r="AD104" s="4">
        <v>424215</v>
      </c>
      <c r="AE104" s="4">
        <v>426246</v>
      </c>
      <c r="AF104" s="4">
        <v>852492</v>
      </c>
      <c r="AG104" s="4">
        <v>1278738</v>
      </c>
      <c r="AH104" s="4">
        <v>1704984</v>
      </c>
      <c r="AI104" s="4">
        <v>2129200</v>
      </c>
      <c r="AJ104" s="4">
        <v>2553416</v>
      </c>
      <c r="AK104" s="4">
        <v>2977632</v>
      </c>
      <c r="AL104" s="4">
        <v>3401848</v>
      </c>
      <c r="AM104" s="4">
        <v>3826064</v>
      </c>
      <c r="AN104" s="4">
        <v>4250279</v>
      </c>
      <c r="AO104" s="134">
        <v>256311</v>
      </c>
    </row>
    <row r="105" spans="1:41" x14ac:dyDescent="0.2">
      <c r="A105" s="1">
        <v>2025</v>
      </c>
      <c r="B105" s="2" t="s">
        <v>122</v>
      </c>
      <c r="C105" s="2" t="s">
        <v>122</v>
      </c>
      <c r="D105" s="1" t="s">
        <v>472</v>
      </c>
      <c r="E105" s="3">
        <v>4076887</v>
      </c>
      <c r="F105" s="3">
        <v>697</v>
      </c>
      <c r="G105" s="3">
        <v>2245</v>
      </c>
      <c r="H105" s="3">
        <v>14468</v>
      </c>
      <c r="I105" s="1">
        <v>0</v>
      </c>
      <c r="J105" s="3">
        <v>4073945</v>
      </c>
      <c r="K105" s="3">
        <v>4059477</v>
      </c>
      <c r="L105" s="3">
        <v>4059477</v>
      </c>
      <c r="M105" s="3">
        <v>163649</v>
      </c>
      <c r="N105" s="3">
        <v>610130</v>
      </c>
      <c r="O105" s="3">
        <v>55541</v>
      </c>
      <c r="P105" s="3">
        <v>53747</v>
      </c>
      <c r="Q105" s="3">
        <v>259621</v>
      </c>
      <c r="R105" s="3">
        <v>2931257</v>
      </c>
      <c r="S105" s="3">
        <v>2916789</v>
      </c>
      <c r="T105" s="3">
        <v>2916789</v>
      </c>
      <c r="U105" s="3">
        <v>407395</v>
      </c>
      <c r="V105" s="3">
        <v>407395</v>
      </c>
      <c r="W105" s="3">
        <v>407395</v>
      </c>
      <c r="X105" s="3">
        <v>407395</v>
      </c>
      <c r="Y105" s="3">
        <v>404983</v>
      </c>
      <c r="Z105" s="3">
        <v>404983</v>
      </c>
      <c r="AA105" s="4">
        <v>404983</v>
      </c>
      <c r="AB105" s="4">
        <v>404983</v>
      </c>
      <c r="AC105" s="4">
        <v>404983</v>
      </c>
      <c r="AD105" s="4">
        <v>404982</v>
      </c>
      <c r="AE105" s="4">
        <v>407395</v>
      </c>
      <c r="AF105" s="4">
        <v>814790</v>
      </c>
      <c r="AG105" s="4">
        <v>1222185</v>
      </c>
      <c r="AH105" s="4">
        <v>1629580</v>
      </c>
      <c r="AI105" s="4">
        <v>2034563</v>
      </c>
      <c r="AJ105" s="4">
        <v>2439546</v>
      </c>
      <c r="AK105" s="4">
        <v>2844529</v>
      </c>
      <c r="AL105" s="4">
        <v>3249512</v>
      </c>
      <c r="AM105" s="4">
        <v>3654495</v>
      </c>
      <c r="AN105" s="4">
        <v>4059477</v>
      </c>
      <c r="AO105" s="134">
        <v>288292</v>
      </c>
    </row>
    <row r="106" spans="1:41" x14ac:dyDescent="0.2">
      <c r="A106" s="1">
        <v>2025</v>
      </c>
      <c r="B106" s="2" t="s">
        <v>123</v>
      </c>
      <c r="C106" s="2" t="s">
        <v>123</v>
      </c>
      <c r="D106" s="1" t="s">
        <v>473</v>
      </c>
      <c r="E106" s="3">
        <v>3138888</v>
      </c>
      <c r="F106" s="1">
        <v>332</v>
      </c>
      <c r="G106" s="1">
        <v>0</v>
      </c>
      <c r="H106" s="3">
        <v>10123</v>
      </c>
      <c r="I106" s="1">
        <v>0</v>
      </c>
      <c r="J106" s="3">
        <v>3138556</v>
      </c>
      <c r="K106" s="3">
        <v>3128433</v>
      </c>
      <c r="L106" s="3">
        <v>3128433</v>
      </c>
      <c r="M106" s="3">
        <v>77928</v>
      </c>
      <c r="N106" s="3">
        <v>485994</v>
      </c>
      <c r="O106" s="3">
        <v>38547</v>
      </c>
      <c r="P106" s="3">
        <v>37288</v>
      </c>
      <c r="Q106" s="3">
        <v>171645</v>
      </c>
      <c r="R106" s="3">
        <v>2327154</v>
      </c>
      <c r="S106" s="3">
        <v>2317031</v>
      </c>
      <c r="T106" s="3">
        <v>2317031</v>
      </c>
      <c r="U106" s="3">
        <v>313856</v>
      </c>
      <c r="V106" s="3">
        <v>313856</v>
      </c>
      <c r="W106" s="3">
        <v>313856</v>
      </c>
      <c r="X106" s="3">
        <v>313856</v>
      </c>
      <c r="Y106" s="3">
        <v>312168</v>
      </c>
      <c r="Z106" s="3">
        <v>312168</v>
      </c>
      <c r="AA106" s="4">
        <v>312168</v>
      </c>
      <c r="AB106" s="4">
        <v>312168</v>
      </c>
      <c r="AC106" s="4">
        <v>312168</v>
      </c>
      <c r="AD106" s="4">
        <v>312169</v>
      </c>
      <c r="AE106" s="4">
        <v>313856</v>
      </c>
      <c r="AF106" s="4">
        <v>627712</v>
      </c>
      <c r="AG106" s="4">
        <v>941568</v>
      </c>
      <c r="AH106" s="4">
        <v>1255424</v>
      </c>
      <c r="AI106" s="4">
        <v>1567592</v>
      </c>
      <c r="AJ106" s="4">
        <v>1879760</v>
      </c>
      <c r="AK106" s="4">
        <v>2191928</v>
      </c>
      <c r="AL106" s="4">
        <v>2504096</v>
      </c>
      <c r="AM106" s="4">
        <v>2816264</v>
      </c>
      <c r="AN106" s="4">
        <v>3128433</v>
      </c>
      <c r="AO106" s="134">
        <v>186843</v>
      </c>
    </row>
    <row r="107" spans="1:41" x14ac:dyDescent="0.2">
      <c r="A107" s="1">
        <v>2025</v>
      </c>
      <c r="B107" s="2" t="s">
        <v>124</v>
      </c>
      <c r="C107" s="2" t="s">
        <v>124</v>
      </c>
      <c r="D107" s="1" t="s">
        <v>474</v>
      </c>
      <c r="E107" s="3">
        <v>1372644</v>
      </c>
      <c r="F107" s="3">
        <v>282</v>
      </c>
      <c r="G107" s="3">
        <v>7771</v>
      </c>
      <c r="H107" s="3">
        <v>3969</v>
      </c>
      <c r="I107" s="1">
        <v>0</v>
      </c>
      <c r="J107" s="3">
        <v>1364591</v>
      </c>
      <c r="K107" s="3">
        <v>1360622</v>
      </c>
      <c r="L107" s="3">
        <v>1360622</v>
      </c>
      <c r="M107" s="3">
        <v>66239</v>
      </c>
      <c r="N107" s="3">
        <v>273703</v>
      </c>
      <c r="O107" s="3">
        <v>19272</v>
      </c>
      <c r="P107" s="3">
        <v>13486</v>
      </c>
      <c r="Q107" s="3">
        <v>68362</v>
      </c>
      <c r="R107" s="3">
        <v>923529</v>
      </c>
      <c r="S107" s="3">
        <v>919560</v>
      </c>
      <c r="T107" s="3">
        <v>919560</v>
      </c>
      <c r="U107" s="3">
        <v>136459</v>
      </c>
      <c r="V107" s="3">
        <v>136459</v>
      </c>
      <c r="W107" s="3">
        <v>136459</v>
      </c>
      <c r="X107" s="3">
        <v>136459</v>
      </c>
      <c r="Y107" s="3">
        <v>135798</v>
      </c>
      <c r="Z107" s="3">
        <v>135798</v>
      </c>
      <c r="AA107" s="4">
        <v>135798</v>
      </c>
      <c r="AB107" s="4">
        <v>135798</v>
      </c>
      <c r="AC107" s="4">
        <v>135798</v>
      </c>
      <c r="AD107" s="4">
        <v>135796</v>
      </c>
      <c r="AE107" s="4">
        <v>136459</v>
      </c>
      <c r="AF107" s="4">
        <v>272918</v>
      </c>
      <c r="AG107" s="4">
        <v>409377</v>
      </c>
      <c r="AH107" s="4">
        <v>545836</v>
      </c>
      <c r="AI107" s="4">
        <v>681634</v>
      </c>
      <c r="AJ107" s="4">
        <v>817432</v>
      </c>
      <c r="AK107" s="4">
        <v>953230</v>
      </c>
      <c r="AL107" s="4">
        <v>1089028</v>
      </c>
      <c r="AM107" s="4">
        <v>1224826</v>
      </c>
      <c r="AN107" s="4">
        <v>1360622</v>
      </c>
      <c r="AO107" s="134">
        <v>79009</v>
      </c>
    </row>
    <row r="108" spans="1:41" x14ac:dyDescent="0.2">
      <c r="A108" s="1">
        <v>2025</v>
      </c>
      <c r="B108" s="2" t="s">
        <v>125</v>
      </c>
      <c r="C108" s="2" t="s">
        <v>125</v>
      </c>
      <c r="D108" s="1" t="s">
        <v>475</v>
      </c>
      <c r="E108" s="3">
        <v>9259330</v>
      </c>
      <c r="F108" s="3">
        <v>1161</v>
      </c>
      <c r="G108" s="3">
        <v>0</v>
      </c>
      <c r="H108" s="3">
        <v>26312</v>
      </c>
      <c r="I108" s="1">
        <v>0</v>
      </c>
      <c r="J108" s="3">
        <v>9258169</v>
      </c>
      <c r="K108" s="3">
        <v>9231857</v>
      </c>
      <c r="L108" s="3">
        <v>9231857</v>
      </c>
      <c r="M108" s="3">
        <v>272749</v>
      </c>
      <c r="N108" s="3">
        <v>1039445</v>
      </c>
      <c r="O108" s="3">
        <v>100812</v>
      </c>
      <c r="P108" s="3">
        <v>89152</v>
      </c>
      <c r="Q108" s="3">
        <v>442973</v>
      </c>
      <c r="R108" s="3">
        <v>7313038</v>
      </c>
      <c r="S108" s="3">
        <v>7286726</v>
      </c>
      <c r="T108" s="3">
        <v>7286726</v>
      </c>
      <c r="U108" s="3">
        <v>925817</v>
      </c>
      <c r="V108" s="3">
        <v>925817</v>
      </c>
      <c r="W108" s="3">
        <v>925817</v>
      </c>
      <c r="X108" s="3">
        <v>925817</v>
      </c>
      <c r="Y108" s="3">
        <v>921432</v>
      </c>
      <c r="Z108" s="3">
        <v>921432</v>
      </c>
      <c r="AA108" s="4">
        <v>921431</v>
      </c>
      <c r="AB108" s="4">
        <v>921431</v>
      </c>
      <c r="AC108" s="4">
        <v>921431</v>
      </c>
      <c r="AD108" s="4">
        <v>921432</v>
      </c>
      <c r="AE108" s="4">
        <v>925817</v>
      </c>
      <c r="AF108" s="4">
        <v>1851634</v>
      </c>
      <c r="AG108" s="4">
        <v>2777451</v>
      </c>
      <c r="AH108" s="4">
        <v>3703268</v>
      </c>
      <c r="AI108" s="4">
        <v>4624700</v>
      </c>
      <c r="AJ108" s="4">
        <v>5546132</v>
      </c>
      <c r="AK108" s="4">
        <v>6467563</v>
      </c>
      <c r="AL108" s="4">
        <v>7388994</v>
      </c>
      <c r="AM108" s="4">
        <v>8310425</v>
      </c>
      <c r="AN108" s="4">
        <v>9231857</v>
      </c>
      <c r="AO108" s="134">
        <v>502641</v>
      </c>
    </row>
    <row r="109" spans="1:41" x14ac:dyDescent="0.2">
      <c r="A109" s="1">
        <v>2025</v>
      </c>
      <c r="B109" s="2" t="s">
        <v>126</v>
      </c>
      <c r="C109" s="2" t="s">
        <v>126</v>
      </c>
      <c r="D109" s="1" t="s">
        <v>476</v>
      </c>
      <c r="E109" s="3">
        <v>2800293</v>
      </c>
      <c r="F109" s="1">
        <v>282</v>
      </c>
      <c r="G109" s="1">
        <v>0</v>
      </c>
      <c r="H109" s="3">
        <v>9393</v>
      </c>
      <c r="I109" s="1">
        <v>0</v>
      </c>
      <c r="J109" s="3">
        <v>2800011</v>
      </c>
      <c r="K109" s="3">
        <v>2790618</v>
      </c>
      <c r="L109" s="3">
        <v>2790618</v>
      </c>
      <c r="M109" s="3">
        <v>62421</v>
      </c>
      <c r="N109" s="3">
        <v>522021</v>
      </c>
      <c r="O109" s="3">
        <v>32768</v>
      </c>
      <c r="P109" s="3">
        <v>33619</v>
      </c>
      <c r="Q109" s="3">
        <v>157518</v>
      </c>
      <c r="R109" s="3">
        <v>1991664</v>
      </c>
      <c r="S109" s="3">
        <v>1982271</v>
      </c>
      <c r="T109" s="3">
        <v>1982271</v>
      </c>
      <c r="U109" s="3">
        <v>280001</v>
      </c>
      <c r="V109" s="3">
        <v>280001</v>
      </c>
      <c r="W109" s="3">
        <v>280001</v>
      </c>
      <c r="X109" s="3">
        <v>280001</v>
      </c>
      <c r="Y109" s="3">
        <v>278436</v>
      </c>
      <c r="Z109" s="3">
        <v>278436</v>
      </c>
      <c r="AA109" s="4">
        <v>278436</v>
      </c>
      <c r="AB109" s="4">
        <v>278436</v>
      </c>
      <c r="AC109" s="4">
        <v>278436</v>
      </c>
      <c r="AD109" s="4">
        <v>278434</v>
      </c>
      <c r="AE109" s="4">
        <v>280001</v>
      </c>
      <c r="AF109" s="4">
        <v>560002</v>
      </c>
      <c r="AG109" s="4">
        <v>840003</v>
      </c>
      <c r="AH109" s="4">
        <v>1120004</v>
      </c>
      <c r="AI109" s="4">
        <v>1398440</v>
      </c>
      <c r="AJ109" s="4">
        <v>1676876</v>
      </c>
      <c r="AK109" s="4">
        <v>1955312</v>
      </c>
      <c r="AL109" s="4">
        <v>2233748</v>
      </c>
      <c r="AM109" s="4">
        <v>2512184</v>
      </c>
      <c r="AN109" s="4">
        <v>2790618</v>
      </c>
      <c r="AO109" s="134">
        <v>166916</v>
      </c>
    </row>
    <row r="110" spans="1:41" x14ac:dyDescent="0.2">
      <c r="A110" s="1">
        <v>2025</v>
      </c>
      <c r="B110" s="2" t="s">
        <v>127</v>
      </c>
      <c r="C110" s="2" t="s">
        <v>127</v>
      </c>
      <c r="D110" s="1" t="s">
        <v>477</v>
      </c>
      <c r="E110" s="3">
        <v>10196900</v>
      </c>
      <c r="F110" s="3">
        <v>779</v>
      </c>
      <c r="G110" s="3">
        <v>19038</v>
      </c>
      <c r="H110" s="3">
        <v>34370</v>
      </c>
      <c r="I110" s="1">
        <v>0</v>
      </c>
      <c r="J110" s="3">
        <v>10177083</v>
      </c>
      <c r="K110" s="3">
        <v>10142713</v>
      </c>
      <c r="L110" s="3">
        <v>10142713</v>
      </c>
      <c r="M110" s="3">
        <v>183132</v>
      </c>
      <c r="N110" s="3">
        <v>1633380</v>
      </c>
      <c r="O110" s="3">
        <v>129547</v>
      </c>
      <c r="P110" s="3">
        <v>118164</v>
      </c>
      <c r="Q110" s="3">
        <v>613374</v>
      </c>
      <c r="R110" s="3">
        <v>7499486</v>
      </c>
      <c r="S110" s="3">
        <v>7465116</v>
      </c>
      <c r="T110" s="3">
        <v>7465116</v>
      </c>
      <c r="U110" s="3">
        <v>1017708</v>
      </c>
      <c r="V110" s="3">
        <v>1017708</v>
      </c>
      <c r="W110" s="3">
        <v>1017708</v>
      </c>
      <c r="X110" s="3">
        <v>1017708</v>
      </c>
      <c r="Y110" s="3">
        <v>1011980</v>
      </c>
      <c r="Z110" s="3">
        <v>1011980</v>
      </c>
      <c r="AA110" s="4">
        <v>1011980</v>
      </c>
      <c r="AB110" s="4">
        <v>1011980</v>
      </c>
      <c r="AC110" s="4">
        <v>1011980</v>
      </c>
      <c r="AD110" s="4">
        <v>1011981</v>
      </c>
      <c r="AE110" s="4">
        <v>1017708</v>
      </c>
      <c r="AF110" s="4">
        <v>2035416</v>
      </c>
      <c r="AG110" s="4">
        <v>3053124</v>
      </c>
      <c r="AH110" s="4">
        <v>4070832</v>
      </c>
      <c r="AI110" s="4">
        <v>5082812</v>
      </c>
      <c r="AJ110" s="4">
        <v>6094792</v>
      </c>
      <c r="AK110" s="4">
        <v>7106772</v>
      </c>
      <c r="AL110" s="4">
        <v>8118752</v>
      </c>
      <c r="AM110" s="4">
        <v>9130732</v>
      </c>
      <c r="AN110" s="4">
        <v>10142713</v>
      </c>
      <c r="AO110" s="134">
        <v>654291</v>
      </c>
    </row>
    <row r="111" spans="1:41" x14ac:dyDescent="0.2">
      <c r="A111" s="1">
        <v>2025</v>
      </c>
      <c r="B111" s="2" t="s">
        <v>128</v>
      </c>
      <c r="C111" s="2" t="s">
        <v>128</v>
      </c>
      <c r="D111" s="1" t="s">
        <v>478</v>
      </c>
      <c r="E111" s="3">
        <v>7851861</v>
      </c>
      <c r="F111" s="3">
        <v>912</v>
      </c>
      <c r="G111" s="3">
        <v>7771</v>
      </c>
      <c r="H111" s="3">
        <v>23781</v>
      </c>
      <c r="I111" s="1">
        <v>0</v>
      </c>
      <c r="J111" s="3">
        <v>7843178</v>
      </c>
      <c r="K111" s="3">
        <v>7819397</v>
      </c>
      <c r="L111" s="3">
        <v>7819397</v>
      </c>
      <c r="M111" s="3">
        <v>214303</v>
      </c>
      <c r="N111" s="3">
        <v>971981</v>
      </c>
      <c r="O111" s="3">
        <v>86422</v>
      </c>
      <c r="P111" s="3">
        <v>88003</v>
      </c>
      <c r="Q111" s="3">
        <v>406335</v>
      </c>
      <c r="R111" s="3">
        <v>6076134</v>
      </c>
      <c r="S111" s="3">
        <v>6052353</v>
      </c>
      <c r="T111" s="3">
        <v>6052353</v>
      </c>
      <c r="U111" s="3">
        <v>784318</v>
      </c>
      <c r="V111" s="3">
        <v>784318</v>
      </c>
      <c r="W111" s="3">
        <v>784318</v>
      </c>
      <c r="X111" s="3">
        <v>784318</v>
      </c>
      <c r="Y111" s="3">
        <v>780354</v>
      </c>
      <c r="Z111" s="3">
        <v>780354</v>
      </c>
      <c r="AA111" s="4">
        <v>780354</v>
      </c>
      <c r="AB111" s="4">
        <v>780354</v>
      </c>
      <c r="AC111" s="4">
        <v>780354</v>
      </c>
      <c r="AD111" s="4">
        <v>780355</v>
      </c>
      <c r="AE111" s="4">
        <v>784318</v>
      </c>
      <c r="AF111" s="4">
        <v>1568636</v>
      </c>
      <c r="AG111" s="4">
        <v>2352954</v>
      </c>
      <c r="AH111" s="4">
        <v>3137272</v>
      </c>
      <c r="AI111" s="4">
        <v>3917626</v>
      </c>
      <c r="AJ111" s="4">
        <v>4697980</v>
      </c>
      <c r="AK111" s="4">
        <v>5478334</v>
      </c>
      <c r="AL111" s="4">
        <v>6258688</v>
      </c>
      <c r="AM111" s="4">
        <v>7039042</v>
      </c>
      <c r="AN111" s="4">
        <v>7819397</v>
      </c>
      <c r="AO111" s="134">
        <v>462647</v>
      </c>
    </row>
    <row r="112" spans="1:41" x14ac:dyDescent="0.2">
      <c r="A112" s="1">
        <v>2025</v>
      </c>
      <c r="B112" s="2" t="s">
        <v>129</v>
      </c>
      <c r="C112" s="2" t="s">
        <v>129</v>
      </c>
      <c r="D112" s="1" t="s">
        <v>479</v>
      </c>
      <c r="E112" s="3">
        <v>29408691</v>
      </c>
      <c r="F112" s="3">
        <v>3466</v>
      </c>
      <c r="G112" s="3">
        <v>6627</v>
      </c>
      <c r="H112" s="3">
        <v>79332</v>
      </c>
      <c r="I112" s="3">
        <v>0</v>
      </c>
      <c r="J112" s="3">
        <v>29398598</v>
      </c>
      <c r="K112" s="3">
        <v>29319266</v>
      </c>
      <c r="L112" s="3">
        <v>29319266</v>
      </c>
      <c r="M112" s="3">
        <v>814351</v>
      </c>
      <c r="N112" s="3">
        <v>3013744</v>
      </c>
      <c r="O112" s="3">
        <v>343086</v>
      </c>
      <c r="P112" s="3">
        <v>304074</v>
      </c>
      <c r="Q112" s="3">
        <v>1450446</v>
      </c>
      <c r="R112" s="3">
        <v>23472897</v>
      </c>
      <c r="S112" s="3">
        <v>23393565</v>
      </c>
      <c r="T112" s="3">
        <v>23393565</v>
      </c>
      <c r="U112" s="3">
        <v>2939860</v>
      </c>
      <c r="V112" s="3">
        <v>2939860</v>
      </c>
      <c r="W112" s="3">
        <v>2939860</v>
      </c>
      <c r="X112" s="3">
        <v>2939860</v>
      </c>
      <c r="Y112" s="3">
        <v>2926638</v>
      </c>
      <c r="Z112" s="3">
        <v>2926638</v>
      </c>
      <c r="AA112" s="4">
        <v>2926638</v>
      </c>
      <c r="AB112" s="4">
        <v>2926638</v>
      </c>
      <c r="AC112" s="4">
        <v>2926638</v>
      </c>
      <c r="AD112" s="4">
        <v>2926636</v>
      </c>
      <c r="AE112" s="4">
        <v>2939860</v>
      </c>
      <c r="AF112" s="4">
        <v>5879720</v>
      </c>
      <c r="AG112" s="4">
        <v>8819580</v>
      </c>
      <c r="AH112" s="4">
        <v>11759440</v>
      </c>
      <c r="AI112" s="4">
        <v>14686078</v>
      </c>
      <c r="AJ112" s="4">
        <v>17612716</v>
      </c>
      <c r="AK112" s="4">
        <v>20539354</v>
      </c>
      <c r="AL112" s="4">
        <v>23465992</v>
      </c>
      <c r="AM112" s="4">
        <v>26392630</v>
      </c>
      <c r="AN112" s="4">
        <v>29319266</v>
      </c>
      <c r="AO112" s="134">
        <v>1570630</v>
      </c>
    </row>
    <row r="113" spans="1:41" x14ac:dyDescent="0.2">
      <c r="A113" s="1">
        <v>2025</v>
      </c>
      <c r="B113" s="2" t="s">
        <v>130</v>
      </c>
      <c r="C113" s="2" t="s">
        <v>130</v>
      </c>
      <c r="D113" s="1" t="s">
        <v>480</v>
      </c>
      <c r="E113" s="3">
        <v>15726146</v>
      </c>
      <c r="F113" s="3">
        <v>945</v>
      </c>
      <c r="G113" s="3">
        <v>5504</v>
      </c>
      <c r="H113" s="3">
        <v>46507</v>
      </c>
      <c r="I113" s="3">
        <v>0</v>
      </c>
      <c r="J113" s="3">
        <v>15719697</v>
      </c>
      <c r="K113" s="3">
        <v>15673190</v>
      </c>
      <c r="L113" s="3">
        <v>15673190</v>
      </c>
      <c r="M113" s="3">
        <v>222096</v>
      </c>
      <c r="N113" s="3">
        <v>1597232</v>
      </c>
      <c r="O113" s="3">
        <v>175971</v>
      </c>
      <c r="P113" s="3">
        <v>158317</v>
      </c>
      <c r="Q113" s="3">
        <v>826344</v>
      </c>
      <c r="R113" s="3">
        <v>12739737</v>
      </c>
      <c r="S113" s="3">
        <v>12693230</v>
      </c>
      <c r="T113" s="3">
        <v>12693230</v>
      </c>
      <c r="U113" s="3">
        <v>1571970</v>
      </c>
      <c r="V113" s="3">
        <v>1571970</v>
      </c>
      <c r="W113" s="3">
        <v>1571970</v>
      </c>
      <c r="X113" s="3">
        <v>1571970</v>
      </c>
      <c r="Y113" s="3">
        <v>1564218</v>
      </c>
      <c r="Z113" s="3">
        <v>1564218</v>
      </c>
      <c r="AA113" s="4">
        <v>1564219</v>
      </c>
      <c r="AB113" s="4">
        <v>1564219</v>
      </c>
      <c r="AC113" s="4">
        <v>1564219</v>
      </c>
      <c r="AD113" s="4">
        <v>1564217</v>
      </c>
      <c r="AE113" s="4">
        <v>1571970</v>
      </c>
      <c r="AF113" s="4">
        <v>3143940</v>
      </c>
      <c r="AG113" s="4">
        <v>4715910</v>
      </c>
      <c r="AH113" s="4">
        <v>6287880</v>
      </c>
      <c r="AI113" s="4">
        <v>7852098</v>
      </c>
      <c r="AJ113" s="4">
        <v>9416316</v>
      </c>
      <c r="AK113" s="4">
        <v>10980535</v>
      </c>
      <c r="AL113" s="4">
        <v>12544754</v>
      </c>
      <c r="AM113" s="4">
        <v>14108973</v>
      </c>
      <c r="AN113" s="4">
        <v>15673190</v>
      </c>
      <c r="AO113" s="134">
        <v>888141</v>
      </c>
    </row>
    <row r="114" spans="1:41" x14ac:dyDescent="0.2">
      <c r="A114" s="1">
        <v>2025</v>
      </c>
      <c r="B114" s="2" t="s">
        <v>131</v>
      </c>
      <c r="C114" s="2" t="s">
        <v>131</v>
      </c>
      <c r="D114" s="1" t="s">
        <v>481</v>
      </c>
      <c r="E114" s="3">
        <v>3342548</v>
      </c>
      <c r="F114" s="3">
        <v>415</v>
      </c>
      <c r="G114" s="3">
        <v>23312</v>
      </c>
      <c r="H114" s="3">
        <v>10026</v>
      </c>
      <c r="I114" s="3">
        <v>0</v>
      </c>
      <c r="J114" s="3">
        <v>3318821</v>
      </c>
      <c r="K114" s="3">
        <v>3308795</v>
      </c>
      <c r="L114" s="3">
        <v>3308795</v>
      </c>
      <c r="M114" s="3">
        <v>97410</v>
      </c>
      <c r="N114" s="3">
        <v>476048</v>
      </c>
      <c r="O114" s="3">
        <v>38296</v>
      </c>
      <c r="P114" s="3">
        <v>29724</v>
      </c>
      <c r="Q114" s="3">
        <v>168132</v>
      </c>
      <c r="R114" s="3">
        <v>2509211</v>
      </c>
      <c r="S114" s="3">
        <v>2499185</v>
      </c>
      <c r="T114" s="3">
        <v>2499185</v>
      </c>
      <c r="U114" s="3">
        <v>331882</v>
      </c>
      <c r="V114" s="3">
        <v>331882</v>
      </c>
      <c r="W114" s="3">
        <v>331882</v>
      </c>
      <c r="X114" s="3">
        <v>331882</v>
      </c>
      <c r="Y114" s="3">
        <v>330211</v>
      </c>
      <c r="Z114" s="3">
        <v>330211</v>
      </c>
      <c r="AA114" s="4">
        <v>330211</v>
      </c>
      <c r="AB114" s="4">
        <v>330211</v>
      </c>
      <c r="AC114" s="4">
        <v>330211</v>
      </c>
      <c r="AD114" s="4">
        <v>330212</v>
      </c>
      <c r="AE114" s="4">
        <v>331882</v>
      </c>
      <c r="AF114" s="4">
        <v>663764</v>
      </c>
      <c r="AG114" s="4">
        <v>995646</v>
      </c>
      <c r="AH114" s="4">
        <v>1327528</v>
      </c>
      <c r="AI114" s="4">
        <v>1657739</v>
      </c>
      <c r="AJ114" s="4">
        <v>1987950</v>
      </c>
      <c r="AK114" s="4">
        <v>2318161</v>
      </c>
      <c r="AL114" s="4">
        <v>2648372</v>
      </c>
      <c r="AM114" s="4">
        <v>2978583</v>
      </c>
      <c r="AN114" s="4">
        <v>3308795</v>
      </c>
      <c r="AO114" s="134">
        <v>187573</v>
      </c>
    </row>
    <row r="115" spans="1:41" x14ac:dyDescent="0.2">
      <c r="A115" s="1">
        <v>2025</v>
      </c>
      <c r="B115" s="2" t="s">
        <v>132</v>
      </c>
      <c r="C115" s="2" t="s">
        <v>132</v>
      </c>
      <c r="D115" s="1" t="s">
        <v>482</v>
      </c>
      <c r="E115" s="3">
        <v>2878042</v>
      </c>
      <c r="F115" s="3">
        <v>580</v>
      </c>
      <c r="G115" s="3">
        <v>0</v>
      </c>
      <c r="H115" s="3">
        <v>10317</v>
      </c>
      <c r="I115" s="1">
        <v>0</v>
      </c>
      <c r="J115" s="3">
        <v>2877462</v>
      </c>
      <c r="K115" s="3">
        <v>2867145</v>
      </c>
      <c r="L115" s="3">
        <v>2867145</v>
      </c>
      <c r="M115" s="3">
        <v>136375</v>
      </c>
      <c r="N115" s="3">
        <v>494123</v>
      </c>
      <c r="O115" s="3">
        <v>36660</v>
      </c>
      <c r="P115" s="3">
        <v>34913</v>
      </c>
      <c r="Q115" s="3">
        <v>174516</v>
      </c>
      <c r="R115" s="3">
        <v>2000875</v>
      </c>
      <c r="S115" s="3">
        <v>1990558</v>
      </c>
      <c r="T115" s="3">
        <v>1990558</v>
      </c>
      <c r="U115" s="3">
        <v>287746</v>
      </c>
      <c r="V115" s="3">
        <v>287746</v>
      </c>
      <c r="W115" s="3">
        <v>287746</v>
      </c>
      <c r="X115" s="3">
        <v>287746</v>
      </c>
      <c r="Y115" s="3">
        <v>286027</v>
      </c>
      <c r="Z115" s="3">
        <v>286027</v>
      </c>
      <c r="AA115" s="4">
        <v>286027</v>
      </c>
      <c r="AB115" s="4">
        <v>286027</v>
      </c>
      <c r="AC115" s="4">
        <v>286027</v>
      </c>
      <c r="AD115" s="4">
        <v>286026</v>
      </c>
      <c r="AE115" s="4">
        <v>287746</v>
      </c>
      <c r="AF115" s="4">
        <v>575492</v>
      </c>
      <c r="AG115" s="4">
        <v>863238</v>
      </c>
      <c r="AH115" s="4">
        <v>1150984</v>
      </c>
      <c r="AI115" s="4">
        <v>1437011</v>
      </c>
      <c r="AJ115" s="4">
        <v>1723038</v>
      </c>
      <c r="AK115" s="4">
        <v>2009065</v>
      </c>
      <c r="AL115" s="4">
        <v>2295092</v>
      </c>
      <c r="AM115" s="4">
        <v>2581119</v>
      </c>
      <c r="AN115" s="4">
        <v>2867145</v>
      </c>
      <c r="AO115" s="134">
        <v>188315</v>
      </c>
    </row>
    <row r="116" spans="1:41" x14ac:dyDescent="0.2">
      <c r="A116" s="1">
        <v>2025</v>
      </c>
      <c r="B116" s="2" t="s">
        <v>133</v>
      </c>
      <c r="C116" s="2" t="s">
        <v>133</v>
      </c>
      <c r="D116" s="1" t="s">
        <v>483</v>
      </c>
      <c r="E116" s="3">
        <v>4558872</v>
      </c>
      <c r="F116" s="3">
        <v>1095</v>
      </c>
      <c r="G116" s="3">
        <v>0</v>
      </c>
      <c r="H116" s="3">
        <v>19037</v>
      </c>
      <c r="I116" s="1">
        <v>0</v>
      </c>
      <c r="J116" s="3">
        <v>4557777</v>
      </c>
      <c r="K116" s="3">
        <v>4538740</v>
      </c>
      <c r="L116" s="3">
        <v>4538740</v>
      </c>
      <c r="M116" s="3">
        <v>260981</v>
      </c>
      <c r="N116" s="3">
        <v>834775</v>
      </c>
      <c r="O116" s="3">
        <v>71474</v>
      </c>
      <c r="P116" s="3">
        <v>68503</v>
      </c>
      <c r="Q116" s="3">
        <v>329049</v>
      </c>
      <c r="R116" s="3">
        <v>2992995</v>
      </c>
      <c r="S116" s="3">
        <v>2973958</v>
      </c>
      <c r="T116" s="3">
        <v>2973958</v>
      </c>
      <c r="U116" s="3">
        <v>455778</v>
      </c>
      <c r="V116" s="3">
        <v>455778</v>
      </c>
      <c r="W116" s="3">
        <v>455778</v>
      </c>
      <c r="X116" s="3">
        <v>455778</v>
      </c>
      <c r="Y116" s="3">
        <v>452605</v>
      </c>
      <c r="Z116" s="3">
        <v>452605</v>
      </c>
      <c r="AA116" s="4">
        <v>452605</v>
      </c>
      <c r="AB116" s="4">
        <v>452605</v>
      </c>
      <c r="AC116" s="4">
        <v>452605</v>
      </c>
      <c r="AD116" s="4">
        <v>452603</v>
      </c>
      <c r="AE116" s="4">
        <v>455778</v>
      </c>
      <c r="AF116" s="4">
        <v>911556</v>
      </c>
      <c r="AG116" s="4">
        <v>1367334</v>
      </c>
      <c r="AH116" s="4">
        <v>1823112</v>
      </c>
      <c r="AI116" s="4">
        <v>2275717</v>
      </c>
      <c r="AJ116" s="4">
        <v>2728322</v>
      </c>
      <c r="AK116" s="4">
        <v>3180927</v>
      </c>
      <c r="AL116" s="4">
        <v>3633532</v>
      </c>
      <c r="AM116" s="4">
        <v>4086137</v>
      </c>
      <c r="AN116" s="4">
        <v>4538740</v>
      </c>
      <c r="AO116" s="134">
        <v>369287</v>
      </c>
    </row>
    <row r="117" spans="1:41" x14ac:dyDescent="0.2">
      <c r="A117" s="1">
        <v>2025</v>
      </c>
      <c r="B117" s="2" t="s">
        <v>134</v>
      </c>
      <c r="C117" s="2" t="s">
        <v>134</v>
      </c>
      <c r="D117" s="1" t="s">
        <v>484</v>
      </c>
      <c r="E117" s="3">
        <v>2949434</v>
      </c>
      <c r="F117" s="1">
        <v>332</v>
      </c>
      <c r="G117" s="1">
        <v>0</v>
      </c>
      <c r="H117" s="3">
        <v>10227</v>
      </c>
      <c r="I117" s="1">
        <v>0</v>
      </c>
      <c r="J117" s="3">
        <v>2949102</v>
      </c>
      <c r="K117" s="3">
        <v>2938875</v>
      </c>
      <c r="L117" s="3">
        <v>2938875</v>
      </c>
      <c r="M117" s="3">
        <v>77928</v>
      </c>
      <c r="N117" s="3">
        <v>499471</v>
      </c>
      <c r="O117" s="3">
        <v>37206</v>
      </c>
      <c r="P117" s="3">
        <v>36202</v>
      </c>
      <c r="Q117" s="3">
        <v>176405</v>
      </c>
      <c r="R117" s="3">
        <v>2121890</v>
      </c>
      <c r="S117" s="3">
        <v>2111663</v>
      </c>
      <c r="T117" s="3">
        <v>2111663</v>
      </c>
      <c r="U117" s="3">
        <v>294910</v>
      </c>
      <c r="V117" s="3">
        <v>294910</v>
      </c>
      <c r="W117" s="3">
        <v>294910</v>
      </c>
      <c r="X117" s="3">
        <v>294910</v>
      </c>
      <c r="Y117" s="3">
        <v>293206</v>
      </c>
      <c r="Z117" s="3">
        <v>293206</v>
      </c>
      <c r="AA117" s="4">
        <v>293206</v>
      </c>
      <c r="AB117" s="4">
        <v>293206</v>
      </c>
      <c r="AC117" s="4">
        <v>293206</v>
      </c>
      <c r="AD117" s="4">
        <v>293205</v>
      </c>
      <c r="AE117" s="4">
        <v>294910</v>
      </c>
      <c r="AF117" s="4">
        <v>589820</v>
      </c>
      <c r="AG117" s="4">
        <v>884730</v>
      </c>
      <c r="AH117" s="4">
        <v>1179640</v>
      </c>
      <c r="AI117" s="4">
        <v>1472846</v>
      </c>
      <c r="AJ117" s="4">
        <v>1766052</v>
      </c>
      <c r="AK117" s="4">
        <v>2059258</v>
      </c>
      <c r="AL117" s="4">
        <v>2352464</v>
      </c>
      <c r="AM117" s="4">
        <v>2645670</v>
      </c>
      <c r="AN117" s="4">
        <v>2938875</v>
      </c>
      <c r="AO117" s="134">
        <v>191121</v>
      </c>
    </row>
    <row r="118" spans="1:41" x14ac:dyDescent="0.2">
      <c r="A118" s="1">
        <v>2025</v>
      </c>
      <c r="B118" s="2" t="s">
        <v>135</v>
      </c>
      <c r="C118" s="2" t="s">
        <v>135</v>
      </c>
      <c r="D118" s="1" t="s">
        <v>485</v>
      </c>
      <c r="E118" s="3">
        <v>10554083</v>
      </c>
      <c r="F118" s="3">
        <v>995</v>
      </c>
      <c r="G118" s="3">
        <v>0</v>
      </c>
      <c r="H118" s="3">
        <v>36213</v>
      </c>
      <c r="I118" s="1">
        <v>0</v>
      </c>
      <c r="J118" s="3">
        <v>10553088</v>
      </c>
      <c r="K118" s="3">
        <v>10516875</v>
      </c>
      <c r="L118" s="3">
        <v>10516875</v>
      </c>
      <c r="M118" s="3">
        <v>233785</v>
      </c>
      <c r="N118" s="3">
        <v>1183979</v>
      </c>
      <c r="O118" s="3">
        <v>104139</v>
      </c>
      <c r="P118" s="3">
        <v>115442</v>
      </c>
      <c r="Q118" s="3">
        <v>612543</v>
      </c>
      <c r="R118" s="3">
        <v>8303200</v>
      </c>
      <c r="S118" s="3">
        <v>8266987</v>
      </c>
      <c r="T118" s="3">
        <v>8266987</v>
      </c>
      <c r="U118" s="3">
        <v>1055309</v>
      </c>
      <c r="V118" s="3">
        <v>1055309</v>
      </c>
      <c r="W118" s="3">
        <v>1055309</v>
      </c>
      <c r="X118" s="3">
        <v>1055309</v>
      </c>
      <c r="Y118" s="3">
        <v>1049273</v>
      </c>
      <c r="Z118" s="3">
        <v>1049273</v>
      </c>
      <c r="AA118" s="4">
        <v>1049273</v>
      </c>
      <c r="AB118" s="4">
        <v>1049273</v>
      </c>
      <c r="AC118" s="4">
        <v>1049273</v>
      </c>
      <c r="AD118" s="4">
        <v>1049274</v>
      </c>
      <c r="AE118" s="4">
        <v>1055309</v>
      </c>
      <c r="AF118" s="4">
        <v>2110618</v>
      </c>
      <c r="AG118" s="4">
        <v>3165927</v>
      </c>
      <c r="AH118" s="4">
        <v>4221236</v>
      </c>
      <c r="AI118" s="4">
        <v>5270509</v>
      </c>
      <c r="AJ118" s="4">
        <v>6319782</v>
      </c>
      <c r="AK118" s="4">
        <v>7369055</v>
      </c>
      <c r="AL118" s="4">
        <v>8418328</v>
      </c>
      <c r="AM118" s="4">
        <v>9467601</v>
      </c>
      <c r="AN118" s="4">
        <v>10516875</v>
      </c>
      <c r="AO118" s="134">
        <v>611595</v>
      </c>
    </row>
    <row r="119" spans="1:41" x14ac:dyDescent="0.2">
      <c r="A119" s="1">
        <v>2025</v>
      </c>
      <c r="B119" s="2" t="s">
        <v>136</v>
      </c>
      <c r="C119" s="2" t="s">
        <v>136</v>
      </c>
      <c r="D119" s="1" t="s">
        <v>486</v>
      </c>
      <c r="E119" s="3">
        <v>1116634</v>
      </c>
      <c r="F119" s="1">
        <v>265</v>
      </c>
      <c r="G119" s="1">
        <v>0</v>
      </c>
      <c r="H119" s="3">
        <v>3591</v>
      </c>
      <c r="I119" s="1">
        <v>0</v>
      </c>
      <c r="J119" s="3">
        <v>1116369</v>
      </c>
      <c r="K119" s="3">
        <v>1112778</v>
      </c>
      <c r="L119" s="3">
        <v>1112778</v>
      </c>
      <c r="M119" s="3">
        <v>62343</v>
      </c>
      <c r="N119" s="3">
        <v>197977</v>
      </c>
      <c r="O119" s="3">
        <v>10812</v>
      </c>
      <c r="P119" s="3">
        <v>14919</v>
      </c>
      <c r="Q119" s="3">
        <v>64124</v>
      </c>
      <c r="R119" s="3">
        <v>766194</v>
      </c>
      <c r="S119" s="3">
        <v>762603</v>
      </c>
      <c r="T119" s="3">
        <v>762603</v>
      </c>
      <c r="U119" s="3">
        <v>111637</v>
      </c>
      <c r="V119" s="3">
        <v>111637</v>
      </c>
      <c r="W119" s="3">
        <v>111637</v>
      </c>
      <c r="X119" s="3">
        <v>111637</v>
      </c>
      <c r="Y119" s="3">
        <v>111038</v>
      </c>
      <c r="Z119" s="3">
        <v>111038</v>
      </c>
      <c r="AA119" s="4">
        <v>111039</v>
      </c>
      <c r="AB119" s="4">
        <v>111039</v>
      </c>
      <c r="AC119" s="4">
        <v>111039</v>
      </c>
      <c r="AD119" s="4">
        <v>111037</v>
      </c>
      <c r="AE119" s="4">
        <v>111637</v>
      </c>
      <c r="AF119" s="4">
        <v>223274</v>
      </c>
      <c r="AG119" s="4">
        <v>334911</v>
      </c>
      <c r="AH119" s="4">
        <v>446548</v>
      </c>
      <c r="AI119" s="4">
        <v>557586</v>
      </c>
      <c r="AJ119" s="4">
        <v>668624</v>
      </c>
      <c r="AK119" s="4">
        <v>779663</v>
      </c>
      <c r="AL119" s="4">
        <v>890702</v>
      </c>
      <c r="AM119" s="4">
        <v>1001741</v>
      </c>
      <c r="AN119" s="4">
        <v>1112778</v>
      </c>
      <c r="AO119" s="134">
        <v>78923</v>
      </c>
    </row>
    <row r="120" spans="1:41" x14ac:dyDescent="0.2">
      <c r="A120" s="1">
        <v>2025</v>
      </c>
      <c r="B120" s="2" t="s">
        <v>137</v>
      </c>
      <c r="C120" s="2" t="s">
        <v>137</v>
      </c>
      <c r="D120" s="1" t="s">
        <v>487</v>
      </c>
      <c r="E120" s="3">
        <v>4235655</v>
      </c>
      <c r="F120" s="3">
        <v>514</v>
      </c>
      <c r="G120" s="3">
        <v>0</v>
      </c>
      <c r="H120" s="3">
        <v>13838</v>
      </c>
      <c r="I120" s="1">
        <v>0</v>
      </c>
      <c r="J120" s="3">
        <v>4235141</v>
      </c>
      <c r="K120" s="3">
        <v>4221303</v>
      </c>
      <c r="L120" s="3">
        <v>4221303</v>
      </c>
      <c r="M120" s="3">
        <v>120789</v>
      </c>
      <c r="N120" s="3">
        <v>626648</v>
      </c>
      <c r="O120" s="3">
        <v>41052</v>
      </c>
      <c r="P120" s="3">
        <v>46340</v>
      </c>
      <c r="Q120" s="3">
        <v>232801</v>
      </c>
      <c r="R120" s="3">
        <v>3167511</v>
      </c>
      <c r="S120" s="3">
        <v>3153673</v>
      </c>
      <c r="T120" s="3">
        <v>3153673</v>
      </c>
      <c r="U120" s="3">
        <v>423514</v>
      </c>
      <c r="V120" s="3">
        <v>423514</v>
      </c>
      <c r="W120" s="3">
        <v>423514</v>
      </c>
      <c r="X120" s="3">
        <v>423514</v>
      </c>
      <c r="Y120" s="3">
        <v>421208</v>
      </c>
      <c r="Z120" s="3">
        <v>421208</v>
      </c>
      <c r="AA120" s="4">
        <v>421208</v>
      </c>
      <c r="AB120" s="4">
        <v>421208</v>
      </c>
      <c r="AC120" s="4">
        <v>421208</v>
      </c>
      <c r="AD120" s="4">
        <v>421207</v>
      </c>
      <c r="AE120" s="4">
        <v>423514</v>
      </c>
      <c r="AF120" s="4">
        <v>847028</v>
      </c>
      <c r="AG120" s="4">
        <v>1270542</v>
      </c>
      <c r="AH120" s="4">
        <v>1694056</v>
      </c>
      <c r="AI120" s="4">
        <v>2115264</v>
      </c>
      <c r="AJ120" s="4">
        <v>2536472</v>
      </c>
      <c r="AK120" s="4">
        <v>2957680</v>
      </c>
      <c r="AL120" s="4">
        <v>3378888</v>
      </c>
      <c r="AM120" s="4">
        <v>3800096</v>
      </c>
      <c r="AN120" s="4">
        <v>4221303</v>
      </c>
      <c r="AO120" s="134">
        <v>268006</v>
      </c>
    </row>
    <row r="121" spans="1:41" x14ac:dyDescent="0.2">
      <c r="A121" s="1">
        <v>2025</v>
      </c>
      <c r="B121" s="2" t="s">
        <v>138</v>
      </c>
      <c r="C121" s="2" t="s">
        <v>138</v>
      </c>
      <c r="D121" s="1" t="s">
        <v>488</v>
      </c>
      <c r="E121" s="3">
        <v>13653218</v>
      </c>
      <c r="F121" s="3">
        <v>896</v>
      </c>
      <c r="G121" s="3">
        <v>0</v>
      </c>
      <c r="H121" s="3">
        <v>43441</v>
      </c>
      <c r="I121" s="1">
        <v>0</v>
      </c>
      <c r="J121" s="3">
        <v>13652322</v>
      </c>
      <c r="K121" s="3">
        <v>13608881</v>
      </c>
      <c r="L121" s="3">
        <v>13608881</v>
      </c>
      <c r="M121" s="3">
        <v>210406</v>
      </c>
      <c r="N121" s="3">
        <v>1416817</v>
      </c>
      <c r="O121" s="3">
        <v>155259</v>
      </c>
      <c r="P121" s="3">
        <v>136689</v>
      </c>
      <c r="Q121" s="3">
        <v>733004</v>
      </c>
      <c r="R121" s="3">
        <v>11000147</v>
      </c>
      <c r="S121" s="3">
        <v>10956706</v>
      </c>
      <c r="T121" s="3">
        <v>10956706</v>
      </c>
      <c r="U121" s="3">
        <v>1365232</v>
      </c>
      <c r="V121" s="3">
        <v>1365232</v>
      </c>
      <c r="W121" s="3">
        <v>1365232</v>
      </c>
      <c r="X121" s="3">
        <v>1365232</v>
      </c>
      <c r="Y121" s="3">
        <v>1357992</v>
      </c>
      <c r="Z121" s="3">
        <v>1357992</v>
      </c>
      <c r="AA121" s="4">
        <v>1357992</v>
      </c>
      <c r="AB121" s="4">
        <v>1357992</v>
      </c>
      <c r="AC121" s="4">
        <v>1357992</v>
      </c>
      <c r="AD121" s="4">
        <v>1357993</v>
      </c>
      <c r="AE121" s="4">
        <v>1365232</v>
      </c>
      <c r="AF121" s="4">
        <v>2730464</v>
      </c>
      <c r="AG121" s="4">
        <v>4095696</v>
      </c>
      <c r="AH121" s="4">
        <v>5460928</v>
      </c>
      <c r="AI121" s="4">
        <v>6818920</v>
      </c>
      <c r="AJ121" s="4">
        <v>8176912</v>
      </c>
      <c r="AK121" s="4">
        <v>9534904</v>
      </c>
      <c r="AL121" s="4">
        <v>10892896</v>
      </c>
      <c r="AM121" s="4">
        <v>12250888</v>
      </c>
      <c r="AN121" s="4">
        <v>13608881</v>
      </c>
      <c r="AO121" s="134">
        <v>790575</v>
      </c>
    </row>
    <row r="122" spans="1:41" x14ac:dyDescent="0.2">
      <c r="A122" s="1">
        <v>2025</v>
      </c>
      <c r="B122" s="2" t="s">
        <v>139</v>
      </c>
      <c r="C122" s="2" t="s">
        <v>139</v>
      </c>
      <c r="D122" s="1" t="s">
        <v>489</v>
      </c>
      <c r="E122" s="3">
        <v>2142510</v>
      </c>
      <c r="F122" s="1">
        <v>448</v>
      </c>
      <c r="G122" s="1">
        <v>0</v>
      </c>
      <c r="H122" s="3">
        <v>6922</v>
      </c>
      <c r="I122" s="1">
        <v>0</v>
      </c>
      <c r="J122" s="3">
        <v>2142062</v>
      </c>
      <c r="K122" s="3">
        <v>2135140</v>
      </c>
      <c r="L122" s="3">
        <v>2135140</v>
      </c>
      <c r="M122" s="3">
        <v>105203</v>
      </c>
      <c r="N122" s="3">
        <v>386922</v>
      </c>
      <c r="O122" s="3">
        <v>25588</v>
      </c>
      <c r="P122" s="3">
        <v>24804</v>
      </c>
      <c r="Q122" s="3">
        <v>121368</v>
      </c>
      <c r="R122" s="3">
        <v>1478177</v>
      </c>
      <c r="S122" s="3">
        <v>1471255</v>
      </c>
      <c r="T122" s="3">
        <v>1471255</v>
      </c>
      <c r="U122" s="3">
        <v>214206</v>
      </c>
      <c r="V122" s="3">
        <v>214206</v>
      </c>
      <c r="W122" s="3">
        <v>214206</v>
      </c>
      <c r="X122" s="3">
        <v>214206</v>
      </c>
      <c r="Y122" s="3">
        <v>213053</v>
      </c>
      <c r="Z122" s="3">
        <v>213053</v>
      </c>
      <c r="AA122" s="4">
        <v>213053</v>
      </c>
      <c r="AB122" s="4">
        <v>213053</v>
      </c>
      <c r="AC122" s="4">
        <v>213053</v>
      </c>
      <c r="AD122" s="4">
        <v>213051</v>
      </c>
      <c r="AE122" s="4">
        <v>214206</v>
      </c>
      <c r="AF122" s="4">
        <v>428412</v>
      </c>
      <c r="AG122" s="4">
        <v>642618</v>
      </c>
      <c r="AH122" s="4">
        <v>856824</v>
      </c>
      <c r="AI122" s="4">
        <v>1069877</v>
      </c>
      <c r="AJ122" s="4">
        <v>1282930</v>
      </c>
      <c r="AK122" s="4">
        <v>1495983</v>
      </c>
      <c r="AL122" s="4">
        <v>1709036</v>
      </c>
      <c r="AM122" s="4">
        <v>1922089</v>
      </c>
      <c r="AN122" s="4">
        <v>2135140</v>
      </c>
      <c r="AO122" s="134">
        <v>121839</v>
      </c>
    </row>
    <row r="123" spans="1:41" x14ac:dyDescent="0.2">
      <c r="A123" s="1">
        <v>2025</v>
      </c>
      <c r="B123" s="2" t="s">
        <v>140</v>
      </c>
      <c r="C123" s="2" t="s">
        <v>140</v>
      </c>
      <c r="D123" s="1" t="s">
        <v>490</v>
      </c>
      <c r="E123" s="3">
        <v>2095164</v>
      </c>
      <c r="F123" s="3">
        <v>249</v>
      </c>
      <c r="G123" s="3">
        <v>0</v>
      </c>
      <c r="H123" s="3">
        <v>8461</v>
      </c>
      <c r="I123" s="1">
        <v>0</v>
      </c>
      <c r="J123" s="3">
        <v>2094915</v>
      </c>
      <c r="K123" s="3">
        <v>2086454</v>
      </c>
      <c r="L123" s="3">
        <v>2086454</v>
      </c>
      <c r="M123" s="3">
        <v>54628</v>
      </c>
      <c r="N123" s="3">
        <v>407063</v>
      </c>
      <c r="O123" s="3">
        <v>31449</v>
      </c>
      <c r="P123" s="3">
        <v>26105</v>
      </c>
      <c r="Q123" s="3">
        <v>143768</v>
      </c>
      <c r="R123" s="3">
        <v>1431902</v>
      </c>
      <c r="S123" s="3">
        <v>1423441</v>
      </c>
      <c r="T123" s="3">
        <v>1423441</v>
      </c>
      <c r="U123" s="3">
        <v>209492</v>
      </c>
      <c r="V123" s="3">
        <v>209492</v>
      </c>
      <c r="W123" s="3">
        <v>209492</v>
      </c>
      <c r="X123" s="3">
        <v>209492</v>
      </c>
      <c r="Y123" s="3">
        <v>208081</v>
      </c>
      <c r="Z123" s="3">
        <v>208081</v>
      </c>
      <c r="AA123" s="4">
        <v>208081</v>
      </c>
      <c r="AB123" s="4">
        <v>208081</v>
      </c>
      <c r="AC123" s="4">
        <v>208081</v>
      </c>
      <c r="AD123" s="4">
        <v>208081</v>
      </c>
      <c r="AE123" s="4">
        <v>209492</v>
      </c>
      <c r="AF123" s="4">
        <v>418984</v>
      </c>
      <c r="AG123" s="4">
        <v>628476</v>
      </c>
      <c r="AH123" s="4">
        <v>837968</v>
      </c>
      <c r="AI123" s="4">
        <v>1046049</v>
      </c>
      <c r="AJ123" s="4">
        <v>1254130</v>
      </c>
      <c r="AK123" s="4">
        <v>1462211</v>
      </c>
      <c r="AL123" s="4">
        <v>1670292</v>
      </c>
      <c r="AM123" s="4">
        <v>1878373</v>
      </c>
      <c r="AN123" s="4">
        <v>2086454</v>
      </c>
      <c r="AO123" s="134">
        <v>156564</v>
      </c>
    </row>
    <row r="124" spans="1:41" x14ac:dyDescent="0.2">
      <c r="A124" s="1">
        <v>2025</v>
      </c>
      <c r="B124" s="2" t="s">
        <v>141</v>
      </c>
      <c r="C124" s="2" t="s">
        <v>141</v>
      </c>
      <c r="D124" s="1" t="s">
        <v>491</v>
      </c>
      <c r="E124" s="3">
        <v>5052567</v>
      </c>
      <c r="F124" s="3">
        <v>33</v>
      </c>
      <c r="G124" s="3">
        <v>0</v>
      </c>
      <c r="H124" s="3">
        <v>14964</v>
      </c>
      <c r="I124" s="1">
        <v>0</v>
      </c>
      <c r="J124" s="3">
        <v>5052534</v>
      </c>
      <c r="K124" s="3">
        <v>5037570</v>
      </c>
      <c r="L124" s="3">
        <v>5037570</v>
      </c>
      <c r="M124" s="3">
        <v>7793</v>
      </c>
      <c r="N124" s="3">
        <v>820468</v>
      </c>
      <c r="O124" s="3">
        <v>54544</v>
      </c>
      <c r="P124" s="3">
        <v>54706</v>
      </c>
      <c r="Q124" s="3">
        <v>254710</v>
      </c>
      <c r="R124" s="3">
        <v>3860313</v>
      </c>
      <c r="S124" s="3">
        <v>3845349</v>
      </c>
      <c r="T124" s="3">
        <v>3845349</v>
      </c>
      <c r="U124" s="3">
        <v>505253</v>
      </c>
      <c r="V124" s="3">
        <v>505253</v>
      </c>
      <c r="W124" s="3">
        <v>505253</v>
      </c>
      <c r="X124" s="3">
        <v>505253</v>
      </c>
      <c r="Y124" s="3">
        <v>502760</v>
      </c>
      <c r="Z124" s="3">
        <v>502760</v>
      </c>
      <c r="AA124" s="4">
        <v>502760</v>
      </c>
      <c r="AB124" s="4">
        <v>502760</v>
      </c>
      <c r="AC124" s="4">
        <v>502760</v>
      </c>
      <c r="AD124" s="4">
        <v>502758</v>
      </c>
      <c r="AE124" s="4">
        <v>505253</v>
      </c>
      <c r="AF124" s="4">
        <v>1010506</v>
      </c>
      <c r="AG124" s="4">
        <v>1515759</v>
      </c>
      <c r="AH124" s="4">
        <v>2021012</v>
      </c>
      <c r="AI124" s="4">
        <v>2523772</v>
      </c>
      <c r="AJ124" s="4">
        <v>3026532</v>
      </c>
      <c r="AK124" s="4">
        <v>3529292</v>
      </c>
      <c r="AL124" s="4">
        <v>4032052</v>
      </c>
      <c r="AM124" s="4">
        <v>4534812</v>
      </c>
      <c r="AN124" s="4">
        <v>5037570</v>
      </c>
      <c r="AO124" s="134">
        <v>277852</v>
      </c>
    </row>
    <row r="125" spans="1:41" x14ac:dyDescent="0.2">
      <c r="A125" s="1">
        <v>2025</v>
      </c>
      <c r="B125" s="2" t="s">
        <v>142</v>
      </c>
      <c r="C125" s="2" t="s">
        <v>142</v>
      </c>
      <c r="D125" s="1" t="s">
        <v>4</v>
      </c>
      <c r="E125" s="3">
        <v>1737151</v>
      </c>
      <c r="F125" s="3">
        <v>398</v>
      </c>
      <c r="G125" s="3">
        <v>0</v>
      </c>
      <c r="H125" s="3">
        <v>5548</v>
      </c>
      <c r="I125" s="1">
        <v>0</v>
      </c>
      <c r="J125" s="3">
        <v>1736753</v>
      </c>
      <c r="K125" s="3">
        <v>1731205</v>
      </c>
      <c r="L125" s="3">
        <v>1731205</v>
      </c>
      <c r="M125" s="3">
        <v>93514</v>
      </c>
      <c r="N125" s="3">
        <v>538216</v>
      </c>
      <c r="O125" s="3">
        <v>22834</v>
      </c>
      <c r="P125" s="3">
        <v>22561</v>
      </c>
      <c r="Q125" s="3">
        <v>93791</v>
      </c>
      <c r="R125" s="3">
        <v>965837</v>
      </c>
      <c r="S125" s="3">
        <v>960289</v>
      </c>
      <c r="T125" s="3">
        <v>960289</v>
      </c>
      <c r="U125" s="3">
        <v>173675</v>
      </c>
      <c r="V125" s="3">
        <v>173675</v>
      </c>
      <c r="W125" s="3">
        <v>173675</v>
      </c>
      <c r="X125" s="3">
        <v>173675</v>
      </c>
      <c r="Y125" s="3">
        <v>172751</v>
      </c>
      <c r="Z125" s="3">
        <v>172751</v>
      </c>
      <c r="AA125" s="4">
        <v>172751</v>
      </c>
      <c r="AB125" s="4">
        <v>172751</v>
      </c>
      <c r="AC125" s="4">
        <v>172751</v>
      </c>
      <c r="AD125" s="4">
        <v>172750</v>
      </c>
      <c r="AE125" s="4">
        <v>173675</v>
      </c>
      <c r="AF125" s="4">
        <v>347350</v>
      </c>
      <c r="AG125" s="4">
        <v>521025</v>
      </c>
      <c r="AH125" s="4">
        <v>694700</v>
      </c>
      <c r="AI125" s="4">
        <v>867451</v>
      </c>
      <c r="AJ125" s="4">
        <v>1040202</v>
      </c>
      <c r="AK125" s="4">
        <v>1212953</v>
      </c>
      <c r="AL125" s="4">
        <v>1385704</v>
      </c>
      <c r="AM125" s="4">
        <v>1558455</v>
      </c>
      <c r="AN125" s="4">
        <v>1731205</v>
      </c>
      <c r="AO125" s="134">
        <v>114604</v>
      </c>
    </row>
    <row r="126" spans="1:41" x14ac:dyDescent="0.2">
      <c r="A126" s="1">
        <v>2025</v>
      </c>
      <c r="B126" s="2" t="s">
        <v>143</v>
      </c>
      <c r="C126" s="2" t="s">
        <v>143</v>
      </c>
      <c r="D126" s="1" t="s">
        <v>492</v>
      </c>
      <c r="E126" s="3">
        <v>11193614</v>
      </c>
      <c r="F126" s="3">
        <v>1310</v>
      </c>
      <c r="G126" s="3">
        <v>0</v>
      </c>
      <c r="H126" s="3">
        <v>33685</v>
      </c>
      <c r="I126" s="1">
        <v>0</v>
      </c>
      <c r="J126" s="3">
        <v>11192304</v>
      </c>
      <c r="K126" s="3">
        <v>11158619</v>
      </c>
      <c r="L126" s="3">
        <v>11158619</v>
      </c>
      <c r="M126" s="3">
        <v>311635</v>
      </c>
      <c r="N126" s="3">
        <v>1230538</v>
      </c>
      <c r="O126" s="3">
        <v>123180</v>
      </c>
      <c r="P126" s="3">
        <v>111046</v>
      </c>
      <c r="Q126" s="3">
        <v>576582</v>
      </c>
      <c r="R126" s="3">
        <v>8839323</v>
      </c>
      <c r="S126" s="3">
        <v>8805638</v>
      </c>
      <c r="T126" s="3">
        <v>8805638</v>
      </c>
      <c r="U126" s="3">
        <v>1119230</v>
      </c>
      <c r="V126" s="3">
        <v>1119230</v>
      </c>
      <c r="W126" s="3">
        <v>1119230</v>
      </c>
      <c r="X126" s="3">
        <v>1119230</v>
      </c>
      <c r="Y126" s="3">
        <v>1113617</v>
      </c>
      <c r="Z126" s="3">
        <v>1113617</v>
      </c>
      <c r="AA126" s="4">
        <v>1113616</v>
      </c>
      <c r="AB126" s="4">
        <v>1113616</v>
      </c>
      <c r="AC126" s="4">
        <v>1113616</v>
      </c>
      <c r="AD126" s="4">
        <v>1113617</v>
      </c>
      <c r="AE126" s="4">
        <v>1119230</v>
      </c>
      <c r="AF126" s="4">
        <v>2238460</v>
      </c>
      <c r="AG126" s="4">
        <v>3357690</v>
      </c>
      <c r="AH126" s="4">
        <v>4476920</v>
      </c>
      <c r="AI126" s="4">
        <v>5590537</v>
      </c>
      <c r="AJ126" s="4">
        <v>6704154</v>
      </c>
      <c r="AK126" s="4">
        <v>7817770</v>
      </c>
      <c r="AL126" s="4">
        <v>8931386</v>
      </c>
      <c r="AM126" s="4">
        <v>10045002</v>
      </c>
      <c r="AN126" s="4">
        <v>11158619</v>
      </c>
      <c r="AO126" s="134">
        <v>654893</v>
      </c>
    </row>
    <row r="127" spans="1:41" x14ac:dyDescent="0.2">
      <c r="A127" s="1">
        <v>2025</v>
      </c>
      <c r="B127" s="2" t="s">
        <v>144</v>
      </c>
      <c r="C127" s="2" t="s">
        <v>144</v>
      </c>
      <c r="D127" s="1" t="s">
        <v>493</v>
      </c>
      <c r="E127" s="3">
        <v>3180500</v>
      </c>
      <c r="F127" s="1">
        <v>415</v>
      </c>
      <c r="G127" s="1">
        <v>0</v>
      </c>
      <c r="H127" s="3">
        <v>10355</v>
      </c>
      <c r="I127" s="1">
        <v>0</v>
      </c>
      <c r="J127" s="3">
        <v>3180085</v>
      </c>
      <c r="K127" s="3">
        <v>3169730</v>
      </c>
      <c r="L127" s="3">
        <v>3169730</v>
      </c>
      <c r="M127" s="3">
        <v>97410</v>
      </c>
      <c r="N127" s="3">
        <v>535592</v>
      </c>
      <c r="O127" s="3">
        <v>32630</v>
      </c>
      <c r="P127" s="3">
        <v>31945</v>
      </c>
      <c r="Q127" s="3">
        <v>173647</v>
      </c>
      <c r="R127" s="3">
        <v>2308861</v>
      </c>
      <c r="S127" s="3">
        <v>2298506</v>
      </c>
      <c r="T127" s="3">
        <v>2298506</v>
      </c>
      <c r="U127" s="3">
        <v>318009</v>
      </c>
      <c r="V127" s="3">
        <v>318009</v>
      </c>
      <c r="W127" s="3">
        <v>318009</v>
      </c>
      <c r="X127" s="3">
        <v>318009</v>
      </c>
      <c r="Y127" s="3">
        <v>316282</v>
      </c>
      <c r="Z127" s="3">
        <v>316282</v>
      </c>
      <c r="AA127" s="4">
        <v>316283</v>
      </c>
      <c r="AB127" s="4">
        <v>316283</v>
      </c>
      <c r="AC127" s="4">
        <v>316283</v>
      </c>
      <c r="AD127" s="4">
        <v>316281</v>
      </c>
      <c r="AE127" s="4">
        <v>318009</v>
      </c>
      <c r="AF127" s="4">
        <v>636018</v>
      </c>
      <c r="AG127" s="4">
        <v>954027</v>
      </c>
      <c r="AH127" s="4">
        <v>1272036</v>
      </c>
      <c r="AI127" s="4">
        <v>1588318</v>
      </c>
      <c r="AJ127" s="4">
        <v>1904600</v>
      </c>
      <c r="AK127" s="4">
        <v>2220883</v>
      </c>
      <c r="AL127" s="4">
        <v>2537166</v>
      </c>
      <c r="AM127" s="4">
        <v>2853449</v>
      </c>
      <c r="AN127" s="4">
        <v>3169730</v>
      </c>
      <c r="AO127" s="134">
        <v>202511</v>
      </c>
    </row>
    <row r="128" spans="1:41" x14ac:dyDescent="0.2">
      <c r="A128" s="1">
        <v>2025</v>
      </c>
      <c r="B128" s="2" t="s">
        <v>145</v>
      </c>
      <c r="C128" s="2" t="s">
        <v>145</v>
      </c>
      <c r="D128" s="1" t="s">
        <v>494</v>
      </c>
      <c r="E128" s="3">
        <v>5083798</v>
      </c>
      <c r="F128" s="3">
        <v>846</v>
      </c>
      <c r="G128" s="3">
        <v>0</v>
      </c>
      <c r="H128" s="3">
        <v>15097</v>
      </c>
      <c r="I128" s="1">
        <v>0</v>
      </c>
      <c r="J128" s="3">
        <v>5082952</v>
      </c>
      <c r="K128" s="3">
        <v>5067855</v>
      </c>
      <c r="L128" s="3">
        <v>5067855</v>
      </c>
      <c r="M128" s="3">
        <v>191082</v>
      </c>
      <c r="N128" s="3">
        <v>667020</v>
      </c>
      <c r="O128" s="3">
        <v>48639</v>
      </c>
      <c r="P128" s="3">
        <v>52503</v>
      </c>
      <c r="Q128" s="3">
        <v>254295</v>
      </c>
      <c r="R128" s="3">
        <v>3869413</v>
      </c>
      <c r="S128" s="3">
        <v>3854316</v>
      </c>
      <c r="T128" s="3">
        <v>3854316</v>
      </c>
      <c r="U128" s="3">
        <v>508295</v>
      </c>
      <c r="V128" s="3">
        <v>508295</v>
      </c>
      <c r="W128" s="3">
        <v>508295</v>
      </c>
      <c r="X128" s="3">
        <v>508295</v>
      </c>
      <c r="Y128" s="3">
        <v>505779</v>
      </c>
      <c r="Z128" s="3">
        <v>505779</v>
      </c>
      <c r="AA128" s="4">
        <v>505779</v>
      </c>
      <c r="AB128" s="4">
        <v>505779</v>
      </c>
      <c r="AC128" s="4">
        <v>505779</v>
      </c>
      <c r="AD128" s="4">
        <v>505780</v>
      </c>
      <c r="AE128" s="4">
        <v>508295</v>
      </c>
      <c r="AF128" s="4">
        <v>1016590</v>
      </c>
      <c r="AG128" s="4">
        <v>1524885</v>
      </c>
      <c r="AH128" s="4">
        <v>2033180</v>
      </c>
      <c r="AI128" s="4">
        <v>2538959</v>
      </c>
      <c r="AJ128" s="4">
        <v>3044738</v>
      </c>
      <c r="AK128" s="4">
        <v>3550517</v>
      </c>
      <c r="AL128" s="4">
        <v>4056296</v>
      </c>
      <c r="AM128" s="4">
        <v>4562075</v>
      </c>
      <c r="AN128" s="4">
        <v>5067855</v>
      </c>
      <c r="AO128" s="134">
        <v>286317</v>
      </c>
    </row>
    <row r="129" spans="1:41" x14ac:dyDescent="0.2">
      <c r="A129" s="1">
        <v>2025</v>
      </c>
      <c r="B129" s="2" t="s">
        <v>146</v>
      </c>
      <c r="C129" s="2" t="s">
        <v>146</v>
      </c>
      <c r="D129" s="1" t="s">
        <v>495</v>
      </c>
      <c r="E129" s="3">
        <v>2873057</v>
      </c>
      <c r="F129" s="1">
        <v>498</v>
      </c>
      <c r="G129" s="1">
        <v>0</v>
      </c>
      <c r="H129" s="3">
        <v>8907</v>
      </c>
      <c r="I129" s="1">
        <v>0</v>
      </c>
      <c r="J129" s="3">
        <v>2872559</v>
      </c>
      <c r="K129" s="3">
        <v>2863652</v>
      </c>
      <c r="L129" s="3">
        <v>2863652</v>
      </c>
      <c r="M129" s="3">
        <v>116892</v>
      </c>
      <c r="N129" s="3">
        <v>474911</v>
      </c>
      <c r="O129" s="3">
        <v>33684</v>
      </c>
      <c r="P129" s="3">
        <v>28619</v>
      </c>
      <c r="Q129" s="3">
        <v>149358</v>
      </c>
      <c r="R129" s="3">
        <v>2069095</v>
      </c>
      <c r="S129" s="3">
        <v>2060188</v>
      </c>
      <c r="T129" s="3">
        <v>2060188</v>
      </c>
      <c r="U129" s="3">
        <v>287256</v>
      </c>
      <c r="V129" s="3">
        <v>287256</v>
      </c>
      <c r="W129" s="3">
        <v>287256</v>
      </c>
      <c r="X129" s="3">
        <v>287256</v>
      </c>
      <c r="Y129" s="3">
        <v>285771</v>
      </c>
      <c r="Z129" s="3">
        <v>285771</v>
      </c>
      <c r="AA129" s="4">
        <v>285772</v>
      </c>
      <c r="AB129" s="4">
        <v>285772</v>
      </c>
      <c r="AC129" s="4">
        <v>285772</v>
      </c>
      <c r="AD129" s="4">
        <v>285770</v>
      </c>
      <c r="AE129" s="4">
        <v>287256</v>
      </c>
      <c r="AF129" s="4">
        <v>574512</v>
      </c>
      <c r="AG129" s="4">
        <v>861768</v>
      </c>
      <c r="AH129" s="4">
        <v>1149024</v>
      </c>
      <c r="AI129" s="4">
        <v>1434795</v>
      </c>
      <c r="AJ129" s="4">
        <v>1720566</v>
      </c>
      <c r="AK129" s="4">
        <v>2006338</v>
      </c>
      <c r="AL129" s="4">
        <v>2292110</v>
      </c>
      <c r="AM129" s="4">
        <v>2577882</v>
      </c>
      <c r="AN129" s="4">
        <v>2863652</v>
      </c>
      <c r="AO129" s="134">
        <v>157674</v>
      </c>
    </row>
    <row r="130" spans="1:41" x14ac:dyDescent="0.2">
      <c r="A130" s="1">
        <v>2025</v>
      </c>
      <c r="B130" s="2" t="s">
        <v>147</v>
      </c>
      <c r="C130" s="2" t="s">
        <v>147</v>
      </c>
      <c r="D130" s="1" t="s">
        <v>496</v>
      </c>
      <c r="E130" s="3">
        <v>3985009</v>
      </c>
      <c r="F130" s="1">
        <v>564</v>
      </c>
      <c r="G130" s="1">
        <v>0</v>
      </c>
      <c r="H130" s="3">
        <v>14146</v>
      </c>
      <c r="I130" s="1">
        <v>0</v>
      </c>
      <c r="J130" s="3">
        <v>3984445</v>
      </c>
      <c r="K130" s="3">
        <v>3970299</v>
      </c>
      <c r="L130" s="3">
        <v>3970299</v>
      </c>
      <c r="M130" s="3">
        <v>132478</v>
      </c>
      <c r="N130" s="3">
        <v>585556</v>
      </c>
      <c r="O130" s="3">
        <v>45049</v>
      </c>
      <c r="P130" s="3">
        <v>48769</v>
      </c>
      <c r="Q130" s="3">
        <v>240998</v>
      </c>
      <c r="R130" s="3">
        <v>2931595</v>
      </c>
      <c r="S130" s="3">
        <v>2917449</v>
      </c>
      <c r="T130" s="3">
        <v>2917449</v>
      </c>
      <c r="U130" s="3">
        <v>398445</v>
      </c>
      <c r="V130" s="3">
        <v>398445</v>
      </c>
      <c r="W130" s="3">
        <v>398445</v>
      </c>
      <c r="X130" s="3">
        <v>398445</v>
      </c>
      <c r="Y130" s="3">
        <v>396087</v>
      </c>
      <c r="Z130" s="3">
        <v>396087</v>
      </c>
      <c r="AA130" s="4">
        <v>396086</v>
      </c>
      <c r="AB130" s="4">
        <v>396086</v>
      </c>
      <c r="AC130" s="4">
        <v>396086</v>
      </c>
      <c r="AD130" s="4">
        <v>396087</v>
      </c>
      <c r="AE130" s="4">
        <v>398445</v>
      </c>
      <c r="AF130" s="4">
        <v>796890</v>
      </c>
      <c r="AG130" s="4">
        <v>1195335</v>
      </c>
      <c r="AH130" s="4">
        <v>1593780</v>
      </c>
      <c r="AI130" s="4">
        <v>1989867</v>
      </c>
      <c r="AJ130" s="4">
        <v>2385954</v>
      </c>
      <c r="AK130" s="4">
        <v>2782040</v>
      </c>
      <c r="AL130" s="4">
        <v>3178126</v>
      </c>
      <c r="AM130" s="4">
        <v>3574212</v>
      </c>
      <c r="AN130" s="4">
        <v>3970299</v>
      </c>
      <c r="AO130" s="134">
        <v>273467</v>
      </c>
    </row>
    <row r="131" spans="1:41" x14ac:dyDescent="0.2">
      <c r="A131" s="1">
        <v>2025</v>
      </c>
      <c r="B131" s="2" t="s">
        <v>148</v>
      </c>
      <c r="C131" s="2" t="s">
        <v>148</v>
      </c>
      <c r="D131" s="1" t="s">
        <v>5</v>
      </c>
      <c r="E131" s="3">
        <v>2222298</v>
      </c>
      <c r="F131" s="3">
        <v>315</v>
      </c>
      <c r="G131" s="3">
        <v>0</v>
      </c>
      <c r="H131" s="3">
        <v>7114</v>
      </c>
      <c r="I131" s="1">
        <v>0</v>
      </c>
      <c r="J131" s="3">
        <v>2221983</v>
      </c>
      <c r="K131" s="3">
        <v>2214869</v>
      </c>
      <c r="L131" s="3">
        <v>2214869</v>
      </c>
      <c r="M131" s="3">
        <v>74032</v>
      </c>
      <c r="N131" s="3">
        <v>381503</v>
      </c>
      <c r="O131" s="3">
        <v>23652</v>
      </c>
      <c r="P131" s="3">
        <v>23050</v>
      </c>
      <c r="Q131" s="3">
        <v>119668</v>
      </c>
      <c r="R131" s="3">
        <v>1600078</v>
      </c>
      <c r="S131" s="3">
        <v>1592964</v>
      </c>
      <c r="T131" s="3">
        <v>1592964</v>
      </c>
      <c r="U131" s="3">
        <v>222198</v>
      </c>
      <c r="V131" s="3">
        <v>222198</v>
      </c>
      <c r="W131" s="3">
        <v>222198</v>
      </c>
      <c r="X131" s="3">
        <v>222198</v>
      </c>
      <c r="Y131" s="3">
        <v>221013</v>
      </c>
      <c r="Z131" s="3">
        <v>221013</v>
      </c>
      <c r="AA131" s="4">
        <v>221013</v>
      </c>
      <c r="AB131" s="4">
        <v>221013</v>
      </c>
      <c r="AC131" s="4">
        <v>221013</v>
      </c>
      <c r="AD131" s="4">
        <v>221012</v>
      </c>
      <c r="AE131" s="4">
        <v>222198</v>
      </c>
      <c r="AF131" s="4">
        <v>444396</v>
      </c>
      <c r="AG131" s="4">
        <v>666594</v>
      </c>
      <c r="AH131" s="4">
        <v>888792</v>
      </c>
      <c r="AI131" s="4">
        <v>1109805</v>
      </c>
      <c r="AJ131" s="4">
        <v>1330818</v>
      </c>
      <c r="AK131" s="4">
        <v>1551831</v>
      </c>
      <c r="AL131" s="4">
        <v>1772844</v>
      </c>
      <c r="AM131" s="4">
        <v>1993857</v>
      </c>
      <c r="AN131" s="4">
        <v>2214869</v>
      </c>
      <c r="AO131" s="134">
        <v>128773</v>
      </c>
    </row>
    <row r="132" spans="1:41" x14ac:dyDescent="0.2">
      <c r="A132" s="1">
        <v>2025</v>
      </c>
      <c r="B132" s="2" t="s">
        <v>149</v>
      </c>
      <c r="C132" s="2" t="s">
        <v>149</v>
      </c>
      <c r="D132" s="1" t="s">
        <v>497</v>
      </c>
      <c r="E132" s="3">
        <v>1331488</v>
      </c>
      <c r="F132" s="1">
        <v>133</v>
      </c>
      <c r="G132" s="3">
        <v>246161</v>
      </c>
      <c r="H132" s="3">
        <v>4685</v>
      </c>
      <c r="I132" s="1">
        <v>0</v>
      </c>
      <c r="J132" s="3">
        <v>1085194</v>
      </c>
      <c r="K132" s="3">
        <v>1080509</v>
      </c>
      <c r="L132" s="3">
        <v>1080509</v>
      </c>
      <c r="M132" s="3">
        <v>31171</v>
      </c>
      <c r="N132" s="3">
        <v>250482</v>
      </c>
      <c r="O132" s="3">
        <v>17736</v>
      </c>
      <c r="P132" s="3">
        <v>15761</v>
      </c>
      <c r="Q132" s="3">
        <v>83288</v>
      </c>
      <c r="R132" s="3">
        <v>686756</v>
      </c>
      <c r="S132" s="3">
        <v>682071</v>
      </c>
      <c r="T132" s="3">
        <v>682071</v>
      </c>
      <c r="U132" s="3">
        <v>108519</v>
      </c>
      <c r="V132" s="3">
        <v>108519</v>
      </c>
      <c r="W132" s="3">
        <v>108519</v>
      </c>
      <c r="X132" s="3">
        <v>108519</v>
      </c>
      <c r="Y132" s="3">
        <v>107739</v>
      </c>
      <c r="Z132" s="3">
        <v>107739</v>
      </c>
      <c r="AA132" s="4">
        <v>107739</v>
      </c>
      <c r="AB132" s="4">
        <v>107739</v>
      </c>
      <c r="AC132" s="4">
        <v>107739</v>
      </c>
      <c r="AD132" s="4">
        <v>107738</v>
      </c>
      <c r="AE132" s="4">
        <v>108519</v>
      </c>
      <c r="AF132" s="4">
        <v>217038</v>
      </c>
      <c r="AG132" s="4">
        <v>325557</v>
      </c>
      <c r="AH132" s="4">
        <v>434076</v>
      </c>
      <c r="AI132" s="4">
        <v>541815</v>
      </c>
      <c r="AJ132" s="4">
        <v>649554</v>
      </c>
      <c r="AK132" s="4">
        <v>757293</v>
      </c>
      <c r="AL132" s="4">
        <v>865032</v>
      </c>
      <c r="AM132" s="4">
        <v>972771</v>
      </c>
      <c r="AN132" s="4">
        <v>1080509</v>
      </c>
      <c r="AO132" s="134">
        <v>91752</v>
      </c>
    </row>
    <row r="133" spans="1:41" x14ac:dyDescent="0.2">
      <c r="A133" s="1">
        <v>2025</v>
      </c>
      <c r="B133" s="2" t="s">
        <v>150</v>
      </c>
      <c r="C133" s="2" t="s">
        <v>150</v>
      </c>
      <c r="D133" s="1" t="s">
        <v>498</v>
      </c>
      <c r="E133" s="3">
        <v>8318087</v>
      </c>
      <c r="F133" s="3">
        <v>846</v>
      </c>
      <c r="G133" s="3">
        <v>13793</v>
      </c>
      <c r="H133" s="3">
        <v>24578</v>
      </c>
      <c r="I133" s="1">
        <v>0</v>
      </c>
      <c r="J133" s="3">
        <v>8303448</v>
      </c>
      <c r="K133" s="3">
        <v>8278870</v>
      </c>
      <c r="L133" s="3">
        <v>8278870</v>
      </c>
      <c r="M133" s="3">
        <v>198717</v>
      </c>
      <c r="N133" s="3">
        <v>881387</v>
      </c>
      <c r="O133" s="3">
        <v>98218</v>
      </c>
      <c r="P133" s="3">
        <v>83474</v>
      </c>
      <c r="Q133" s="3">
        <v>415930</v>
      </c>
      <c r="R133" s="3">
        <v>6625722</v>
      </c>
      <c r="S133" s="3">
        <v>6601144</v>
      </c>
      <c r="T133" s="3">
        <v>6601144</v>
      </c>
      <c r="U133" s="3">
        <v>830345</v>
      </c>
      <c r="V133" s="3">
        <v>830345</v>
      </c>
      <c r="W133" s="3">
        <v>830345</v>
      </c>
      <c r="X133" s="3">
        <v>830345</v>
      </c>
      <c r="Y133" s="3">
        <v>826248</v>
      </c>
      <c r="Z133" s="3">
        <v>826248</v>
      </c>
      <c r="AA133" s="4">
        <v>826249</v>
      </c>
      <c r="AB133" s="4">
        <v>826249</v>
      </c>
      <c r="AC133" s="4">
        <v>826249</v>
      </c>
      <c r="AD133" s="4">
        <v>826247</v>
      </c>
      <c r="AE133" s="4">
        <v>830345</v>
      </c>
      <c r="AF133" s="4">
        <v>1660690</v>
      </c>
      <c r="AG133" s="4">
        <v>2491035</v>
      </c>
      <c r="AH133" s="4">
        <v>3321380</v>
      </c>
      <c r="AI133" s="4">
        <v>4147628</v>
      </c>
      <c r="AJ133" s="4">
        <v>4973876</v>
      </c>
      <c r="AK133" s="4">
        <v>5800125</v>
      </c>
      <c r="AL133" s="4">
        <v>6626374</v>
      </c>
      <c r="AM133" s="4">
        <v>7452623</v>
      </c>
      <c r="AN133" s="4">
        <v>8278870</v>
      </c>
      <c r="AO133" s="134">
        <v>468968</v>
      </c>
    </row>
    <row r="134" spans="1:41" x14ac:dyDescent="0.2">
      <c r="A134" s="1">
        <v>2025</v>
      </c>
      <c r="B134" s="2" t="s">
        <v>151</v>
      </c>
      <c r="C134" s="2" t="s">
        <v>151</v>
      </c>
      <c r="D134" s="1" t="s">
        <v>499</v>
      </c>
      <c r="E134" s="3">
        <v>9740727</v>
      </c>
      <c r="F134" s="3">
        <v>1410</v>
      </c>
      <c r="G134" s="3">
        <v>0</v>
      </c>
      <c r="H134" s="3">
        <v>30730</v>
      </c>
      <c r="I134" s="1">
        <v>0</v>
      </c>
      <c r="J134" s="3">
        <v>9739317</v>
      </c>
      <c r="K134" s="3">
        <v>9708587</v>
      </c>
      <c r="L134" s="3">
        <v>9708587</v>
      </c>
      <c r="M134" s="3">
        <v>331195</v>
      </c>
      <c r="N134" s="3">
        <v>1127208</v>
      </c>
      <c r="O134" s="3">
        <v>110839</v>
      </c>
      <c r="P134" s="3">
        <v>110459</v>
      </c>
      <c r="Q134" s="3">
        <v>531933</v>
      </c>
      <c r="R134" s="3">
        <v>7527683</v>
      </c>
      <c r="S134" s="3">
        <v>7496953</v>
      </c>
      <c r="T134" s="3">
        <v>7496953</v>
      </c>
      <c r="U134" s="3">
        <v>973932</v>
      </c>
      <c r="V134" s="3">
        <v>973932</v>
      </c>
      <c r="W134" s="3">
        <v>973932</v>
      </c>
      <c r="X134" s="3">
        <v>973932</v>
      </c>
      <c r="Y134" s="3">
        <v>968810</v>
      </c>
      <c r="Z134" s="3">
        <v>968810</v>
      </c>
      <c r="AA134" s="4">
        <v>968810</v>
      </c>
      <c r="AB134" s="4">
        <v>968810</v>
      </c>
      <c r="AC134" s="4">
        <v>968810</v>
      </c>
      <c r="AD134" s="4">
        <v>968809</v>
      </c>
      <c r="AE134" s="4">
        <v>973932</v>
      </c>
      <c r="AF134" s="4">
        <v>1947864</v>
      </c>
      <c r="AG134" s="4">
        <v>2921796</v>
      </c>
      <c r="AH134" s="4">
        <v>3895728</v>
      </c>
      <c r="AI134" s="4">
        <v>4864538</v>
      </c>
      <c r="AJ134" s="4">
        <v>5833348</v>
      </c>
      <c r="AK134" s="4">
        <v>6802158</v>
      </c>
      <c r="AL134" s="4">
        <v>7770968</v>
      </c>
      <c r="AM134" s="4">
        <v>8739778</v>
      </c>
      <c r="AN134" s="4">
        <v>9708587</v>
      </c>
      <c r="AO134" s="134">
        <v>568420</v>
      </c>
    </row>
    <row r="135" spans="1:41" x14ac:dyDescent="0.2">
      <c r="A135" s="1">
        <v>2025</v>
      </c>
      <c r="B135" s="2" t="s">
        <v>152</v>
      </c>
      <c r="C135" s="2" t="s">
        <v>152</v>
      </c>
      <c r="D135" s="1" t="s">
        <v>500</v>
      </c>
      <c r="E135" s="3">
        <v>1384051</v>
      </c>
      <c r="F135" s="3">
        <v>299</v>
      </c>
      <c r="G135" s="3">
        <v>0</v>
      </c>
      <c r="H135" s="3">
        <v>6713</v>
      </c>
      <c r="I135" s="1">
        <v>0</v>
      </c>
      <c r="J135" s="3">
        <v>1383752</v>
      </c>
      <c r="K135" s="3">
        <v>1377039</v>
      </c>
      <c r="L135" s="3">
        <v>1377039</v>
      </c>
      <c r="M135" s="3">
        <v>70135</v>
      </c>
      <c r="N135" s="3">
        <v>422186</v>
      </c>
      <c r="O135" s="3">
        <v>27830</v>
      </c>
      <c r="P135" s="3">
        <v>21942</v>
      </c>
      <c r="Q135" s="3">
        <v>112567</v>
      </c>
      <c r="R135" s="3">
        <v>729092</v>
      </c>
      <c r="S135" s="3">
        <v>722379</v>
      </c>
      <c r="T135" s="3">
        <v>722379</v>
      </c>
      <c r="U135" s="3">
        <v>138375</v>
      </c>
      <c r="V135" s="3">
        <v>138375</v>
      </c>
      <c r="W135" s="3">
        <v>138375</v>
      </c>
      <c r="X135" s="3">
        <v>138375</v>
      </c>
      <c r="Y135" s="3">
        <v>137257</v>
      </c>
      <c r="Z135" s="3">
        <v>137257</v>
      </c>
      <c r="AA135" s="4">
        <v>137256</v>
      </c>
      <c r="AB135" s="4">
        <v>137256</v>
      </c>
      <c r="AC135" s="4">
        <v>137256</v>
      </c>
      <c r="AD135" s="4">
        <v>137257</v>
      </c>
      <c r="AE135" s="4">
        <v>138375</v>
      </c>
      <c r="AF135" s="4">
        <v>276750</v>
      </c>
      <c r="AG135" s="4">
        <v>415125</v>
      </c>
      <c r="AH135" s="4">
        <v>553500</v>
      </c>
      <c r="AI135" s="4">
        <v>690757</v>
      </c>
      <c r="AJ135" s="4">
        <v>828014</v>
      </c>
      <c r="AK135" s="4">
        <v>965270</v>
      </c>
      <c r="AL135" s="4">
        <v>1102526</v>
      </c>
      <c r="AM135" s="4">
        <v>1239782</v>
      </c>
      <c r="AN135" s="4">
        <v>1377039</v>
      </c>
      <c r="AO135" s="134">
        <v>126169</v>
      </c>
    </row>
    <row r="136" spans="1:41" x14ac:dyDescent="0.2">
      <c r="A136" s="1">
        <v>2025</v>
      </c>
      <c r="B136" s="2" t="s">
        <v>153</v>
      </c>
      <c r="C136" s="2" t="s">
        <v>153</v>
      </c>
      <c r="D136" s="1" t="s">
        <v>501</v>
      </c>
      <c r="E136" s="3">
        <v>3585572</v>
      </c>
      <c r="F136" s="3">
        <v>713</v>
      </c>
      <c r="G136" s="3">
        <v>0</v>
      </c>
      <c r="H136" s="3">
        <v>14340</v>
      </c>
      <c r="I136" s="1">
        <v>0</v>
      </c>
      <c r="J136" s="3">
        <v>3584859</v>
      </c>
      <c r="K136" s="3">
        <v>3570519</v>
      </c>
      <c r="L136" s="3">
        <v>3570519</v>
      </c>
      <c r="M136" s="3">
        <v>167546</v>
      </c>
      <c r="N136" s="3">
        <v>718122</v>
      </c>
      <c r="O136" s="3">
        <v>52677</v>
      </c>
      <c r="P136" s="3">
        <v>55246</v>
      </c>
      <c r="Q136" s="3">
        <v>272577</v>
      </c>
      <c r="R136" s="3">
        <v>2318691</v>
      </c>
      <c r="S136" s="3">
        <v>2304351</v>
      </c>
      <c r="T136" s="3">
        <v>2304351</v>
      </c>
      <c r="U136" s="3">
        <v>358486</v>
      </c>
      <c r="V136" s="3">
        <v>358486</v>
      </c>
      <c r="W136" s="3">
        <v>358486</v>
      </c>
      <c r="X136" s="3">
        <v>358486</v>
      </c>
      <c r="Y136" s="3">
        <v>356096</v>
      </c>
      <c r="Z136" s="3">
        <v>356096</v>
      </c>
      <c r="AA136" s="4">
        <v>356096</v>
      </c>
      <c r="AB136" s="4">
        <v>356096</v>
      </c>
      <c r="AC136" s="4">
        <v>356096</v>
      </c>
      <c r="AD136" s="4">
        <v>356095</v>
      </c>
      <c r="AE136" s="4">
        <v>358486</v>
      </c>
      <c r="AF136" s="4">
        <v>716972</v>
      </c>
      <c r="AG136" s="4">
        <v>1075458</v>
      </c>
      <c r="AH136" s="4">
        <v>1433944</v>
      </c>
      <c r="AI136" s="4">
        <v>1790040</v>
      </c>
      <c r="AJ136" s="4">
        <v>2146136</v>
      </c>
      <c r="AK136" s="4">
        <v>2502232</v>
      </c>
      <c r="AL136" s="4">
        <v>2858328</v>
      </c>
      <c r="AM136" s="4">
        <v>3214424</v>
      </c>
      <c r="AN136" s="4">
        <v>3570519</v>
      </c>
      <c r="AO136" s="134">
        <v>286682</v>
      </c>
    </row>
    <row r="137" spans="1:41" x14ac:dyDescent="0.2">
      <c r="A137" s="1">
        <v>2025</v>
      </c>
      <c r="B137" s="2" t="s">
        <v>154</v>
      </c>
      <c r="C137" s="2" t="s">
        <v>154</v>
      </c>
      <c r="D137" s="1" t="s">
        <v>502</v>
      </c>
      <c r="E137" s="3">
        <v>3829913</v>
      </c>
      <c r="F137" s="1">
        <v>398</v>
      </c>
      <c r="G137" s="1">
        <v>0</v>
      </c>
      <c r="H137" s="3">
        <v>13272</v>
      </c>
      <c r="I137" s="1">
        <v>0</v>
      </c>
      <c r="J137" s="3">
        <v>3829515</v>
      </c>
      <c r="K137" s="3">
        <v>3816243</v>
      </c>
      <c r="L137" s="3">
        <v>3816243</v>
      </c>
      <c r="M137" s="3">
        <v>93514</v>
      </c>
      <c r="N137" s="3">
        <v>632127</v>
      </c>
      <c r="O137" s="3">
        <v>49765</v>
      </c>
      <c r="P137" s="3">
        <v>44751</v>
      </c>
      <c r="Q137" s="3">
        <v>225209</v>
      </c>
      <c r="R137" s="3">
        <v>2784149</v>
      </c>
      <c r="S137" s="3">
        <v>2770877</v>
      </c>
      <c r="T137" s="3">
        <v>2770877</v>
      </c>
      <c r="U137" s="3">
        <v>382952</v>
      </c>
      <c r="V137" s="3">
        <v>382952</v>
      </c>
      <c r="W137" s="3">
        <v>382952</v>
      </c>
      <c r="X137" s="3">
        <v>382952</v>
      </c>
      <c r="Y137" s="3">
        <v>380739</v>
      </c>
      <c r="Z137" s="3">
        <v>380739</v>
      </c>
      <c r="AA137" s="4">
        <v>380739</v>
      </c>
      <c r="AB137" s="4">
        <v>380739</v>
      </c>
      <c r="AC137" s="4">
        <v>380739</v>
      </c>
      <c r="AD137" s="4">
        <v>380740</v>
      </c>
      <c r="AE137" s="4">
        <v>382952</v>
      </c>
      <c r="AF137" s="4">
        <v>765904</v>
      </c>
      <c r="AG137" s="4">
        <v>1148856</v>
      </c>
      <c r="AH137" s="4">
        <v>1531808</v>
      </c>
      <c r="AI137" s="4">
        <v>1912547</v>
      </c>
      <c r="AJ137" s="4">
        <v>2293286</v>
      </c>
      <c r="AK137" s="4">
        <v>2674025</v>
      </c>
      <c r="AL137" s="4">
        <v>3054764</v>
      </c>
      <c r="AM137" s="4">
        <v>3435503</v>
      </c>
      <c r="AN137" s="4">
        <v>3816243</v>
      </c>
      <c r="AO137" s="134">
        <v>238073</v>
      </c>
    </row>
    <row r="138" spans="1:41" x14ac:dyDescent="0.2">
      <c r="A138" s="1">
        <v>2025</v>
      </c>
      <c r="B138" s="2" t="s">
        <v>155</v>
      </c>
      <c r="C138" s="2" t="s">
        <v>155</v>
      </c>
      <c r="D138" s="1" t="s">
        <v>503</v>
      </c>
      <c r="E138" s="3">
        <v>3967050</v>
      </c>
      <c r="F138" s="1">
        <v>564</v>
      </c>
      <c r="G138" s="1">
        <v>0</v>
      </c>
      <c r="H138" s="3">
        <v>12662</v>
      </c>
      <c r="I138" s="3">
        <v>0</v>
      </c>
      <c r="J138" s="3">
        <v>3966486</v>
      </c>
      <c r="K138" s="3">
        <v>3953824</v>
      </c>
      <c r="L138" s="3">
        <v>3953824</v>
      </c>
      <c r="M138" s="3">
        <v>132478</v>
      </c>
      <c r="N138" s="3">
        <v>517731</v>
      </c>
      <c r="O138" s="3">
        <v>47475</v>
      </c>
      <c r="P138" s="3">
        <v>44028</v>
      </c>
      <c r="Q138" s="3">
        <v>213083</v>
      </c>
      <c r="R138" s="3">
        <v>3011691</v>
      </c>
      <c r="S138" s="3">
        <v>2999029</v>
      </c>
      <c r="T138" s="3">
        <v>2999029</v>
      </c>
      <c r="U138" s="3">
        <v>396649</v>
      </c>
      <c r="V138" s="3">
        <v>396649</v>
      </c>
      <c r="W138" s="3">
        <v>396649</v>
      </c>
      <c r="X138" s="3">
        <v>396649</v>
      </c>
      <c r="Y138" s="3">
        <v>394538</v>
      </c>
      <c r="Z138" s="3">
        <v>394538</v>
      </c>
      <c r="AA138" s="4">
        <v>394538</v>
      </c>
      <c r="AB138" s="4">
        <v>394538</v>
      </c>
      <c r="AC138" s="4">
        <v>394538</v>
      </c>
      <c r="AD138" s="4">
        <v>394538</v>
      </c>
      <c r="AE138" s="4">
        <v>396649</v>
      </c>
      <c r="AF138" s="4">
        <v>793298</v>
      </c>
      <c r="AG138" s="4">
        <v>1189947</v>
      </c>
      <c r="AH138" s="4">
        <v>1586596</v>
      </c>
      <c r="AI138" s="4">
        <v>1981134</v>
      </c>
      <c r="AJ138" s="4">
        <v>2375672</v>
      </c>
      <c r="AK138" s="4">
        <v>2770210</v>
      </c>
      <c r="AL138" s="4">
        <v>3164748</v>
      </c>
      <c r="AM138" s="4">
        <v>3559286</v>
      </c>
      <c r="AN138" s="4">
        <v>3953824</v>
      </c>
      <c r="AO138" s="134">
        <v>231856</v>
      </c>
    </row>
    <row r="139" spans="1:41" x14ac:dyDescent="0.2">
      <c r="A139" s="1">
        <v>2025</v>
      </c>
      <c r="B139" s="2" t="s">
        <v>156</v>
      </c>
      <c r="C139" s="2" t="s">
        <v>156</v>
      </c>
      <c r="D139" s="1" t="s">
        <v>504</v>
      </c>
      <c r="E139" s="3">
        <v>7900980</v>
      </c>
      <c r="F139" s="3">
        <v>1211</v>
      </c>
      <c r="G139" s="3">
        <v>0</v>
      </c>
      <c r="H139" s="3">
        <v>25567</v>
      </c>
      <c r="I139" s="1">
        <v>0</v>
      </c>
      <c r="J139" s="3">
        <v>7899769</v>
      </c>
      <c r="K139" s="3">
        <v>7874202</v>
      </c>
      <c r="L139" s="3">
        <v>7874202</v>
      </c>
      <c r="M139" s="3">
        <v>284438</v>
      </c>
      <c r="N139" s="3">
        <v>988947</v>
      </c>
      <c r="O139" s="3">
        <v>89853</v>
      </c>
      <c r="P139" s="3">
        <v>90093</v>
      </c>
      <c r="Q139" s="3">
        <v>452910</v>
      </c>
      <c r="R139" s="3">
        <v>5993528</v>
      </c>
      <c r="S139" s="3">
        <v>5967961</v>
      </c>
      <c r="T139" s="3">
        <v>5967961</v>
      </c>
      <c r="U139" s="3">
        <v>789977</v>
      </c>
      <c r="V139" s="3">
        <v>789977</v>
      </c>
      <c r="W139" s="3">
        <v>789977</v>
      </c>
      <c r="X139" s="3">
        <v>789977</v>
      </c>
      <c r="Y139" s="3">
        <v>785716</v>
      </c>
      <c r="Z139" s="3">
        <v>785716</v>
      </c>
      <c r="AA139" s="4">
        <v>785716</v>
      </c>
      <c r="AB139" s="4">
        <v>785716</v>
      </c>
      <c r="AC139" s="4">
        <v>785716</v>
      </c>
      <c r="AD139" s="4">
        <v>785714</v>
      </c>
      <c r="AE139" s="4">
        <v>789977</v>
      </c>
      <c r="AF139" s="4">
        <v>1579954</v>
      </c>
      <c r="AG139" s="4">
        <v>2369931</v>
      </c>
      <c r="AH139" s="4">
        <v>3159908</v>
      </c>
      <c r="AI139" s="4">
        <v>3945624</v>
      </c>
      <c r="AJ139" s="4">
        <v>4731340</v>
      </c>
      <c r="AK139" s="4">
        <v>5517056</v>
      </c>
      <c r="AL139" s="4">
        <v>6302772</v>
      </c>
      <c r="AM139" s="4">
        <v>7088488</v>
      </c>
      <c r="AN139" s="4">
        <v>7874202</v>
      </c>
      <c r="AO139" s="134">
        <v>502924</v>
      </c>
    </row>
    <row r="140" spans="1:41" x14ac:dyDescent="0.2">
      <c r="A140" s="1">
        <v>2025</v>
      </c>
      <c r="B140" s="2" t="s">
        <v>157</v>
      </c>
      <c r="C140" s="2" t="s">
        <v>157</v>
      </c>
      <c r="D140" s="1" t="s">
        <v>505</v>
      </c>
      <c r="E140" s="3">
        <v>2252389</v>
      </c>
      <c r="F140" s="1">
        <v>332</v>
      </c>
      <c r="G140" s="1">
        <v>0</v>
      </c>
      <c r="H140" s="3">
        <v>9265</v>
      </c>
      <c r="I140" s="1">
        <v>0</v>
      </c>
      <c r="J140" s="3">
        <v>2252057</v>
      </c>
      <c r="K140" s="3">
        <v>2242792</v>
      </c>
      <c r="L140" s="3">
        <v>2242792</v>
      </c>
      <c r="M140" s="3">
        <v>77928</v>
      </c>
      <c r="N140" s="3">
        <v>439898</v>
      </c>
      <c r="O140" s="3">
        <v>28092</v>
      </c>
      <c r="P140" s="3">
        <v>24464</v>
      </c>
      <c r="Q140" s="3">
        <v>155364</v>
      </c>
      <c r="R140" s="3">
        <v>1526311</v>
      </c>
      <c r="S140" s="3">
        <v>1517046</v>
      </c>
      <c r="T140" s="3">
        <v>1517046</v>
      </c>
      <c r="U140" s="3">
        <v>225206</v>
      </c>
      <c r="V140" s="3">
        <v>225206</v>
      </c>
      <c r="W140" s="3">
        <v>225206</v>
      </c>
      <c r="X140" s="3">
        <v>225206</v>
      </c>
      <c r="Y140" s="3">
        <v>223661</v>
      </c>
      <c r="Z140" s="3">
        <v>223661</v>
      </c>
      <c r="AA140" s="4">
        <v>223662</v>
      </c>
      <c r="AB140" s="4">
        <v>223662</v>
      </c>
      <c r="AC140" s="4">
        <v>223662</v>
      </c>
      <c r="AD140" s="4">
        <v>223660</v>
      </c>
      <c r="AE140" s="4">
        <v>225206</v>
      </c>
      <c r="AF140" s="4">
        <v>450412</v>
      </c>
      <c r="AG140" s="4">
        <v>675618</v>
      </c>
      <c r="AH140" s="4">
        <v>900824</v>
      </c>
      <c r="AI140" s="4">
        <v>1124485</v>
      </c>
      <c r="AJ140" s="4">
        <v>1348146</v>
      </c>
      <c r="AK140" s="4">
        <v>1571808</v>
      </c>
      <c r="AL140" s="4">
        <v>1795470</v>
      </c>
      <c r="AM140" s="4">
        <v>2019132</v>
      </c>
      <c r="AN140" s="4">
        <v>2242792</v>
      </c>
      <c r="AO140" s="134">
        <v>171320</v>
      </c>
    </row>
    <row r="141" spans="1:41" x14ac:dyDescent="0.2">
      <c r="A141" s="1">
        <v>2025</v>
      </c>
      <c r="B141" s="2" t="s">
        <v>158</v>
      </c>
      <c r="C141" s="2" t="s">
        <v>158</v>
      </c>
      <c r="D141" s="1" t="s">
        <v>506</v>
      </c>
      <c r="E141" s="3">
        <v>6001501</v>
      </c>
      <c r="F141" s="3">
        <v>813</v>
      </c>
      <c r="G141" s="3">
        <v>0</v>
      </c>
      <c r="H141" s="3">
        <v>16347</v>
      </c>
      <c r="I141" s="1">
        <v>0</v>
      </c>
      <c r="J141" s="3">
        <v>6000688</v>
      </c>
      <c r="K141" s="3">
        <v>5984341</v>
      </c>
      <c r="L141" s="3">
        <v>5984341</v>
      </c>
      <c r="M141" s="3">
        <v>190924</v>
      </c>
      <c r="N141" s="3">
        <v>648657</v>
      </c>
      <c r="O141" s="3">
        <v>48570</v>
      </c>
      <c r="P141" s="3">
        <v>59369</v>
      </c>
      <c r="Q141" s="3">
        <v>276015</v>
      </c>
      <c r="R141" s="3">
        <v>4777153</v>
      </c>
      <c r="S141" s="3">
        <v>4760806</v>
      </c>
      <c r="T141" s="3">
        <v>4760806</v>
      </c>
      <c r="U141" s="3">
        <v>600069</v>
      </c>
      <c r="V141" s="3">
        <v>600069</v>
      </c>
      <c r="W141" s="3">
        <v>600069</v>
      </c>
      <c r="X141" s="3">
        <v>600069</v>
      </c>
      <c r="Y141" s="3">
        <v>597344</v>
      </c>
      <c r="Z141" s="3">
        <v>597344</v>
      </c>
      <c r="AA141" s="4">
        <v>597344</v>
      </c>
      <c r="AB141" s="4">
        <v>597344</v>
      </c>
      <c r="AC141" s="4">
        <v>597344</v>
      </c>
      <c r="AD141" s="4">
        <v>597345</v>
      </c>
      <c r="AE141" s="4">
        <v>600069</v>
      </c>
      <c r="AF141" s="4">
        <v>1200138</v>
      </c>
      <c r="AG141" s="4">
        <v>1800207</v>
      </c>
      <c r="AH141" s="4">
        <v>2400276</v>
      </c>
      <c r="AI141" s="4">
        <v>2997620</v>
      </c>
      <c r="AJ141" s="4">
        <v>3594964</v>
      </c>
      <c r="AK141" s="4">
        <v>4192308</v>
      </c>
      <c r="AL141" s="4">
        <v>4789652</v>
      </c>
      <c r="AM141" s="4">
        <v>5386996</v>
      </c>
      <c r="AN141" s="4">
        <v>5984341</v>
      </c>
      <c r="AO141" s="134">
        <v>307818</v>
      </c>
    </row>
    <row r="142" spans="1:41" x14ac:dyDescent="0.2">
      <c r="A142" s="1">
        <v>2025</v>
      </c>
      <c r="B142" s="2" t="s">
        <v>159</v>
      </c>
      <c r="C142" s="2" t="s">
        <v>159</v>
      </c>
      <c r="D142" s="1" t="s">
        <v>507</v>
      </c>
      <c r="E142" s="3">
        <v>8548816</v>
      </c>
      <c r="F142" s="3">
        <v>1161</v>
      </c>
      <c r="G142" s="3">
        <v>6324</v>
      </c>
      <c r="H142" s="3">
        <v>27362</v>
      </c>
      <c r="I142" s="1">
        <v>0</v>
      </c>
      <c r="J142" s="3">
        <v>8541331</v>
      </c>
      <c r="K142" s="3">
        <v>8513969</v>
      </c>
      <c r="L142" s="3">
        <v>8513969</v>
      </c>
      <c r="M142" s="3">
        <v>272749</v>
      </c>
      <c r="N142" s="3">
        <v>1135220</v>
      </c>
      <c r="O142" s="3">
        <v>105691</v>
      </c>
      <c r="P142" s="3">
        <v>95422</v>
      </c>
      <c r="Q142" s="3">
        <v>477728</v>
      </c>
      <c r="R142" s="3">
        <v>6454521</v>
      </c>
      <c r="S142" s="3">
        <v>6427159</v>
      </c>
      <c r="T142" s="3">
        <v>6427159</v>
      </c>
      <c r="U142" s="3">
        <v>854133</v>
      </c>
      <c r="V142" s="3">
        <v>854133</v>
      </c>
      <c r="W142" s="3">
        <v>854133</v>
      </c>
      <c r="X142" s="3">
        <v>854133</v>
      </c>
      <c r="Y142" s="3">
        <v>849573</v>
      </c>
      <c r="Z142" s="3">
        <v>849573</v>
      </c>
      <c r="AA142" s="4">
        <v>849573</v>
      </c>
      <c r="AB142" s="4">
        <v>849573</v>
      </c>
      <c r="AC142" s="4">
        <v>849573</v>
      </c>
      <c r="AD142" s="4">
        <v>849572</v>
      </c>
      <c r="AE142" s="4">
        <v>854133</v>
      </c>
      <c r="AF142" s="4">
        <v>1708266</v>
      </c>
      <c r="AG142" s="4">
        <v>2562399</v>
      </c>
      <c r="AH142" s="4">
        <v>3416532</v>
      </c>
      <c r="AI142" s="4">
        <v>4266105</v>
      </c>
      <c r="AJ142" s="4">
        <v>5115678</v>
      </c>
      <c r="AK142" s="4">
        <v>5965251</v>
      </c>
      <c r="AL142" s="4">
        <v>6814824</v>
      </c>
      <c r="AM142" s="4">
        <v>7664397</v>
      </c>
      <c r="AN142" s="4">
        <v>8513969</v>
      </c>
      <c r="AO142" s="134">
        <v>521426</v>
      </c>
    </row>
    <row r="143" spans="1:41" x14ac:dyDescent="0.2">
      <c r="A143" s="1">
        <v>2025</v>
      </c>
      <c r="B143" s="2" t="s">
        <v>160</v>
      </c>
      <c r="C143" s="2" t="s">
        <v>160</v>
      </c>
      <c r="D143" s="1" t="s">
        <v>508</v>
      </c>
      <c r="E143" s="3">
        <v>10657323</v>
      </c>
      <c r="F143" s="3">
        <v>1459</v>
      </c>
      <c r="G143" s="3">
        <v>0</v>
      </c>
      <c r="H143" s="3">
        <v>31034</v>
      </c>
      <c r="I143" s="1">
        <v>0</v>
      </c>
      <c r="J143" s="3">
        <v>10655864</v>
      </c>
      <c r="K143" s="3">
        <v>10624830</v>
      </c>
      <c r="L143" s="3">
        <v>10624830</v>
      </c>
      <c r="M143" s="3">
        <v>342885</v>
      </c>
      <c r="N143" s="3">
        <v>1162828</v>
      </c>
      <c r="O143" s="3">
        <v>114487</v>
      </c>
      <c r="P143" s="3">
        <v>118729</v>
      </c>
      <c r="Q143" s="3">
        <v>548743</v>
      </c>
      <c r="R143" s="3">
        <v>8368192</v>
      </c>
      <c r="S143" s="3">
        <v>8337158</v>
      </c>
      <c r="T143" s="3">
        <v>8337158</v>
      </c>
      <c r="U143" s="3">
        <v>1065586</v>
      </c>
      <c r="V143" s="3">
        <v>1065586</v>
      </c>
      <c r="W143" s="3">
        <v>1065586</v>
      </c>
      <c r="X143" s="3">
        <v>1065586</v>
      </c>
      <c r="Y143" s="3">
        <v>1060414</v>
      </c>
      <c r="Z143" s="3">
        <v>1060414</v>
      </c>
      <c r="AA143" s="4">
        <v>1060415</v>
      </c>
      <c r="AB143" s="4">
        <v>1060415</v>
      </c>
      <c r="AC143" s="4">
        <v>1060415</v>
      </c>
      <c r="AD143" s="4">
        <v>1060413</v>
      </c>
      <c r="AE143" s="4">
        <v>1065586</v>
      </c>
      <c r="AF143" s="4">
        <v>2131172</v>
      </c>
      <c r="AG143" s="4">
        <v>3196758</v>
      </c>
      <c r="AH143" s="4">
        <v>4262344</v>
      </c>
      <c r="AI143" s="4">
        <v>5322758</v>
      </c>
      <c r="AJ143" s="4">
        <v>6383172</v>
      </c>
      <c r="AK143" s="4">
        <v>7443587</v>
      </c>
      <c r="AL143" s="4">
        <v>8504002</v>
      </c>
      <c r="AM143" s="4">
        <v>9564417</v>
      </c>
      <c r="AN143" s="4">
        <v>10624830</v>
      </c>
      <c r="AO143" s="134">
        <v>595561</v>
      </c>
    </row>
    <row r="144" spans="1:41" x14ac:dyDescent="0.2">
      <c r="A144" s="1">
        <v>2025</v>
      </c>
      <c r="B144" s="2" t="s">
        <v>161</v>
      </c>
      <c r="C144" s="2" t="s">
        <v>161</v>
      </c>
      <c r="D144" s="1" t="s">
        <v>509</v>
      </c>
      <c r="E144" s="3">
        <v>27264902</v>
      </c>
      <c r="F144" s="3">
        <v>1940</v>
      </c>
      <c r="G144" s="3">
        <v>0</v>
      </c>
      <c r="H144" s="3">
        <v>77099</v>
      </c>
      <c r="I144" s="1">
        <v>0</v>
      </c>
      <c r="J144" s="3">
        <v>27262962</v>
      </c>
      <c r="K144" s="3">
        <v>27185863</v>
      </c>
      <c r="L144" s="3">
        <v>27185863</v>
      </c>
      <c r="M144" s="3">
        <v>455881</v>
      </c>
      <c r="N144" s="3">
        <v>2563998</v>
      </c>
      <c r="O144" s="3">
        <v>254142</v>
      </c>
      <c r="P144" s="3">
        <v>260287</v>
      </c>
      <c r="Q144" s="3">
        <v>1326510</v>
      </c>
      <c r="R144" s="3">
        <v>22402144</v>
      </c>
      <c r="S144" s="3">
        <v>22325045</v>
      </c>
      <c r="T144" s="3">
        <v>22325045</v>
      </c>
      <c r="U144" s="3">
        <v>2726296</v>
      </c>
      <c r="V144" s="3">
        <v>2726296</v>
      </c>
      <c r="W144" s="3">
        <v>2726296</v>
      </c>
      <c r="X144" s="3">
        <v>2726296</v>
      </c>
      <c r="Y144" s="3">
        <v>2713447</v>
      </c>
      <c r="Z144" s="3">
        <v>2713447</v>
      </c>
      <c r="AA144" s="4">
        <v>2713446</v>
      </c>
      <c r="AB144" s="4">
        <v>2713446</v>
      </c>
      <c r="AC144" s="4">
        <v>2713446</v>
      </c>
      <c r="AD144" s="4">
        <v>2713447</v>
      </c>
      <c r="AE144" s="4">
        <v>2726296</v>
      </c>
      <c r="AF144" s="4">
        <v>5452592</v>
      </c>
      <c r="AG144" s="4">
        <v>8178888</v>
      </c>
      <c r="AH144" s="4">
        <v>10905184</v>
      </c>
      <c r="AI144" s="4">
        <v>13618631</v>
      </c>
      <c r="AJ144" s="4">
        <v>16332078</v>
      </c>
      <c r="AK144" s="4">
        <v>19045524</v>
      </c>
      <c r="AL144" s="4">
        <v>21758970</v>
      </c>
      <c r="AM144" s="4">
        <v>24472416</v>
      </c>
      <c r="AN144" s="4">
        <v>27185863</v>
      </c>
      <c r="AO144" s="134">
        <v>1371010</v>
      </c>
    </row>
    <row r="145" spans="1:41" x14ac:dyDescent="0.2">
      <c r="A145" s="1">
        <v>2025</v>
      </c>
      <c r="B145" s="2" t="s">
        <v>162</v>
      </c>
      <c r="C145" s="2" t="s">
        <v>162</v>
      </c>
      <c r="D145" s="1" t="s">
        <v>510</v>
      </c>
      <c r="E145" s="3">
        <v>6312745</v>
      </c>
      <c r="F145" s="3">
        <v>680</v>
      </c>
      <c r="G145" s="3">
        <v>0</v>
      </c>
      <c r="H145" s="3">
        <v>18584</v>
      </c>
      <c r="I145" s="1">
        <v>0</v>
      </c>
      <c r="J145" s="3">
        <v>6312065</v>
      </c>
      <c r="K145" s="3">
        <v>6293481</v>
      </c>
      <c r="L145" s="3">
        <v>6293481</v>
      </c>
      <c r="M145" s="3">
        <v>159753</v>
      </c>
      <c r="N145" s="3">
        <v>775909</v>
      </c>
      <c r="O145" s="3">
        <v>61096</v>
      </c>
      <c r="P145" s="3">
        <v>53933</v>
      </c>
      <c r="Q145" s="3">
        <v>313524</v>
      </c>
      <c r="R145" s="3">
        <v>4947850</v>
      </c>
      <c r="S145" s="3">
        <v>4929266</v>
      </c>
      <c r="T145" s="3">
        <v>4929266</v>
      </c>
      <c r="U145" s="3">
        <v>631207</v>
      </c>
      <c r="V145" s="3">
        <v>631207</v>
      </c>
      <c r="W145" s="3">
        <v>631207</v>
      </c>
      <c r="X145" s="3">
        <v>631207</v>
      </c>
      <c r="Y145" s="3">
        <v>628109</v>
      </c>
      <c r="Z145" s="3">
        <v>628109</v>
      </c>
      <c r="AA145" s="4">
        <v>628109</v>
      </c>
      <c r="AB145" s="4">
        <v>628109</v>
      </c>
      <c r="AC145" s="4">
        <v>628109</v>
      </c>
      <c r="AD145" s="4">
        <v>628108</v>
      </c>
      <c r="AE145" s="4">
        <v>631207</v>
      </c>
      <c r="AF145" s="4">
        <v>1262414</v>
      </c>
      <c r="AG145" s="4">
        <v>1893621</v>
      </c>
      <c r="AH145" s="4">
        <v>2524828</v>
      </c>
      <c r="AI145" s="4">
        <v>3152937</v>
      </c>
      <c r="AJ145" s="4">
        <v>3781046</v>
      </c>
      <c r="AK145" s="4">
        <v>4409155</v>
      </c>
      <c r="AL145" s="4">
        <v>5037264</v>
      </c>
      <c r="AM145" s="4">
        <v>5665373</v>
      </c>
      <c r="AN145" s="4">
        <v>6293481</v>
      </c>
      <c r="AO145" s="134">
        <v>323626</v>
      </c>
    </row>
    <row r="146" spans="1:41" x14ac:dyDescent="0.2">
      <c r="A146" s="1">
        <v>2025</v>
      </c>
      <c r="B146" s="2" t="s">
        <v>163</v>
      </c>
      <c r="C146" s="2" t="s">
        <v>163</v>
      </c>
      <c r="D146" s="1" t="s">
        <v>511</v>
      </c>
      <c r="E146" s="3">
        <v>95998997</v>
      </c>
      <c r="F146" s="3">
        <v>6982</v>
      </c>
      <c r="G146" s="3">
        <v>0</v>
      </c>
      <c r="H146" s="3">
        <v>323893</v>
      </c>
      <c r="I146" s="1">
        <v>0</v>
      </c>
      <c r="J146" s="3">
        <v>95992015</v>
      </c>
      <c r="K146" s="3">
        <v>95668122</v>
      </c>
      <c r="L146" s="3">
        <v>95668122</v>
      </c>
      <c r="M146" s="3">
        <v>1636573</v>
      </c>
      <c r="N146" s="3">
        <v>10382762</v>
      </c>
      <c r="O146" s="3">
        <v>1216487</v>
      </c>
      <c r="P146" s="3">
        <v>1176839</v>
      </c>
      <c r="Q146" s="3">
        <v>5609326</v>
      </c>
      <c r="R146" s="3">
        <v>75970028</v>
      </c>
      <c r="S146" s="3">
        <v>75646135</v>
      </c>
      <c r="T146" s="3">
        <v>75646135</v>
      </c>
      <c r="U146" s="3">
        <v>9599202</v>
      </c>
      <c r="V146" s="3">
        <v>9599202</v>
      </c>
      <c r="W146" s="3">
        <v>9599202</v>
      </c>
      <c r="X146" s="3">
        <v>9599202</v>
      </c>
      <c r="Y146" s="3">
        <v>9545219</v>
      </c>
      <c r="Z146" s="3">
        <v>9545219</v>
      </c>
      <c r="AA146" s="4">
        <v>9545219</v>
      </c>
      <c r="AB146" s="4">
        <v>9545219</v>
      </c>
      <c r="AC146" s="4">
        <v>9545219</v>
      </c>
      <c r="AD146" s="4">
        <v>9545219</v>
      </c>
      <c r="AE146" s="4">
        <v>9599202</v>
      </c>
      <c r="AF146" s="4">
        <v>19198404</v>
      </c>
      <c r="AG146" s="4">
        <v>28797606</v>
      </c>
      <c r="AH146" s="4">
        <v>38396808</v>
      </c>
      <c r="AI146" s="4">
        <v>47942027</v>
      </c>
      <c r="AJ146" s="4">
        <v>57487246</v>
      </c>
      <c r="AK146" s="4">
        <v>67032465</v>
      </c>
      <c r="AL146" s="4">
        <v>76577684</v>
      </c>
      <c r="AM146" s="4">
        <v>86122903</v>
      </c>
      <c r="AN146" s="4">
        <v>95668122</v>
      </c>
      <c r="AO146" s="134">
        <v>5868388</v>
      </c>
    </row>
    <row r="147" spans="1:41" x14ac:dyDescent="0.2">
      <c r="A147" s="1">
        <v>2025</v>
      </c>
      <c r="B147" s="2" t="s">
        <v>164</v>
      </c>
      <c r="C147" s="2" t="s">
        <v>164</v>
      </c>
      <c r="D147" s="1" t="s">
        <v>512</v>
      </c>
      <c r="E147" s="3">
        <v>7365355</v>
      </c>
      <c r="F147" s="3">
        <v>1012</v>
      </c>
      <c r="G147" s="3">
        <v>0</v>
      </c>
      <c r="H147" s="3">
        <v>22609</v>
      </c>
      <c r="I147" s="1">
        <v>0</v>
      </c>
      <c r="J147" s="3">
        <v>7364343</v>
      </c>
      <c r="K147" s="3">
        <v>7341734</v>
      </c>
      <c r="L147" s="3">
        <v>7341734</v>
      </c>
      <c r="M147" s="3">
        <v>237681</v>
      </c>
      <c r="N147" s="3">
        <v>910429</v>
      </c>
      <c r="O147" s="3">
        <v>85590</v>
      </c>
      <c r="P147" s="3">
        <v>79251</v>
      </c>
      <c r="Q147" s="3">
        <v>379515</v>
      </c>
      <c r="R147" s="3">
        <v>5671877</v>
      </c>
      <c r="S147" s="3">
        <v>5649268</v>
      </c>
      <c r="T147" s="3">
        <v>5649268</v>
      </c>
      <c r="U147" s="3">
        <v>736434</v>
      </c>
      <c r="V147" s="3">
        <v>736434</v>
      </c>
      <c r="W147" s="3">
        <v>736434</v>
      </c>
      <c r="X147" s="3">
        <v>736434</v>
      </c>
      <c r="Y147" s="3">
        <v>732666</v>
      </c>
      <c r="Z147" s="3">
        <v>732666</v>
      </c>
      <c r="AA147" s="4">
        <v>732667</v>
      </c>
      <c r="AB147" s="4">
        <v>732667</v>
      </c>
      <c r="AC147" s="4">
        <v>732667</v>
      </c>
      <c r="AD147" s="4">
        <v>732665</v>
      </c>
      <c r="AE147" s="4">
        <v>736434</v>
      </c>
      <c r="AF147" s="4">
        <v>1472868</v>
      </c>
      <c r="AG147" s="4">
        <v>2209302</v>
      </c>
      <c r="AH147" s="4">
        <v>2945736</v>
      </c>
      <c r="AI147" s="4">
        <v>3678402</v>
      </c>
      <c r="AJ147" s="4">
        <v>4411068</v>
      </c>
      <c r="AK147" s="4">
        <v>5143735</v>
      </c>
      <c r="AL147" s="4">
        <v>5876402</v>
      </c>
      <c r="AM147" s="4">
        <v>6609069</v>
      </c>
      <c r="AN147" s="4">
        <v>7341734</v>
      </c>
      <c r="AO147" s="134">
        <v>422927</v>
      </c>
    </row>
    <row r="148" spans="1:41" x14ac:dyDescent="0.2">
      <c r="A148" s="1">
        <v>2025</v>
      </c>
      <c r="B148" s="2" t="s">
        <v>165</v>
      </c>
      <c r="C148" s="2" t="s">
        <v>165</v>
      </c>
      <c r="D148" s="1" t="s">
        <v>513</v>
      </c>
      <c r="E148" s="3">
        <v>4035240</v>
      </c>
      <c r="F148" s="1">
        <v>348</v>
      </c>
      <c r="G148" s="1">
        <v>0</v>
      </c>
      <c r="H148" s="3">
        <v>11369</v>
      </c>
      <c r="I148" s="1">
        <v>0</v>
      </c>
      <c r="J148" s="3">
        <v>4034892</v>
      </c>
      <c r="K148" s="3">
        <v>4023523</v>
      </c>
      <c r="L148" s="3">
        <v>4023523</v>
      </c>
      <c r="M148" s="3">
        <v>81825</v>
      </c>
      <c r="N148" s="3">
        <v>465967</v>
      </c>
      <c r="O148" s="3">
        <v>33422</v>
      </c>
      <c r="P148" s="3">
        <v>37961</v>
      </c>
      <c r="Q148" s="3">
        <v>191779</v>
      </c>
      <c r="R148" s="3">
        <v>3223938</v>
      </c>
      <c r="S148" s="3">
        <v>3212569</v>
      </c>
      <c r="T148" s="3">
        <v>3212569</v>
      </c>
      <c r="U148" s="3">
        <v>403489</v>
      </c>
      <c r="V148" s="3">
        <v>403489</v>
      </c>
      <c r="W148" s="3">
        <v>403489</v>
      </c>
      <c r="X148" s="3">
        <v>403489</v>
      </c>
      <c r="Y148" s="3">
        <v>401595</v>
      </c>
      <c r="Z148" s="3">
        <v>401595</v>
      </c>
      <c r="AA148" s="4">
        <v>401594</v>
      </c>
      <c r="AB148" s="4">
        <v>401594</v>
      </c>
      <c r="AC148" s="4">
        <v>401594</v>
      </c>
      <c r="AD148" s="4">
        <v>401595</v>
      </c>
      <c r="AE148" s="4">
        <v>403489</v>
      </c>
      <c r="AF148" s="4">
        <v>806978</v>
      </c>
      <c r="AG148" s="4">
        <v>1210467</v>
      </c>
      <c r="AH148" s="4">
        <v>1613956</v>
      </c>
      <c r="AI148" s="4">
        <v>2015551</v>
      </c>
      <c r="AJ148" s="4">
        <v>2417146</v>
      </c>
      <c r="AK148" s="4">
        <v>2818740</v>
      </c>
      <c r="AL148" s="4">
        <v>3220334</v>
      </c>
      <c r="AM148" s="4">
        <v>3621928</v>
      </c>
      <c r="AN148" s="4">
        <v>4023523</v>
      </c>
      <c r="AO148" s="134">
        <v>204556</v>
      </c>
    </row>
    <row r="149" spans="1:41" x14ac:dyDescent="0.2">
      <c r="A149" s="1">
        <v>2025</v>
      </c>
      <c r="B149" s="2" t="s">
        <v>166</v>
      </c>
      <c r="C149" s="2" t="s">
        <v>166</v>
      </c>
      <c r="D149" s="1" t="s">
        <v>514</v>
      </c>
      <c r="E149" s="3">
        <v>4105412</v>
      </c>
      <c r="F149" s="3">
        <v>779</v>
      </c>
      <c r="G149" s="3">
        <v>0</v>
      </c>
      <c r="H149" s="3">
        <v>15146</v>
      </c>
      <c r="I149" s="1">
        <v>0</v>
      </c>
      <c r="J149" s="3">
        <v>4104633</v>
      </c>
      <c r="K149" s="3">
        <v>4089487</v>
      </c>
      <c r="L149" s="3">
        <v>4089487</v>
      </c>
      <c r="M149" s="3">
        <v>183132</v>
      </c>
      <c r="N149" s="3">
        <v>605780</v>
      </c>
      <c r="O149" s="3">
        <v>52115</v>
      </c>
      <c r="P149" s="3">
        <v>56380</v>
      </c>
      <c r="Q149" s="3">
        <v>257770</v>
      </c>
      <c r="R149" s="3">
        <v>2949456</v>
      </c>
      <c r="S149" s="3">
        <v>2934310</v>
      </c>
      <c r="T149" s="3">
        <v>2934310</v>
      </c>
      <c r="U149" s="3">
        <v>410463</v>
      </c>
      <c r="V149" s="3">
        <v>410463</v>
      </c>
      <c r="W149" s="3">
        <v>410463</v>
      </c>
      <c r="X149" s="3">
        <v>410463</v>
      </c>
      <c r="Y149" s="3">
        <v>407939</v>
      </c>
      <c r="Z149" s="3">
        <v>407939</v>
      </c>
      <c r="AA149" s="4">
        <v>407939</v>
      </c>
      <c r="AB149" s="4">
        <v>407939</v>
      </c>
      <c r="AC149" s="4">
        <v>407939</v>
      </c>
      <c r="AD149" s="4">
        <v>407940</v>
      </c>
      <c r="AE149" s="4">
        <v>410463</v>
      </c>
      <c r="AF149" s="4">
        <v>820926</v>
      </c>
      <c r="AG149" s="4">
        <v>1231389</v>
      </c>
      <c r="AH149" s="4">
        <v>1641852</v>
      </c>
      <c r="AI149" s="4">
        <v>2049791</v>
      </c>
      <c r="AJ149" s="4">
        <v>2457730</v>
      </c>
      <c r="AK149" s="4">
        <v>2865669</v>
      </c>
      <c r="AL149" s="4">
        <v>3273608</v>
      </c>
      <c r="AM149" s="4">
        <v>3681547</v>
      </c>
      <c r="AN149" s="4">
        <v>4089487</v>
      </c>
      <c r="AO149" s="134">
        <v>284241</v>
      </c>
    </row>
    <row r="150" spans="1:41" x14ac:dyDescent="0.2">
      <c r="A150" s="1">
        <v>2025</v>
      </c>
      <c r="B150" s="2" t="s">
        <v>167</v>
      </c>
      <c r="C150" s="2" t="s">
        <v>167</v>
      </c>
      <c r="D150" s="1" t="s">
        <v>515</v>
      </c>
      <c r="E150" s="3">
        <v>3451207</v>
      </c>
      <c r="F150" s="1">
        <v>614</v>
      </c>
      <c r="G150" s="1">
        <v>0</v>
      </c>
      <c r="H150" s="3">
        <v>9657</v>
      </c>
      <c r="I150" s="1">
        <v>0</v>
      </c>
      <c r="J150" s="3">
        <v>3450593</v>
      </c>
      <c r="K150" s="3">
        <v>3440936</v>
      </c>
      <c r="L150" s="3">
        <v>3440936</v>
      </c>
      <c r="M150" s="3">
        <v>144167</v>
      </c>
      <c r="N150" s="3">
        <v>473481</v>
      </c>
      <c r="O150" s="3">
        <v>26380</v>
      </c>
      <c r="P150" s="3">
        <v>28758</v>
      </c>
      <c r="Q150" s="3">
        <v>167225</v>
      </c>
      <c r="R150" s="3">
        <v>2610582</v>
      </c>
      <c r="S150" s="3">
        <v>2600925</v>
      </c>
      <c r="T150" s="3">
        <v>2600925</v>
      </c>
      <c r="U150" s="3">
        <v>345059</v>
      </c>
      <c r="V150" s="3">
        <v>345059</v>
      </c>
      <c r="W150" s="3">
        <v>345059</v>
      </c>
      <c r="X150" s="3">
        <v>345059</v>
      </c>
      <c r="Y150" s="3">
        <v>343450</v>
      </c>
      <c r="Z150" s="3">
        <v>343450</v>
      </c>
      <c r="AA150" s="4">
        <v>343450</v>
      </c>
      <c r="AB150" s="4">
        <v>343450</v>
      </c>
      <c r="AC150" s="4">
        <v>343450</v>
      </c>
      <c r="AD150" s="4">
        <v>343450</v>
      </c>
      <c r="AE150" s="4">
        <v>345059</v>
      </c>
      <c r="AF150" s="4">
        <v>690118</v>
      </c>
      <c r="AG150" s="4">
        <v>1035177</v>
      </c>
      <c r="AH150" s="4">
        <v>1380236</v>
      </c>
      <c r="AI150" s="4">
        <v>1723686</v>
      </c>
      <c r="AJ150" s="4">
        <v>2067136</v>
      </c>
      <c r="AK150" s="4">
        <v>2410586</v>
      </c>
      <c r="AL150" s="4">
        <v>2754036</v>
      </c>
      <c r="AM150" s="4">
        <v>3097486</v>
      </c>
      <c r="AN150" s="4">
        <v>3440936</v>
      </c>
      <c r="AO150" s="134">
        <v>184889</v>
      </c>
    </row>
    <row r="151" spans="1:41" x14ac:dyDescent="0.2">
      <c r="A151" s="1">
        <v>2025</v>
      </c>
      <c r="B151" s="2" t="s">
        <v>168</v>
      </c>
      <c r="C151" s="2" t="s">
        <v>168</v>
      </c>
      <c r="D151" s="1" t="s">
        <v>516</v>
      </c>
      <c r="E151" s="3">
        <v>7731565</v>
      </c>
      <c r="F151" s="3">
        <v>1294</v>
      </c>
      <c r="G151" s="3">
        <v>0</v>
      </c>
      <c r="H151" s="3">
        <v>26632</v>
      </c>
      <c r="I151" s="1">
        <v>0</v>
      </c>
      <c r="J151" s="3">
        <v>7730271</v>
      </c>
      <c r="K151" s="3">
        <v>7703639</v>
      </c>
      <c r="L151" s="3">
        <v>7703639</v>
      </c>
      <c r="M151" s="3">
        <v>303920</v>
      </c>
      <c r="N151" s="3">
        <v>949586</v>
      </c>
      <c r="O151" s="3">
        <v>99507</v>
      </c>
      <c r="P151" s="3">
        <v>91820</v>
      </c>
      <c r="Q151" s="3">
        <v>448113</v>
      </c>
      <c r="R151" s="3">
        <v>5837325</v>
      </c>
      <c r="S151" s="3">
        <v>5810693</v>
      </c>
      <c r="T151" s="3">
        <v>5810693</v>
      </c>
      <c r="U151" s="3">
        <v>773027</v>
      </c>
      <c r="V151" s="3">
        <v>773027</v>
      </c>
      <c r="W151" s="3">
        <v>773027</v>
      </c>
      <c r="X151" s="3">
        <v>773027</v>
      </c>
      <c r="Y151" s="3">
        <v>768589</v>
      </c>
      <c r="Z151" s="3">
        <v>768589</v>
      </c>
      <c r="AA151" s="4">
        <v>768588</v>
      </c>
      <c r="AB151" s="4">
        <v>768588</v>
      </c>
      <c r="AC151" s="4">
        <v>768588</v>
      </c>
      <c r="AD151" s="4">
        <v>768589</v>
      </c>
      <c r="AE151" s="4">
        <v>773027</v>
      </c>
      <c r="AF151" s="4">
        <v>1546054</v>
      </c>
      <c r="AG151" s="4">
        <v>2319081</v>
      </c>
      <c r="AH151" s="4">
        <v>3092108</v>
      </c>
      <c r="AI151" s="4">
        <v>3860697</v>
      </c>
      <c r="AJ151" s="4">
        <v>4629286</v>
      </c>
      <c r="AK151" s="4">
        <v>5397874</v>
      </c>
      <c r="AL151" s="4">
        <v>6166462</v>
      </c>
      <c r="AM151" s="4">
        <v>6935050</v>
      </c>
      <c r="AN151" s="4">
        <v>7703639</v>
      </c>
      <c r="AO151" s="134">
        <v>507178</v>
      </c>
    </row>
    <row r="152" spans="1:41" x14ac:dyDescent="0.2">
      <c r="A152" s="1">
        <v>2025</v>
      </c>
      <c r="B152" s="2" t="s">
        <v>169</v>
      </c>
      <c r="C152" s="2" t="s">
        <v>169</v>
      </c>
      <c r="D152" s="1" t="s">
        <v>517</v>
      </c>
      <c r="E152" s="3">
        <v>6832278</v>
      </c>
      <c r="F152" s="3">
        <v>1178</v>
      </c>
      <c r="G152" s="3">
        <v>0</v>
      </c>
      <c r="H152" s="3">
        <v>19681</v>
      </c>
      <c r="I152" s="1">
        <v>0</v>
      </c>
      <c r="J152" s="3">
        <v>6831100</v>
      </c>
      <c r="K152" s="3">
        <v>6811419</v>
      </c>
      <c r="L152" s="3">
        <v>6811419</v>
      </c>
      <c r="M152" s="3">
        <v>276645</v>
      </c>
      <c r="N152" s="3">
        <v>813773</v>
      </c>
      <c r="O152" s="3">
        <v>74271</v>
      </c>
      <c r="P152" s="3">
        <v>61850</v>
      </c>
      <c r="Q152" s="3">
        <v>346274</v>
      </c>
      <c r="R152" s="3">
        <v>5258287</v>
      </c>
      <c r="S152" s="3">
        <v>5238606</v>
      </c>
      <c r="T152" s="3">
        <v>5238606</v>
      </c>
      <c r="U152" s="3">
        <v>683110</v>
      </c>
      <c r="V152" s="3">
        <v>683110</v>
      </c>
      <c r="W152" s="3">
        <v>683110</v>
      </c>
      <c r="X152" s="3">
        <v>683110</v>
      </c>
      <c r="Y152" s="3">
        <v>679830</v>
      </c>
      <c r="Z152" s="3">
        <v>679830</v>
      </c>
      <c r="AA152" s="4">
        <v>679830</v>
      </c>
      <c r="AB152" s="4">
        <v>679830</v>
      </c>
      <c r="AC152" s="4">
        <v>679830</v>
      </c>
      <c r="AD152" s="4">
        <v>679829</v>
      </c>
      <c r="AE152" s="4">
        <v>683110</v>
      </c>
      <c r="AF152" s="4">
        <v>1366220</v>
      </c>
      <c r="AG152" s="4">
        <v>2049330</v>
      </c>
      <c r="AH152" s="4">
        <v>2732440</v>
      </c>
      <c r="AI152" s="4">
        <v>3412270</v>
      </c>
      <c r="AJ152" s="4">
        <v>4092100</v>
      </c>
      <c r="AK152" s="4">
        <v>4771930</v>
      </c>
      <c r="AL152" s="4">
        <v>5451760</v>
      </c>
      <c r="AM152" s="4">
        <v>6131590</v>
      </c>
      <c r="AN152" s="4">
        <v>6811419</v>
      </c>
      <c r="AO152" s="134">
        <v>380484</v>
      </c>
    </row>
    <row r="153" spans="1:41" x14ac:dyDescent="0.2">
      <c r="A153" s="1">
        <v>2025</v>
      </c>
      <c r="B153" s="2" t="s">
        <v>170</v>
      </c>
      <c r="C153" s="2" t="s">
        <v>170</v>
      </c>
      <c r="D153" s="1" t="s">
        <v>518</v>
      </c>
      <c r="E153" s="3">
        <v>49238262</v>
      </c>
      <c r="F153" s="3">
        <v>3781</v>
      </c>
      <c r="G153" s="3">
        <v>12476</v>
      </c>
      <c r="H153" s="3">
        <v>154041</v>
      </c>
      <c r="I153" s="1">
        <v>0</v>
      </c>
      <c r="J153" s="3">
        <v>49222005</v>
      </c>
      <c r="K153" s="3">
        <v>49067964</v>
      </c>
      <c r="L153" s="3">
        <v>49067964</v>
      </c>
      <c r="M153" s="3">
        <v>880748</v>
      </c>
      <c r="N153" s="3">
        <v>4882024</v>
      </c>
      <c r="O153" s="3">
        <v>488908</v>
      </c>
      <c r="P153" s="3">
        <v>490723</v>
      </c>
      <c r="Q153" s="3">
        <v>2637532</v>
      </c>
      <c r="R153" s="3">
        <v>39842070</v>
      </c>
      <c r="S153" s="3">
        <v>39688029</v>
      </c>
      <c r="T153" s="3">
        <v>39688029</v>
      </c>
      <c r="U153" s="3">
        <v>4922201</v>
      </c>
      <c r="V153" s="3">
        <v>4922201</v>
      </c>
      <c r="W153" s="3">
        <v>4922201</v>
      </c>
      <c r="X153" s="3">
        <v>4922201</v>
      </c>
      <c r="Y153" s="3">
        <v>4896527</v>
      </c>
      <c r="Z153" s="3">
        <v>4896527</v>
      </c>
      <c r="AA153" s="4">
        <v>4896527</v>
      </c>
      <c r="AB153" s="4">
        <v>4896527</v>
      </c>
      <c r="AC153" s="4">
        <v>4896527</v>
      </c>
      <c r="AD153" s="4">
        <v>4896525</v>
      </c>
      <c r="AE153" s="4">
        <v>4922201</v>
      </c>
      <c r="AF153" s="4">
        <v>9844402</v>
      </c>
      <c r="AG153" s="4">
        <v>14766603</v>
      </c>
      <c r="AH153" s="4">
        <v>19688804</v>
      </c>
      <c r="AI153" s="4">
        <v>24585331</v>
      </c>
      <c r="AJ153" s="4">
        <v>29481858</v>
      </c>
      <c r="AK153" s="4">
        <v>34378385</v>
      </c>
      <c r="AL153" s="4">
        <v>39274912</v>
      </c>
      <c r="AM153" s="4">
        <v>44171439</v>
      </c>
      <c r="AN153" s="4">
        <v>49067964</v>
      </c>
      <c r="AO153" s="134">
        <v>2712126</v>
      </c>
    </row>
    <row r="154" spans="1:41" x14ac:dyDescent="0.2">
      <c r="A154" s="1">
        <v>2025</v>
      </c>
      <c r="B154" s="2" t="s">
        <v>171</v>
      </c>
      <c r="C154" s="2" t="s">
        <v>171</v>
      </c>
      <c r="D154" s="1" t="s">
        <v>519</v>
      </c>
      <c r="E154" s="3">
        <v>16838391</v>
      </c>
      <c r="F154" s="3">
        <v>1542</v>
      </c>
      <c r="G154" s="3">
        <v>0</v>
      </c>
      <c r="H154" s="3">
        <v>41094</v>
      </c>
      <c r="I154" s="3">
        <v>0</v>
      </c>
      <c r="J154" s="3">
        <v>16836849</v>
      </c>
      <c r="K154" s="3">
        <v>16795755</v>
      </c>
      <c r="L154" s="3">
        <v>16795755</v>
      </c>
      <c r="M154" s="3">
        <v>362367</v>
      </c>
      <c r="N154" s="3">
        <v>1380165</v>
      </c>
      <c r="O154" s="3">
        <v>159371</v>
      </c>
      <c r="P154" s="3">
        <v>147500</v>
      </c>
      <c r="Q154" s="3">
        <v>714042</v>
      </c>
      <c r="R154" s="3">
        <v>14073404</v>
      </c>
      <c r="S154" s="3">
        <v>14032310</v>
      </c>
      <c r="T154" s="3">
        <v>14032310</v>
      </c>
      <c r="U154" s="3">
        <v>1683685</v>
      </c>
      <c r="V154" s="3">
        <v>1683685</v>
      </c>
      <c r="W154" s="3">
        <v>1683685</v>
      </c>
      <c r="X154" s="3">
        <v>1683685</v>
      </c>
      <c r="Y154" s="3">
        <v>1676836</v>
      </c>
      <c r="Z154" s="3">
        <v>1676836</v>
      </c>
      <c r="AA154" s="4">
        <v>1676836</v>
      </c>
      <c r="AB154" s="4">
        <v>1676836</v>
      </c>
      <c r="AC154" s="4">
        <v>1676836</v>
      </c>
      <c r="AD154" s="4">
        <v>1676835</v>
      </c>
      <c r="AE154" s="4">
        <v>1683685</v>
      </c>
      <c r="AF154" s="4">
        <v>3367370</v>
      </c>
      <c r="AG154" s="4">
        <v>5051055</v>
      </c>
      <c r="AH154" s="4">
        <v>6734740</v>
      </c>
      <c r="AI154" s="4">
        <v>8411576</v>
      </c>
      <c r="AJ154" s="4">
        <v>10088412</v>
      </c>
      <c r="AK154" s="4">
        <v>11765248</v>
      </c>
      <c r="AL154" s="4">
        <v>13442084</v>
      </c>
      <c r="AM154" s="4">
        <v>15118920</v>
      </c>
      <c r="AN154" s="4">
        <v>16795755</v>
      </c>
      <c r="AO154" s="134">
        <v>789989</v>
      </c>
    </row>
    <row r="155" spans="1:41" x14ac:dyDescent="0.2">
      <c r="A155" s="1">
        <v>2025</v>
      </c>
      <c r="B155" s="2" t="s">
        <v>172</v>
      </c>
      <c r="C155" s="2" t="s">
        <v>172</v>
      </c>
      <c r="D155" s="1" t="s">
        <v>520</v>
      </c>
      <c r="E155" s="3">
        <v>2507664</v>
      </c>
      <c r="F155" s="3">
        <v>265</v>
      </c>
      <c r="G155" s="3">
        <v>0</v>
      </c>
      <c r="H155" s="3">
        <v>7803</v>
      </c>
      <c r="I155" s="1">
        <v>0</v>
      </c>
      <c r="J155" s="3">
        <v>2507399</v>
      </c>
      <c r="K155" s="3">
        <v>2499596</v>
      </c>
      <c r="L155" s="3">
        <v>2499596</v>
      </c>
      <c r="M155" s="3">
        <v>62343</v>
      </c>
      <c r="N155" s="3">
        <v>526624</v>
      </c>
      <c r="O155" s="3">
        <v>24953</v>
      </c>
      <c r="P155" s="3">
        <v>26566</v>
      </c>
      <c r="Q155" s="3">
        <v>132929</v>
      </c>
      <c r="R155" s="3">
        <v>1733984</v>
      </c>
      <c r="S155" s="3">
        <v>1726181</v>
      </c>
      <c r="T155" s="3">
        <v>1726181</v>
      </c>
      <c r="U155" s="3">
        <v>250740</v>
      </c>
      <c r="V155" s="3">
        <v>250740</v>
      </c>
      <c r="W155" s="3">
        <v>250740</v>
      </c>
      <c r="X155" s="3">
        <v>250740</v>
      </c>
      <c r="Y155" s="3">
        <v>249439</v>
      </c>
      <c r="Z155" s="3">
        <v>249439</v>
      </c>
      <c r="AA155" s="4">
        <v>249440</v>
      </c>
      <c r="AB155" s="4">
        <v>249440</v>
      </c>
      <c r="AC155" s="4">
        <v>249440</v>
      </c>
      <c r="AD155" s="4">
        <v>249438</v>
      </c>
      <c r="AE155" s="4">
        <v>250740</v>
      </c>
      <c r="AF155" s="4">
        <v>501480</v>
      </c>
      <c r="AG155" s="4">
        <v>752220</v>
      </c>
      <c r="AH155" s="4">
        <v>1002960</v>
      </c>
      <c r="AI155" s="4">
        <v>1252399</v>
      </c>
      <c r="AJ155" s="4">
        <v>1501838</v>
      </c>
      <c r="AK155" s="4">
        <v>1751278</v>
      </c>
      <c r="AL155" s="4">
        <v>2000718</v>
      </c>
      <c r="AM155" s="4">
        <v>2250158</v>
      </c>
      <c r="AN155" s="4">
        <v>2499596</v>
      </c>
      <c r="AO155" s="134">
        <v>142792</v>
      </c>
    </row>
    <row r="156" spans="1:41" x14ac:dyDescent="0.2">
      <c r="A156" s="1">
        <v>2025</v>
      </c>
      <c r="B156" s="2" t="s">
        <v>173</v>
      </c>
      <c r="C156" s="2" t="s">
        <v>173</v>
      </c>
      <c r="D156" s="1" t="s">
        <v>521</v>
      </c>
      <c r="E156" s="3">
        <v>3361617</v>
      </c>
      <c r="F156" s="3">
        <v>0</v>
      </c>
      <c r="G156" s="3">
        <v>0</v>
      </c>
      <c r="H156" s="3">
        <v>10475</v>
      </c>
      <c r="I156" s="1">
        <v>0</v>
      </c>
      <c r="J156" s="3">
        <v>3361617</v>
      </c>
      <c r="K156" s="3">
        <v>3351142</v>
      </c>
      <c r="L156" s="3">
        <v>3351142</v>
      </c>
      <c r="M156" s="3">
        <v>0</v>
      </c>
      <c r="N156" s="3">
        <v>501610</v>
      </c>
      <c r="O156" s="3">
        <v>41990</v>
      </c>
      <c r="P156" s="3">
        <v>38514</v>
      </c>
      <c r="Q156" s="3">
        <v>177160</v>
      </c>
      <c r="R156" s="3">
        <v>2602343</v>
      </c>
      <c r="S156" s="3">
        <v>2591868</v>
      </c>
      <c r="T156" s="3">
        <v>2591868</v>
      </c>
      <c r="U156" s="3">
        <v>336162</v>
      </c>
      <c r="V156" s="3">
        <v>336162</v>
      </c>
      <c r="W156" s="3">
        <v>336162</v>
      </c>
      <c r="X156" s="3">
        <v>336162</v>
      </c>
      <c r="Y156" s="3">
        <v>334416</v>
      </c>
      <c r="Z156" s="3">
        <v>334416</v>
      </c>
      <c r="AA156" s="4">
        <v>334416</v>
      </c>
      <c r="AB156" s="4">
        <v>334416</v>
      </c>
      <c r="AC156" s="4">
        <v>334416</v>
      </c>
      <c r="AD156" s="4">
        <v>334414</v>
      </c>
      <c r="AE156" s="4">
        <v>336162</v>
      </c>
      <c r="AF156" s="4">
        <v>672324</v>
      </c>
      <c r="AG156" s="4">
        <v>1008486</v>
      </c>
      <c r="AH156" s="4">
        <v>1344648</v>
      </c>
      <c r="AI156" s="4">
        <v>1679064</v>
      </c>
      <c r="AJ156" s="4">
        <v>2013480</v>
      </c>
      <c r="AK156" s="4">
        <v>2347896</v>
      </c>
      <c r="AL156" s="4">
        <v>2682312</v>
      </c>
      <c r="AM156" s="4">
        <v>3016728</v>
      </c>
      <c r="AN156" s="4">
        <v>3351142</v>
      </c>
      <c r="AO156" s="134">
        <v>199669</v>
      </c>
    </row>
    <row r="157" spans="1:41" x14ac:dyDescent="0.2">
      <c r="A157" s="1">
        <v>2025</v>
      </c>
      <c r="B157" s="2" t="s">
        <v>174</v>
      </c>
      <c r="C157" s="2" t="s">
        <v>174</v>
      </c>
      <c r="D157" s="1" t="s">
        <v>522</v>
      </c>
      <c r="E157" s="3">
        <v>13982927</v>
      </c>
      <c r="F157" s="3">
        <v>1476</v>
      </c>
      <c r="G157" s="3">
        <v>7209</v>
      </c>
      <c r="H157" s="3">
        <v>38686</v>
      </c>
      <c r="I157" s="1">
        <v>0</v>
      </c>
      <c r="J157" s="3">
        <v>13974242</v>
      </c>
      <c r="K157" s="3">
        <v>13935556</v>
      </c>
      <c r="L157" s="3">
        <v>13935556</v>
      </c>
      <c r="M157" s="3">
        <v>346781</v>
      </c>
      <c r="N157" s="3">
        <v>1312197</v>
      </c>
      <c r="O157" s="3">
        <v>138251</v>
      </c>
      <c r="P157" s="3">
        <v>125274</v>
      </c>
      <c r="Q157" s="3">
        <v>650997</v>
      </c>
      <c r="R157" s="3">
        <v>11400742</v>
      </c>
      <c r="S157" s="3">
        <v>11362056</v>
      </c>
      <c r="T157" s="3">
        <v>11362056</v>
      </c>
      <c r="U157" s="3">
        <v>1397424</v>
      </c>
      <c r="V157" s="3">
        <v>1397424</v>
      </c>
      <c r="W157" s="3">
        <v>1397424</v>
      </c>
      <c r="X157" s="3">
        <v>1397424</v>
      </c>
      <c r="Y157" s="3">
        <v>1390977</v>
      </c>
      <c r="Z157" s="3">
        <v>1390977</v>
      </c>
      <c r="AA157" s="4">
        <v>1390977</v>
      </c>
      <c r="AB157" s="4">
        <v>1390977</v>
      </c>
      <c r="AC157" s="4">
        <v>1390977</v>
      </c>
      <c r="AD157" s="4">
        <v>1390975</v>
      </c>
      <c r="AE157" s="4">
        <v>1397424</v>
      </c>
      <c r="AF157" s="4">
        <v>2794848</v>
      </c>
      <c r="AG157" s="4">
        <v>4192272</v>
      </c>
      <c r="AH157" s="4">
        <v>5589696</v>
      </c>
      <c r="AI157" s="4">
        <v>6980673</v>
      </c>
      <c r="AJ157" s="4">
        <v>8371650</v>
      </c>
      <c r="AK157" s="4">
        <v>9762627</v>
      </c>
      <c r="AL157" s="4">
        <v>11153604</v>
      </c>
      <c r="AM157" s="4">
        <v>12544581</v>
      </c>
      <c r="AN157" s="4">
        <v>13935556</v>
      </c>
      <c r="AO157" s="134">
        <v>687585</v>
      </c>
    </row>
    <row r="158" spans="1:41" x14ac:dyDescent="0.2">
      <c r="A158" s="1">
        <v>2025</v>
      </c>
      <c r="B158" s="2" t="s">
        <v>175</v>
      </c>
      <c r="C158" s="2" t="s">
        <v>175</v>
      </c>
      <c r="D158" s="1" t="s">
        <v>523</v>
      </c>
      <c r="E158" s="3">
        <v>3716904</v>
      </c>
      <c r="F158" s="3">
        <v>580</v>
      </c>
      <c r="G158" s="3">
        <v>0</v>
      </c>
      <c r="H158" s="3">
        <v>12633</v>
      </c>
      <c r="I158" s="1">
        <v>0</v>
      </c>
      <c r="J158" s="3">
        <v>3716324</v>
      </c>
      <c r="K158" s="3">
        <v>3703691</v>
      </c>
      <c r="L158" s="3">
        <v>3703691</v>
      </c>
      <c r="M158" s="3">
        <v>136375</v>
      </c>
      <c r="N158" s="3">
        <v>515620</v>
      </c>
      <c r="O158" s="3">
        <v>47068</v>
      </c>
      <c r="P158" s="3">
        <v>41365</v>
      </c>
      <c r="Q158" s="3">
        <v>212214</v>
      </c>
      <c r="R158" s="3">
        <v>2763682</v>
      </c>
      <c r="S158" s="3">
        <v>2751049</v>
      </c>
      <c r="T158" s="3">
        <v>2751049</v>
      </c>
      <c r="U158" s="3">
        <v>371632</v>
      </c>
      <c r="V158" s="3">
        <v>371632</v>
      </c>
      <c r="W158" s="3">
        <v>371632</v>
      </c>
      <c r="X158" s="3">
        <v>371632</v>
      </c>
      <c r="Y158" s="3">
        <v>369527</v>
      </c>
      <c r="Z158" s="3">
        <v>369527</v>
      </c>
      <c r="AA158" s="4">
        <v>369527</v>
      </c>
      <c r="AB158" s="4">
        <v>369527</v>
      </c>
      <c r="AC158" s="4">
        <v>369527</v>
      </c>
      <c r="AD158" s="4">
        <v>369528</v>
      </c>
      <c r="AE158" s="4">
        <v>371632</v>
      </c>
      <c r="AF158" s="4">
        <v>743264</v>
      </c>
      <c r="AG158" s="4">
        <v>1114896</v>
      </c>
      <c r="AH158" s="4">
        <v>1486528</v>
      </c>
      <c r="AI158" s="4">
        <v>1856055</v>
      </c>
      <c r="AJ158" s="4">
        <v>2225582</v>
      </c>
      <c r="AK158" s="4">
        <v>2595109</v>
      </c>
      <c r="AL158" s="4">
        <v>2964636</v>
      </c>
      <c r="AM158" s="4">
        <v>3334163</v>
      </c>
      <c r="AN158" s="4">
        <v>3703691</v>
      </c>
      <c r="AO158" s="134">
        <v>240303</v>
      </c>
    </row>
    <row r="159" spans="1:41" x14ac:dyDescent="0.2">
      <c r="A159" s="1">
        <v>2025</v>
      </c>
      <c r="B159" s="2" t="s">
        <v>176</v>
      </c>
      <c r="C159" s="2" t="s">
        <v>176</v>
      </c>
      <c r="D159" s="1" t="s">
        <v>524</v>
      </c>
      <c r="E159" s="3">
        <v>2728914</v>
      </c>
      <c r="F159" s="1">
        <v>265</v>
      </c>
      <c r="G159" s="1">
        <v>0</v>
      </c>
      <c r="H159" s="3">
        <v>6879</v>
      </c>
      <c r="I159" s="3">
        <v>0</v>
      </c>
      <c r="J159" s="3">
        <v>2728649</v>
      </c>
      <c r="K159" s="3">
        <v>2721770</v>
      </c>
      <c r="L159" s="3">
        <v>2721770</v>
      </c>
      <c r="M159" s="3">
        <v>62343</v>
      </c>
      <c r="N159" s="3">
        <v>367775</v>
      </c>
      <c r="O159" s="3">
        <v>27190</v>
      </c>
      <c r="P159" s="3">
        <v>26823</v>
      </c>
      <c r="Q159" s="3">
        <v>124121</v>
      </c>
      <c r="R159" s="3">
        <v>2120397</v>
      </c>
      <c r="S159" s="3">
        <v>2113518</v>
      </c>
      <c r="T159" s="3">
        <v>2113518</v>
      </c>
      <c r="U159" s="3">
        <v>272865</v>
      </c>
      <c r="V159" s="3">
        <v>272865</v>
      </c>
      <c r="W159" s="3">
        <v>272865</v>
      </c>
      <c r="X159" s="3">
        <v>272865</v>
      </c>
      <c r="Y159" s="3">
        <v>271718</v>
      </c>
      <c r="Z159" s="3">
        <v>271718</v>
      </c>
      <c r="AA159" s="4">
        <v>271719</v>
      </c>
      <c r="AB159" s="4">
        <v>271719</v>
      </c>
      <c r="AC159" s="4">
        <v>271719</v>
      </c>
      <c r="AD159" s="4">
        <v>271717</v>
      </c>
      <c r="AE159" s="4">
        <v>272865</v>
      </c>
      <c r="AF159" s="4">
        <v>545730</v>
      </c>
      <c r="AG159" s="4">
        <v>818595</v>
      </c>
      <c r="AH159" s="4">
        <v>1091460</v>
      </c>
      <c r="AI159" s="4">
        <v>1363178</v>
      </c>
      <c r="AJ159" s="4">
        <v>1634896</v>
      </c>
      <c r="AK159" s="4">
        <v>1906615</v>
      </c>
      <c r="AL159" s="4">
        <v>2178334</v>
      </c>
      <c r="AM159" s="4">
        <v>2450053</v>
      </c>
      <c r="AN159" s="4">
        <v>2721770</v>
      </c>
      <c r="AO159" s="134">
        <v>141116</v>
      </c>
    </row>
    <row r="160" spans="1:41" x14ac:dyDescent="0.2">
      <c r="A160" s="1">
        <v>2025</v>
      </c>
      <c r="B160" s="2" t="s">
        <v>177</v>
      </c>
      <c r="C160" s="2" t="s">
        <v>177</v>
      </c>
      <c r="D160" s="1" t="s">
        <v>525</v>
      </c>
      <c r="E160" s="3">
        <v>2358692</v>
      </c>
      <c r="F160" s="3">
        <v>265</v>
      </c>
      <c r="G160" s="3">
        <v>0</v>
      </c>
      <c r="H160" s="3">
        <v>7118</v>
      </c>
      <c r="I160" s="1">
        <v>0</v>
      </c>
      <c r="J160" s="3">
        <v>2358427</v>
      </c>
      <c r="K160" s="3">
        <v>2351309</v>
      </c>
      <c r="L160" s="3">
        <v>2351309</v>
      </c>
      <c r="M160" s="3">
        <v>58525</v>
      </c>
      <c r="N160" s="3">
        <v>384153</v>
      </c>
      <c r="O160" s="3">
        <v>24796</v>
      </c>
      <c r="P160" s="3">
        <v>25813</v>
      </c>
      <c r="Q160" s="3">
        <v>120499</v>
      </c>
      <c r="R160" s="3">
        <v>1744641</v>
      </c>
      <c r="S160" s="3">
        <v>1737523</v>
      </c>
      <c r="T160" s="3">
        <v>1737523</v>
      </c>
      <c r="U160" s="3">
        <v>235843</v>
      </c>
      <c r="V160" s="3">
        <v>235843</v>
      </c>
      <c r="W160" s="3">
        <v>235843</v>
      </c>
      <c r="X160" s="3">
        <v>235843</v>
      </c>
      <c r="Y160" s="3">
        <v>234656</v>
      </c>
      <c r="Z160" s="3">
        <v>234656</v>
      </c>
      <c r="AA160" s="4">
        <v>234656</v>
      </c>
      <c r="AB160" s="4">
        <v>234656</v>
      </c>
      <c r="AC160" s="4">
        <v>234656</v>
      </c>
      <c r="AD160" s="4">
        <v>234657</v>
      </c>
      <c r="AE160" s="4">
        <v>235843</v>
      </c>
      <c r="AF160" s="4">
        <v>471686</v>
      </c>
      <c r="AG160" s="4">
        <v>707529</v>
      </c>
      <c r="AH160" s="4">
        <v>943372</v>
      </c>
      <c r="AI160" s="4">
        <v>1178028</v>
      </c>
      <c r="AJ160" s="4">
        <v>1412684</v>
      </c>
      <c r="AK160" s="4">
        <v>1647340</v>
      </c>
      <c r="AL160" s="4">
        <v>1881996</v>
      </c>
      <c r="AM160" s="4">
        <v>2116652</v>
      </c>
      <c r="AN160" s="4">
        <v>2351309</v>
      </c>
      <c r="AO160" s="134">
        <v>142876</v>
      </c>
    </row>
    <row r="161" spans="1:41" x14ac:dyDescent="0.2">
      <c r="A161" s="1">
        <v>2025</v>
      </c>
      <c r="B161" s="2" t="s">
        <v>178</v>
      </c>
      <c r="C161" s="2" t="s">
        <v>178</v>
      </c>
      <c r="D161" s="1" t="s">
        <v>526</v>
      </c>
      <c r="E161" s="3">
        <v>4407399</v>
      </c>
      <c r="F161" s="1">
        <v>713</v>
      </c>
      <c r="G161" s="1">
        <v>0</v>
      </c>
      <c r="H161" s="3">
        <v>13795</v>
      </c>
      <c r="I161" s="1">
        <v>0</v>
      </c>
      <c r="J161" s="3">
        <v>4406686</v>
      </c>
      <c r="K161" s="3">
        <v>4392891</v>
      </c>
      <c r="L161" s="3">
        <v>4392891</v>
      </c>
      <c r="M161" s="3">
        <v>167546</v>
      </c>
      <c r="N161" s="3">
        <v>567568</v>
      </c>
      <c r="O161" s="3">
        <v>43010</v>
      </c>
      <c r="P161" s="3">
        <v>43845</v>
      </c>
      <c r="Q161" s="3">
        <v>233594</v>
      </c>
      <c r="R161" s="3">
        <v>3351123</v>
      </c>
      <c r="S161" s="3">
        <v>3337328</v>
      </c>
      <c r="T161" s="3">
        <v>3337328</v>
      </c>
      <c r="U161" s="3">
        <v>440669</v>
      </c>
      <c r="V161" s="3">
        <v>440669</v>
      </c>
      <c r="W161" s="3">
        <v>440669</v>
      </c>
      <c r="X161" s="3">
        <v>440669</v>
      </c>
      <c r="Y161" s="3">
        <v>438369</v>
      </c>
      <c r="Z161" s="3">
        <v>438369</v>
      </c>
      <c r="AA161" s="4">
        <v>438369</v>
      </c>
      <c r="AB161" s="4">
        <v>438369</v>
      </c>
      <c r="AC161" s="4">
        <v>438369</v>
      </c>
      <c r="AD161" s="4">
        <v>438370</v>
      </c>
      <c r="AE161" s="4">
        <v>440669</v>
      </c>
      <c r="AF161" s="4">
        <v>881338</v>
      </c>
      <c r="AG161" s="4">
        <v>1322007</v>
      </c>
      <c r="AH161" s="4">
        <v>1762676</v>
      </c>
      <c r="AI161" s="4">
        <v>2201045</v>
      </c>
      <c r="AJ161" s="4">
        <v>2639414</v>
      </c>
      <c r="AK161" s="4">
        <v>3077783</v>
      </c>
      <c r="AL161" s="4">
        <v>3516152</v>
      </c>
      <c r="AM161" s="4">
        <v>3954521</v>
      </c>
      <c r="AN161" s="4">
        <v>4392891</v>
      </c>
      <c r="AO161" s="134">
        <v>255096</v>
      </c>
    </row>
    <row r="162" spans="1:41" x14ac:dyDescent="0.2">
      <c r="A162" s="1">
        <v>2025</v>
      </c>
      <c r="B162" s="2" t="s">
        <v>179</v>
      </c>
      <c r="C162" s="2" t="s">
        <v>688</v>
      </c>
      <c r="D162" s="1" t="s">
        <v>527</v>
      </c>
      <c r="E162" s="3">
        <v>3529810</v>
      </c>
      <c r="F162" s="1">
        <v>415</v>
      </c>
      <c r="G162" s="1">
        <v>0</v>
      </c>
      <c r="H162" s="3">
        <v>11522</v>
      </c>
      <c r="I162" s="3">
        <v>0</v>
      </c>
      <c r="J162" s="3">
        <v>3529395</v>
      </c>
      <c r="K162" s="3">
        <v>3517873</v>
      </c>
      <c r="L162" s="3">
        <v>3517873</v>
      </c>
      <c r="M162" s="3">
        <v>97410</v>
      </c>
      <c r="N162" s="3">
        <v>604192</v>
      </c>
      <c r="O162" s="3">
        <v>43134</v>
      </c>
      <c r="P162" s="3">
        <v>42403</v>
      </c>
      <c r="Q162" s="3">
        <v>195858</v>
      </c>
      <c r="R162" s="3">
        <v>2546398</v>
      </c>
      <c r="S162" s="3">
        <v>2534876</v>
      </c>
      <c r="T162" s="3">
        <v>2534876</v>
      </c>
      <c r="U162" s="3">
        <v>352940</v>
      </c>
      <c r="V162" s="3">
        <v>352940</v>
      </c>
      <c r="W162" s="3">
        <v>352940</v>
      </c>
      <c r="X162" s="3">
        <v>352940</v>
      </c>
      <c r="Y162" s="3">
        <v>351019</v>
      </c>
      <c r="Z162" s="3">
        <v>351019</v>
      </c>
      <c r="AA162" s="4">
        <v>351019</v>
      </c>
      <c r="AB162" s="4">
        <v>351019</v>
      </c>
      <c r="AC162" s="4">
        <v>351019</v>
      </c>
      <c r="AD162" s="4">
        <v>351018</v>
      </c>
      <c r="AE162" s="4">
        <v>352940</v>
      </c>
      <c r="AF162" s="4">
        <v>705880</v>
      </c>
      <c r="AG162" s="4">
        <v>1058820</v>
      </c>
      <c r="AH162" s="4">
        <v>1411760</v>
      </c>
      <c r="AI162" s="4">
        <v>1762779</v>
      </c>
      <c r="AJ162" s="4">
        <v>2113798</v>
      </c>
      <c r="AK162" s="4">
        <v>2464817</v>
      </c>
      <c r="AL162" s="4">
        <v>2815836</v>
      </c>
      <c r="AM162" s="4">
        <v>3166855</v>
      </c>
      <c r="AN162" s="4">
        <v>3517873</v>
      </c>
      <c r="AO162" s="134">
        <v>234671</v>
      </c>
    </row>
    <row r="163" spans="1:41" x14ac:dyDescent="0.2">
      <c r="A163" s="1">
        <v>2025</v>
      </c>
      <c r="B163" s="2" t="s">
        <v>180</v>
      </c>
      <c r="C163" s="2" t="s">
        <v>180</v>
      </c>
      <c r="D163" s="1" t="s">
        <v>528</v>
      </c>
      <c r="E163" s="3">
        <v>16206635</v>
      </c>
      <c r="F163" s="3">
        <v>1692</v>
      </c>
      <c r="G163" s="3">
        <v>0</v>
      </c>
      <c r="H163" s="3">
        <v>49534</v>
      </c>
      <c r="I163" s="3">
        <v>0</v>
      </c>
      <c r="J163" s="3">
        <v>16204943</v>
      </c>
      <c r="K163" s="3">
        <v>16155409</v>
      </c>
      <c r="L163" s="3">
        <v>16155409</v>
      </c>
      <c r="M163" s="3">
        <v>397434</v>
      </c>
      <c r="N163" s="3">
        <v>1750852</v>
      </c>
      <c r="O163" s="3">
        <v>173615</v>
      </c>
      <c r="P163" s="3">
        <v>180258</v>
      </c>
      <c r="Q163" s="3">
        <v>905821</v>
      </c>
      <c r="R163" s="3">
        <v>12796963</v>
      </c>
      <c r="S163" s="3">
        <v>12747429</v>
      </c>
      <c r="T163" s="3">
        <v>12747429</v>
      </c>
      <c r="U163" s="3">
        <v>1620494</v>
      </c>
      <c r="V163" s="3">
        <v>1620494</v>
      </c>
      <c r="W163" s="3">
        <v>1620494</v>
      </c>
      <c r="X163" s="3">
        <v>1620494</v>
      </c>
      <c r="Y163" s="3">
        <v>1612239</v>
      </c>
      <c r="Z163" s="3">
        <v>1612239</v>
      </c>
      <c r="AA163" s="4">
        <v>1612239</v>
      </c>
      <c r="AB163" s="4">
        <v>1612239</v>
      </c>
      <c r="AC163" s="4">
        <v>1612239</v>
      </c>
      <c r="AD163" s="4">
        <v>1612238</v>
      </c>
      <c r="AE163" s="4">
        <v>1620494</v>
      </c>
      <c r="AF163" s="4">
        <v>3240988</v>
      </c>
      <c r="AG163" s="4">
        <v>4861482</v>
      </c>
      <c r="AH163" s="4">
        <v>6481976</v>
      </c>
      <c r="AI163" s="4">
        <v>8094215</v>
      </c>
      <c r="AJ163" s="4">
        <v>9706454</v>
      </c>
      <c r="AK163" s="4">
        <v>11318693</v>
      </c>
      <c r="AL163" s="4">
        <v>12930932</v>
      </c>
      <c r="AM163" s="4">
        <v>14543171</v>
      </c>
      <c r="AN163" s="4">
        <v>16155409</v>
      </c>
      <c r="AO163" s="134">
        <v>968284</v>
      </c>
    </row>
    <row r="164" spans="1:41" x14ac:dyDescent="0.2">
      <c r="A164" s="1">
        <v>2025</v>
      </c>
      <c r="B164" s="2" t="s">
        <v>181</v>
      </c>
      <c r="C164" s="2" t="s">
        <v>181</v>
      </c>
      <c r="D164" s="1" t="s">
        <v>529</v>
      </c>
      <c r="E164" s="3">
        <v>3635071</v>
      </c>
      <c r="F164" s="3">
        <v>630</v>
      </c>
      <c r="G164" s="3">
        <v>0</v>
      </c>
      <c r="H164" s="3">
        <v>10396</v>
      </c>
      <c r="I164" s="1">
        <v>0</v>
      </c>
      <c r="J164" s="3">
        <v>3634441</v>
      </c>
      <c r="K164" s="3">
        <v>3624045</v>
      </c>
      <c r="L164" s="3">
        <v>3624045</v>
      </c>
      <c r="M164" s="3">
        <v>148064</v>
      </c>
      <c r="N164" s="3">
        <v>493588</v>
      </c>
      <c r="O164" s="3">
        <v>44336</v>
      </c>
      <c r="P164" s="3">
        <v>38909</v>
      </c>
      <c r="Q164" s="3">
        <v>174327</v>
      </c>
      <c r="R164" s="3">
        <v>2735217</v>
      </c>
      <c r="S164" s="3">
        <v>2724821</v>
      </c>
      <c r="T164" s="3">
        <v>2724821</v>
      </c>
      <c r="U164" s="3">
        <v>363444</v>
      </c>
      <c r="V164" s="3">
        <v>363444</v>
      </c>
      <c r="W164" s="3">
        <v>363444</v>
      </c>
      <c r="X164" s="3">
        <v>363444</v>
      </c>
      <c r="Y164" s="3">
        <v>361712</v>
      </c>
      <c r="Z164" s="3">
        <v>361712</v>
      </c>
      <c r="AA164" s="4">
        <v>361711</v>
      </c>
      <c r="AB164" s="4">
        <v>361711</v>
      </c>
      <c r="AC164" s="4">
        <v>361711</v>
      </c>
      <c r="AD164" s="4">
        <v>361712</v>
      </c>
      <c r="AE164" s="4">
        <v>363444</v>
      </c>
      <c r="AF164" s="4">
        <v>726888</v>
      </c>
      <c r="AG164" s="4">
        <v>1090332</v>
      </c>
      <c r="AH164" s="4">
        <v>1453776</v>
      </c>
      <c r="AI164" s="4">
        <v>1815488</v>
      </c>
      <c r="AJ164" s="4">
        <v>2177200</v>
      </c>
      <c r="AK164" s="4">
        <v>2538911</v>
      </c>
      <c r="AL164" s="4">
        <v>2900622</v>
      </c>
      <c r="AM164" s="4">
        <v>3262333</v>
      </c>
      <c r="AN164" s="4">
        <v>3624045</v>
      </c>
      <c r="AO164" s="134">
        <v>187665</v>
      </c>
    </row>
    <row r="165" spans="1:41" x14ac:dyDescent="0.2">
      <c r="A165" s="1">
        <v>2025</v>
      </c>
      <c r="B165" s="2" t="s">
        <v>182</v>
      </c>
      <c r="C165" s="2" t="s">
        <v>182</v>
      </c>
      <c r="D165" s="1" t="s">
        <v>530</v>
      </c>
      <c r="E165" s="3">
        <v>15980386</v>
      </c>
      <c r="F165" s="3">
        <v>1028</v>
      </c>
      <c r="G165" s="3">
        <v>0</v>
      </c>
      <c r="H165" s="3">
        <v>60198</v>
      </c>
      <c r="I165" s="3">
        <v>0</v>
      </c>
      <c r="J165" s="3">
        <v>15979358</v>
      </c>
      <c r="K165" s="3">
        <v>15919160</v>
      </c>
      <c r="L165" s="3">
        <v>15919160</v>
      </c>
      <c r="M165" s="3">
        <v>241578</v>
      </c>
      <c r="N165" s="3">
        <v>2013991</v>
      </c>
      <c r="O165" s="3">
        <v>262627</v>
      </c>
      <c r="P165" s="3">
        <v>210218</v>
      </c>
      <c r="Q165" s="3">
        <v>1041958</v>
      </c>
      <c r="R165" s="3">
        <v>12208986</v>
      </c>
      <c r="S165" s="3">
        <v>12148788</v>
      </c>
      <c r="T165" s="3">
        <v>12148788</v>
      </c>
      <c r="U165" s="3">
        <v>1597936</v>
      </c>
      <c r="V165" s="3">
        <v>1597936</v>
      </c>
      <c r="W165" s="3">
        <v>1597936</v>
      </c>
      <c r="X165" s="3">
        <v>1597936</v>
      </c>
      <c r="Y165" s="3">
        <v>1587903</v>
      </c>
      <c r="Z165" s="3">
        <v>1587903</v>
      </c>
      <c r="AA165" s="4">
        <v>1587903</v>
      </c>
      <c r="AB165" s="4">
        <v>1587903</v>
      </c>
      <c r="AC165" s="4">
        <v>1587903</v>
      </c>
      <c r="AD165" s="4">
        <v>1587901</v>
      </c>
      <c r="AE165" s="4">
        <v>1597936</v>
      </c>
      <c r="AF165" s="4">
        <v>3195872</v>
      </c>
      <c r="AG165" s="4">
        <v>4793808</v>
      </c>
      <c r="AH165" s="4">
        <v>6391744</v>
      </c>
      <c r="AI165" s="4">
        <v>7979647</v>
      </c>
      <c r="AJ165" s="4">
        <v>9567550</v>
      </c>
      <c r="AK165" s="4">
        <v>11155453</v>
      </c>
      <c r="AL165" s="4">
        <v>12743356</v>
      </c>
      <c r="AM165" s="4">
        <v>14331259</v>
      </c>
      <c r="AN165" s="4">
        <v>15919160</v>
      </c>
      <c r="AO165" s="134">
        <v>1142172</v>
      </c>
    </row>
    <row r="166" spans="1:41" x14ac:dyDescent="0.2">
      <c r="A166" s="1">
        <v>2025</v>
      </c>
      <c r="B166" s="2" t="s">
        <v>183</v>
      </c>
      <c r="C166" s="2" t="s">
        <v>183</v>
      </c>
      <c r="D166" s="1" t="s">
        <v>531</v>
      </c>
      <c r="E166" s="3">
        <v>5180342</v>
      </c>
      <c r="F166" s="3">
        <v>564</v>
      </c>
      <c r="G166" s="3">
        <v>0</v>
      </c>
      <c r="H166" s="3">
        <v>15809</v>
      </c>
      <c r="I166" s="3">
        <v>0</v>
      </c>
      <c r="J166" s="3">
        <v>5179778</v>
      </c>
      <c r="K166" s="3">
        <v>5163969</v>
      </c>
      <c r="L166" s="3">
        <v>5163969</v>
      </c>
      <c r="M166" s="3">
        <v>132478</v>
      </c>
      <c r="N166" s="3">
        <v>1005977</v>
      </c>
      <c r="O166" s="3">
        <v>50537</v>
      </c>
      <c r="P166" s="3">
        <v>51089</v>
      </c>
      <c r="Q166" s="3">
        <v>267479</v>
      </c>
      <c r="R166" s="3">
        <v>3672218</v>
      </c>
      <c r="S166" s="3">
        <v>3656409</v>
      </c>
      <c r="T166" s="3">
        <v>3656409</v>
      </c>
      <c r="U166" s="3">
        <v>517978</v>
      </c>
      <c r="V166" s="3">
        <v>517978</v>
      </c>
      <c r="W166" s="3">
        <v>517978</v>
      </c>
      <c r="X166" s="3">
        <v>517978</v>
      </c>
      <c r="Y166" s="3">
        <v>515343</v>
      </c>
      <c r="Z166" s="3">
        <v>515343</v>
      </c>
      <c r="AA166" s="4">
        <v>515343</v>
      </c>
      <c r="AB166" s="4">
        <v>515343</v>
      </c>
      <c r="AC166" s="4">
        <v>515343</v>
      </c>
      <c r="AD166" s="4">
        <v>515342</v>
      </c>
      <c r="AE166" s="4">
        <v>517978</v>
      </c>
      <c r="AF166" s="4">
        <v>1035956</v>
      </c>
      <c r="AG166" s="4">
        <v>1553934</v>
      </c>
      <c r="AH166" s="4">
        <v>2071912</v>
      </c>
      <c r="AI166" s="4">
        <v>2587255</v>
      </c>
      <c r="AJ166" s="4">
        <v>3102598</v>
      </c>
      <c r="AK166" s="4">
        <v>3617941</v>
      </c>
      <c r="AL166" s="4">
        <v>4133284</v>
      </c>
      <c r="AM166" s="4">
        <v>4648627</v>
      </c>
      <c r="AN166" s="4">
        <v>5163969</v>
      </c>
      <c r="AO166" s="134">
        <v>297921</v>
      </c>
    </row>
    <row r="167" spans="1:41" x14ac:dyDescent="0.2">
      <c r="A167" s="1">
        <v>2025</v>
      </c>
      <c r="B167" s="2" t="s">
        <v>184</v>
      </c>
      <c r="C167" s="2" t="s">
        <v>184</v>
      </c>
      <c r="D167" s="1" t="s">
        <v>532</v>
      </c>
      <c r="E167" s="3">
        <v>56630727</v>
      </c>
      <c r="F167" s="3">
        <v>4030</v>
      </c>
      <c r="G167" s="3">
        <v>0</v>
      </c>
      <c r="H167" s="3">
        <v>170444</v>
      </c>
      <c r="I167" s="1">
        <v>0</v>
      </c>
      <c r="J167" s="3">
        <v>56626697</v>
      </c>
      <c r="K167" s="3">
        <v>56456253</v>
      </c>
      <c r="L167" s="3">
        <v>56456253</v>
      </c>
      <c r="M167" s="3">
        <v>950647</v>
      </c>
      <c r="N167" s="3">
        <v>5452004</v>
      </c>
      <c r="O167" s="3">
        <v>553786</v>
      </c>
      <c r="P167" s="3">
        <v>553318</v>
      </c>
      <c r="Q167" s="3">
        <v>2945465</v>
      </c>
      <c r="R167" s="3">
        <v>46171477</v>
      </c>
      <c r="S167" s="3">
        <v>46001033</v>
      </c>
      <c r="T167" s="3">
        <v>46001033</v>
      </c>
      <c r="U167" s="3">
        <v>5662670</v>
      </c>
      <c r="V167" s="3">
        <v>5662670</v>
      </c>
      <c r="W167" s="3">
        <v>5662670</v>
      </c>
      <c r="X167" s="3">
        <v>5662670</v>
      </c>
      <c r="Y167" s="3">
        <v>5634262</v>
      </c>
      <c r="Z167" s="3">
        <v>5634262</v>
      </c>
      <c r="AA167" s="4">
        <v>5634262</v>
      </c>
      <c r="AB167" s="4">
        <v>5634262</v>
      </c>
      <c r="AC167" s="4">
        <v>5634262</v>
      </c>
      <c r="AD167" s="4">
        <v>5634263</v>
      </c>
      <c r="AE167" s="4">
        <v>5662670</v>
      </c>
      <c r="AF167" s="4">
        <v>11325340</v>
      </c>
      <c r="AG167" s="4">
        <v>16988010</v>
      </c>
      <c r="AH167" s="4">
        <v>22650680</v>
      </c>
      <c r="AI167" s="4">
        <v>28284942</v>
      </c>
      <c r="AJ167" s="4">
        <v>33919204</v>
      </c>
      <c r="AK167" s="4">
        <v>39553466</v>
      </c>
      <c r="AL167" s="4">
        <v>45187728</v>
      </c>
      <c r="AM167" s="4">
        <v>50821990</v>
      </c>
      <c r="AN167" s="4">
        <v>56456253</v>
      </c>
      <c r="AO167" s="134">
        <v>3079830</v>
      </c>
    </row>
    <row r="168" spans="1:41" x14ac:dyDescent="0.2">
      <c r="A168" s="1">
        <v>2025</v>
      </c>
      <c r="B168" s="2" t="s">
        <v>185</v>
      </c>
      <c r="C168" s="2" t="s">
        <v>185</v>
      </c>
      <c r="D168" s="1" t="s">
        <v>533</v>
      </c>
      <c r="E168" s="3">
        <v>5669964</v>
      </c>
      <c r="F168" s="3">
        <v>1028</v>
      </c>
      <c r="G168" s="3">
        <v>0</v>
      </c>
      <c r="H168" s="3">
        <v>15349</v>
      </c>
      <c r="I168" s="3">
        <v>0</v>
      </c>
      <c r="J168" s="3">
        <v>5668936</v>
      </c>
      <c r="K168" s="3">
        <v>5653587</v>
      </c>
      <c r="L168" s="3">
        <v>5653587</v>
      </c>
      <c r="M168" s="3">
        <v>241578</v>
      </c>
      <c r="N168" s="3">
        <v>678039</v>
      </c>
      <c r="O168" s="3">
        <v>44325</v>
      </c>
      <c r="P168" s="3">
        <v>44325</v>
      </c>
      <c r="Q168" s="3">
        <v>258903</v>
      </c>
      <c r="R168" s="3">
        <v>4401766</v>
      </c>
      <c r="S168" s="3">
        <v>4386417</v>
      </c>
      <c r="T168" s="3">
        <v>4386417</v>
      </c>
      <c r="U168" s="3">
        <v>566894</v>
      </c>
      <c r="V168" s="3">
        <v>566894</v>
      </c>
      <c r="W168" s="3">
        <v>566894</v>
      </c>
      <c r="X168" s="3">
        <v>566894</v>
      </c>
      <c r="Y168" s="3">
        <v>564335</v>
      </c>
      <c r="Z168" s="3">
        <v>564335</v>
      </c>
      <c r="AA168" s="4">
        <v>564335</v>
      </c>
      <c r="AB168" s="4">
        <v>564335</v>
      </c>
      <c r="AC168" s="4">
        <v>564335</v>
      </c>
      <c r="AD168" s="4">
        <v>564336</v>
      </c>
      <c r="AE168" s="4">
        <v>566894</v>
      </c>
      <c r="AF168" s="4">
        <v>1133788</v>
      </c>
      <c r="AG168" s="4">
        <v>1700682</v>
      </c>
      <c r="AH168" s="4">
        <v>2267576</v>
      </c>
      <c r="AI168" s="4">
        <v>2831911</v>
      </c>
      <c r="AJ168" s="4">
        <v>3396246</v>
      </c>
      <c r="AK168" s="4">
        <v>3960581</v>
      </c>
      <c r="AL168" s="4">
        <v>4524916</v>
      </c>
      <c r="AM168" s="4">
        <v>5089251</v>
      </c>
      <c r="AN168" s="4">
        <v>5653587</v>
      </c>
      <c r="AO168" s="134">
        <v>272462</v>
      </c>
    </row>
    <row r="169" spans="1:41" x14ac:dyDescent="0.2">
      <c r="A169" s="1">
        <v>2025</v>
      </c>
      <c r="B169" s="2" t="s">
        <v>186</v>
      </c>
      <c r="C169" s="2" t="s">
        <v>186</v>
      </c>
      <c r="D169" s="1" t="s">
        <v>534</v>
      </c>
      <c r="E169" s="3">
        <v>4445180</v>
      </c>
      <c r="F169" s="1">
        <v>779</v>
      </c>
      <c r="G169" s="1">
        <v>0</v>
      </c>
      <c r="H169" s="3">
        <v>13256</v>
      </c>
      <c r="I169" s="1">
        <v>0</v>
      </c>
      <c r="J169" s="3">
        <v>4444401</v>
      </c>
      <c r="K169" s="3">
        <v>4431145</v>
      </c>
      <c r="L169" s="3">
        <v>4431145</v>
      </c>
      <c r="M169" s="3">
        <v>183132</v>
      </c>
      <c r="N169" s="3">
        <v>594697</v>
      </c>
      <c r="O169" s="3">
        <v>45579</v>
      </c>
      <c r="P169" s="3">
        <v>44396</v>
      </c>
      <c r="Q169" s="3">
        <v>222300</v>
      </c>
      <c r="R169" s="3">
        <v>3354297</v>
      </c>
      <c r="S169" s="3">
        <v>3341041</v>
      </c>
      <c r="T169" s="3">
        <v>3341041</v>
      </c>
      <c r="U169" s="3">
        <v>444440</v>
      </c>
      <c r="V169" s="3">
        <v>444440</v>
      </c>
      <c r="W169" s="3">
        <v>444440</v>
      </c>
      <c r="X169" s="3">
        <v>444440</v>
      </c>
      <c r="Y169" s="3">
        <v>442231</v>
      </c>
      <c r="Z169" s="3">
        <v>442231</v>
      </c>
      <c r="AA169" s="4">
        <v>442231</v>
      </c>
      <c r="AB169" s="4">
        <v>442231</v>
      </c>
      <c r="AC169" s="4">
        <v>442231</v>
      </c>
      <c r="AD169" s="4">
        <v>442230</v>
      </c>
      <c r="AE169" s="4">
        <v>444440</v>
      </c>
      <c r="AF169" s="4">
        <v>888880</v>
      </c>
      <c r="AG169" s="4">
        <v>1333320</v>
      </c>
      <c r="AH169" s="4">
        <v>1777760</v>
      </c>
      <c r="AI169" s="4">
        <v>2219991</v>
      </c>
      <c r="AJ169" s="4">
        <v>2662222</v>
      </c>
      <c r="AK169" s="4">
        <v>3104453</v>
      </c>
      <c r="AL169" s="4">
        <v>3546684</v>
      </c>
      <c r="AM169" s="4">
        <v>3988915</v>
      </c>
      <c r="AN169" s="4">
        <v>4431145</v>
      </c>
      <c r="AO169" s="134">
        <v>237743</v>
      </c>
    </row>
    <row r="170" spans="1:41" x14ac:dyDescent="0.2">
      <c r="A170" s="1">
        <v>2025</v>
      </c>
      <c r="B170" s="2" t="s">
        <v>187</v>
      </c>
      <c r="C170" s="2" t="s">
        <v>187</v>
      </c>
      <c r="D170" s="1" t="s">
        <v>535</v>
      </c>
      <c r="E170" s="3">
        <v>2109860</v>
      </c>
      <c r="F170" s="3">
        <v>597</v>
      </c>
      <c r="G170" s="3">
        <v>0</v>
      </c>
      <c r="H170" s="3">
        <v>6938</v>
      </c>
      <c r="I170" s="3">
        <v>0</v>
      </c>
      <c r="J170" s="3">
        <v>2109263</v>
      </c>
      <c r="K170" s="3">
        <v>2102325</v>
      </c>
      <c r="L170" s="3">
        <v>2102325</v>
      </c>
      <c r="M170" s="3">
        <v>140271</v>
      </c>
      <c r="N170" s="3">
        <v>530394</v>
      </c>
      <c r="O170" s="3">
        <v>26329</v>
      </c>
      <c r="P170" s="3">
        <v>24013</v>
      </c>
      <c r="Q170" s="3">
        <v>116750</v>
      </c>
      <c r="R170" s="3">
        <v>1271506</v>
      </c>
      <c r="S170" s="3">
        <v>1264568</v>
      </c>
      <c r="T170" s="3">
        <v>1264568</v>
      </c>
      <c r="U170" s="3">
        <v>210926</v>
      </c>
      <c r="V170" s="3">
        <v>210926</v>
      </c>
      <c r="W170" s="3">
        <v>210926</v>
      </c>
      <c r="X170" s="3">
        <v>210926</v>
      </c>
      <c r="Y170" s="3">
        <v>209770</v>
      </c>
      <c r="Z170" s="3">
        <v>209770</v>
      </c>
      <c r="AA170" s="4">
        <v>209770</v>
      </c>
      <c r="AB170" s="4">
        <v>209770</v>
      </c>
      <c r="AC170" s="4">
        <v>209770</v>
      </c>
      <c r="AD170" s="4">
        <v>209771</v>
      </c>
      <c r="AE170" s="4">
        <v>210926</v>
      </c>
      <c r="AF170" s="4">
        <v>421852</v>
      </c>
      <c r="AG170" s="4">
        <v>632778</v>
      </c>
      <c r="AH170" s="4">
        <v>843704</v>
      </c>
      <c r="AI170" s="4">
        <v>1053474</v>
      </c>
      <c r="AJ170" s="4">
        <v>1263244</v>
      </c>
      <c r="AK170" s="4">
        <v>1473014</v>
      </c>
      <c r="AL170" s="4">
        <v>1682784</v>
      </c>
      <c r="AM170" s="4">
        <v>1892554</v>
      </c>
      <c r="AN170" s="4">
        <v>2102325</v>
      </c>
      <c r="AO170" s="134">
        <v>137135</v>
      </c>
    </row>
    <row r="171" spans="1:41" x14ac:dyDescent="0.2">
      <c r="A171" s="1">
        <v>2025</v>
      </c>
      <c r="B171" s="2" t="s">
        <v>188</v>
      </c>
      <c r="C171" s="2" t="s">
        <v>188</v>
      </c>
      <c r="D171" s="1" t="s">
        <v>536</v>
      </c>
      <c r="E171" s="3">
        <v>4966414</v>
      </c>
      <c r="F171" s="1">
        <v>813</v>
      </c>
      <c r="G171" s="3">
        <v>6929</v>
      </c>
      <c r="H171" s="3">
        <v>15216</v>
      </c>
      <c r="I171" s="1">
        <v>0</v>
      </c>
      <c r="J171" s="3">
        <v>4958672</v>
      </c>
      <c r="K171" s="3">
        <v>4943456</v>
      </c>
      <c r="L171" s="3">
        <v>4943456</v>
      </c>
      <c r="M171" s="3">
        <v>190924</v>
      </c>
      <c r="N171" s="3">
        <v>615382</v>
      </c>
      <c r="O171" s="3">
        <v>52879</v>
      </c>
      <c r="P171" s="3">
        <v>56514</v>
      </c>
      <c r="Q171" s="3">
        <v>256674</v>
      </c>
      <c r="R171" s="3">
        <v>3786299</v>
      </c>
      <c r="S171" s="3">
        <v>3771083</v>
      </c>
      <c r="T171" s="3">
        <v>3771083</v>
      </c>
      <c r="U171" s="3">
        <v>495867</v>
      </c>
      <c r="V171" s="3">
        <v>495867</v>
      </c>
      <c r="W171" s="3">
        <v>495867</v>
      </c>
      <c r="X171" s="3">
        <v>495867</v>
      </c>
      <c r="Y171" s="3">
        <v>493331</v>
      </c>
      <c r="Z171" s="3">
        <v>493331</v>
      </c>
      <c r="AA171" s="4">
        <v>493332</v>
      </c>
      <c r="AB171" s="4">
        <v>493332</v>
      </c>
      <c r="AC171" s="4">
        <v>493332</v>
      </c>
      <c r="AD171" s="4">
        <v>493330</v>
      </c>
      <c r="AE171" s="4">
        <v>495867</v>
      </c>
      <c r="AF171" s="4">
        <v>991734</v>
      </c>
      <c r="AG171" s="4">
        <v>1487601</v>
      </c>
      <c r="AH171" s="4">
        <v>1983468</v>
      </c>
      <c r="AI171" s="4">
        <v>2476799</v>
      </c>
      <c r="AJ171" s="4">
        <v>2970130</v>
      </c>
      <c r="AK171" s="4">
        <v>3463462</v>
      </c>
      <c r="AL171" s="4">
        <v>3956794</v>
      </c>
      <c r="AM171" s="4">
        <v>4450126</v>
      </c>
      <c r="AN171" s="4">
        <v>4943456</v>
      </c>
      <c r="AO171" s="134">
        <v>277551</v>
      </c>
    </row>
    <row r="172" spans="1:41" x14ac:dyDescent="0.2">
      <c r="A172" s="1">
        <v>2025</v>
      </c>
      <c r="B172" s="2" t="s">
        <v>190</v>
      </c>
      <c r="C172" s="2" t="s">
        <v>190</v>
      </c>
      <c r="D172" s="1" t="s">
        <v>537</v>
      </c>
      <c r="E172" s="3">
        <v>3017272</v>
      </c>
      <c r="F172" s="1">
        <v>580</v>
      </c>
      <c r="G172" s="1">
        <v>0</v>
      </c>
      <c r="H172" s="3">
        <v>9855</v>
      </c>
      <c r="I172" s="1">
        <v>0</v>
      </c>
      <c r="J172" s="3">
        <v>3016692</v>
      </c>
      <c r="K172" s="3">
        <v>3006837</v>
      </c>
      <c r="L172" s="3">
        <v>3006837</v>
      </c>
      <c r="M172" s="3">
        <v>136375</v>
      </c>
      <c r="N172" s="3">
        <v>506422</v>
      </c>
      <c r="O172" s="3">
        <v>33666</v>
      </c>
      <c r="P172" s="3">
        <v>32998</v>
      </c>
      <c r="Q172" s="3">
        <v>178860</v>
      </c>
      <c r="R172" s="3">
        <v>2128371</v>
      </c>
      <c r="S172" s="3">
        <v>2118516</v>
      </c>
      <c r="T172" s="3">
        <v>2118516</v>
      </c>
      <c r="U172" s="3">
        <v>301669</v>
      </c>
      <c r="V172" s="3">
        <v>301669</v>
      </c>
      <c r="W172" s="3">
        <v>301669</v>
      </c>
      <c r="X172" s="3">
        <v>301669</v>
      </c>
      <c r="Y172" s="3">
        <v>300027</v>
      </c>
      <c r="Z172" s="3">
        <v>300027</v>
      </c>
      <c r="AA172" s="4">
        <v>300027</v>
      </c>
      <c r="AB172" s="4">
        <v>300027</v>
      </c>
      <c r="AC172" s="4">
        <v>300027</v>
      </c>
      <c r="AD172" s="4">
        <v>300026</v>
      </c>
      <c r="AE172" s="4">
        <v>301669</v>
      </c>
      <c r="AF172" s="4">
        <v>603338</v>
      </c>
      <c r="AG172" s="4">
        <v>905007</v>
      </c>
      <c r="AH172" s="4">
        <v>1206676</v>
      </c>
      <c r="AI172" s="4">
        <v>1506703</v>
      </c>
      <c r="AJ172" s="4">
        <v>1806730</v>
      </c>
      <c r="AK172" s="4">
        <v>2106757</v>
      </c>
      <c r="AL172" s="4">
        <v>2406784</v>
      </c>
      <c r="AM172" s="4">
        <v>2706811</v>
      </c>
      <c r="AN172" s="4">
        <v>3006837</v>
      </c>
      <c r="AO172" s="134">
        <v>177345</v>
      </c>
    </row>
    <row r="173" spans="1:41" x14ac:dyDescent="0.2">
      <c r="A173" s="1">
        <v>2025</v>
      </c>
      <c r="B173" s="2" t="s">
        <v>191</v>
      </c>
      <c r="C173" s="2" t="s">
        <v>191</v>
      </c>
      <c r="D173" s="1" t="s">
        <v>538</v>
      </c>
      <c r="E173" s="3">
        <v>5279533</v>
      </c>
      <c r="F173" s="1">
        <v>547</v>
      </c>
      <c r="G173" s="1">
        <v>0</v>
      </c>
      <c r="H173" s="3">
        <v>14500</v>
      </c>
      <c r="I173" s="1">
        <v>0</v>
      </c>
      <c r="J173" s="3">
        <v>5278986</v>
      </c>
      <c r="K173" s="3">
        <v>5264486</v>
      </c>
      <c r="L173" s="3">
        <v>5264486</v>
      </c>
      <c r="M173" s="3">
        <v>132400</v>
      </c>
      <c r="N173" s="3">
        <v>574853</v>
      </c>
      <c r="O173" s="3">
        <v>52227</v>
      </c>
      <c r="P173" s="3">
        <v>47831</v>
      </c>
      <c r="Q173" s="3">
        <v>246915</v>
      </c>
      <c r="R173" s="3">
        <v>4224760</v>
      </c>
      <c r="S173" s="3">
        <v>4210260</v>
      </c>
      <c r="T173" s="3">
        <v>4210260</v>
      </c>
      <c r="U173" s="3">
        <v>527899</v>
      </c>
      <c r="V173" s="3">
        <v>527899</v>
      </c>
      <c r="W173" s="3">
        <v>527899</v>
      </c>
      <c r="X173" s="3">
        <v>527899</v>
      </c>
      <c r="Y173" s="3">
        <v>525482</v>
      </c>
      <c r="Z173" s="3">
        <v>525482</v>
      </c>
      <c r="AA173" s="4">
        <v>525482</v>
      </c>
      <c r="AB173" s="4">
        <v>525482</v>
      </c>
      <c r="AC173" s="4">
        <v>525482</v>
      </c>
      <c r="AD173" s="4">
        <v>525480</v>
      </c>
      <c r="AE173" s="4">
        <v>527899</v>
      </c>
      <c r="AF173" s="4">
        <v>1055798</v>
      </c>
      <c r="AG173" s="4">
        <v>1583697</v>
      </c>
      <c r="AH173" s="4">
        <v>2111596</v>
      </c>
      <c r="AI173" s="4">
        <v>2637078</v>
      </c>
      <c r="AJ173" s="4">
        <v>3162560</v>
      </c>
      <c r="AK173" s="4">
        <v>3688042</v>
      </c>
      <c r="AL173" s="4">
        <v>4213524</v>
      </c>
      <c r="AM173" s="4">
        <v>4739006</v>
      </c>
      <c r="AN173" s="4">
        <v>5264486</v>
      </c>
      <c r="AO173" s="134">
        <v>258409</v>
      </c>
    </row>
    <row r="174" spans="1:41" x14ac:dyDescent="0.2">
      <c r="A174" s="1">
        <v>2025</v>
      </c>
      <c r="B174" s="2" t="s">
        <v>192</v>
      </c>
      <c r="C174" s="2" t="s">
        <v>192</v>
      </c>
      <c r="D174" s="1" t="s">
        <v>539</v>
      </c>
      <c r="E174" s="3">
        <v>3569815</v>
      </c>
      <c r="F174" s="1">
        <v>415</v>
      </c>
      <c r="G174" s="1">
        <v>0</v>
      </c>
      <c r="H174" s="3">
        <v>12211</v>
      </c>
      <c r="I174" s="1">
        <v>0</v>
      </c>
      <c r="J174" s="3">
        <v>3569400</v>
      </c>
      <c r="K174" s="3">
        <v>3557189</v>
      </c>
      <c r="L174" s="3">
        <v>3557189</v>
      </c>
      <c r="M174" s="3">
        <v>97410</v>
      </c>
      <c r="N174" s="3">
        <v>603384</v>
      </c>
      <c r="O174" s="3">
        <v>41161</v>
      </c>
      <c r="P174" s="3">
        <v>44521</v>
      </c>
      <c r="Q174" s="3">
        <v>207417</v>
      </c>
      <c r="R174" s="3">
        <v>2575507</v>
      </c>
      <c r="S174" s="3">
        <v>2563296</v>
      </c>
      <c r="T174" s="3">
        <v>2563296</v>
      </c>
      <c r="U174" s="3">
        <v>356940</v>
      </c>
      <c r="V174" s="3">
        <v>356940</v>
      </c>
      <c r="W174" s="3">
        <v>356940</v>
      </c>
      <c r="X174" s="3">
        <v>356940</v>
      </c>
      <c r="Y174" s="3">
        <v>354905</v>
      </c>
      <c r="Z174" s="3">
        <v>354905</v>
      </c>
      <c r="AA174" s="4">
        <v>354905</v>
      </c>
      <c r="AB174" s="4">
        <v>354905</v>
      </c>
      <c r="AC174" s="4">
        <v>354905</v>
      </c>
      <c r="AD174" s="4">
        <v>354904</v>
      </c>
      <c r="AE174" s="4">
        <v>356940</v>
      </c>
      <c r="AF174" s="4">
        <v>713880</v>
      </c>
      <c r="AG174" s="4">
        <v>1070820</v>
      </c>
      <c r="AH174" s="4">
        <v>1427760</v>
      </c>
      <c r="AI174" s="4">
        <v>1782665</v>
      </c>
      <c r="AJ174" s="4">
        <v>2137570</v>
      </c>
      <c r="AK174" s="4">
        <v>2492475</v>
      </c>
      <c r="AL174" s="4">
        <v>2847380</v>
      </c>
      <c r="AM174" s="4">
        <v>3202285</v>
      </c>
      <c r="AN174" s="4">
        <v>3557189</v>
      </c>
      <c r="AO174" s="134">
        <v>231582</v>
      </c>
    </row>
    <row r="175" spans="1:41" x14ac:dyDescent="0.2">
      <c r="A175" s="1">
        <v>2025</v>
      </c>
      <c r="B175" s="2" t="s">
        <v>193</v>
      </c>
      <c r="C175" s="2" t="s">
        <v>193</v>
      </c>
      <c r="D175" s="1" t="s">
        <v>540</v>
      </c>
      <c r="E175" s="3">
        <v>3904312</v>
      </c>
      <c r="F175" s="1">
        <v>697</v>
      </c>
      <c r="G175" s="1">
        <v>0</v>
      </c>
      <c r="H175" s="3">
        <v>14901</v>
      </c>
      <c r="I175" s="1">
        <v>0</v>
      </c>
      <c r="J175" s="3">
        <v>3903615</v>
      </c>
      <c r="K175" s="3">
        <v>3888714</v>
      </c>
      <c r="L175" s="3">
        <v>3888714</v>
      </c>
      <c r="M175" s="3">
        <v>159831</v>
      </c>
      <c r="N175" s="3">
        <v>652708</v>
      </c>
      <c r="O175" s="3">
        <v>44035</v>
      </c>
      <c r="P175" s="3">
        <v>52228</v>
      </c>
      <c r="Q175" s="3">
        <v>257052</v>
      </c>
      <c r="R175" s="3">
        <v>2737761</v>
      </c>
      <c r="S175" s="3">
        <v>2722860</v>
      </c>
      <c r="T175" s="3">
        <v>2722860</v>
      </c>
      <c r="U175" s="3">
        <v>390362</v>
      </c>
      <c r="V175" s="3">
        <v>390362</v>
      </c>
      <c r="W175" s="3">
        <v>390362</v>
      </c>
      <c r="X175" s="3">
        <v>390362</v>
      </c>
      <c r="Y175" s="3">
        <v>387878</v>
      </c>
      <c r="Z175" s="3">
        <v>387878</v>
      </c>
      <c r="AA175" s="4">
        <v>387878</v>
      </c>
      <c r="AB175" s="4">
        <v>387878</v>
      </c>
      <c r="AC175" s="4">
        <v>387878</v>
      </c>
      <c r="AD175" s="4">
        <v>387876</v>
      </c>
      <c r="AE175" s="4">
        <v>390362</v>
      </c>
      <c r="AF175" s="4">
        <v>780724</v>
      </c>
      <c r="AG175" s="4">
        <v>1171086</v>
      </c>
      <c r="AH175" s="4">
        <v>1561448</v>
      </c>
      <c r="AI175" s="4">
        <v>1949326</v>
      </c>
      <c r="AJ175" s="4">
        <v>2337204</v>
      </c>
      <c r="AK175" s="4">
        <v>2725082</v>
      </c>
      <c r="AL175" s="4">
        <v>3112960</v>
      </c>
      <c r="AM175" s="4">
        <v>3500838</v>
      </c>
      <c r="AN175" s="4">
        <v>3888714</v>
      </c>
      <c r="AO175" s="134">
        <v>281132</v>
      </c>
    </row>
    <row r="176" spans="1:41" x14ac:dyDescent="0.2">
      <c r="A176" s="1">
        <v>2025</v>
      </c>
      <c r="B176" s="2" t="s">
        <v>194</v>
      </c>
      <c r="C176" s="2" t="s">
        <v>194</v>
      </c>
      <c r="D176" s="1" t="s">
        <v>541</v>
      </c>
      <c r="E176" s="3">
        <v>3189126</v>
      </c>
      <c r="F176" s="3">
        <v>431</v>
      </c>
      <c r="G176" s="3">
        <v>0</v>
      </c>
      <c r="H176" s="3">
        <v>12941</v>
      </c>
      <c r="I176" s="1">
        <v>0</v>
      </c>
      <c r="J176" s="3">
        <v>3188695</v>
      </c>
      <c r="K176" s="3">
        <v>3175754</v>
      </c>
      <c r="L176" s="3">
        <v>3175754</v>
      </c>
      <c r="M176" s="3">
        <v>101307</v>
      </c>
      <c r="N176" s="3">
        <v>598950</v>
      </c>
      <c r="O176" s="3">
        <v>41353</v>
      </c>
      <c r="P176" s="3">
        <v>42597</v>
      </c>
      <c r="Q176" s="3">
        <v>222678</v>
      </c>
      <c r="R176" s="3">
        <v>2181810</v>
      </c>
      <c r="S176" s="3">
        <v>2168869</v>
      </c>
      <c r="T176" s="3">
        <v>2168869</v>
      </c>
      <c r="U176" s="3">
        <v>318870</v>
      </c>
      <c r="V176" s="3">
        <v>318870</v>
      </c>
      <c r="W176" s="3">
        <v>318870</v>
      </c>
      <c r="X176" s="3">
        <v>318870</v>
      </c>
      <c r="Y176" s="3">
        <v>316712</v>
      </c>
      <c r="Z176" s="3">
        <v>316712</v>
      </c>
      <c r="AA176" s="4">
        <v>316713</v>
      </c>
      <c r="AB176" s="4">
        <v>316713</v>
      </c>
      <c r="AC176" s="4">
        <v>316713</v>
      </c>
      <c r="AD176" s="4">
        <v>316711</v>
      </c>
      <c r="AE176" s="4">
        <v>318870</v>
      </c>
      <c r="AF176" s="4">
        <v>637740</v>
      </c>
      <c r="AG176" s="4">
        <v>956610</v>
      </c>
      <c r="AH176" s="4">
        <v>1275480</v>
      </c>
      <c r="AI176" s="4">
        <v>1592192</v>
      </c>
      <c r="AJ176" s="4">
        <v>1908904</v>
      </c>
      <c r="AK176" s="4">
        <v>2225617</v>
      </c>
      <c r="AL176" s="4">
        <v>2542330</v>
      </c>
      <c r="AM176" s="4">
        <v>2859043</v>
      </c>
      <c r="AN176" s="4">
        <v>3175754</v>
      </c>
      <c r="AO176" s="134">
        <v>253934</v>
      </c>
    </row>
    <row r="177" spans="1:41" x14ac:dyDescent="0.2">
      <c r="A177" s="1">
        <v>2025</v>
      </c>
      <c r="B177" s="2" t="s">
        <v>195</v>
      </c>
      <c r="C177" s="2" t="s">
        <v>195</v>
      </c>
      <c r="D177" s="1" t="s">
        <v>542</v>
      </c>
      <c r="E177" s="3">
        <v>10575759</v>
      </c>
      <c r="F177" s="3">
        <v>813</v>
      </c>
      <c r="G177" s="3">
        <v>0</v>
      </c>
      <c r="H177" s="3">
        <v>27817</v>
      </c>
      <c r="I177" s="1">
        <v>0</v>
      </c>
      <c r="J177" s="3">
        <v>10574946</v>
      </c>
      <c r="K177" s="3">
        <v>10547129</v>
      </c>
      <c r="L177" s="3">
        <v>10547129</v>
      </c>
      <c r="M177" s="3">
        <v>190924</v>
      </c>
      <c r="N177" s="3">
        <v>1283928</v>
      </c>
      <c r="O177" s="3">
        <v>109113</v>
      </c>
      <c r="P177" s="3">
        <v>105462</v>
      </c>
      <c r="Q177" s="3">
        <v>487247</v>
      </c>
      <c r="R177" s="3">
        <v>8398272</v>
      </c>
      <c r="S177" s="3">
        <v>8370455</v>
      </c>
      <c r="T177" s="3">
        <v>8370455</v>
      </c>
      <c r="U177" s="3">
        <v>1057495</v>
      </c>
      <c r="V177" s="3">
        <v>1057495</v>
      </c>
      <c r="W177" s="3">
        <v>1057495</v>
      </c>
      <c r="X177" s="3">
        <v>1057495</v>
      </c>
      <c r="Y177" s="3">
        <v>1052858</v>
      </c>
      <c r="Z177" s="3">
        <v>1052858</v>
      </c>
      <c r="AA177" s="4">
        <v>1052858</v>
      </c>
      <c r="AB177" s="4">
        <v>1052858</v>
      </c>
      <c r="AC177" s="4">
        <v>1052858</v>
      </c>
      <c r="AD177" s="4">
        <v>1052859</v>
      </c>
      <c r="AE177" s="4">
        <v>1057495</v>
      </c>
      <c r="AF177" s="4">
        <v>2114990</v>
      </c>
      <c r="AG177" s="4">
        <v>3172485</v>
      </c>
      <c r="AH177" s="4">
        <v>4229980</v>
      </c>
      <c r="AI177" s="4">
        <v>5282838</v>
      </c>
      <c r="AJ177" s="4">
        <v>6335696</v>
      </c>
      <c r="AK177" s="4">
        <v>7388554</v>
      </c>
      <c r="AL177" s="4">
        <v>8441412</v>
      </c>
      <c r="AM177" s="4">
        <v>9494270</v>
      </c>
      <c r="AN177" s="4">
        <v>10547129</v>
      </c>
      <c r="AO177" s="134">
        <v>548686</v>
      </c>
    </row>
    <row r="178" spans="1:41" x14ac:dyDescent="0.2">
      <c r="A178" s="1">
        <v>2025</v>
      </c>
      <c r="B178" s="2" t="s">
        <v>196</v>
      </c>
      <c r="C178" s="2" t="s">
        <v>196</v>
      </c>
      <c r="D178" s="1" t="s">
        <v>543</v>
      </c>
      <c r="E178" s="3">
        <v>4084471</v>
      </c>
      <c r="F178" s="3">
        <v>498</v>
      </c>
      <c r="G178" s="3">
        <v>0</v>
      </c>
      <c r="H178" s="3">
        <v>15189</v>
      </c>
      <c r="I178" s="1">
        <v>0</v>
      </c>
      <c r="J178" s="3">
        <v>4083973</v>
      </c>
      <c r="K178" s="3">
        <v>4068784</v>
      </c>
      <c r="L178" s="3">
        <v>4068784</v>
      </c>
      <c r="M178" s="3">
        <v>116892</v>
      </c>
      <c r="N178" s="3">
        <v>662679</v>
      </c>
      <c r="O178" s="3">
        <v>52534</v>
      </c>
      <c r="P178" s="3">
        <v>53074</v>
      </c>
      <c r="Q178" s="3">
        <v>264909</v>
      </c>
      <c r="R178" s="3">
        <v>2933885</v>
      </c>
      <c r="S178" s="3">
        <v>2918696</v>
      </c>
      <c r="T178" s="3">
        <v>2918696</v>
      </c>
      <c r="U178" s="3">
        <v>408397</v>
      </c>
      <c r="V178" s="3">
        <v>408397</v>
      </c>
      <c r="W178" s="3">
        <v>408397</v>
      </c>
      <c r="X178" s="3">
        <v>408397</v>
      </c>
      <c r="Y178" s="3">
        <v>405866</v>
      </c>
      <c r="Z178" s="3">
        <v>405866</v>
      </c>
      <c r="AA178" s="4">
        <v>405866</v>
      </c>
      <c r="AB178" s="4">
        <v>405866</v>
      </c>
      <c r="AC178" s="4">
        <v>405866</v>
      </c>
      <c r="AD178" s="4">
        <v>405866</v>
      </c>
      <c r="AE178" s="4">
        <v>408397</v>
      </c>
      <c r="AF178" s="4">
        <v>816794</v>
      </c>
      <c r="AG178" s="4">
        <v>1225191</v>
      </c>
      <c r="AH178" s="4">
        <v>1633588</v>
      </c>
      <c r="AI178" s="4">
        <v>2039454</v>
      </c>
      <c r="AJ178" s="4">
        <v>2445320</v>
      </c>
      <c r="AK178" s="4">
        <v>2851186</v>
      </c>
      <c r="AL178" s="4">
        <v>3257052</v>
      </c>
      <c r="AM178" s="4">
        <v>3662918</v>
      </c>
      <c r="AN178" s="4">
        <v>4068784</v>
      </c>
      <c r="AO178" s="134">
        <v>292631</v>
      </c>
    </row>
    <row r="179" spans="1:41" x14ac:dyDescent="0.2">
      <c r="A179" s="1">
        <v>2025</v>
      </c>
      <c r="B179" s="2" t="s">
        <v>197</v>
      </c>
      <c r="C179" s="2" t="s">
        <v>197</v>
      </c>
      <c r="D179" s="1" t="s">
        <v>544</v>
      </c>
      <c r="E179" s="3">
        <v>2380959</v>
      </c>
      <c r="F179" s="3">
        <v>299</v>
      </c>
      <c r="G179" s="3">
        <v>0</v>
      </c>
      <c r="H179" s="3">
        <v>10481</v>
      </c>
      <c r="I179" s="3">
        <v>0</v>
      </c>
      <c r="J179" s="3">
        <v>2380660</v>
      </c>
      <c r="K179" s="3">
        <v>2370179</v>
      </c>
      <c r="L179" s="3">
        <v>2370179</v>
      </c>
      <c r="M179" s="3">
        <v>70135</v>
      </c>
      <c r="N179" s="3">
        <v>567898</v>
      </c>
      <c r="O179" s="3">
        <v>29150</v>
      </c>
      <c r="P179" s="3">
        <v>35758</v>
      </c>
      <c r="Q179" s="3">
        <v>178407</v>
      </c>
      <c r="R179" s="3">
        <v>1499312</v>
      </c>
      <c r="S179" s="3">
        <v>1488831</v>
      </c>
      <c r="T179" s="3">
        <v>1488831</v>
      </c>
      <c r="U179" s="3">
        <v>238066</v>
      </c>
      <c r="V179" s="3">
        <v>238066</v>
      </c>
      <c r="W179" s="3">
        <v>238066</v>
      </c>
      <c r="X179" s="3">
        <v>238066</v>
      </c>
      <c r="Y179" s="3">
        <v>236319</v>
      </c>
      <c r="Z179" s="3">
        <v>236319</v>
      </c>
      <c r="AA179" s="4">
        <v>236319</v>
      </c>
      <c r="AB179" s="4">
        <v>236319</v>
      </c>
      <c r="AC179" s="4">
        <v>236319</v>
      </c>
      <c r="AD179" s="4">
        <v>236320</v>
      </c>
      <c r="AE179" s="4">
        <v>238066</v>
      </c>
      <c r="AF179" s="4">
        <v>476132</v>
      </c>
      <c r="AG179" s="4">
        <v>714198</v>
      </c>
      <c r="AH179" s="4">
        <v>952264</v>
      </c>
      <c r="AI179" s="4">
        <v>1188583</v>
      </c>
      <c r="AJ179" s="4">
        <v>1424902</v>
      </c>
      <c r="AK179" s="4">
        <v>1661221</v>
      </c>
      <c r="AL179" s="4">
        <v>1897540</v>
      </c>
      <c r="AM179" s="4">
        <v>2133859</v>
      </c>
      <c r="AN179" s="4">
        <v>2370179</v>
      </c>
      <c r="AO179" s="134">
        <v>197301</v>
      </c>
    </row>
    <row r="180" spans="1:41" x14ac:dyDescent="0.2">
      <c r="A180" s="1">
        <v>2025</v>
      </c>
      <c r="B180" s="2" t="s">
        <v>198</v>
      </c>
      <c r="C180" s="2" t="s">
        <v>198</v>
      </c>
      <c r="D180" s="1" t="s">
        <v>545</v>
      </c>
      <c r="E180" s="3">
        <v>14944724</v>
      </c>
      <c r="F180" s="3">
        <v>1509</v>
      </c>
      <c r="G180" s="3">
        <v>0</v>
      </c>
      <c r="H180" s="3">
        <v>39429</v>
      </c>
      <c r="I180" s="1">
        <v>0</v>
      </c>
      <c r="J180" s="3">
        <v>14943215</v>
      </c>
      <c r="K180" s="3">
        <v>14903786</v>
      </c>
      <c r="L180" s="3">
        <v>14903786</v>
      </c>
      <c r="M180" s="3">
        <v>354574</v>
      </c>
      <c r="N180" s="3">
        <v>1459828</v>
      </c>
      <c r="O180" s="3">
        <v>152863</v>
      </c>
      <c r="P180" s="3">
        <v>148783</v>
      </c>
      <c r="Q180" s="3">
        <v>681972</v>
      </c>
      <c r="R180" s="3">
        <v>12145195</v>
      </c>
      <c r="S180" s="3">
        <v>12105766</v>
      </c>
      <c r="T180" s="3">
        <v>12105766</v>
      </c>
      <c r="U180" s="3">
        <v>1494322</v>
      </c>
      <c r="V180" s="3">
        <v>1494322</v>
      </c>
      <c r="W180" s="3">
        <v>1494322</v>
      </c>
      <c r="X180" s="3">
        <v>1494322</v>
      </c>
      <c r="Y180" s="3">
        <v>1487750</v>
      </c>
      <c r="Z180" s="3">
        <v>1487750</v>
      </c>
      <c r="AA180" s="4">
        <v>1487750</v>
      </c>
      <c r="AB180" s="4">
        <v>1487750</v>
      </c>
      <c r="AC180" s="4">
        <v>1487750</v>
      </c>
      <c r="AD180" s="4">
        <v>1487748</v>
      </c>
      <c r="AE180" s="4">
        <v>1494322</v>
      </c>
      <c r="AF180" s="4">
        <v>2988644</v>
      </c>
      <c r="AG180" s="4">
        <v>4482966</v>
      </c>
      <c r="AH180" s="4">
        <v>5977288</v>
      </c>
      <c r="AI180" s="4">
        <v>7465038</v>
      </c>
      <c r="AJ180" s="4">
        <v>8952788</v>
      </c>
      <c r="AK180" s="4">
        <v>10440538</v>
      </c>
      <c r="AL180" s="4">
        <v>11928288</v>
      </c>
      <c r="AM180" s="4">
        <v>13416038</v>
      </c>
      <c r="AN180" s="4">
        <v>14903786</v>
      </c>
      <c r="AO180" s="134">
        <v>740085</v>
      </c>
    </row>
    <row r="181" spans="1:41" x14ac:dyDescent="0.2">
      <c r="A181" s="1">
        <v>2025</v>
      </c>
      <c r="B181" s="2" t="s">
        <v>199</v>
      </c>
      <c r="C181" s="2" t="s">
        <v>199</v>
      </c>
      <c r="D181" s="1" t="s">
        <v>546</v>
      </c>
      <c r="E181" s="3">
        <v>48139948</v>
      </c>
      <c r="F181" s="3">
        <v>4296</v>
      </c>
      <c r="G181" s="3">
        <v>41400</v>
      </c>
      <c r="H181" s="3">
        <v>120565</v>
      </c>
      <c r="I181" s="1">
        <v>0</v>
      </c>
      <c r="J181" s="3">
        <v>48094252</v>
      </c>
      <c r="K181" s="3">
        <v>47973687</v>
      </c>
      <c r="L181" s="3">
        <v>47973687</v>
      </c>
      <c r="M181" s="3">
        <v>1012989</v>
      </c>
      <c r="N181" s="3">
        <v>3869527</v>
      </c>
      <c r="O181" s="3">
        <v>544520</v>
      </c>
      <c r="P181" s="3">
        <v>405111</v>
      </c>
      <c r="Q181" s="3">
        <v>2090526</v>
      </c>
      <c r="R181" s="3">
        <v>40171579</v>
      </c>
      <c r="S181" s="3">
        <v>40051014</v>
      </c>
      <c r="T181" s="3">
        <v>40051014</v>
      </c>
      <c r="U181" s="3">
        <v>4809425</v>
      </c>
      <c r="V181" s="3">
        <v>4809425</v>
      </c>
      <c r="W181" s="3">
        <v>4809425</v>
      </c>
      <c r="X181" s="3">
        <v>4809425</v>
      </c>
      <c r="Y181" s="3">
        <v>4789331</v>
      </c>
      <c r="Z181" s="3">
        <v>4789331</v>
      </c>
      <c r="AA181" s="4">
        <v>4789331</v>
      </c>
      <c r="AB181" s="4">
        <v>4789331</v>
      </c>
      <c r="AC181" s="4">
        <v>4789331</v>
      </c>
      <c r="AD181" s="4">
        <v>4789332</v>
      </c>
      <c r="AE181" s="4">
        <v>4809425</v>
      </c>
      <c r="AF181" s="4">
        <v>9618850</v>
      </c>
      <c r="AG181" s="4">
        <v>14428275</v>
      </c>
      <c r="AH181" s="4">
        <v>19237700</v>
      </c>
      <c r="AI181" s="4">
        <v>24027031</v>
      </c>
      <c r="AJ181" s="4">
        <v>28816362</v>
      </c>
      <c r="AK181" s="4">
        <v>33605693</v>
      </c>
      <c r="AL181" s="4">
        <v>38395024</v>
      </c>
      <c r="AM181" s="4">
        <v>43184355</v>
      </c>
      <c r="AN181" s="4">
        <v>47973687</v>
      </c>
      <c r="AO181" s="134">
        <v>2321585</v>
      </c>
    </row>
    <row r="182" spans="1:41" x14ac:dyDescent="0.2">
      <c r="A182" s="1">
        <v>2025</v>
      </c>
      <c r="B182" s="2" t="s">
        <v>200</v>
      </c>
      <c r="C182" s="2" t="s">
        <v>200</v>
      </c>
      <c r="D182" s="1" t="s">
        <v>547</v>
      </c>
      <c r="E182" s="3">
        <v>3577771</v>
      </c>
      <c r="F182" s="3">
        <v>464</v>
      </c>
      <c r="G182" s="3">
        <v>0</v>
      </c>
      <c r="H182" s="3">
        <v>10981</v>
      </c>
      <c r="I182" s="1">
        <v>0</v>
      </c>
      <c r="J182" s="3">
        <v>3577307</v>
      </c>
      <c r="K182" s="3">
        <v>3566326</v>
      </c>
      <c r="L182" s="3">
        <v>3566326</v>
      </c>
      <c r="M182" s="3">
        <v>109100</v>
      </c>
      <c r="N182" s="3">
        <v>523535</v>
      </c>
      <c r="O182" s="3">
        <v>36882</v>
      </c>
      <c r="P182" s="3">
        <v>32678</v>
      </c>
      <c r="Q182" s="3">
        <v>188466</v>
      </c>
      <c r="R182" s="3">
        <v>2686646</v>
      </c>
      <c r="S182" s="3">
        <v>2675665</v>
      </c>
      <c r="T182" s="3">
        <v>2675665</v>
      </c>
      <c r="U182" s="3">
        <v>357731</v>
      </c>
      <c r="V182" s="3">
        <v>357731</v>
      </c>
      <c r="W182" s="3">
        <v>357731</v>
      </c>
      <c r="X182" s="3">
        <v>357731</v>
      </c>
      <c r="Y182" s="3">
        <v>355900</v>
      </c>
      <c r="Z182" s="3">
        <v>355900</v>
      </c>
      <c r="AA182" s="4">
        <v>355901</v>
      </c>
      <c r="AB182" s="4">
        <v>355901</v>
      </c>
      <c r="AC182" s="4">
        <v>355901</v>
      </c>
      <c r="AD182" s="4">
        <v>355899</v>
      </c>
      <c r="AE182" s="4">
        <v>357731</v>
      </c>
      <c r="AF182" s="4">
        <v>715462</v>
      </c>
      <c r="AG182" s="4">
        <v>1073193</v>
      </c>
      <c r="AH182" s="4">
        <v>1430924</v>
      </c>
      <c r="AI182" s="4">
        <v>1786824</v>
      </c>
      <c r="AJ182" s="4">
        <v>2142724</v>
      </c>
      <c r="AK182" s="4">
        <v>2498625</v>
      </c>
      <c r="AL182" s="4">
        <v>2854526</v>
      </c>
      <c r="AM182" s="4">
        <v>3210427</v>
      </c>
      <c r="AN182" s="4">
        <v>3566326</v>
      </c>
      <c r="AO182" s="134">
        <v>191420</v>
      </c>
    </row>
    <row r="183" spans="1:41" x14ac:dyDescent="0.2">
      <c r="A183" s="1">
        <v>2025</v>
      </c>
      <c r="B183" s="2" t="s">
        <v>201</v>
      </c>
      <c r="C183" s="2" t="s">
        <v>201</v>
      </c>
      <c r="D183" s="1" t="s">
        <v>548</v>
      </c>
      <c r="E183" s="3">
        <v>25711843</v>
      </c>
      <c r="F183" s="3">
        <v>2488</v>
      </c>
      <c r="G183" s="3">
        <v>0</v>
      </c>
      <c r="H183" s="3">
        <v>75484</v>
      </c>
      <c r="I183" s="1">
        <v>0</v>
      </c>
      <c r="J183" s="3">
        <v>25709355</v>
      </c>
      <c r="K183" s="3">
        <v>25633871</v>
      </c>
      <c r="L183" s="3">
        <v>25633871</v>
      </c>
      <c r="M183" s="3">
        <v>584462</v>
      </c>
      <c r="N183" s="3">
        <v>2632849</v>
      </c>
      <c r="O183" s="3">
        <v>315309</v>
      </c>
      <c r="P183" s="3">
        <v>280006</v>
      </c>
      <c r="Q183" s="3">
        <v>1362130</v>
      </c>
      <c r="R183" s="3">
        <v>20534599</v>
      </c>
      <c r="S183" s="3">
        <v>20459115</v>
      </c>
      <c r="T183" s="3">
        <v>20459115</v>
      </c>
      <c r="U183" s="3">
        <v>2570936</v>
      </c>
      <c r="V183" s="3">
        <v>2570936</v>
      </c>
      <c r="W183" s="3">
        <v>2570936</v>
      </c>
      <c r="X183" s="3">
        <v>2570936</v>
      </c>
      <c r="Y183" s="3">
        <v>2558355</v>
      </c>
      <c r="Z183" s="3">
        <v>2558355</v>
      </c>
      <c r="AA183" s="4">
        <v>2558354</v>
      </c>
      <c r="AB183" s="4">
        <v>2558354</v>
      </c>
      <c r="AC183" s="4">
        <v>2558354</v>
      </c>
      <c r="AD183" s="4">
        <v>2558355</v>
      </c>
      <c r="AE183" s="4">
        <v>2570936</v>
      </c>
      <c r="AF183" s="4">
        <v>5141872</v>
      </c>
      <c r="AG183" s="4">
        <v>7712808</v>
      </c>
      <c r="AH183" s="4">
        <v>10283744</v>
      </c>
      <c r="AI183" s="4">
        <v>12842099</v>
      </c>
      <c r="AJ183" s="4">
        <v>15400454</v>
      </c>
      <c r="AK183" s="4">
        <v>17958808</v>
      </c>
      <c r="AL183" s="4">
        <v>20517162</v>
      </c>
      <c r="AM183" s="4">
        <v>23075516</v>
      </c>
      <c r="AN183" s="4">
        <v>25633871</v>
      </c>
      <c r="AO183" s="134">
        <v>1523387</v>
      </c>
    </row>
    <row r="184" spans="1:41" x14ac:dyDescent="0.2">
      <c r="A184" s="1">
        <v>2025</v>
      </c>
      <c r="B184" s="2" t="s">
        <v>202</v>
      </c>
      <c r="C184" s="2" t="s">
        <v>202</v>
      </c>
      <c r="D184" s="1" t="s">
        <v>549</v>
      </c>
      <c r="E184" s="3">
        <v>10217877</v>
      </c>
      <c r="F184" s="3">
        <v>846</v>
      </c>
      <c r="G184" s="3">
        <v>0</v>
      </c>
      <c r="H184" s="3">
        <v>33931</v>
      </c>
      <c r="I184" s="1">
        <v>0</v>
      </c>
      <c r="J184" s="3">
        <v>10217031</v>
      </c>
      <c r="K184" s="3">
        <v>10183100</v>
      </c>
      <c r="L184" s="3">
        <v>10183100</v>
      </c>
      <c r="M184" s="3">
        <v>198717</v>
      </c>
      <c r="N184" s="3">
        <v>1346579</v>
      </c>
      <c r="O184" s="3">
        <v>142066</v>
      </c>
      <c r="P184" s="3">
        <v>144925</v>
      </c>
      <c r="Q184" s="3">
        <v>696666</v>
      </c>
      <c r="R184" s="3">
        <v>7688078</v>
      </c>
      <c r="S184" s="3">
        <v>7654147</v>
      </c>
      <c r="T184" s="3">
        <v>7654147</v>
      </c>
      <c r="U184" s="3">
        <v>1021703</v>
      </c>
      <c r="V184" s="3">
        <v>1021703</v>
      </c>
      <c r="W184" s="3">
        <v>1021703</v>
      </c>
      <c r="X184" s="3">
        <v>1021703</v>
      </c>
      <c r="Y184" s="3">
        <v>1016048</v>
      </c>
      <c r="Z184" s="3">
        <v>1016048</v>
      </c>
      <c r="AA184" s="4">
        <v>1016048</v>
      </c>
      <c r="AB184" s="4">
        <v>1016048</v>
      </c>
      <c r="AC184" s="4">
        <v>1016048</v>
      </c>
      <c r="AD184" s="4">
        <v>1016048</v>
      </c>
      <c r="AE184" s="4">
        <v>1021703</v>
      </c>
      <c r="AF184" s="4">
        <v>2043406</v>
      </c>
      <c r="AG184" s="4">
        <v>3065109</v>
      </c>
      <c r="AH184" s="4">
        <v>4086812</v>
      </c>
      <c r="AI184" s="4">
        <v>5102860</v>
      </c>
      <c r="AJ184" s="4">
        <v>6118908</v>
      </c>
      <c r="AK184" s="4">
        <v>7134956</v>
      </c>
      <c r="AL184" s="4">
        <v>8151004</v>
      </c>
      <c r="AM184" s="4">
        <v>9167052</v>
      </c>
      <c r="AN184" s="4">
        <v>10183100</v>
      </c>
      <c r="AO184" s="134">
        <v>668766</v>
      </c>
    </row>
    <row r="185" spans="1:41" x14ac:dyDescent="0.2">
      <c r="A185" s="1">
        <v>2025</v>
      </c>
      <c r="B185" s="2" t="s">
        <v>203</v>
      </c>
      <c r="C185" s="2" t="s">
        <v>203</v>
      </c>
      <c r="D185" s="1" t="s">
        <v>550</v>
      </c>
      <c r="E185" s="3">
        <v>6142112</v>
      </c>
      <c r="F185" s="3">
        <v>0</v>
      </c>
      <c r="G185" s="3">
        <v>0</v>
      </c>
      <c r="H185" s="3">
        <v>19956</v>
      </c>
      <c r="I185" s="1">
        <v>0</v>
      </c>
      <c r="J185" s="3">
        <v>6142112</v>
      </c>
      <c r="K185" s="3">
        <v>6122156</v>
      </c>
      <c r="L185" s="3">
        <v>6122156</v>
      </c>
      <c r="M185" s="3">
        <v>0</v>
      </c>
      <c r="N185" s="3">
        <v>786431</v>
      </c>
      <c r="O185" s="3">
        <v>64104</v>
      </c>
      <c r="P185" s="3">
        <v>60418</v>
      </c>
      <c r="Q185" s="3">
        <v>334640</v>
      </c>
      <c r="R185" s="3">
        <v>4896519</v>
      </c>
      <c r="S185" s="3">
        <v>4876563</v>
      </c>
      <c r="T185" s="3">
        <v>4876563</v>
      </c>
      <c r="U185" s="3">
        <v>614211</v>
      </c>
      <c r="V185" s="3">
        <v>614211</v>
      </c>
      <c r="W185" s="3">
        <v>614211</v>
      </c>
      <c r="X185" s="3">
        <v>614211</v>
      </c>
      <c r="Y185" s="3">
        <v>610885</v>
      </c>
      <c r="Z185" s="3">
        <v>610885</v>
      </c>
      <c r="AA185" s="4">
        <v>610886</v>
      </c>
      <c r="AB185" s="4">
        <v>610886</v>
      </c>
      <c r="AC185" s="4">
        <v>610886</v>
      </c>
      <c r="AD185" s="4">
        <v>610884</v>
      </c>
      <c r="AE185" s="4">
        <v>614211</v>
      </c>
      <c r="AF185" s="4">
        <v>1228422</v>
      </c>
      <c r="AG185" s="4">
        <v>1842633</v>
      </c>
      <c r="AH185" s="4">
        <v>2456844</v>
      </c>
      <c r="AI185" s="4">
        <v>3067729</v>
      </c>
      <c r="AJ185" s="4">
        <v>3678614</v>
      </c>
      <c r="AK185" s="4">
        <v>4289500</v>
      </c>
      <c r="AL185" s="4">
        <v>4900386</v>
      </c>
      <c r="AM185" s="4">
        <v>5511272</v>
      </c>
      <c r="AN185" s="4">
        <v>6122156</v>
      </c>
      <c r="AO185" s="134">
        <v>355462</v>
      </c>
    </row>
    <row r="186" spans="1:41" x14ac:dyDescent="0.2">
      <c r="A186" s="1">
        <v>2025</v>
      </c>
      <c r="B186" s="2" t="s">
        <v>204</v>
      </c>
      <c r="C186" s="2" t="s">
        <v>204</v>
      </c>
      <c r="D186" s="1" t="s">
        <v>551</v>
      </c>
      <c r="E186" s="3">
        <v>2530551</v>
      </c>
      <c r="F186" s="3">
        <v>282</v>
      </c>
      <c r="G186" s="3">
        <v>0</v>
      </c>
      <c r="H186" s="3">
        <v>6384</v>
      </c>
      <c r="I186" s="3">
        <v>0</v>
      </c>
      <c r="J186" s="3">
        <v>2530269</v>
      </c>
      <c r="K186" s="3">
        <v>2523885</v>
      </c>
      <c r="L186" s="3">
        <v>2523885</v>
      </c>
      <c r="M186" s="3">
        <v>66239</v>
      </c>
      <c r="N186" s="3">
        <v>390953</v>
      </c>
      <c r="O186" s="3">
        <v>28275</v>
      </c>
      <c r="P186" s="3">
        <v>23973</v>
      </c>
      <c r="Q186" s="3">
        <v>113397</v>
      </c>
      <c r="R186" s="3">
        <v>1907432</v>
      </c>
      <c r="S186" s="3">
        <v>1901048</v>
      </c>
      <c r="T186" s="3">
        <v>1901048</v>
      </c>
      <c r="U186" s="3">
        <v>253027</v>
      </c>
      <c r="V186" s="3">
        <v>253027</v>
      </c>
      <c r="W186" s="3">
        <v>253027</v>
      </c>
      <c r="X186" s="3">
        <v>253027</v>
      </c>
      <c r="Y186" s="3">
        <v>251963</v>
      </c>
      <c r="Z186" s="3">
        <v>251963</v>
      </c>
      <c r="AA186" s="4">
        <v>251963</v>
      </c>
      <c r="AB186" s="4">
        <v>251963</v>
      </c>
      <c r="AC186" s="4">
        <v>251963</v>
      </c>
      <c r="AD186" s="4">
        <v>251962</v>
      </c>
      <c r="AE186" s="4">
        <v>253027</v>
      </c>
      <c r="AF186" s="4">
        <v>506054</v>
      </c>
      <c r="AG186" s="4">
        <v>759081</v>
      </c>
      <c r="AH186" s="4">
        <v>1012108</v>
      </c>
      <c r="AI186" s="4">
        <v>1264071</v>
      </c>
      <c r="AJ186" s="4">
        <v>1516034</v>
      </c>
      <c r="AK186" s="4">
        <v>1767997</v>
      </c>
      <c r="AL186" s="4">
        <v>2019960</v>
      </c>
      <c r="AM186" s="4">
        <v>2271923</v>
      </c>
      <c r="AN186" s="4">
        <v>2523885</v>
      </c>
      <c r="AO186" s="134">
        <v>122941</v>
      </c>
    </row>
    <row r="187" spans="1:41" x14ac:dyDescent="0.2">
      <c r="A187" s="1">
        <v>2025</v>
      </c>
      <c r="B187" s="2" t="s">
        <v>205</v>
      </c>
      <c r="C187" s="2" t="s">
        <v>205</v>
      </c>
      <c r="D187" s="1" t="s">
        <v>552</v>
      </c>
      <c r="E187" s="3">
        <v>3324229</v>
      </c>
      <c r="F187" s="3">
        <v>299</v>
      </c>
      <c r="G187" s="3">
        <v>0</v>
      </c>
      <c r="H187" s="3">
        <v>11029</v>
      </c>
      <c r="I187" s="3">
        <v>0</v>
      </c>
      <c r="J187" s="3">
        <v>3323930</v>
      </c>
      <c r="K187" s="3">
        <v>3312901</v>
      </c>
      <c r="L187" s="3">
        <v>3312901</v>
      </c>
      <c r="M187" s="3">
        <v>70135</v>
      </c>
      <c r="N187" s="3">
        <v>453944</v>
      </c>
      <c r="O187" s="3">
        <v>38223</v>
      </c>
      <c r="P187" s="3">
        <v>35908</v>
      </c>
      <c r="Q187" s="3">
        <v>186830</v>
      </c>
      <c r="R187" s="3">
        <v>2538890</v>
      </c>
      <c r="S187" s="3">
        <v>2527861</v>
      </c>
      <c r="T187" s="3">
        <v>2527861</v>
      </c>
      <c r="U187" s="3">
        <v>332393</v>
      </c>
      <c r="V187" s="3">
        <v>332393</v>
      </c>
      <c r="W187" s="3">
        <v>332393</v>
      </c>
      <c r="X187" s="3">
        <v>332393</v>
      </c>
      <c r="Y187" s="3">
        <v>330555</v>
      </c>
      <c r="Z187" s="3">
        <v>330555</v>
      </c>
      <c r="AA187" s="4">
        <v>330555</v>
      </c>
      <c r="AB187" s="4">
        <v>330555</v>
      </c>
      <c r="AC187" s="4">
        <v>330555</v>
      </c>
      <c r="AD187" s="4">
        <v>330554</v>
      </c>
      <c r="AE187" s="4">
        <v>332393</v>
      </c>
      <c r="AF187" s="4">
        <v>664786</v>
      </c>
      <c r="AG187" s="4">
        <v>997179</v>
      </c>
      <c r="AH187" s="4">
        <v>1329572</v>
      </c>
      <c r="AI187" s="4">
        <v>1660127</v>
      </c>
      <c r="AJ187" s="4">
        <v>1990682</v>
      </c>
      <c r="AK187" s="4">
        <v>2321237</v>
      </c>
      <c r="AL187" s="4">
        <v>2651792</v>
      </c>
      <c r="AM187" s="4">
        <v>2982347</v>
      </c>
      <c r="AN187" s="4">
        <v>3312901</v>
      </c>
      <c r="AO187" s="134">
        <v>205071</v>
      </c>
    </row>
    <row r="188" spans="1:41" x14ac:dyDescent="0.2">
      <c r="A188" s="1">
        <v>2025</v>
      </c>
      <c r="B188" s="2" t="s">
        <v>206</v>
      </c>
      <c r="C188" s="2" t="s">
        <v>206</v>
      </c>
      <c r="D188" s="1" t="s">
        <v>553</v>
      </c>
      <c r="E188" s="3">
        <v>8321318</v>
      </c>
      <c r="F188" s="3">
        <v>1028</v>
      </c>
      <c r="G188" s="3">
        <v>0</v>
      </c>
      <c r="H188" s="3">
        <v>26898</v>
      </c>
      <c r="I188" s="3">
        <v>0</v>
      </c>
      <c r="J188" s="3">
        <v>8320290</v>
      </c>
      <c r="K188" s="3">
        <v>8293392</v>
      </c>
      <c r="L188" s="3">
        <v>8293392</v>
      </c>
      <c r="M188" s="3">
        <v>241578</v>
      </c>
      <c r="N188" s="3">
        <v>1117846</v>
      </c>
      <c r="O188" s="3">
        <v>96930</v>
      </c>
      <c r="P188" s="3">
        <v>93467</v>
      </c>
      <c r="Q188" s="3">
        <v>468813</v>
      </c>
      <c r="R188" s="3">
        <v>6301656</v>
      </c>
      <c r="S188" s="3">
        <v>6274758</v>
      </c>
      <c r="T188" s="3">
        <v>6274758</v>
      </c>
      <c r="U188" s="3">
        <v>832029</v>
      </c>
      <c r="V188" s="3">
        <v>832029</v>
      </c>
      <c r="W188" s="3">
        <v>832029</v>
      </c>
      <c r="X188" s="3">
        <v>832029</v>
      </c>
      <c r="Y188" s="3">
        <v>827546</v>
      </c>
      <c r="Z188" s="3">
        <v>827546</v>
      </c>
      <c r="AA188" s="4">
        <v>827546</v>
      </c>
      <c r="AB188" s="4">
        <v>827546</v>
      </c>
      <c r="AC188" s="4">
        <v>827546</v>
      </c>
      <c r="AD188" s="4">
        <v>827546</v>
      </c>
      <c r="AE188" s="4">
        <v>832029</v>
      </c>
      <c r="AF188" s="4">
        <v>1664058</v>
      </c>
      <c r="AG188" s="4">
        <v>2496087</v>
      </c>
      <c r="AH188" s="4">
        <v>3328116</v>
      </c>
      <c r="AI188" s="4">
        <v>4155662</v>
      </c>
      <c r="AJ188" s="4">
        <v>4983208</v>
      </c>
      <c r="AK188" s="4">
        <v>5810754</v>
      </c>
      <c r="AL188" s="4">
        <v>6638300</v>
      </c>
      <c r="AM188" s="4">
        <v>7465846</v>
      </c>
      <c r="AN188" s="4">
        <v>8293392</v>
      </c>
      <c r="AO188" s="134">
        <v>491624</v>
      </c>
    </row>
    <row r="189" spans="1:41" x14ac:dyDescent="0.2">
      <c r="A189" s="1">
        <v>2025</v>
      </c>
      <c r="B189" s="2" t="s">
        <v>207</v>
      </c>
      <c r="C189" s="2" t="s">
        <v>207</v>
      </c>
      <c r="D189" s="1" t="s">
        <v>554</v>
      </c>
      <c r="E189" s="3">
        <v>5238525</v>
      </c>
      <c r="F189" s="3">
        <v>630</v>
      </c>
      <c r="G189" s="3">
        <v>0</v>
      </c>
      <c r="H189" s="3">
        <v>16349</v>
      </c>
      <c r="I189" s="1">
        <v>0</v>
      </c>
      <c r="J189" s="3">
        <v>5237895</v>
      </c>
      <c r="K189" s="3">
        <v>5221546</v>
      </c>
      <c r="L189" s="3">
        <v>5221546</v>
      </c>
      <c r="M189" s="3">
        <v>148064</v>
      </c>
      <c r="N189" s="3">
        <v>681673</v>
      </c>
      <c r="O189" s="3">
        <v>56898</v>
      </c>
      <c r="P189" s="3">
        <v>48753</v>
      </c>
      <c r="Q189" s="3">
        <v>281041</v>
      </c>
      <c r="R189" s="3">
        <v>4021466</v>
      </c>
      <c r="S189" s="3">
        <v>4005117</v>
      </c>
      <c r="T189" s="3">
        <v>4005117</v>
      </c>
      <c r="U189" s="3">
        <v>523790</v>
      </c>
      <c r="V189" s="3">
        <v>523790</v>
      </c>
      <c r="W189" s="3">
        <v>523790</v>
      </c>
      <c r="X189" s="3">
        <v>523790</v>
      </c>
      <c r="Y189" s="3">
        <v>521064</v>
      </c>
      <c r="Z189" s="3">
        <v>521064</v>
      </c>
      <c r="AA189" s="4">
        <v>521065</v>
      </c>
      <c r="AB189" s="4">
        <v>521065</v>
      </c>
      <c r="AC189" s="4">
        <v>521065</v>
      </c>
      <c r="AD189" s="4">
        <v>521063</v>
      </c>
      <c r="AE189" s="4">
        <v>523790</v>
      </c>
      <c r="AF189" s="4">
        <v>1047580</v>
      </c>
      <c r="AG189" s="4">
        <v>1571370</v>
      </c>
      <c r="AH189" s="4">
        <v>2095160</v>
      </c>
      <c r="AI189" s="4">
        <v>2616224</v>
      </c>
      <c r="AJ189" s="4">
        <v>3137288</v>
      </c>
      <c r="AK189" s="4">
        <v>3658353</v>
      </c>
      <c r="AL189" s="4">
        <v>4179418</v>
      </c>
      <c r="AM189" s="4">
        <v>4700483</v>
      </c>
      <c r="AN189" s="4">
        <v>5221546</v>
      </c>
      <c r="AO189" s="134">
        <v>313654</v>
      </c>
    </row>
    <row r="190" spans="1:41" x14ac:dyDescent="0.2">
      <c r="A190" s="1">
        <v>2025</v>
      </c>
      <c r="B190" s="2" t="s">
        <v>208</v>
      </c>
      <c r="C190" s="2" t="s">
        <v>208</v>
      </c>
      <c r="D190" s="1" t="s">
        <v>555</v>
      </c>
      <c r="E190" s="3">
        <v>6331425</v>
      </c>
      <c r="F190" s="3">
        <v>630</v>
      </c>
      <c r="G190" s="3">
        <v>0</v>
      </c>
      <c r="H190" s="3">
        <v>18298</v>
      </c>
      <c r="I190" s="1">
        <v>0</v>
      </c>
      <c r="J190" s="3">
        <v>6330795</v>
      </c>
      <c r="K190" s="3">
        <v>6312497</v>
      </c>
      <c r="L190" s="3">
        <v>6312497</v>
      </c>
      <c r="M190" s="3">
        <v>148064</v>
      </c>
      <c r="N190" s="3">
        <v>724646</v>
      </c>
      <c r="O190" s="3">
        <v>69067</v>
      </c>
      <c r="P190" s="3">
        <v>67475</v>
      </c>
      <c r="Q190" s="3">
        <v>308349</v>
      </c>
      <c r="R190" s="3">
        <v>5013194</v>
      </c>
      <c r="S190" s="3">
        <v>4994896</v>
      </c>
      <c r="T190" s="3">
        <v>4994896</v>
      </c>
      <c r="U190" s="3">
        <v>633080</v>
      </c>
      <c r="V190" s="3">
        <v>633080</v>
      </c>
      <c r="W190" s="3">
        <v>633080</v>
      </c>
      <c r="X190" s="3">
        <v>633080</v>
      </c>
      <c r="Y190" s="3">
        <v>630030</v>
      </c>
      <c r="Z190" s="3">
        <v>630030</v>
      </c>
      <c r="AA190" s="4">
        <v>630029</v>
      </c>
      <c r="AB190" s="4">
        <v>630029</v>
      </c>
      <c r="AC190" s="4">
        <v>630029</v>
      </c>
      <c r="AD190" s="4">
        <v>630030</v>
      </c>
      <c r="AE190" s="4">
        <v>633080</v>
      </c>
      <c r="AF190" s="4">
        <v>1266160</v>
      </c>
      <c r="AG190" s="4">
        <v>1899240</v>
      </c>
      <c r="AH190" s="4">
        <v>2532320</v>
      </c>
      <c r="AI190" s="4">
        <v>3162350</v>
      </c>
      <c r="AJ190" s="4">
        <v>3792380</v>
      </c>
      <c r="AK190" s="4">
        <v>4422409</v>
      </c>
      <c r="AL190" s="4">
        <v>5052438</v>
      </c>
      <c r="AM190" s="4">
        <v>5682467</v>
      </c>
      <c r="AN190" s="4">
        <v>6312497</v>
      </c>
      <c r="AO190" s="134">
        <v>349459</v>
      </c>
    </row>
    <row r="191" spans="1:41" x14ac:dyDescent="0.2">
      <c r="A191" s="1">
        <v>2025</v>
      </c>
      <c r="B191" s="2" t="s">
        <v>209</v>
      </c>
      <c r="C191" s="2" t="s">
        <v>209</v>
      </c>
      <c r="D191" s="1" t="s">
        <v>556</v>
      </c>
      <c r="E191" s="3">
        <v>2223311</v>
      </c>
      <c r="F191" s="1">
        <v>332</v>
      </c>
      <c r="G191" s="1">
        <v>0</v>
      </c>
      <c r="H191" s="3">
        <v>10490</v>
      </c>
      <c r="I191" s="1">
        <v>0</v>
      </c>
      <c r="J191" s="3">
        <v>2222979</v>
      </c>
      <c r="K191" s="3">
        <v>2212489</v>
      </c>
      <c r="L191" s="3">
        <v>2212489</v>
      </c>
      <c r="M191" s="3">
        <v>77928</v>
      </c>
      <c r="N191" s="3">
        <v>498080</v>
      </c>
      <c r="O191" s="3">
        <v>38145</v>
      </c>
      <c r="P191" s="3">
        <v>29782</v>
      </c>
      <c r="Q191" s="3">
        <v>175914</v>
      </c>
      <c r="R191" s="3">
        <v>1403130</v>
      </c>
      <c r="S191" s="3">
        <v>1392640</v>
      </c>
      <c r="T191" s="3">
        <v>1392640</v>
      </c>
      <c r="U191" s="3">
        <v>222298</v>
      </c>
      <c r="V191" s="3">
        <v>222298</v>
      </c>
      <c r="W191" s="3">
        <v>222298</v>
      </c>
      <c r="X191" s="3">
        <v>222298</v>
      </c>
      <c r="Y191" s="3">
        <v>220550</v>
      </c>
      <c r="Z191" s="3">
        <v>220550</v>
      </c>
      <c r="AA191" s="4">
        <v>220549</v>
      </c>
      <c r="AB191" s="4">
        <v>220549</v>
      </c>
      <c r="AC191" s="4">
        <v>220549</v>
      </c>
      <c r="AD191" s="4">
        <v>220550</v>
      </c>
      <c r="AE191" s="4">
        <v>222298</v>
      </c>
      <c r="AF191" s="4">
        <v>444596</v>
      </c>
      <c r="AG191" s="4">
        <v>666894</v>
      </c>
      <c r="AH191" s="4">
        <v>889192</v>
      </c>
      <c r="AI191" s="4">
        <v>1109742</v>
      </c>
      <c r="AJ191" s="4">
        <v>1330292</v>
      </c>
      <c r="AK191" s="4">
        <v>1550841</v>
      </c>
      <c r="AL191" s="4">
        <v>1771390</v>
      </c>
      <c r="AM191" s="4">
        <v>1991939</v>
      </c>
      <c r="AN191" s="4">
        <v>2212489</v>
      </c>
      <c r="AO191" s="134">
        <v>198906</v>
      </c>
    </row>
    <row r="192" spans="1:41" x14ac:dyDescent="0.2">
      <c r="A192" s="1">
        <v>2025</v>
      </c>
      <c r="B192" s="2" t="s">
        <v>210</v>
      </c>
      <c r="C192" s="2" t="s">
        <v>210</v>
      </c>
      <c r="D192" s="1" t="s">
        <v>557</v>
      </c>
      <c r="E192" s="3">
        <v>7086079</v>
      </c>
      <c r="F192" s="3">
        <v>979</v>
      </c>
      <c r="G192" s="3">
        <v>0</v>
      </c>
      <c r="H192" s="3">
        <v>21819</v>
      </c>
      <c r="I192" s="3">
        <v>0</v>
      </c>
      <c r="J192" s="3">
        <v>7085100</v>
      </c>
      <c r="K192" s="3">
        <v>7063281</v>
      </c>
      <c r="L192" s="3">
        <v>7063281</v>
      </c>
      <c r="M192" s="3">
        <v>229888</v>
      </c>
      <c r="N192" s="3">
        <v>875973</v>
      </c>
      <c r="O192" s="3">
        <v>72935</v>
      </c>
      <c r="P192" s="3">
        <v>67348</v>
      </c>
      <c r="Q192" s="3">
        <v>376833</v>
      </c>
      <c r="R192" s="3">
        <v>5462123</v>
      </c>
      <c r="S192" s="3">
        <v>5440304</v>
      </c>
      <c r="T192" s="3">
        <v>5440304</v>
      </c>
      <c r="U192" s="3">
        <v>708510</v>
      </c>
      <c r="V192" s="3">
        <v>708510</v>
      </c>
      <c r="W192" s="3">
        <v>708510</v>
      </c>
      <c r="X192" s="3">
        <v>708510</v>
      </c>
      <c r="Y192" s="3">
        <v>704874</v>
      </c>
      <c r="Z192" s="3">
        <v>704874</v>
      </c>
      <c r="AA192" s="4">
        <v>704873</v>
      </c>
      <c r="AB192" s="4">
        <v>704873</v>
      </c>
      <c r="AC192" s="4">
        <v>704873</v>
      </c>
      <c r="AD192" s="4">
        <v>704874</v>
      </c>
      <c r="AE192" s="4">
        <v>708510</v>
      </c>
      <c r="AF192" s="4">
        <v>1417020</v>
      </c>
      <c r="AG192" s="4">
        <v>2125530</v>
      </c>
      <c r="AH192" s="4">
        <v>2834040</v>
      </c>
      <c r="AI192" s="4">
        <v>3538914</v>
      </c>
      <c r="AJ192" s="4">
        <v>4243788</v>
      </c>
      <c r="AK192" s="4">
        <v>4948661</v>
      </c>
      <c r="AL192" s="4">
        <v>5653534</v>
      </c>
      <c r="AM192" s="4">
        <v>6358407</v>
      </c>
      <c r="AN192" s="4">
        <v>7063281</v>
      </c>
      <c r="AO192" s="134">
        <v>397420</v>
      </c>
    </row>
    <row r="193" spans="1:41" x14ac:dyDescent="0.2">
      <c r="A193" s="1">
        <v>2025</v>
      </c>
      <c r="B193" s="2" t="s">
        <v>211</v>
      </c>
      <c r="C193" s="2" t="s">
        <v>211</v>
      </c>
      <c r="D193" s="1" t="s">
        <v>558</v>
      </c>
      <c r="E193" s="3">
        <v>2570779</v>
      </c>
      <c r="F193" s="1">
        <v>381</v>
      </c>
      <c r="G193" s="1">
        <v>0</v>
      </c>
      <c r="H193" s="3">
        <v>7206</v>
      </c>
      <c r="I193" s="3">
        <v>0</v>
      </c>
      <c r="J193" s="3">
        <v>2570398</v>
      </c>
      <c r="K193" s="3">
        <v>2563192</v>
      </c>
      <c r="L193" s="3">
        <v>2563192</v>
      </c>
      <c r="M193" s="3">
        <v>89618</v>
      </c>
      <c r="N193" s="3">
        <v>446187</v>
      </c>
      <c r="O193" s="3">
        <v>32059</v>
      </c>
      <c r="P193" s="3">
        <v>28877</v>
      </c>
      <c r="Q193" s="3">
        <v>127327</v>
      </c>
      <c r="R193" s="3">
        <v>1846330</v>
      </c>
      <c r="S193" s="3">
        <v>1839124</v>
      </c>
      <c r="T193" s="3">
        <v>1839124</v>
      </c>
      <c r="U193" s="3">
        <v>257040</v>
      </c>
      <c r="V193" s="3">
        <v>257040</v>
      </c>
      <c r="W193" s="3">
        <v>257040</v>
      </c>
      <c r="X193" s="3">
        <v>257040</v>
      </c>
      <c r="Y193" s="3">
        <v>255839</v>
      </c>
      <c r="Z193" s="3">
        <v>255839</v>
      </c>
      <c r="AA193" s="4">
        <v>255839</v>
      </c>
      <c r="AB193" s="4">
        <v>255839</v>
      </c>
      <c r="AC193" s="4">
        <v>255839</v>
      </c>
      <c r="AD193" s="4">
        <v>255837</v>
      </c>
      <c r="AE193" s="4">
        <v>257040</v>
      </c>
      <c r="AF193" s="4">
        <v>514080</v>
      </c>
      <c r="AG193" s="4">
        <v>771120</v>
      </c>
      <c r="AH193" s="4">
        <v>1028160</v>
      </c>
      <c r="AI193" s="4">
        <v>1283999</v>
      </c>
      <c r="AJ193" s="4">
        <v>1539838</v>
      </c>
      <c r="AK193" s="4">
        <v>1795677</v>
      </c>
      <c r="AL193" s="4">
        <v>2051516</v>
      </c>
      <c r="AM193" s="4">
        <v>2307355</v>
      </c>
      <c r="AN193" s="4">
        <v>2563192</v>
      </c>
      <c r="AO193" s="134">
        <v>137586</v>
      </c>
    </row>
    <row r="194" spans="1:41" x14ac:dyDescent="0.2">
      <c r="A194" s="1">
        <v>2025</v>
      </c>
      <c r="B194" s="2" t="s">
        <v>212</v>
      </c>
      <c r="C194" s="2" t="s">
        <v>212</v>
      </c>
      <c r="D194" s="1" t="s">
        <v>559</v>
      </c>
      <c r="E194" s="3">
        <v>1919644</v>
      </c>
      <c r="F194" s="3">
        <v>100</v>
      </c>
      <c r="G194" s="3">
        <v>0</v>
      </c>
      <c r="H194" s="3">
        <v>4985</v>
      </c>
      <c r="I194" s="3">
        <v>0</v>
      </c>
      <c r="J194" s="3">
        <v>1919544</v>
      </c>
      <c r="K194" s="3">
        <v>1914559</v>
      </c>
      <c r="L194" s="3">
        <v>1914559</v>
      </c>
      <c r="M194" s="3">
        <v>23378</v>
      </c>
      <c r="N194" s="3">
        <v>381127</v>
      </c>
      <c r="O194" s="3">
        <v>17874</v>
      </c>
      <c r="P194" s="3">
        <v>14351</v>
      </c>
      <c r="Q194" s="3">
        <v>83594</v>
      </c>
      <c r="R194" s="3">
        <v>1399220</v>
      </c>
      <c r="S194" s="3">
        <v>1394235</v>
      </c>
      <c r="T194" s="3">
        <v>1394235</v>
      </c>
      <c r="U194" s="3">
        <v>191954</v>
      </c>
      <c r="V194" s="3">
        <v>191954</v>
      </c>
      <c r="W194" s="3">
        <v>191954</v>
      </c>
      <c r="X194" s="3">
        <v>191954</v>
      </c>
      <c r="Y194" s="3">
        <v>191124</v>
      </c>
      <c r="Z194" s="3">
        <v>191124</v>
      </c>
      <c r="AA194" s="4">
        <v>191124</v>
      </c>
      <c r="AB194" s="4">
        <v>191124</v>
      </c>
      <c r="AC194" s="4">
        <v>191124</v>
      </c>
      <c r="AD194" s="4">
        <v>191123</v>
      </c>
      <c r="AE194" s="4">
        <v>191954</v>
      </c>
      <c r="AF194" s="4">
        <v>383908</v>
      </c>
      <c r="AG194" s="4">
        <v>575862</v>
      </c>
      <c r="AH194" s="4">
        <v>767816</v>
      </c>
      <c r="AI194" s="4">
        <v>958940</v>
      </c>
      <c r="AJ194" s="4">
        <v>1150064</v>
      </c>
      <c r="AK194" s="4">
        <v>1341188</v>
      </c>
      <c r="AL194" s="4">
        <v>1532312</v>
      </c>
      <c r="AM194" s="4">
        <v>1723436</v>
      </c>
      <c r="AN194" s="4">
        <v>1914559</v>
      </c>
      <c r="AO194" s="134">
        <v>98658</v>
      </c>
    </row>
    <row r="195" spans="1:41" x14ac:dyDescent="0.2">
      <c r="A195" s="1">
        <v>2025</v>
      </c>
      <c r="B195" s="2" t="s">
        <v>213</v>
      </c>
      <c r="C195" s="2" t="s">
        <v>213</v>
      </c>
      <c r="D195" s="1" t="s">
        <v>560</v>
      </c>
      <c r="E195" s="3">
        <v>1689100</v>
      </c>
      <c r="F195" s="3">
        <v>182</v>
      </c>
      <c r="G195" s="3">
        <v>0</v>
      </c>
      <c r="H195" s="3">
        <v>4483</v>
      </c>
      <c r="I195" s="3">
        <v>0</v>
      </c>
      <c r="J195" s="3">
        <v>1688918</v>
      </c>
      <c r="K195" s="3">
        <v>1684435</v>
      </c>
      <c r="L195" s="3">
        <v>1684435</v>
      </c>
      <c r="M195" s="3">
        <v>42861</v>
      </c>
      <c r="N195" s="3">
        <v>239644</v>
      </c>
      <c r="O195" s="3">
        <v>19556</v>
      </c>
      <c r="P195" s="3">
        <v>15056</v>
      </c>
      <c r="Q195" s="3">
        <v>75170</v>
      </c>
      <c r="R195" s="3">
        <v>1296631</v>
      </c>
      <c r="S195" s="3">
        <v>1292148</v>
      </c>
      <c r="T195" s="3">
        <v>1292148</v>
      </c>
      <c r="U195" s="3">
        <v>168892</v>
      </c>
      <c r="V195" s="3">
        <v>168892</v>
      </c>
      <c r="W195" s="3">
        <v>168892</v>
      </c>
      <c r="X195" s="3">
        <v>168892</v>
      </c>
      <c r="Y195" s="3">
        <v>168145</v>
      </c>
      <c r="Z195" s="3">
        <v>168145</v>
      </c>
      <c r="AA195" s="4">
        <v>168144</v>
      </c>
      <c r="AB195" s="4">
        <v>168144</v>
      </c>
      <c r="AC195" s="4">
        <v>168144</v>
      </c>
      <c r="AD195" s="4">
        <v>168145</v>
      </c>
      <c r="AE195" s="4">
        <v>168892</v>
      </c>
      <c r="AF195" s="4">
        <v>337784</v>
      </c>
      <c r="AG195" s="4">
        <v>506676</v>
      </c>
      <c r="AH195" s="4">
        <v>675568</v>
      </c>
      <c r="AI195" s="4">
        <v>843713</v>
      </c>
      <c r="AJ195" s="4">
        <v>1011858</v>
      </c>
      <c r="AK195" s="4">
        <v>1180002</v>
      </c>
      <c r="AL195" s="4">
        <v>1348146</v>
      </c>
      <c r="AM195" s="4">
        <v>1516290</v>
      </c>
      <c r="AN195" s="4">
        <v>1684435</v>
      </c>
      <c r="AO195" s="134">
        <v>81482</v>
      </c>
    </row>
    <row r="196" spans="1:41" x14ac:dyDescent="0.2">
      <c r="A196" s="1">
        <v>2025</v>
      </c>
      <c r="B196" s="2" t="s">
        <v>214</v>
      </c>
      <c r="C196" s="2" t="s">
        <v>214</v>
      </c>
      <c r="D196" s="1" t="s">
        <v>561</v>
      </c>
      <c r="E196" s="3">
        <v>1553033</v>
      </c>
      <c r="F196" s="1">
        <v>182</v>
      </c>
      <c r="G196" s="1">
        <v>0</v>
      </c>
      <c r="H196" s="3">
        <v>4384</v>
      </c>
      <c r="I196" s="3">
        <v>0</v>
      </c>
      <c r="J196" s="3">
        <v>1552851</v>
      </c>
      <c r="K196" s="3">
        <v>1548467</v>
      </c>
      <c r="L196" s="3">
        <v>1548467</v>
      </c>
      <c r="M196" s="3">
        <v>42861</v>
      </c>
      <c r="N196" s="3">
        <v>278685</v>
      </c>
      <c r="O196" s="3">
        <v>16761</v>
      </c>
      <c r="P196" s="3">
        <v>14980</v>
      </c>
      <c r="Q196" s="3">
        <v>73508</v>
      </c>
      <c r="R196" s="3">
        <v>1126056</v>
      </c>
      <c r="S196" s="3">
        <v>1121672</v>
      </c>
      <c r="T196" s="3">
        <v>1121672</v>
      </c>
      <c r="U196" s="3">
        <v>155285</v>
      </c>
      <c r="V196" s="3">
        <v>155285</v>
      </c>
      <c r="W196" s="3">
        <v>155285</v>
      </c>
      <c r="X196" s="3">
        <v>155285</v>
      </c>
      <c r="Y196" s="3">
        <v>154555</v>
      </c>
      <c r="Z196" s="3">
        <v>154555</v>
      </c>
      <c r="AA196" s="4">
        <v>154554</v>
      </c>
      <c r="AB196" s="4">
        <v>154554</v>
      </c>
      <c r="AC196" s="4">
        <v>154554</v>
      </c>
      <c r="AD196" s="4">
        <v>154555</v>
      </c>
      <c r="AE196" s="4">
        <v>155285</v>
      </c>
      <c r="AF196" s="4">
        <v>310570</v>
      </c>
      <c r="AG196" s="4">
        <v>465855</v>
      </c>
      <c r="AH196" s="4">
        <v>621140</v>
      </c>
      <c r="AI196" s="4">
        <v>775695</v>
      </c>
      <c r="AJ196" s="4">
        <v>930250</v>
      </c>
      <c r="AK196" s="4">
        <v>1084804</v>
      </c>
      <c r="AL196" s="4">
        <v>1239358</v>
      </c>
      <c r="AM196" s="4">
        <v>1393912</v>
      </c>
      <c r="AN196" s="4">
        <v>1548467</v>
      </c>
      <c r="AO196" s="134">
        <v>79444</v>
      </c>
    </row>
    <row r="197" spans="1:41" x14ac:dyDescent="0.2">
      <c r="A197" s="1">
        <v>2025</v>
      </c>
      <c r="B197" s="2" t="s">
        <v>215</v>
      </c>
      <c r="C197" s="2" t="s">
        <v>215</v>
      </c>
      <c r="D197" s="1" t="s">
        <v>562</v>
      </c>
      <c r="E197" s="3">
        <v>4186284</v>
      </c>
      <c r="F197" s="3">
        <v>647</v>
      </c>
      <c r="G197" s="3">
        <v>0</v>
      </c>
      <c r="H197" s="3">
        <v>13479</v>
      </c>
      <c r="I197" s="3">
        <v>0</v>
      </c>
      <c r="J197" s="3">
        <v>4185637</v>
      </c>
      <c r="K197" s="3">
        <v>4172158</v>
      </c>
      <c r="L197" s="3">
        <v>4172158</v>
      </c>
      <c r="M197" s="3">
        <v>151960</v>
      </c>
      <c r="N197" s="3">
        <v>617758</v>
      </c>
      <c r="O197" s="3">
        <v>52354</v>
      </c>
      <c r="P197" s="3">
        <v>55226</v>
      </c>
      <c r="Q197" s="3">
        <v>226040</v>
      </c>
      <c r="R197" s="3">
        <v>3082299</v>
      </c>
      <c r="S197" s="3">
        <v>3068820</v>
      </c>
      <c r="T197" s="3">
        <v>3068820</v>
      </c>
      <c r="U197" s="3">
        <v>418564</v>
      </c>
      <c r="V197" s="3">
        <v>418564</v>
      </c>
      <c r="W197" s="3">
        <v>418564</v>
      </c>
      <c r="X197" s="3">
        <v>418564</v>
      </c>
      <c r="Y197" s="3">
        <v>416317</v>
      </c>
      <c r="Z197" s="3">
        <v>416317</v>
      </c>
      <c r="AA197" s="4">
        <v>416317</v>
      </c>
      <c r="AB197" s="4">
        <v>416317</v>
      </c>
      <c r="AC197" s="4">
        <v>416317</v>
      </c>
      <c r="AD197" s="4">
        <v>416317</v>
      </c>
      <c r="AE197" s="4">
        <v>418564</v>
      </c>
      <c r="AF197" s="4">
        <v>837128</v>
      </c>
      <c r="AG197" s="4">
        <v>1255692</v>
      </c>
      <c r="AH197" s="4">
        <v>1674256</v>
      </c>
      <c r="AI197" s="4">
        <v>2090573</v>
      </c>
      <c r="AJ197" s="4">
        <v>2506890</v>
      </c>
      <c r="AK197" s="4">
        <v>2923207</v>
      </c>
      <c r="AL197" s="4">
        <v>3339524</v>
      </c>
      <c r="AM197" s="4">
        <v>3755841</v>
      </c>
      <c r="AN197" s="4">
        <v>4172158</v>
      </c>
      <c r="AO197" s="134">
        <v>254688</v>
      </c>
    </row>
    <row r="198" spans="1:41" x14ac:dyDescent="0.2">
      <c r="A198" s="1">
        <v>2025</v>
      </c>
      <c r="B198" s="2" t="s">
        <v>216</v>
      </c>
      <c r="C198" s="2" t="s">
        <v>216</v>
      </c>
      <c r="D198" s="1" t="s">
        <v>563</v>
      </c>
      <c r="E198" s="3">
        <v>13295837</v>
      </c>
      <c r="F198" s="3">
        <v>1410</v>
      </c>
      <c r="G198" s="3">
        <v>0</v>
      </c>
      <c r="H198" s="3">
        <v>39044</v>
      </c>
      <c r="I198" s="3">
        <v>0</v>
      </c>
      <c r="J198" s="3">
        <v>13294427</v>
      </c>
      <c r="K198" s="3">
        <v>13255383</v>
      </c>
      <c r="L198" s="3">
        <v>13255383</v>
      </c>
      <c r="M198" s="3">
        <v>331195</v>
      </c>
      <c r="N198" s="3">
        <v>1288729</v>
      </c>
      <c r="O198" s="3">
        <v>152688</v>
      </c>
      <c r="P198" s="3">
        <v>137188</v>
      </c>
      <c r="Q198" s="3">
        <v>660369</v>
      </c>
      <c r="R198" s="3">
        <v>10724258</v>
      </c>
      <c r="S198" s="3">
        <v>10685214</v>
      </c>
      <c r="T198" s="3">
        <v>10685214</v>
      </c>
      <c r="U198" s="3">
        <v>1329443</v>
      </c>
      <c r="V198" s="3">
        <v>1329443</v>
      </c>
      <c r="W198" s="3">
        <v>1329443</v>
      </c>
      <c r="X198" s="3">
        <v>1329443</v>
      </c>
      <c r="Y198" s="3">
        <v>1322935</v>
      </c>
      <c r="Z198" s="3">
        <v>1322935</v>
      </c>
      <c r="AA198" s="4">
        <v>1322935</v>
      </c>
      <c r="AB198" s="4">
        <v>1322935</v>
      </c>
      <c r="AC198" s="4">
        <v>1322935</v>
      </c>
      <c r="AD198" s="4">
        <v>1322936</v>
      </c>
      <c r="AE198" s="4">
        <v>1329443</v>
      </c>
      <c r="AF198" s="4">
        <v>2658886</v>
      </c>
      <c r="AG198" s="4">
        <v>3988329</v>
      </c>
      <c r="AH198" s="4">
        <v>5317772</v>
      </c>
      <c r="AI198" s="4">
        <v>6640707</v>
      </c>
      <c r="AJ198" s="4">
        <v>7963642</v>
      </c>
      <c r="AK198" s="4">
        <v>9286577</v>
      </c>
      <c r="AL198" s="4">
        <v>10609512</v>
      </c>
      <c r="AM198" s="4">
        <v>11932447</v>
      </c>
      <c r="AN198" s="4">
        <v>13255383</v>
      </c>
      <c r="AO198" s="134">
        <v>723932</v>
      </c>
    </row>
    <row r="199" spans="1:41" x14ac:dyDescent="0.2">
      <c r="A199" s="1">
        <v>2025</v>
      </c>
      <c r="B199" s="2" t="s">
        <v>217</v>
      </c>
      <c r="C199" s="2" t="s">
        <v>217</v>
      </c>
      <c r="D199" s="1" t="s">
        <v>564</v>
      </c>
      <c r="E199" s="3">
        <v>8185149</v>
      </c>
      <c r="F199" s="3">
        <v>979</v>
      </c>
      <c r="G199" s="3">
        <v>0</v>
      </c>
      <c r="H199" s="3">
        <v>24724</v>
      </c>
      <c r="I199" s="1">
        <v>0</v>
      </c>
      <c r="J199" s="3">
        <v>8184170</v>
      </c>
      <c r="K199" s="3">
        <v>8159446</v>
      </c>
      <c r="L199" s="3">
        <v>8159446</v>
      </c>
      <c r="M199" s="3">
        <v>229888</v>
      </c>
      <c r="N199" s="3">
        <v>887390</v>
      </c>
      <c r="O199" s="3">
        <v>92158</v>
      </c>
      <c r="P199" s="3">
        <v>84786</v>
      </c>
      <c r="Q199" s="3">
        <v>418763</v>
      </c>
      <c r="R199" s="3">
        <v>6471185</v>
      </c>
      <c r="S199" s="3">
        <v>6446461</v>
      </c>
      <c r="T199" s="3">
        <v>6446461</v>
      </c>
      <c r="U199" s="3">
        <v>818417</v>
      </c>
      <c r="V199" s="3">
        <v>818417</v>
      </c>
      <c r="W199" s="3">
        <v>818417</v>
      </c>
      <c r="X199" s="3">
        <v>818417</v>
      </c>
      <c r="Y199" s="3">
        <v>814296</v>
      </c>
      <c r="Z199" s="3">
        <v>814296</v>
      </c>
      <c r="AA199" s="4">
        <v>814297</v>
      </c>
      <c r="AB199" s="4">
        <v>814297</v>
      </c>
      <c r="AC199" s="4">
        <v>814297</v>
      </c>
      <c r="AD199" s="4">
        <v>814295</v>
      </c>
      <c r="AE199" s="4">
        <v>818417</v>
      </c>
      <c r="AF199" s="4">
        <v>1636834</v>
      </c>
      <c r="AG199" s="4">
        <v>2455251</v>
      </c>
      <c r="AH199" s="4">
        <v>3273668</v>
      </c>
      <c r="AI199" s="4">
        <v>4087964</v>
      </c>
      <c r="AJ199" s="4">
        <v>4902260</v>
      </c>
      <c r="AK199" s="4">
        <v>5716557</v>
      </c>
      <c r="AL199" s="4">
        <v>6530854</v>
      </c>
      <c r="AM199" s="4">
        <v>7345151</v>
      </c>
      <c r="AN199" s="4">
        <v>8159446</v>
      </c>
      <c r="AO199" s="134">
        <v>434550</v>
      </c>
    </row>
    <row r="200" spans="1:41" x14ac:dyDescent="0.2">
      <c r="A200" s="1">
        <v>2025</v>
      </c>
      <c r="B200" s="2" t="s">
        <v>218</v>
      </c>
      <c r="C200" s="2" t="s">
        <v>218</v>
      </c>
      <c r="D200" s="1" t="s">
        <v>565</v>
      </c>
      <c r="E200" s="3">
        <v>2038733</v>
      </c>
      <c r="F200" s="3">
        <v>415</v>
      </c>
      <c r="G200" s="3">
        <v>0</v>
      </c>
      <c r="H200" s="3">
        <v>4965</v>
      </c>
      <c r="I200" s="3">
        <v>0</v>
      </c>
      <c r="J200" s="3">
        <v>2038318</v>
      </c>
      <c r="K200" s="3">
        <v>2033353</v>
      </c>
      <c r="L200" s="3">
        <v>2033353</v>
      </c>
      <c r="M200" s="3">
        <v>97410</v>
      </c>
      <c r="N200" s="3">
        <v>310026</v>
      </c>
      <c r="O200" s="3">
        <v>20929</v>
      </c>
      <c r="P200" s="3">
        <v>17343</v>
      </c>
      <c r="Q200" s="3">
        <v>83254</v>
      </c>
      <c r="R200" s="3">
        <v>1509356</v>
      </c>
      <c r="S200" s="3">
        <v>1504391</v>
      </c>
      <c r="T200" s="3">
        <v>1504391</v>
      </c>
      <c r="U200" s="3">
        <v>203832</v>
      </c>
      <c r="V200" s="3">
        <v>203832</v>
      </c>
      <c r="W200" s="3">
        <v>203832</v>
      </c>
      <c r="X200" s="3">
        <v>203832</v>
      </c>
      <c r="Y200" s="3">
        <v>203004</v>
      </c>
      <c r="Z200" s="3">
        <v>203004</v>
      </c>
      <c r="AA200" s="4">
        <v>203004</v>
      </c>
      <c r="AB200" s="4">
        <v>203004</v>
      </c>
      <c r="AC200" s="4">
        <v>203004</v>
      </c>
      <c r="AD200" s="4">
        <v>203005</v>
      </c>
      <c r="AE200" s="4">
        <v>203832</v>
      </c>
      <c r="AF200" s="4">
        <v>407664</v>
      </c>
      <c r="AG200" s="4">
        <v>611496</v>
      </c>
      <c r="AH200" s="4">
        <v>815328</v>
      </c>
      <c r="AI200" s="4">
        <v>1018332</v>
      </c>
      <c r="AJ200" s="4">
        <v>1221336</v>
      </c>
      <c r="AK200" s="4">
        <v>1424340</v>
      </c>
      <c r="AL200" s="4">
        <v>1627344</v>
      </c>
      <c r="AM200" s="4">
        <v>1830348</v>
      </c>
      <c r="AN200" s="4">
        <v>2033353</v>
      </c>
      <c r="AO200" s="134">
        <v>94174</v>
      </c>
    </row>
    <row r="201" spans="1:41" x14ac:dyDescent="0.2">
      <c r="A201" s="1">
        <v>2025</v>
      </c>
      <c r="B201" s="2" t="s">
        <v>219</v>
      </c>
      <c r="C201" s="2" t="s">
        <v>219</v>
      </c>
      <c r="D201" s="1" t="s">
        <v>566</v>
      </c>
      <c r="E201" s="3">
        <v>35471122</v>
      </c>
      <c r="F201" s="3">
        <v>3980</v>
      </c>
      <c r="G201" s="3">
        <v>46451</v>
      </c>
      <c r="H201" s="3">
        <v>99627</v>
      </c>
      <c r="I201" s="3">
        <v>0</v>
      </c>
      <c r="J201" s="3">
        <v>35420691</v>
      </c>
      <c r="K201" s="3">
        <v>35321064</v>
      </c>
      <c r="L201" s="3">
        <v>35321064</v>
      </c>
      <c r="M201" s="3">
        <v>935140</v>
      </c>
      <c r="N201" s="3">
        <v>3433370</v>
      </c>
      <c r="O201" s="3">
        <v>397243</v>
      </c>
      <c r="P201" s="3">
        <v>329178</v>
      </c>
      <c r="Q201" s="3">
        <v>1718641</v>
      </c>
      <c r="R201" s="3">
        <v>28607119</v>
      </c>
      <c r="S201" s="3">
        <v>28507492</v>
      </c>
      <c r="T201" s="3">
        <v>28507492</v>
      </c>
      <c r="U201" s="3">
        <v>3542069</v>
      </c>
      <c r="V201" s="3">
        <v>3542069</v>
      </c>
      <c r="W201" s="3">
        <v>3542069</v>
      </c>
      <c r="X201" s="3">
        <v>3542069</v>
      </c>
      <c r="Y201" s="3">
        <v>3525465</v>
      </c>
      <c r="Z201" s="3">
        <v>3525465</v>
      </c>
      <c r="AA201" s="4">
        <v>3525465</v>
      </c>
      <c r="AB201" s="4">
        <v>3525465</v>
      </c>
      <c r="AC201" s="4">
        <v>3525465</v>
      </c>
      <c r="AD201" s="4">
        <v>3525463</v>
      </c>
      <c r="AE201" s="4">
        <v>3542069</v>
      </c>
      <c r="AF201" s="4">
        <v>7084138</v>
      </c>
      <c r="AG201" s="4">
        <v>10626207</v>
      </c>
      <c r="AH201" s="4">
        <v>14168276</v>
      </c>
      <c r="AI201" s="4">
        <v>17693741</v>
      </c>
      <c r="AJ201" s="4">
        <v>21219206</v>
      </c>
      <c r="AK201" s="4">
        <v>24744671</v>
      </c>
      <c r="AL201" s="4">
        <v>28270136</v>
      </c>
      <c r="AM201" s="4">
        <v>31795601</v>
      </c>
      <c r="AN201" s="4">
        <v>35321064</v>
      </c>
      <c r="AO201" s="134">
        <v>1871557</v>
      </c>
    </row>
    <row r="202" spans="1:41" x14ac:dyDescent="0.2">
      <c r="A202" s="1">
        <v>2025</v>
      </c>
      <c r="B202" s="2" t="s">
        <v>220</v>
      </c>
      <c r="C202" s="2" t="s">
        <v>220</v>
      </c>
      <c r="D202" s="1" t="s">
        <v>567</v>
      </c>
      <c r="E202" s="3">
        <v>4223234</v>
      </c>
      <c r="F202" s="3">
        <v>564</v>
      </c>
      <c r="G202" s="3">
        <v>0</v>
      </c>
      <c r="H202" s="3">
        <v>13376</v>
      </c>
      <c r="I202" s="1">
        <v>0</v>
      </c>
      <c r="J202" s="3">
        <v>4222670</v>
      </c>
      <c r="K202" s="3">
        <v>4209294</v>
      </c>
      <c r="L202" s="3">
        <v>4209294</v>
      </c>
      <c r="M202" s="3">
        <v>132478</v>
      </c>
      <c r="N202" s="3">
        <v>550496</v>
      </c>
      <c r="O202" s="3">
        <v>40672</v>
      </c>
      <c r="P202" s="3">
        <v>44823</v>
      </c>
      <c r="Q202" s="3">
        <v>226568</v>
      </c>
      <c r="R202" s="3">
        <v>3227633</v>
      </c>
      <c r="S202" s="3">
        <v>3214257</v>
      </c>
      <c r="T202" s="3">
        <v>3214257</v>
      </c>
      <c r="U202" s="3">
        <v>422267</v>
      </c>
      <c r="V202" s="3">
        <v>422267</v>
      </c>
      <c r="W202" s="3">
        <v>422267</v>
      </c>
      <c r="X202" s="3">
        <v>422267</v>
      </c>
      <c r="Y202" s="3">
        <v>420038</v>
      </c>
      <c r="Z202" s="3">
        <v>420038</v>
      </c>
      <c r="AA202" s="4">
        <v>420038</v>
      </c>
      <c r="AB202" s="4">
        <v>420038</v>
      </c>
      <c r="AC202" s="4">
        <v>420038</v>
      </c>
      <c r="AD202" s="4">
        <v>420036</v>
      </c>
      <c r="AE202" s="4">
        <v>422267</v>
      </c>
      <c r="AF202" s="4">
        <v>844534</v>
      </c>
      <c r="AG202" s="4">
        <v>1266801</v>
      </c>
      <c r="AH202" s="4">
        <v>1689068</v>
      </c>
      <c r="AI202" s="4">
        <v>2109106</v>
      </c>
      <c r="AJ202" s="4">
        <v>2529144</v>
      </c>
      <c r="AK202" s="4">
        <v>2949182</v>
      </c>
      <c r="AL202" s="4">
        <v>3369220</v>
      </c>
      <c r="AM202" s="4">
        <v>3789258</v>
      </c>
      <c r="AN202" s="4">
        <v>4209294</v>
      </c>
      <c r="AO202" s="134">
        <v>251301</v>
      </c>
    </row>
    <row r="203" spans="1:41" x14ac:dyDescent="0.2">
      <c r="A203" s="1">
        <v>2025</v>
      </c>
      <c r="B203" s="2" t="s">
        <v>221</v>
      </c>
      <c r="C203" s="2" t="s">
        <v>221</v>
      </c>
      <c r="D203" s="1" t="s">
        <v>568</v>
      </c>
      <c r="E203" s="3">
        <v>10243802</v>
      </c>
      <c r="F203" s="3">
        <v>1542</v>
      </c>
      <c r="G203" s="3">
        <v>0</v>
      </c>
      <c r="H203" s="3">
        <v>31219</v>
      </c>
      <c r="I203" s="3">
        <v>0</v>
      </c>
      <c r="J203" s="3">
        <v>10242260</v>
      </c>
      <c r="K203" s="3">
        <v>10211041</v>
      </c>
      <c r="L203" s="3">
        <v>10211041</v>
      </c>
      <c r="M203" s="3">
        <v>362367</v>
      </c>
      <c r="N203" s="3">
        <v>1116562</v>
      </c>
      <c r="O203" s="3">
        <v>125248</v>
      </c>
      <c r="P203" s="3">
        <v>111941</v>
      </c>
      <c r="Q203" s="3">
        <v>526910</v>
      </c>
      <c r="R203" s="3">
        <v>7999232</v>
      </c>
      <c r="S203" s="3">
        <v>7968013</v>
      </c>
      <c r="T203" s="3">
        <v>7968013</v>
      </c>
      <c r="U203" s="3">
        <v>1024226</v>
      </c>
      <c r="V203" s="3">
        <v>1024226</v>
      </c>
      <c r="W203" s="3">
        <v>1024226</v>
      </c>
      <c r="X203" s="3">
        <v>1024226</v>
      </c>
      <c r="Y203" s="3">
        <v>1019023</v>
      </c>
      <c r="Z203" s="3">
        <v>1019023</v>
      </c>
      <c r="AA203" s="4">
        <v>1019023</v>
      </c>
      <c r="AB203" s="4">
        <v>1019023</v>
      </c>
      <c r="AC203" s="4">
        <v>1019023</v>
      </c>
      <c r="AD203" s="4">
        <v>1019022</v>
      </c>
      <c r="AE203" s="4">
        <v>1024226</v>
      </c>
      <c r="AF203" s="4">
        <v>2048452</v>
      </c>
      <c r="AG203" s="4">
        <v>3072678</v>
      </c>
      <c r="AH203" s="4">
        <v>4096904</v>
      </c>
      <c r="AI203" s="4">
        <v>5115927</v>
      </c>
      <c r="AJ203" s="4">
        <v>6134950</v>
      </c>
      <c r="AK203" s="4">
        <v>7153973</v>
      </c>
      <c r="AL203" s="4">
        <v>8172996</v>
      </c>
      <c r="AM203" s="4">
        <v>9192019</v>
      </c>
      <c r="AN203" s="4">
        <v>10211041</v>
      </c>
      <c r="AO203" s="134">
        <v>545717</v>
      </c>
    </row>
    <row r="204" spans="1:41" x14ac:dyDescent="0.2">
      <c r="A204" s="1">
        <v>2025</v>
      </c>
      <c r="B204" s="2" t="s">
        <v>222</v>
      </c>
      <c r="C204" s="2" t="s">
        <v>222</v>
      </c>
      <c r="D204" s="1" t="s">
        <v>569</v>
      </c>
      <c r="E204" s="3">
        <v>3021677</v>
      </c>
      <c r="F204" s="3">
        <v>481</v>
      </c>
      <c r="G204" s="3">
        <v>0</v>
      </c>
      <c r="H204" s="3">
        <v>10734</v>
      </c>
      <c r="I204" s="1">
        <v>0</v>
      </c>
      <c r="J204" s="3">
        <v>3021196</v>
      </c>
      <c r="K204" s="3">
        <v>3010462</v>
      </c>
      <c r="L204" s="3">
        <v>3010462</v>
      </c>
      <c r="M204" s="3">
        <v>112996</v>
      </c>
      <c r="N204" s="3">
        <v>512840</v>
      </c>
      <c r="O204" s="3">
        <v>42196</v>
      </c>
      <c r="P204" s="3">
        <v>35467</v>
      </c>
      <c r="Q204" s="3">
        <v>182754</v>
      </c>
      <c r="R204" s="3">
        <v>2134943</v>
      </c>
      <c r="S204" s="3">
        <v>2124209</v>
      </c>
      <c r="T204" s="3">
        <v>2124209</v>
      </c>
      <c r="U204" s="3">
        <v>302120</v>
      </c>
      <c r="V204" s="3">
        <v>302120</v>
      </c>
      <c r="W204" s="3">
        <v>302120</v>
      </c>
      <c r="X204" s="3">
        <v>302120</v>
      </c>
      <c r="Y204" s="3">
        <v>300330</v>
      </c>
      <c r="Z204" s="3">
        <v>300330</v>
      </c>
      <c r="AA204" s="4">
        <v>300331</v>
      </c>
      <c r="AB204" s="4">
        <v>300331</v>
      </c>
      <c r="AC204" s="4">
        <v>300331</v>
      </c>
      <c r="AD204" s="4">
        <v>300329</v>
      </c>
      <c r="AE204" s="4">
        <v>302120</v>
      </c>
      <c r="AF204" s="4">
        <v>604240</v>
      </c>
      <c r="AG204" s="4">
        <v>906360</v>
      </c>
      <c r="AH204" s="4">
        <v>1208480</v>
      </c>
      <c r="AI204" s="4">
        <v>1508810</v>
      </c>
      <c r="AJ204" s="4">
        <v>1809140</v>
      </c>
      <c r="AK204" s="4">
        <v>2109471</v>
      </c>
      <c r="AL204" s="4">
        <v>2409802</v>
      </c>
      <c r="AM204" s="4">
        <v>2710133</v>
      </c>
      <c r="AN204" s="4">
        <v>3010462</v>
      </c>
      <c r="AO204" s="134">
        <v>203465</v>
      </c>
    </row>
    <row r="205" spans="1:41" x14ac:dyDescent="0.2">
      <c r="A205" s="1">
        <v>2025</v>
      </c>
      <c r="B205" s="2" t="s">
        <v>223</v>
      </c>
      <c r="C205" s="2" t="s">
        <v>223</v>
      </c>
      <c r="D205" s="1" t="s">
        <v>570</v>
      </c>
      <c r="E205" s="3">
        <v>6427916</v>
      </c>
      <c r="F205" s="3">
        <v>1128</v>
      </c>
      <c r="G205" s="3">
        <v>0</v>
      </c>
      <c r="H205" s="3">
        <v>21864</v>
      </c>
      <c r="I205" s="3">
        <v>0</v>
      </c>
      <c r="J205" s="3">
        <v>6426788</v>
      </c>
      <c r="K205" s="3">
        <v>6404924</v>
      </c>
      <c r="L205" s="3">
        <v>6404924</v>
      </c>
      <c r="M205" s="3">
        <v>264956</v>
      </c>
      <c r="N205" s="3">
        <v>844811</v>
      </c>
      <c r="O205" s="3">
        <v>64477</v>
      </c>
      <c r="P205" s="3">
        <v>75375</v>
      </c>
      <c r="Q205" s="3">
        <v>378722</v>
      </c>
      <c r="R205" s="3">
        <v>4798447</v>
      </c>
      <c r="S205" s="3">
        <v>4776583</v>
      </c>
      <c r="T205" s="3">
        <v>4776583</v>
      </c>
      <c r="U205" s="3">
        <v>642679</v>
      </c>
      <c r="V205" s="3">
        <v>642679</v>
      </c>
      <c r="W205" s="3">
        <v>642679</v>
      </c>
      <c r="X205" s="3">
        <v>642679</v>
      </c>
      <c r="Y205" s="3">
        <v>639035</v>
      </c>
      <c r="Z205" s="3">
        <v>639035</v>
      </c>
      <c r="AA205" s="4">
        <v>639035</v>
      </c>
      <c r="AB205" s="4">
        <v>639035</v>
      </c>
      <c r="AC205" s="4">
        <v>639035</v>
      </c>
      <c r="AD205" s="4">
        <v>639033</v>
      </c>
      <c r="AE205" s="4">
        <v>642679</v>
      </c>
      <c r="AF205" s="4">
        <v>1285358</v>
      </c>
      <c r="AG205" s="4">
        <v>1928037</v>
      </c>
      <c r="AH205" s="4">
        <v>2570716</v>
      </c>
      <c r="AI205" s="4">
        <v>3209751</v>
      </c>
      <c r="AJ205" s="4">
        <v>3848786</v>
      </c>
      <c r="AK205" s="4">
        <v>4487821</v>
      </c>
      <c r="AL205" s="4">
        <v>5126856</v>
      </c>
      <c r="AM205" s="4">
        <v>5765891</v>
      </c>
      <c r="AN205" s="4">
        <v>6404924</v>
      </c>
      <c r="AO205" s="134">
        <v>415705</v>
      </c>
    </row>
    <row r="206" spans="1:41" x14ac:dyDescent="0.2">
      <c r="A206" s="1">
        <v>2025</v>
      </c>
      <c r="B206" s="2" t="s">
        <v>224</v>
      </c>
      <c r="C206" s="2" t="s">
        <v>224</v>
      </c>
      <c r="D206" s="1" t="s">
        <v>571</v>
      </c>
      <c r="E206" s="3">
        <v>4558028</v>
      </c>
      <c r="F206" s="3">
        <v>531</v>
      </c>
      <c r="G206" s="3">
        <v>0</v>
      </c>
      <c r="H206" s="3">
        <v>12009</v>
      </c>
      <c r="I206" s="3">
        <v>0</v>
      </c>
      <c r="J206" s="3">
        <v>4557497</v>
      </c>
      <c r="K206" s="3">
        <v>4545488</v>
      </c>
      <c r="L206" s="3">
        <v>4545488</v>
      </c>
      <c r="M206" s="3">
        <v>124685</v>
      </c>
      <c r="N206" s="3">
        <v>489279</v>
      </c>
      <c r="O206" s="3">
        <v>44173</v>
      </c>
      <c r="P206" s="3">
        <v>39231</v>
      </c>
      <c r="Q206" s="3">
        <v>201373</v>
      </c>
      <c r="R206" s="3">
        <v>3658756</v>
      </c>
      <c r="S206" s="3">
        <v>3646747</v>
      </c>
      <c r="T206" s="3">
        <v>3646747</v>
      </c>
      <c r="U206" s="3">
        <v>455750</v>
      </c>
      <c r="V206" s="3">
        <v>455750</v>
      </c>
      <c r="W206" s="3">
        <v>455750</v>
      </c>
      <c r="X206" s="3">
        <v>455750</v>
      </c>
      <c r="Y206" s="3">
        <v>453748</v>
      </c>
      <c r="Z206" s="3">
        <v>453748</v>
      </c>
      <c r="AA206" s="4">
        <v>453748</v>
      </c>
      <c r="AB206" s="4">
        <v>453748</v>
      </c>
      <c r="AC206" s="4">
        <v>453748</v>
      </c>
      <c r="AD206" s="4">
        <v>453748</v>
      </c>
      <c r="AE206" s="4">
        <v>455750</v>
      </c>
      <c r="AF206" s="4">
        <v>911500</v>
      </c>
      <c r="AG206" s="4">
        <v>1367250</v>
      </c>
      <c r="AH206" s="4">
        <v>1823000</v>
      </c>
      <c r="AI206" s="4">
        <v>2276748</v>
      </c>
      <c r="AJ206" s="4">
        <v>2730496</v>
      </c>
      <c r="AK206" s="4">
        <v>3184244</v>
      </c>
      <c r="AL206" s="4">
        <v>3637992</v>
      </c>
      <c r="AM206" s="4">
        <v>4091740</v>
      </c>
      <c r="AN206" s="4">
        <v>4545488</v>
      </c>
      <c r="AO206" s="134">
        <v>216621</v>
      </c>
    </row>
    <row r="207" spans="1:41" x14ac:dyDescent="0.2">
      <c r="A207" s="1">
        <v>2025</v>
      </c>
      <c r="B207" s="2" t="s">
        <v>225</v>
      </c>
      <c r="C207" s="2" t="s">
        <v>225</v>
      </c>
      <c r="D207" s="1" t="s">
        <v>572</v>
      </c>
      <c r="E207" s="3">
        <v>24205441</v>
      </c>
      <c r="F207" s="3">
        <v>1741</v>
      </c>
      <c r="G207" s="3">
        <v>0</v>
      </c>
      <c r="H207" s="3">
        <v>65589</v>
      </c>
      <c r="I207" s="1">
        <v>0</v>
      </c>
      <c r="J207" s="3">
        <v>24203700</v>
      </c>
      <c r="K207" s="3">
        <v>24138111</v>
      </c>
      <c r="L207" s="3">
        <v>24138111</v>
      </c>
      <c r="M207" s="3">
        <v>409124</v>
      </c>
      <c r="N207" s="3">
        <v>2176298</v>
      </c>
      <c r="O207" s="3">
        <v>254433</v>
      </c>
      <c r="P207" s="3">
        <v>219499</v>
      </c>
      <c r="Q207" s="3">
        <v>1125930</v>
      </c>
      <c r="R207" s="3">
        <v>20018416</v>
      </c>
      <c r="S207" s="3">
        <v>19952827</v>
      </c>
      <c r="T207" s="3">
        <v>19952827</v>
      </c>
      <c r="U207" s="3">
        <v>2420370</v>
      </c>
      <c r="V207" s="3">
        <v>2420370</v>
      </c>
      <c r="W207" s="3">
        <v>2420370</v>
      </c>
      <c r="X207" s="3">
        <v>2420370</v>
      </c>
      <c r="Y207" s="3">
        <v>2409439</v>
      </c>
      <c r="Z207" s="3">
        <v>2409439</v>
      </c>
      <c r="AA207" s="4">
        <v>2409438</v>
      </c>
      <c r="AB207" s="4">
        <v>2409438</v>
      </c>
      <c r="AC207" s="4">
        <v>2409438</v>
      </c>
      <c r="AD207" s="4">
        <v>2409439</v>
      </c>
      <c r="AE207" s="4">
        <v>2420370</v>
      </c>
      <c r="AF207" s="4">
        <v>4840740</v>
      </c>
      <c r="AG207" s="4">
        <v>7261110</v>
      </c>
      <c r="AH207" s="4">
        <v>9681480</v>
      </c>
      <c r="AI207" s="4">
        <v>12090919</v>
      </c>
      <c r="AJ207" s="4">
        <v>14500358</v>
      </c>
      <c r="AK207" s="4">
        <v>16909796</v>
      </c>
      <c r="AL207" s="4">
        <v>19319234</v>
      </c>
      <c r="AM207" s="4">
        <v>21728672</v>
      </c>
      <c r="AN207" s="4">
        <v>24138111</v>
      </c>
      <c r="AO207" s="134">
        <v>1209617</v>
      </c>
    </row>
    <row r="208" spans="1:41" x14ac:dyDescent="0.2">
      <c r="A208" s="1">
        <v>2025</v>
      </c>
      <c r="B208" s="2" t="s">
        <v>226</v>
      </c>
      <c r="C208" s="2" t="s">
        <v>226</v>
      </c>
      <c r="D208" s="1" t="s">
        <v>573</v>
      </c>
      <c r="E208" s="3">
        <v>5258317</v>
      </c>
      <c r="F208" s="3">
        <v>580</v>
      </c>
      <c r="G208" s="3">
        <v>0</v>
      </c>
      <c r="H208" s="3">
        <v>17633</v>
      </c>
      <c r="I208" s="3">
        <v>0</v>
      </c>
      <c r="J208" s="3">
        <v>5257737</v>
      </c>
      <c r="K208" s="3">
        <v>5240104</v>
      </c>
      <c r="L208" s="3">
        <v>5240104</v>
      </c>
      <c r="M208" s="3">
        <v>136375</v>
      </c>
      <c r="N208" s="3">
        <v>762644</v>
      </c>
      <c r="O208" s="3">
        <v>59631</v>
      </c>
      <c r="P208" s="3">
        <v>63624</v>
      </c>
      <c r="Q208" s="3">
        <v>304761</v>
      </c>
      <c r="R208" s="3">
        <v>3930702</v>
      </c>
      <c r="S208" s="3">
        <v>3913069</v>
      </c>
      <c r="T208" s="3">
        <v>3913069</v>
      </c>
      <c r="U208" s="3">
        <v>525774</v>
      </c>
      <c r="V208" s="3">
        <v>525774</v>
      </c>
      <c r="W208" s="3">
        <v>525774</v>
      </c>
      <c r="X208" s="3">
        <v>525774</v>
      </c>
      <c r="Y208" s="3">
        <v>522835</v>
      </c>
      <c r="Z208" s="3">
        <v>522835</v>
      </c>
      <c r="AA208" s="4">
        <v>522835</v>
      </c>
      <c r="AB208" s="4">
        <v>522835</v>
      </c>
      <c r="AC208" s="4">
        <v>522835</v>
      </c>
      <c r="AD208" s="4">
        <v>522833</v>
      </c>
      <c r="AE208" s="4">
        <v>525774</v>
      </c>
      <c r="AF208" s="4">
        <v>1051548</v>
      </c>
      <c r="AG208" s="4">
        <v>1577322</v>
      </c>
      <c r="AH208" s="4">
        <v>2103096</v>
      </c>
      <c r="AI208" s="4">
        <v>2625931</v>
      </c>
      <c r="AJ208" s="4">
        <v>3148766</v>
      </c>
      <c r="AK208" s="4">
        <v>3671601</v>
      </c>
      <c r="AL208" s="4">
        <v>4194436</v>
      </c>
      <c r="AM208" s="4">
        <v>4717271</v>
      </c>
      <c r="AN208" s="4">
        <v>5240104</v>
      </c>
      <c r="AO208" s="134">
        <v>341203</v>
      </c>
    </row>
    <row r="209" spans="1:41" x14ac:dyDescent="0.2">
      <c r="A209" s="1">
        <v>2025</v>
      </c>
      <c r="B209" s="2" t="s">
        <v>227</v>
      </c>
      <c r="C209" s="2" t="s">
        <v>227</v>
      </c>
      <c r="D209" s="1" t="s">
        <v>574</v>
      </c>
      <c r="E209" s="3">
        <v>3787929</v>
      </c>
      <c r="F209" s="3">
        <v>630</v>
      </c>
      <c r="G209" s="3">
        <v>0</v>
      </c>
      <c r="H209" s="3">
        <v>11412</v>
      </c>
      <c r="I209" s="1">
        <v>0</v>
      </c>
      <c r="J209" s="3">
        <v>3787299</v>
      </c>
      <c r="K209" s="3">
        <v>3775887</v>
      </c>
      <c r="L209" s="3">
        <v>3775887</v>
      </c>
      <c r="M209" s="3">
        <v>148064</v>
      </c>
      <c r="N209" s="3">
        <v>638909</v>
      </c>
      <c r="O209" s="3">
        <v>44890</v>
      </c>
      <c r="P209" s="3">
        <v>41812</v>
      </c>
      <c r="Q209" s="3">
        <v>194215</v>
      </c>
      <c r="R209" s="3">
        <v>2719409</v>
      </c>
      <c r="S209" s="3">
        <v>2707997</v>
      </c>
      <c r="T209" s="3">
        <v>2707997</v>
      </c>
      <c r="U209" s="3">
        <v>378730</v>
      </c>
      <c r="V209" s="3">
        <v>378730</v>
      </c>
      <c r="W209" s="3">
        <v>378730</v>
      </c>
      <c r="X209" s="3">
        <v>378730</v>
      </c>
      <c r="Y209" s="3">
        <v>376828</v>
      </c>
      <c r="Z209" s="3">
        <v>376828</v>
      </c>
      <c r="AA209" s="4">
        <v>376828</v>
      </c>
      <c r="AB209" s="4">
        <v>376828</v>
      </c>
      <c r="AC209" s="4">
        <v>376828</v>
      </c>
      <c r="AD209" s="4">
        <v>376827</v>
      </c>
      <c r="AE209" s="4">
        <v>378730</v>
      </c>
      <c r="AF209" s="4">
        <v>757460</v>
      </c>
      <c r="AG209" s="4">
        <v>1136190</v>
      </c>
      <c r="AH209" s="4">
        <v>1514920</v>
      </c>
      <c r="AI209" s="4">
        <v>1891748</v>
      </c>
      <c r="AJ209" s="4">
        <v>2268576</v>
      </c>
      <c r="AK209" s="4">
        <v>2645404</v>
      </c>
      <c r="AL209" s="4">
        <v>3022232</v>
      </c>
      <c r="AM209" s="4">
        <v>3399060</v>
      </c>
      <c r="AN209" s="4">
        <v>3775887</v>
      </c>
      <c r="AO209" s="134">
        <v>210667</v>
      </c>
    </row>
    <row r="210" spans="1:41" x14ac:dyDescent="0.2">
      <c r="A210" s="1">
        <v>2025</v>
      </c>
      <c r="B210" s="2" t="s">
        <v>228</v>
      </c>
      <c r="C210" s="2" t="s">
        <v>228</v>
      </c>
      <c r="D210" s="1" t="s">
        <v>790</v>
      </c>
      <c r="E210" s="3">
        <v>8297119</v>
      </c>
      <c r="F210" s="3">
        <v>829</v>
      </c>
      <c r="G210" s="3">
        <v>0</v>
      </c>
      <c r="H210" s="3">
        <v>24927</v>
      </c>
      <c r="I210" s="3">
        <v>0</v>
      </c>
      <c r="J210" s="3">
        <v>8296290</v>
      </c>
      <c r="K210" s="3">
        <v>8271363</v>
      </c>
      <c r="L210" s="3">
        <v>8271363</v>
      </c>
      <c r="M210" s="3">
        <v>194821</v>
      </c>
      <c r="N210" s="3">
        <v>888190</v>
      </c>
      <c r="O210" s="3">
        <v>83886</v>
      </c>
      <c r="P210" s="3">
        <v>83085</v>
      </c>
      <c r="Q210" s="3">
        <v>419387</v>
      </c>
      <c r="R210" s="3">
        <v>6626921</v>
      </c>
      <c r="S210" s="3">
        <v>6601994</v>
      </c>
      <c r="T210" s="3">
        <v>6601994</v>
      </c>
      <c r="U210" s="3">
        <v>829629</v>
      </c>
      <c r="V210" s="3">
        <v>829629</v>
      </c>
      <c r="W210" s="3">
        <v>829629</v>
      </c>
      <c r="X210" s="3">
        <v>829629</v>
      </c>
      <c r="Y210" s="3">
        <v>825475</v>
      </c>
      <c r="Z210" s="3">
        <v>825475</v>
      </c>
      <c r="AA210" s="4">
        <v>825474</v>
      </c>
      <c r="AB210" s="4">
        <v>825474</v>
      </c>
      <c r="AC210" s="4">
        <v>825474</v>
      </c>
      <c r="AD210" s="4">
        <v>825475</v>
      </c>
      <c r="AE210" s="4">
        <v>829629</v>
      </c>
      <c r="AF210" s="4">
        <v>1659258</v>
      </c>
      <c r="AG210" s="4">
        <v>2488887</v>
      </c>
      <c r="AH210" s="4">
        <v>3318516</v>
      </c>
      <c r="AI210" s="4">
        <v>4143991</v>
      </c>
      <c r="AJ210" s="4">
        <v>4969466</v>
      </c>
      <c r="AK210" s="4">
        <v>5794940</v>
      </c>
      <c r="AL210" s="4">
        <v>6620414</v>
      </c>
      <c r="AM210" s="4">
        <v>7445888</v>
      </c>
      <c r="AN210" s="4">
        <v>8271363</v>
      </c>
      <c r="AO210" s="134">
        <v>499565</v>
      </c>
    </row>
    <row r="211" spans="1:41" x14ac:dyDescent="0.2">
      <c r="A211" s="1">
        <v>2025</v>
      </c>
      <c r="B211" s="2" t="s">
        <v>230</v>
      </c>
      <c r="C211" s="2" t="s">
        <v>230</v>
      </c>
      <c r="D211" s="1" t="s">
        <v>575</v>
      </c>
      <c r="E211" s="3">
        <v>3251304</v>
      </c>
      <c r="F211" s="3">
        <v>614</v>
      </c>
      <c r="G211" s="3">
        <v>0</v>
      </c>
      <c r="H211" s="3">
        <v>10621</v>
      </c>
      <c r="I211" s="1">
        <v>0</v>
      </c>
      <c r="J211" s="3">
        <v>3250690</v>
      </c>
      <c r="K211" s="3">
        <v>3240069</v>
      </c>
      <c r="L211" s="3">
        <v>3240069</v>
      </c>
      <c r="M211" s="3">
        <v>144167</v>
      </c>
      <c r="N211" s="3">
        <v>627563</v>
      </c>
      <c r="O211" s="3">
        <v>43266</v>
      </c>
      <c r="P211" s="3">
        <v>37312</v>
      </c>
      <c r="Q211" s="3">
        <v>186037</v>
      </c>
      <c r="R211" s="3">
        <v>2212345</v>
      </c>
      <c r="S211" s="3">
        <v>2201724</v>
      </c>
      <c r="T211" s="3">
        <v>2201724</v>
      </c>
      <c r="U211" s="3">
        <v>325069</v>
      </c>
      <c r="V211" s="3">
        <v>325069</v>
      </c>
      <c r="W211" s="3">
        <v>325069</v>
      </c>
      <c r="X211" s="3">
        <v>325069</v>
      </c>
      <c r="Y211" s="3">
        <v>323299</v>
      </c>
      <c r="Z211" s="3">
        <v>323299</v>
      </c>
      <c r="AA211" s="4">
        <v>323299</v>
      </c>
      <c r="AB211" s="4">
        <v>323299</v>
      </c>
      <c r="AC211" s="4">
        <v>323299</v>
      </c>
      <c r="AD211" s="4">
        <v>323298</v>
      </c>
      <c r="AE211" s="4">
        <v>325069</v>
      </c>
      <c r="AF211" s="4">
        <v>650138</v>
      </c>
      <c r="AG211" s="4">
        <v>975207</v>
      </c>
      <c r="AH211" s="4">
        <v>1300276</v>
      </c>
      <c r="AI211" s="4">
        <v>1623575</v>
      </c>
      <c r="AJ211" s="4">
        <v>1946874</v>
      </c>
      <c r="AK211" s="4">
        <v>2270173</v>
      </c>
      <c r="AL211" s="4">
        <v>2593472</v>
      </c>
      <c r="AM211" s="4">
        <v>2916771</v>
      </c>
      <c r="AN211" s="4">
        <v>3240069</v>
      </c>
      <c r="AO211" s="134">
        <v>201190</v>
      </c>
    </row>
    <row r="212" spans="1:41" x14ac:dyDescent="0.2">
      <c r="A212" s="1">
        <v>2025</v>
      </c>
      <c r="B212" s="2" t="s">
        <v>231</v>
      </c>
      <c r="C212" s="2" t="s">
        <v>231</v>
      </c>
      <c r="D212" s="1" t="s">
        <v>576</v>
      </c>
      <c r="E212" s="3">
        <v>3687537</v>
      </c>
      <c r="F212" s="3">
        <v>614</v>
      </c>
      <c r="G212" s="3">
        <v>0</v>
      </c>
      <c r="H212" s="3">
        <v>12281</v>
      </c>
      <c r="I212" s="1">
        <v>0</v>
      </c>
      <c r="J212" s="3">
        <v>3686923</v>
      </c>
      <c r="K212" s="3">
        <v>3674642</v>
      </c>
      <c r="L212" s="3">
        <v>3674642</v>
      </c>
      <c r="M212" s="3">
        <v>144167</v>
      </c>
      <c r="N212" s="3">
        <v>501302</v>
      </c>
      <c r="O212" s="3">
        <v>38551</v>
      </c>
      <c r="P212" s="3">
        <v>38168</v>
      </c>
      <c r="Q212" s="3">
        <v>206322</v>
      </c>
      <c r="R212" s="3">
        <v>2758413</v>
      </c>
      <c r="S212" s="3">
        <v>2746132</v>
      </c>
      <c r="T212" s="3">
        <v>2746132</v>
      </c>
      <c r="U212" s="3">
        <v>368692</v>
      </c>
      <c r="V212" s="3">
        <v>368692</v>
      </c>
      <c r="W212" s="3">
        <v>368692</v>
      </c>
      <c r="X212" s="3">
        <v>368692</v>
      </c>
      <c r="Y212" s="3">
        <v>366646</v>
      </c>
      <c r="Z212" s="3">
        <v>366646</v>
      </c>
      <c r="AA212" s="4">
        <v>366646</v>
      </c>
      <c r="AB212" s="4">
        <v>366646</v>
      </c>
      <c r="AC212" s="4">
        <v>366646</v>
      </c>
      <c r="AD212" s="4">
        <v>366644</v>
      </c>
      <c r="AE212" s="4">
        <v>368692</v>
      </c>
      <c r="AF212" s="4">
        <v>737384</v>
      </c>
      <c r="AG212" s="4">
        <v>1106076</v>
      </c>
      <c r="AH212" s="4">
        <v>1474768</v>
      </c>
      <c r="AI212" s="4">
        <v>1841414</v>
      </c>
      <c r="AJ212" s="4">
        <v>2208060</v>
      </c>
      <c r="AK212" s="4">
        <v>2574706</v>
      </c>
      <c r="AL212" s="4">
        <v>2941352</v>
      </c>
      <c r="AM212" s="4">
        <v>3307998</v>
      </c>
      <c r="AN212" s="4">
        <v>3674642</v>
      </c>
      <c r="AO212" s="134">
        <v>229814</v>
      </c>
    </row>
    <row r="213" spans="1:41" x14ac:dyDescent="0.2">
      <c r="A213" s="1">
        <v>2025</v>
      </c>
      <c r="B213" s="2" t="s">
        <v>232</v>
      </c>
      <c r="C213" s="2" t="s">
        <v>232</v>
      </c>
      <c r="D213" s="1" t="s">
        <v>577</v>
      </c>
      <c r="E213" s="3">
        <v>982617</v>
      </c>
      <c r="F213" s="3">
        <v>365</v>
      </c>
      <c r="G213" s="3">
        <v>0</v>
      </c>
      <c r="H213" s="3">
        <v>5478</v>
      </c>
      <c r="I213" s="1">
        <v>0</v>
      </c>
      <c r="J213" s="3">
        <v>982252</v>
      </c>
      <c r="K213" s="3">
        <v>976774</v>
      </c>
      <c r="L213" s="3">
        <v>976774</v>
      </c>
      <c r="M213" s="3">
        <v>85721</v>
      </c>
      <c r="N213" s="3">
        <v>307322</v>
      </c>
      <c r="O213" s="3">
        <v>18106</v>
      </c>
      <c r="P213" s="3">
        <v>19704</v>
      </c>
      <c r="Q213" s="3">
        <v>96399</v>
      </c>
      <c r="R213" s="3">
        <v>455000</v>
      </c>
      <c r="S213" s="3">
        <v>449522</v>
      </c>
      <c r="T213" s="3">
        <v>449522</v>
      </c>
      <c r="U213" s="3">
        <v>98225</v>
      </c>
      <c r="V213" s="3">
        <v>98225</v>
      </c>
      <c r="W213" s="3">
        <v>98225</v>
      </c>
      <c r="X213" s="3">
        <v>98225</v>
      </c>
      <c r="Y213" s="3">
        <v>97312</v>
      </c>
      <c r="Z213" s="3">
        <v>97312</v>
      </c>
      <c r="AA213" s="4">
        <v>97313</v>
      </c>
      <c r="AB213" s="4">
        <v>97313</v>
      </c>
      <c r="AC213" s="4">
        <v>97313</v>
      </c>
      <c r="AD213" s="4">
        <v>97311</v>
      </c>
      <c r="AE213" s="4">
        <v>98225</v>
      </c>
      <c r="AF213" s="4">
        <v>196450</v>
      </c>
      <c r="AG213" s="4">
        <v>294675</v>
      </c>
      <c r="AH213" s="4">
        <v>392900</v>
      </c>
      <c r="AI213" s="4">
        <v>490212</v>
      </c>
      <c r="AJ213" s="4">
        <v>587524</v>
      </c>
      <c r="AK213" s="4">
        <v>684837</v>
      </c>
      <c r="AL213" s="4">
        <v>782150</v>
      </c>
      <c r="AM213" s="4">
        <v>879463</v>
      </c>
      <c r="AN213" s="4">
        <v>976774</v>
      </c>
      <c r="AO213" s="134">
        <v>117349</v>
      </c>
    </row>
    <row r="214" spans="1:41" x14ac:dyDescent="0.2">
      <c r="A214" s="1">
        <v>2025</v>
      </c>
      <c r="B214" s="2" t="s">
        <v>233</v>
      </c>
      <c r="C214" s="2" t="s">
        <v>233</v>
      </c>
      <c r="D214" s="1" t="s">
        <v>578</v>
      </c>
      <c r="E214" s="3">
        <v>16084956</v>
      </c>
      <c r="F214" s="3">
        <v>1659</v>
      </c>
      <c r="G214" s="3">
        <v>0</v>
      </c>
      <c r="H214" s="3">
        <v>48329</v>
      </c>
      <c r="I214" s="1">
        <v>0</v>
      </c>
      <c r="J214" s="3">
        <v>16083297</v>
      </c>
      <c r="K214" s="3">
        <v>16034968</v>
      </c>
      <c r="L214" s="3">
        <v>16034968</v>
      </c>
      <c r="M214" s="3">
        <v>389641</v>
      </c>
      <c r="N214" s="3">
        <v>1576716</v>
      </c>
      <c r="O214" s="3">
        <v>143672</v>
      </c>
      <c r="P214" s="3">
        <v>143477</v>
      </c>
      <c r="Q214" s="3">
        <v>815730</v>
      </c>
      <c r="R214" s="3">
        <v>13014061</v>
      </c>
      <c r="S214" s="3">
        <v>12965732</v>
      </c>
      <c r="T214" s="3">
        <v>12965732</v>
      </c>
      <c r="U214" s="3">
        <v>1608330</v>
      </c>
      <c r="V214" s="3">
        <v>1608330</v>
      </c>
      <c r="W214" s="3">
        <v>1608330</v>
      </c>
      <c r="X214" s="3">
        <v>1608330</v>
      </c>
      <c r="Y214" s="3">
        <v>1600275</v>
      </c>
      <c r="Z214" s="3">
        <v>1600275</v>
      </c>
      <c r="AA214" s="4">
        <v>1600275</v>
      </c>
      <c r="AB214" s="4">
        <v>1600275</v>
      </c>
      <c r="AC214" s="4">
        <v>1600275</v>
      </c>
      <c r="AD214" s="4">
        <v>1600273</v>
      </c>
      <c r="AE214" s="4">
        <v>1608330</v>
      </c>
      <c r="AF214" s="4">
        <v>3216660</v>
      </c>
      <c r="AG214" s="4">
        <v>4824990</v>
      </c>
      <c r="AH214" s="4">
        <v>6433320</v>
      </c>
      <c r="AI214" s="4">
        <v>8033595</v>
      </c>
      <c r="AJ214" s="4">
        <v>9633870</v>
      </c>
      <c r="AK214" s="4">
        <v>11234145</v>
      </c>
      <c r="AL214" s="4">
        <v>12834420</v>
      </c>
      <c r="AM214" s="4">
        <v>14434695</v>
      </c>
      <c r="AN214" s="4">
        <v>16034968</v>
      </c>
      <c r="AO214" s="134">
        <v>819054</v>
      </c>
    </row>
    <row r="215" spans="1:41" x14ac:dyDescent="0.2">
      <c r="A215" s="1">
        <v>2025</v>
      </c>
      <c r="B215" s="2" t="s">
        <v>234</v>
      </c>
      <c r="C215" s="2" t="s">
        <v>234</v>
      </c>
      <c r="D215" s="1" t="s">
        <v>579</v>
      </c>
      <c r="E215" s="3">
        <v>20335626</v>
      </c>
      <c r="F215" s="3">
        <v>2604</v>
      </c>
      <c r="G215" s="3">
        <v>6432</v>
      </c>
      <c r="H215" s="3">
        <v>67988</v>
      </c>
      <c r="I215" s="1">
        <v>0</v>
      </c>
      <c r="J215" s="3">
        <v>20326590</v>
      </c>
      <c r="K215" s="3">
        <v>20258602</v>
      </c>
      <c r="L215" s="3">
        <v>20258602</v>
      </c>
      <c r="M215" s="3">
        <v>604102</v>
      </c>
      <c r="N215" s="3">
        <v>2219011</v>
      </c>
      <c r="O215" s="3">
        <v>221588</v>
      </c>
      <c r="P215" s="3">
        <v>225813</v>
      </c>
      <c r="Q215" s="3">
        <v>1148027</v>
      </c>
      <c r="R215" s="3">
        <v>15908049</v>
      </c>
      <c r="S215" s="3">
        <v>15840061</v>
      </c>
      <c r="T215" s="3">
        <v>15840061</v>
      </c>
      <c r="U215" s="3">
        <v>2032659</v>
      </c>
      <c r="V215" s="3">
        <v>2032659</v>
      </c>
      <c r="W215" s="3">
        <v>2032659</v>
      </c>
      <c r="X215" s="3">
        <v>2032659</v>
      </c>
      <c r="Y215" s="3">
        <v>2021328</v>
      </c>
      <c r="Z215" s="3">
        <v>2021328</v>
      </c>
      <c r="AA215" s="4">
        <v>2021328</v>
      </c>
      <c r="AB215" s="4">
        <v>2021328</v>
      </c>
      <c r="AC215" s="4">
        <v>2021328</v>
      </c>
      <c r="AD215" s="4">
        <v>2021326</v>
      </c>
      <c r="AE215" s="4">
        <v>2032659</v>
      </c>
      <c r="AF215" s="4">
        <v>4065318</v>
      </c>
      <c r="AG215" s="4">
        <v>6097977</v>
      </c>
      <c r="AH215" s="4">
        <v>8130636</v>
      </c>
      <c r="AI215" s="4">
        <v>10151964</v>
      </c>
      <c r="AJ215" s="4">
        <v>12173292</v>
      </c>
      <c r="AK215" s="4">
        <v>14194620</v>
      </c>
      <c r="AL215" s="4">
        <v>16215948</v>
      </c>
      <c r="AM215" s="4">
        <v>18237276</v>
      </c>
      <c r="AN215" s="4">
        <v>20258602</v>
      </c>
      <c r="AO215" s="134">
        <v>1215399</v>
      </c>
    </row>
    <row r="216" spans="1:41" x14ac:dyDescent="0.2">
      <c r="A216" s="1">
        <v>2025</v>
      </c>
      <c r="B216" s="2" t="s">
        <v>235</v>
      </c>
      <c r="C216" s="2" t="s">
        <v>235</v>
      </c>
      <c r="D216" s="1" t="s">
        <v>580</v>
      </c>
      <c r="E216" s="3">
        <v>3082875</v>
      </c>
      <c r="F216" s="3">
        <v>464</v>
      </c>
      <c r="G216" s="3">
        <v>0</v>
      </c>
      <c r="H216" s="3">
        <v>10141</v>
      </c>
      <c r="I216" s="1">
        <v>0</v>
      </c>
      <c r="J216" s="3">
        <v>3082411</v>
      </c>
      <c r="K216" s="3">
        <v>3072270</v>
      </c>
      <c r="L216" s="3">
        <v>3072270</v>
      </c>
      <c r="M216" s="3">
        <v>109100</v>
      </c>
      <c r="N216" s="3">
        <v>482572</v>
      </c>
      <c r="O216" s="3">
        <v>34381</v>
      </c>
      <c r="P216" s="3">
        <v>35649</v>
      </c>
      <c r="Q216" s="3">
        <v>170436</v>
      </c>
      <c r="R216" s="3">
        <v>2250273</v>
      </c>
      <c r="S216" s="3">
        <v>2240132</v>
      </c>
      <c r="T216" s="3">
        <v>2240132</v>
      </c>
      <c r="U216" s="3">
        <v>308241</v>
      </c>
      <c r="V216" s="3">
        <v>308241</v>
      </c>
      <c r="W216" s="3">
        <v>308241</v>
      </c>
      <c r="X216" s="3">
        <v>308241</v>
      </c>
      <c r="Y216" s="3">
        <v>306551</v>
      </c>
      <c r="Z216" s="3">
        <v>306551</v>
      </c>
      <c r="AA216" s="4">
        <v>306551</v>
      </c>
      <c r="AB216" s="4">
        <v>306551</v>
      </c>
      <c r="AC216" s="4">
        <v>306551</v>
      </c>
      <c r="AD216" s="4">
        <v>306551</v>
      </c>
      <c r="AE216" s="4">
        <v>308241</v>
      </c>
      <c r="AF216" s="4">
        <v>616482</v>
      </c>
      <c r="AG216" s="4">
        <v>924723</v>
      </c>
      <c r="AH216" s="4">
        <v>1232964</v>
      </c>
      <c r="AI216" s="4">
        <v>1539515</v>
      </c>
      <c r="AJ216" s="4">
        <v>1846066</v>
      </c>
      <c r="AK216" s="4">
        <v>2152617</v>
      </c>
      <c r="AL216" s="4">
        <v>2459168</v>
      </c>
      <c r="AM216" s="4">
        <v>2765719</v>
      </c>
      <c r="AN216" s="4">
        <v>3072270</v>
      </c>
      <c r="AO216" s="134">
        <v>194380</v>
      </c>
    </row>
    <row r="217" spans="1:41" x14ac:dyDescent="0.2">
      <c r="A217" s="1">
        <v>2025</v>
      </c>
      <c r="B217" s="2" t="s">
        <v>236</v>
      </c>
      <c r="C217" s="2" t="s">
        <v>236</v>
      </c>
      <c r="D217" s="1" t="s">
        <v>581</v>
      </c>
      <c r="E217" s="3">
        <v>3500147</v>
      </c>
      <c r="F217" s="3">
        <v>531</v>
      </c>
      <c r="G217" s="3">
        <v>0</v>
      </c>
      <c r="H217" s="3">
        <v>11547</v>
      </c>
      <c r="I217" s="1">
        <v>0</v>
      </c>
      <c r="J217" s="3">
        <v>3499616</v>
      </c>
      <c r="K217" s="3">
        <v>3488069</v>
      </c>
      <c r="L217" s="3">
        <v>3488069</v>
      </c>
      <c r="M217" s="3">
        <v>124685</v>
      </c>
      <c r="N217" s="3">
        <v>470464</v>
      </c>
      <c r="O217" s="3">
        <v>34852</v>
      </c>
      <c r="P217" s="3">
        <v>39045</v>
      </c>
      <c r="Q217" s="3">
        <v>193630</v>
      </c>
      <c r="R217" s="3">
        <v>2636940</v>
      </c>
      <c r="S217" s="3">
        <v>2625393</v>
      </c>
      <c r="T217" s="3">
        <v>2625393</v>
      </c>
      <c r="U217" s="3">
        <v>349962</v>
      </c>
      <c r="V217" s="3">
        <v>349962</v>
      </c>
      <c r="W217" s="3">
        <v>349962</v>
      </c>
      <c r="X217" s="3">
        <v>349962</v>
      </c>
      <c r="Y217" s="3">
        <v>348037</v>
      </c>
      <c r="Z217" s="3">
        <v>348037</v>
      </c>
      <c r="AA217" s="4">
        <v>348037</v>
      </c>
      <c r="AB217" s="4">
        <v>348037</v>
      </c>
      <c r="AC217" s="4">
        <v>348037</v>
      </c>
      <c r="AD217" s="4">
        <v>348036</v>
      </c>
      <c r="AE217" s="4">
        <v>349962</v>
      </c>
      <c r="AF217" s="4">
        <v>699924</v>
      </c>
      <c r="AG217" s="4">
        <v>1049886</v>
      </c>
      <c r="AH217" s="4">
        <v>1399848</v>
      </c>
      <c r="AI217" s="4">
        <v>1747885</v>
      </c>
      <c r="AJ217" s="4">
        <v>2095922</v>
      </c>
      <c r="AK217" s="4">
        <v>2443959</v>
      </c>
      <c r="AL217" s="4">
        <v>2791996</v>
      </c>
      <c r="AM217" s="4">
        <v>3140033</v>
      </c>
      <c r="AN217" s="4">
        <v>3488069</v>
      </c>
      <c r="AO217" s="134">
        <v>219689</v>
      </c>
    </row>
    <row r="218" spans="1:41" x14ac:dyDescent="0.2">
      <c r="A218" s="1">
        <v>2025</v>
      </c>
      <c r="B218" s="2" t="s">
        <v>237</v>
      </c>
      <c r="C218" s="2" t="s">
        <v>237</v>
      </c>
      <c r="D218" s="1" t="s">
        <v>582</v>
      </c>
      <c r="E218" s="3">
        <v>27400414</v>
      </c>
      <c r="F218" s="3">
        <v>2455</v>
      </c>
      <c r="G218" s="3">
        <v>47681</v>
      </c>
      <c r="H218" s="3">
        <v>77282</v>
      </c>
      <c r="I218" s="3">
        <v>0</v>
      </c>
      <c r="J218" s="3">
        <v>27350278</v>
      </c>
      <c r="K218" s="3">
        <v>27272996</v>
      </c>
      <c r="L218" s="3">
        <v>27272996</v>
      </c>
      <c r="M218" s="3">
        <v>576669</v>
      </c>
      <c r="N218" s="3">
        <v>2529754</v>
      </c>
      <c r="O218" s="3">
        <v>250852</v>
      </c>
      <c r="P218" s="3">
        <v>248218</v>
      </c>
      <c r="Q218" s="3">
        <v>1308794</v>
      </c>
      <c r="R218" s="3">
        <v>22435991</v>
      </c>
      <c r="S218" s="3">
        <v>22358709</v>
      </c>
      <c r="T218" s="3">
        <v>22358709</v>
      </c>
      <c r="U218" s="3">
        <v>2735028</v>
      </c>
      <c r="V218" s="3">
        <v>2735028</v>
      </c>
      <c r="W218" s="3">
        <v>2735028</v>
      </c>
      <c r="X218" s="3">
        <v>2735028</v>
      </c>
      <c r="Y218" s="3">
        <v>2722147</v>
      </c>
      <c r="Z218" s="3">
        <v>2722147</v>
      </c>
      <c r="AA218" s="4">
        <v>2722148</v>
      </c>
      <c r="AB218" s="4">
        <v>2722148</v>
      </c>
      <c r="AC218" s="4">
        <v>2722148</v>
      </c>
      <c r="AD218" s="4">
        <v>2722146</v>
      </c>
      <c r="AE218" s="4">
        <v>2735028</v>
      </c>
      <c r="AF218" s="4">
        <v>5470056</v>
      </c>
      <c r="AG218" s="4">
        <v>8205084</v>
      </c>
      <c r="AH218" s="4">
        <v>10940112</v>
      </c>
      <c r="AI218" s="4">
        <v>13662259</v>
      </c>
      <c r="AJ218" s="4">
        <v>16384406</v>
      </c>
      <c r="AK218" s="4">
        <v>19106554</v>
      </c>
      <c r="AL218" s="4">
        <v>21828702</v>
      </c>
      <c r="AM218" s="4">
        <v>24550850</v>
      </c>
      <c r="AN218" s="4">
        <v>27272996</v>
      </c>
      <c r="AO218" s="134">
        <v>1350032</v>
      </c>
    </row>
    <row r="219" spans="1:41" x14ac:dyDescent="0.2">
      <c r="A219" s="1">
        <v>2025</v>
      </c>
      <c r="B219" s="2" t="s">
        <v>238</v>
      </c>
      <c r="C219" s="2" t="s">
        <v>689</v>
      </c>
      <c r="D219" s="1" t="s">
        <v>583</v>
      </c>
      <c r="E219" s="3">
        <v>4756261</v>
      </c>
      <c r="F219" s="3">
        <v>514</v>
      </c>
      <c r="G219" s="3">
        <v>0</v>
      </c>
      <c r="H219" s="3">
        <v>16002</v>
      </c>
      <c r="I219" s="1">
        <v>0</v>
      </c>
      <c r="J219" s="3">
        <v>4755747</v>
      </c>
      <c r="K219" s="3">
        <v>4739745</v>
      </c>
      <c r="L219" s="3">
        <v>4739745</v>
      </c>
      <c r="M219" s="3">
        <v>120789</v>
      </c>
      <c r="N219" s="3">
        <v>653575</v>
      </c>
      <c r="O219" s="3">
        <v>50062</v>
      </c>
      <c r="P219" s="3">
        <v>52108</v>
      </c>
      <c r="Q219" s="3">
        <v>268346</v>
      </c>
      <c r="R219" s="3">
        <v>3610867</v>
      </c>
      <c r="S219" s="3">
        <v>3594865</v>
      </c>
      <c r="T219" s="3">
        <v>3594865</v>
      </c>
      <c r="U219" s="3">
        <v>475575</v>
      </c>
      <c r="V219" s="3">
        <v>475575</v>
      </c>
      <c r="W219" s="3">
        <v>475575</v>
      </c>
      <c r="X219" s="3">
        <v>475575</v>
      </c>
      <c r="Y219" s="3">
        <v>472908</v>
      </c>
      <c r="Z219" s="3">
        <v>472908</v>
      </c>
      <c r="AA219" s="4">
        <v>472907</v>
      </c>
      <c r="AB219" s="4">
        <v>472907</v>
      </c>
      <c r="AC219" s="4">
        <v>472907</v>
      </c>
      <c r="AD219" s="4">
        <v>472908</v>
      </c>
      <c r="AE219" s="4">
        <v>475575</v>
      </c>
      <c r="AF219" s="4">
        <v>951150</v>
      </c>
      <c r="AG219" s="4">
        <v>1426725</v>
      </c>
      <c r="AH219" s="4">
        <v>1902300</v>
      </c>
      <c r="AI219" s="4">
        <v>2375208</v>
      </c>
      <c r="AJ219" s="4">
        <v>2848116</v>
      </c>
      <c r="AK219" s="4">
        <v>3321023</v>
      </c>
      <c r="AL219" s="4">
        <v>3793930</v>
      </c>
      <c r="AM219" s="4">
        <v>4266837</v>
      </c>
      <c r="AN219" s="4">
        <v>4739745</v>
      </c>
      <c r="AO219" s="134">
        <v>299141</v>
      </c>
    </row>
    <row r="220" spans="1:41" x14ac:dyDescent="0.2">
      <c r="A220" s="1">
        <v>2025</v>
      </c>
      <c r="B220" s="2" t="s">
        <v>239</v>
      </c>
      <c r="C220" s="2" t="s">
        <v>239</v>
      </c>
      <c r="D220" s="1" t="s">
        <v>791</v>
      </c>
      <c r="E220" s="3">
        <v>5637526</v>
      </c>
      <c r="F220" s="3">
        <v>779</v>
      </c>
      <c r="G220" s="3">
        <v>0</v>
      </c>
      <c r="H220" s="3">
        <v>20352</v>
      </c>
      <c r="I220" s="1">
        <v>0</v>
      </c>
      <c r="J220" s="3">
        <v>5636747</v>
      </c>
      <c r="K220" s="3">
        <v>5616395</v>
      </c>
      <c r="L220" s="3">
        <v>5616395</v>
      </c>
      <c r="M220" s="3">
        <v>183132</v>
      </c>
      <c r="N220" s="3">
        <v>784398</v>
      </c>
      <c r="O220" s="3">
        <v>71097</v>
      </c>
      <c r="P220" s="3">
        <v>75400</v>
      </c>
      <c r="Q220" s="3">
        <v>346576</v>
      </c>
      <c r="R220" s="3">
        <v>4176144</v>
      </c>
      <c r="S220" s="3">
        <v>4155792</v>
      </c>
      <c r="T220" s="3">
        <v>4155792</v>
      </c>
      <c r="U220" s="3">
        <v>563675</v>
      </c>
      <c r="V220" s="3">
        <v>563675</v>
      </c>
      <c r="W220" s="3">
        <v>563675</v>
      </c>
      <c r="X220" s="3">
        <v>563675</v>
      </c>
      <c r="Y220" s="3">
        <v>560283</v>
      </c>
      <c r="Z220" s="3">
        <v>560283</v>
      </c>
      <c r="AA220" s="4">
        <v>560282</v>
      </c>
      <c r="AB220" s="4">
        <v>560282</v>
      </c>
      <c r="AC220" s="4">
        <v>560282</v>
      </c>
      <c r="AD220" s="4">
        <v>560283</v>
      </c>
      <c r="AE220" s="4">
        <v>563675</v>
      </c>
      <c r="AF220" s="4">
        <v>1127350</v>
      </c>
      <c r="AG220" s="4">
        <v>1691025</v>
      </c>
      <c r="AH220" s="4">
        <v>2254700</v>
      </c>
      <c r="AI220" s="4">
        <v>2814983</v>
      </c>
      <c r="AJ220" s="4">
        <v>3375266</v>
      </c>
      <c r="AK220" s="4">
        <v>3935548</v>
      </c>
      <c r="AL220" s="4">
        <v>4495830</v>
      </c>
      <c r="AM220" s="4">
        <v>5056112</v>
      </c>
      <c r="AN220" s="4">
        <v>5616395</v>
      </c>
      <c r="AO220" s="134">
        <v>387094</v>
      </c>
    </row>
    <row r="221" spans="1:41" x14ac:dyDescent="0.2">
      <c r="A221" s="1">
        <v>2025</v>
      </c>
      <c r="B221" s="2" t="s">
        <v>240</v>
      </c>
      <c r="C221" s="2" t="s">
        <v>240</v>
      </c>
      <c r="D221" s="1" t="s">
        <v>584</v>
      </c>
      <c r="E221" s="3">
        <v>11577144</v>
      </c>
      <c r="F221" s="3">
        <v>647</v>
      </c>
      <c r="G221" s="3">
        <v>0</v>
      </c>
      <c r="H221" s="3">
        <v>29709</v>
      </c>
      <c r="I221" s="1">
        <v>0</v>
      </c>
      <c r="J221" s="3">
        <v>11576497</v>
      </c>
      <c r="K221" s="3">
        <v>11546788</v>
      </c>
      <c r="L221" s="3">
        <v>11546788</v>
      </c>
      <c r="M221" s="3">
        <v>151960</v>
      </c>
      <c r="N221" s="3">
        <v>1062130</v>
      </c>
      <c r="O221" s="3">
        <v>106006</v>
      </c>
      <c r="P221" s="3">
        <v>103352</v>
      </c>
      <c r="Q221" s="3">
        <v>501223</v>
      </c>
      <c r="R221" s="3">
        <v>9651826</v>
      </c>
      <c r="S221" s="3">
        <v>9622117</v>
      </c>
      <c r="T221" s="3">
        <v>9622117</v>
      </c>
      <c r="U221" s="3">
        <v>1157650</v>
      </c>
      <c r="V221" s="3">
        <v>1157650</v>
      </c>
      <c r="W221" s="3">
        <v>1157650</v>
      </c>
      <c r="X221" s="3">
        <v>1157650</v>
      </c>
      <c r="Y221" s="3">
        <v>1152698</v>
      </c>
      <c r="Z221" s="3">
        <v>1152698</v>
      </c>
      <c r="AA221" s="4">
        <v>1152698</v>
      </c>
      <c r="AB221" s="4">
        <v>1152698</v>
      </c>
      <c r="AC221" s="4">
        <v>1152698</v>
      </c>
      <c r="AD221" s="4">
        <v>1152698</v>
      </c>
      <c r="AE221" s="4">
        <v>1157650</v>
      </c>
      <c r="AF221" s="4">
        <v>2315300</v>
      </c>
      <c r="AG221" s="4">
        <v>3472950</v>
      </c>
      <c r="AH221" s="4">
        <v>4630600</v>
      </c>
      <c r="AI221" s="4">
        <v>5783298</v>
      </c>
      <c r="AJ221" s="4">
        <v>6935996</v>
      </c>
      <c r="AK221" s="4">
        <v>8088694</v>
      </c>
      <c r="AL221" s="4">
        <v>9241392</v>
      </c>
      <c r="AM221" s="4">
        <v>10394090</v>
      </c>
      <c r="AN221" s="4">
        <v>11546788</v>
      </c>
      <c r="AO221" s="134">
        <v>602078</v>
      </c>
    </row>
    <row r="222" spans="1:41" x14ac:dyDescent="0.2">
      <c r="A222" s="1">
        <v>2025</v>
      </c>
      <c r="B222" s="2" t="s">
        <v>241</v>
      </c>
      <c r="C222" s="2" t="s">
        <v>241</v>
      </c>
      <c r="D222" s="1" t="s">
        <v>585</v>
      </c>
      <c r="E222" s="3">
        <v>3348908</v>
      </c>
      <c r="F222" s="3">
        <v>597</v>
      </c>
      <c r="G222" s="3">
        <v>0</v>
      </c>
      <c r="H222" s="3">
        <v>13297</v>
      </c>
      <c r="I222" s="1">
        <v>0</v>
      </c>
      <c r="J222" s="3">
        <v>3348311</v>
      </c>
      <c r="K222" s="3">
        <v>3335014</v>
      </c>
      <c r="L222" s="3">
        <v>3335014</v>
      </c>
      <c r="M222" s="3">
        <v>140271</v>
      </c>
      <c r="N222" s="3">
        <v>549120</v>
      </c>
      <c r="O222" s="3">
        <v>45327</v>
      </c>
      <c r="P222" s="3">
        <v>45387</v>
      </c>
      <c r="Q222" s="3">
        <v>226002</v>
      </c>
      <c r="R222" s="3">
        <v>2342204</v>
      </c>
      <c r="S222" s="3">
        <v>2328907</v>
      </c>
      <c r="T222" s="3">
        <v>2328907</v>
      </c>
      <c r="U222" s="3">
        <v>334831</v>
      </c>
      <c r="V222" s="3">
        <v>334831</v>
      </c>
      <c r="W222" s="3">
        <v>334831</v>
      </c>
      <c r="X222" s="3">
        <v>334831</v>
      </c>
      <c r="Y222" s="3">
        <v>332615</v>
      </c>
      <c r="Z222" s="3">
        <v>332615</v>
      </c>
      <c r="AA222" s="4">
        <v>332615</v>
      </c>
      <c r="AB222" s="4">
        <v>332615</v>
      </c>
      <c r="AC222" s="4">
        <v>332615</v>
      </c>
      <c r="AD222" s="4">
        <v>332615</v>
      </c>
      <c r="AE222" s="4">
        <v>334831</v>
      </c>
      <c r="AF222" s="4">
        <v>669662</v>
      </c>
      <c r="AG222" s="4">
        <v>1004493</v>
      </c>
      <c r="AH222" s="4">
        <v>1339324</v>
      </c>
      <c r="AI222" s="4">
        <v>1671939</v>
      </c>
      <c r="AJ222" s="4">
        <v>2004554</v>
      </c>
      <c r="AK222" s="4">
        <v>2337169</v>
      </c>
      <c r="AL222" s="4">
        <v>2669784</v>
      </c>
      <c r="AM222" s="4">
        <v>3002399</v>
      </c>
      <c r="AN222" s="4">
        <v>3335014</v>
      </c>
      <c r="AO222" s="134">
        <v>223860</v>
      </c>
    </row>
    <row r="223" spans="1:41" x14ac:dyDescent="0.2">
      <c r="A223" s="1">
        <v>2025</v>
      </c>
      <c r="B223" s="2" t="s">
        <v>242</v>
      </c>
      <c r="C223" s="2" t="s">
        <v>242</v>
      </c>
      <c r="D223" s="1" t="s">
        <v>586</v>
      </c>
      <c r="E223" s="3">
        <v>359308</v>
      </c>
      <c r="F223" s="3">
        <v>1028</v>
      </c>
      <c r="G223" s="3">
        <v>0</v>
      </c>
      <c r="H223" s="3">
        <v>23076</v>
      </c>
      <c r="I223" s="1">
        <v>0</v>
      </c>
      <c r="J223" s="3">
        <v>358280</v>
      </c>
      <c r="K223" s="3">
        <v>335204</v>
      </c>
      <c r="L223" s="3">
        <v>335204</v>
      </c>
      <c r="M223" s="3">
        <v>241578</v>
      </c>
      <c r="N223" s="3">
        <v>887370</v>
      </c>
      <c r="O223" s="3">
        <v>79519</v>
      </c>
      <c r="P223" s="3">
        <v>80734</v>
      </c>
      <c r="Q223" s="3">
        <v>392779</v>
      </c>
      <c r="R223" s="3">
        <v>-1323700</v>
      </c>
      <c r="S223" s="3">
        <v>-1346776</v>
      </c>
      <c r="T223" s="3">
        <v>-1346776</v>
      </c>
      <c r="U223" s="3">
        <v>35828</v>
      </c>
      <c r="V223" s="3">
        <v>35828</v>
      </c>
      <c r="W223" s="3">
        <v>35828</v>
      </c>
      <c r="X223" s="3">
        <v>35828</v>
      </c>
      <c r="Y223" s="3">
        <v>31982</v>
      </c>
      <c r="Z223" s="3">
        <v>31982</v>
      </c>
      <c r="AA223" s="4">
        <v>31982</v>
      </c>
      <c r="AB223" s="4">
        <v>31982</v>
      </c>
      <c r="AC223" s="4">
        <v>31982</v>
      </c>
      <c r="AD223" s="4">
        <v>31982</v>
      </c>
      <c r="AE223" s="4">
        <v>35828</v>
      </c>
      <c r="AF223" s="4">
        <v>71656</v>
      </c>
      <c r="AG223" s="4">
        <v>107484</v>
      </c>
      <c r="AH223" s="4">
        <v>143312</v>
      </c>
      <c r="AI223" s="4">
        <v>175294</v>
      </c>
      <c r="AJ223" s="4">
        <v>207276</v>
      </c>
      <c r="AK223" s="4">
        <v>239258</v>
      </c>
      <c r="AL223" s="4">
        <v>271240</v>
      </c>
      <c r="AM223" s="4">
        <v>303222</v>
      </c>
      <c r="AN223" s="4">
        <v>335204</v>
      </c>
      <c r="AO223" s="134">
        <v>443322</v>
      </c>
    </row>
    <row r="224" spans="1:41" x14ac:dyDescent="0.2">
      <c r="A224" s="1">
        <v>2025</v>
      </c>
      <c r="B224" s="2" t="s">
        <v>243</v>
      </c>
      <c r="C224" s="2" t="s">
        <v>243</v>
      </c>
      <c r="D224" s="1" t="s">
        <v>587</v>
      </c>
      <c r="E224" s="3">
        <v>1475999</v>
      </c>
      <c r="F224" s="3">
        <v>166</v>
      </c>
      <c r="G224" s="3">
        <v>0</v>
      </c>
      <c r="H224" s="3">
        <v>4361</v>
      </c>
      <c r="I224" s="1">
        <v>0</v>
      </c>
      <c r="J224" s="3">
        <v>1475833</v>
      </c>
      <c r="K224" s="3">
        <v>1471472</v>
      </c>
      <c r="L224" s="3">
        <v>1471472</v>
      </c>
      <c r="M224" s="3">
        <v>38964</v>
      </c>
      <c r="N224" s="3">
        <v>284429</v>
      </c>
      <c r="O224" s="3">
        <v>17438</v>
      </c>
      <c r="P224" s="3">
        <v>17680</v>
      </c>
      <c r="Q224" s="3">
        <v>79418</v>
      </c>
      <c r="R224" s="3">
        <v>1037904</v>
      </c>
      <c r="S224" s="3">
        <v>1033543</v>
      </c>
      <c r="T224" s="3">
        <v>1033543</v>
      </c>
      <c r="U224" s="3">
        <v>147583</v>
      </c>
      <c r="V224" s="3">
        <v>147583</v>
      </c>
      <c r="W224" s="3">
        <v>147583</v>
      </c>
      <c r="X224" s="3">
        <v>147583</v>
      </c>
      <c r="Y224" s="3">
        <v>146857</v>
      </c>
      <c r="Z224" s="3">
        <v>146857</v>
      </c>
      <c r="AA224" s="4">
        <v>146857</v>
      </c>
      <c r="AB224" s="4">
        <v>146857</v>
      </c>
      <c r="AC224" s="4">
        <v>146857</v>
      </c>
      <c r="AD224" s="4">
        <v>146855</v>
      </c>
      <c r="AE224" s="4">
        <v>147583</v>
      </c>
      <c r="AF224" s="4">
        <v>295166</v>
      </c>
      <c r="AG224" s="4">
        <v>442749</v>
      </c>
      <c r="AH224" s="4">
        <v>590332</v>
      </c>
      <c r="AI224" s="4">
        <v>737189</v>
      </c>
      <c r="AJ224" s="4">
        <v>884046</v>
      </c>
      <c r="AK224" s="4">
        <v>1030903</v>
      </c>
      <c r="AL224" s="4">
        <v>1177760</v>
      </c>
      <c r="AM224" s="4">
        <v>1324617</v>
      </c>
      <c r="AN224" s="4">
        <v>1471472</v>
      </c>
      <c r="AO224" s="134">
        <v>84727</v>
      </c>
    </row>
    <row r="225" spans="1:41" x14ac:dyDescent="0.2">
      <c r="A225" s="1">
        <v>2025</v>
      </c>
      <c r="B225" s="2" t="s">
        <v>244</v>
      </c>
      <c r="C225" s="2" t="s">
        <v>244</v>
      </c>
      <c r="D225" s="1" t="s">
        <v>588</v>
      </c>
      <c r="E225" s="3">
        <v>717022</v>
      </c>
      <c r="F225" s="1">
        <v>166</v>
      </c>
      <c r="G225" s="1">
        <v>0</v>
      </c>
      <c r="H225" s="3">
        <v>3692</v>
      </c>
      <c r="I225" s="1">
        <v>0</v>
      </c>
      <c r="J225" s="3">
        <v>716856</v>
      </c>
      <c r="K225" s="3">
        <v>713164</v>
      </c>
      <c r="L225" s="3">
        <v>713164</v>
      </c>
      <c r="M225" s="3">
        <v>38964</v>
      </c>
      <c r="N225" s="3">
        <v>264702</v>
      </c>
      <c r="O225" s="3">
        <v>11502</v>
      </c>
      <c r="P225" s="3">
        <v>15926</v>
      </c>
      <c r="Q225" s="3">
        <v>65635</v>
      </c>
      <c r="R225" s="3">
        <v>320127</v>
      </c>
      <c r="S225" s="3">
        <v>316435</v>
      </c>
      <c r="T225" s="3">
        <v>316435</v>
      </c>
      <c r="U225" s="3">
        <v>71686</v>
      </c>
      <c r="V225" s="3">
        <v>71686</v>
      </c>
      <c r="W225" s="3">
        <v>71686</v>
      </c>
      <c r="X225" s="3">
        <v>71686</v>
      </c>
      <c r="Y225" s="3">
        <v>71070</v>
      </c>
      <c r="Z225" s="3">
        <v>71070</v>
      </c>
      <c r="AA225" s="4">
        <v>71070</v>
      </c>
      <c r="AB225" s="4">
        <v>71070</v>
      </c>
      <c r="AC225" s="4">
        <v>71070</v>
      </c>
      <c r="AD225" s="4">
        <v>71070</v>
      </c>
      <c r="AE225" s="4">
        <v>71686</v>
      </c>
      <c r="AF225" s="4">
        <v>143372</v>
      </c>
      <c r="AG225" s="4">
        <v>215058</v>
      </c>
      <c r="AH225" s="4">
        <v>286744</v>
      </c>
      <c r="AI225" s="4">
        <v>357814</v>
      </c>
      <c r="AJ225" s="4">
        <v>428884</v>
      </c>
      <c r="AK225" s="4">
        <v>499954</v>
      </c>
      <c r="AL225" s="4">
        <v>571024</v>
      </c>
      <c r="AM225" s="4">
        <v>642094</v>
      </c>
      <c r="AN225" s="4">
        <v>713164</v>
      </c>
      <c r="AO225" s="134">
        <v>78285</v>
      </c>
    </row>
    <row r="226" spans="1:41" x14ac:dyDescent="0.2">
      <c r="A226" s="1">
        <v>2025</v>
      </c>
      <c r="B226" s="2" t="s">
        <v>245</v>
      </c>
      <c r="C226" s="2" t="s">
        <v>245</v>
      </c>
      <c r="D226" s="1" t="s">
        <v>589</v>
      </c>
      <c r="E226" s="3">
        <v>6285819</v>
      </c>
      <c r="F226" s="3">
        <v>862</v>
      </c>
      <c r="G226" s="3">
        <v>0</v>
      </c>
      <c r="H226" s="3">
        <v>20321</v>
      </c>
      <c r="I226" s="3">
        <v>0</v>
      </c>
      <c r="J226" s="3">
        <v>6284957</v>
      </c>
      <c r="K226" s="3">
        <v>6264636</v>
      </c>
      <c r="L226" s="3">
        <v>6264636</v>
      </c>
      <c r="M226" s="3">
        <v>202614</v>
      </c>
      <c r="N226" s="3">
        <v>800812</v>
      </c>
      <c r="O226" s="3">
        <v>65971</v>
      </c>
      <c r="P226" s="3">
        <v>68812</v>
      </c>
      <c r="Q226" s="3">
        <v>340759</v>
      </c>
      <c r="R226" s="3">
        <v>4805989</v>
      </c>
      <c r="S226" s="3">
        <v>4785668</v>
      </c>
      <c r="T226" s="3">
        <v>4785668</v>
      </c>
      <c r="U226" s="3">
        <v>628496</v>
      </c>
      <c r="V226" s="3">
        <v>628496</v>
      </c>
      <c r="W226" s="3">
        <v>628496</v>
      </c>
      <c r="X226" s="3">
        <v>628496</v>
      </c>
      <c r="Y226" s="3">
        <v>625109</v>
      </c>
      <c r="Z226" s="3">
        <v>625109</v>
      </c>
      <c r="AA226" s="4">
        <v>625109</v>
      </c>
      <c r="AB226" s="4">
        <v>625109</v>
      </c>
      <c r="AC226" s="4">
        <v>625109</v>
      </c>
      <c r="AD226" s="4">
        <v>625107</v>
      </c>
      <c r="AE226" s="4">
        <v>628496</v>
      </c>
      <c r="AF226" s="4">
        <v>1256992</v>
      </c>
      <c r="AG226" s="4">
        <v>1885488</v>
      </c>
      <c r="AH226" s="4">
        <v>2513984</v>
      </c>
      <c r="AI226" s="4">
        <v>3139093</v>
      </c>
      <c r="AJ226" s="4">
        <v>3764202</v>
      </c>
      <c r="AK226" s="4">
        <v>4389311</v>
      </c>
      <c r="AL226" s="4">
        <v>5014420</v>
      </c>
      <c r="AM226" s="4">
        <v>5639529</v>
      </c>
      <c r="AN226" s="4">
        <v>6264636</v>
      </c>
      <c r="AO226" s="134">
        <v>372768</v>
      </c>
    </row>
    <row r="227" spans="1:41" x14ac:dyDescent="0.2">
      <c r="A227" s="1">
        <v>2025</v>
      </c>
      <c r="B227" s="2" t="s">
        <v>246</v>
      </c>
      <c r="C227" s="2" t="s">
        <v>246</v>
      </c>
      <c r="D227" s="1" t="s">
        <v>590</v>
      </c>
      <c r="E227" s="3">
        <v>17733371</v>
      </c>
      <c r="F227" s="3">
        <v>2471</v>
      </c>
      <c r="G227" s="3">
        <v>0</v>
      </c>
      <c r="H227" s="3">
        <v>50048</v>
      </c>
      <c r="I227" s="1">
        <v>0</v>
      </c>
      <c r="J227" s="3">
        <v>17730900</v>
      </c>
      <c r="K227" s="3">
        <v>17680852</v>
      </c>
      <c r="L227" s="3">
        <v>17680852</v>
      </c>
      <c r="M227" s="3">
        <v>580566</v>
      </c>
      <c r="N227" s="3">
        <v>1905491</v>
      </c>
      <c r="O227" s="3">
        <v>199570</v>
      </c>
      <c r="P227" s="3">
        <v>179854</v>
      </c>
      <c r="Q227" s="3">
        <v>883458</v>
      </c>
      <c r="R227" s="3">
        <v>13981961</v>
      </c>
      <c r="S227" s="3">
        <v>13931913</v>
      </c>
      <c r="T227" s="3">
        <v>13931913</v>
      </c>
      <c r="U227" s="3">
        <v>1773090</v>
      </c>
      <c r="V227" s="3">
        <v>1773090</v>
      </c>
      <c r="W227" s="3">
        <v>1773090</v>
      </c>
      <c r="X227" s="3">
        <v>1773090</v>
      </c>
      <c r="Y227" s="3">
        <v>1764749</v>
      </c>
      <c r="Z227" s="3">
        <v>1764749</v>
      </c>
      <c r="AA227" s="4">
        <v>1764749</v>
      </c>
      <c r="AB227" s="4">
        <v>1764749</v>
      </c>
      <c r="AC227" s="4">
        <v>1764749</v>
      </c>
      <c r="AD227" s="4">
        <v>1764747</v>
      </c>
      <c r="AE227" s="4">
        <v>1773090</v>
      </c>
      <c r="AF227" s="4">
        <v>3546180</v>
      </c>
      <c r="AG227" s="4">
        <v>5319270</v>
      </c>
      <c r="AH227" s="4">
        <v>7092360</v>
      </c>
      <c r="AI227" s="4">
        <v>8857109</v>
      </c>
      <c r="AJ227" s="4">
        <v>10621858</v>
      </c>
      <c r="AK227" s="4">
        <v>12386607</v>
      </c>
      <c r="AL227" s="4">
        <v>14151356</v>
      </c>
      <c r="AM227" s="4">
        <v>15916105</v>
      </c>
      <c r="AN227" s="4">
        <v>17680852</v>
      </c>
      <c r="AO227" s="134">
        <v>911587</v>
      </c>
    </row>
    <row r="228" spans="1:41" x14ac:dyDescent="0.2">
      <c r="A228" s="1">
        <v>2025</v>
      </c>
      <c r="B228" s="2" t="s">
        <v>247</v>
      </c>
      <c r="C228" s="2" t="s">
        <v>247</v>
      </c>
      <c r="D228" s="1" t="s">
        <v>591</v>
      </c>
      <c r="E228" s="3">
        <v>47081875</v>
      </c>
      <c r="F228" s="3">
        <v>4113</v>
      </c>
      <c r="G228" s="3">
        <v>0</v>
      </c>
      <c r="H228" s="3">
        <v>115184</v>
      </c>
      <c r="I228" s="1">
        <v>0</v>
      </c>
      <c r="J228" s="3">
        <v>47077762</v>
      </c>
      <c r="K228" s="3">
        <v>46962578</v>
      </c>
      <c r="L228" s="3">
        <v>46962578</v>
      </c>
      <c r="M228" s="3">
        <v>966311</v>
      </c>
      <c r="N228" s="3">
        <v>3632572</v>
      </c>
      <c r="O228" s="3">
        <v>477197</v>
      </c>
      <c r="P228" s="3">
        <v>383369</v>
      </c>
      <c r="Q228" s="3">
        <v>1962510</v>
      </c>
      <c r="R228" s="3">
        <v>39655803</v>
      </c>
      <c r="S228" s="3">
        <v>39540619</v>
      </c>
      <c r="T228" s="3">
        <v>39540619</v>
      </c>
      <c r="U228" s="3">
        <v>4707776</v>
      </c>
      <c r="V228" s="3">
        <v>4707776</v>
      </c>
      <c r="W228" s="3">
        <v>4707776</v>
      </c>
      <c r="X228" s="3">
        <v>4707776</v>
      </c>
      <c r="Y228" s="3">
        <v>4688579</v>
      </c>
      <c r="Z228" s="3">
        <v>4688579</v>
      </c>
      <c r="AA228" s="4">
        <v>4688579</v>
      </c>
      <c r="AB228" s="4">
        <v>4688579</v>
      </c>
      <c r="AC228" s="4">
        <v>4688579</v>
      </c>
      <c r="AD228" s="4">
        <v>4688579</v>
      </c>
      <c r="AE228" s="4">
        <v>4707776</v>
      </c>
      <c r="AF228" s="4">
        <v>9415552</v>
      </c>
      <c r="AG228" s="4">
        <v>14123328</v>
      </c>
      <c r="AH228" s="4">
        <v>18831104</v>
      </c>
      <c r="AI228" s="4">
        <v>23519683</v>
      </c>
      <c r="AJ228" s="4">
        <v>28208262</v>
      </c>
      <c r="AK228" s="4">
        <v>32896841</v>
      </c>
      <c r="AL228" s="4">
        <v>37585420</v>
      </c>
      <c r="AM228" s="4">
        <v>42273999</v>
      </c>
      <c r="AN228" s="4">
        <v>46962578</v>
      </c>
      <c r="AO228" s="134">
        <v>2106631</v>
      </c>
    </row>
    <row r="229" spans="1:41" x14ac:dyDescent="0.2">
      <c r="A229" s="1">
        <v>2025</v>
      </c>
      <c r="B229" s="2" t="s">
        <v>248</v>
      </c>
      <c r="C229" s="2" t="s">
        <v>248</v>
      </c>
      <c r="D229" s="1" t="s">
        <v>592</v>
      </c>
      <c r="E229" s="3">
        <v>3475722</v>
      </c>
      <c r="F229" s="3">
        <v>564</v>
      </c>
      <c r="G229" s="3">
        <v>0</v>
      </c>
      <c r="H229" s="3">
        <v>14473</v>
      </c>
      <c r="I229" s="3">
        <v>0</v>
      </c>
      <c r="J229" s="3">
        <v>3475158</v>
      </c>
      <c r="K229" s="3">
        <v>3460685</v>
      </c>
      <c r="L229" s="3">
        <v>3460685</v>
      </c>
      <c r="M229" s="3">
        <v>132478</v>
      </c>
      <c r="N229" s="3">
        <v>571248</v>
      </c>
      <c r="O229" s="3">
        <v>45354</v>
      </c>
      <c r="P229" s="3">
        <v>42690</v>
      </c>
      <c r="Q229" s="3">
        <v>243076</v>
      </c>
      <c r="R229" s="3">
        <v>2440312</v>
      </c>
      <c r="S229" s="3">
        <v>2425839</v>
      </c>
      <c r="T229" s="3">
        <v>2425839</v>
      </c>
      <c r="U229" s="3">
        <v>347516</v>
      </c>
      <c r="V229" s="3">
        <v>347516</v>
      </c>
      <c r="W229" s="3">
        <v>347516</v>
      </c>
      <c r="X229" s="3">
        <v>347516</v>
      </c>
      <c r="Y229" s="3">
        <v>345104</v>
      </c>
      <c r="Z229" s="3">
        <v>345104</v>
      </c>
      <c r="AA229" s="4">
        <v>345103</v>
      </c>
      <c r="AB229" s="4">
        <v>345103</v>
      </c>
      <c r="AC229" s="4">
        <v>345103</v>
      </c>
      <c r="AD229" s="4">
        <v>345104</v>
      </c>
      <c r="AE229" s="4">
        <v>347516</v>
      </c>
      <c r="AF229" s="4">
        <v>695032</v>
      </c>
      <c r="AG229" s="4">
        <v>1042548</v>
      </c>
      <c r="AH229" s="4">
        <v>1390064</v>
      </c>
      <c r="AI229" s="4">
        <v>1735168</v>
      </c>
      <c r="AJ229" s="4">
        <v>2080272</v>
      </c>
      <c r="AK229" s="4">
        <v>2425375</v>
      </c>
      <c r="AL229" s="4">
        <v>2770478</v>
      </c>
      <c r="AM229" s="4">
        <v>3115581</v>
      </c>
      <c r="AN229" s="4">
        <v>3460685</v>
      </c>
      <c r="AO229" s="134">
        <v>259081</v>
      </c>
    </row>
    <row r="230" spans="1:41" x14ac:dyDescent="0.2">
      <c r="A230" s="1">
        <v>2025</v>
      </c>
      <c r="B230" s="2" t="s">
        <v>249</v>
      </c>
      <c r="C230" s="2" t="s">
        <v>249</v>
      </c>
      <c r="D230" s="1" t="s">
        <v>593</v>
      </c>
      <c r="E230" s="3">
        <v>1133813</v>
      </c>
      <c r="F230" s="3">
        <v>166</v>
      </c>
      <c r="G230" s="3">
        <v>0</v>
      </c>
      <c r="H230" s="3">
        <v>4239</v>
      </c>
      <c r="I230" s="1">
        <v>0</v>
      </c>
      <c r="J230" s="3">
        <v>1133647</v>
      </c>
      <c r="K230" s="3">
        <v>1129408</v>
      </c>
      <c r="L230" s="3">
        <v>1129408</v>
      </c>
      <c r="M230" s="3">
        <v>38964</v>
      </c>
      <c r="N230" s="3">
        <v>231455</v>
      </c>
      <c r="O230" s="3">
        <v>15974</v>
      </c>
      <c r="P230" s="3">
        <v>12207</v>
      </c>
      <c r="Q230" s="3">
        <v>72602</v>
      </c>
      <c r="R230" s="3">
        <v>762445</v>
      </c>
      <c r="S230" s="3">
        <v>758206</v>
      </c>
      <c r="T230" s="3">
        <v>758206</v>
      </c>
      <c r="U230" s="3">
        <v>113365</v>
      </c>
      <c r="V230" s="3">
        <v>113365</v>
      </c>
      <c r="W230" s="3">
        <v>113365</v>
      </c>
      <c r="X230" s="3">
        <v>113365</v>
      </c>
      <c r="Y230" s="3">
        <v>112658</v>
      </c>
      <c r="Z230" s="3">
        <v>112658</v>
      </c>
      <c r="AA230" s="4">
        <v>112658</v>
      </c>
      <c r="AB230" s="4">
        <v>112658</v>
      </c>
      <c r="AC230" s="4">
        <v>112658</v>
      </c>
      <c r="AD230" s="4">
        <v>112658</v>
      </c>
      <c r="AE230" s="4">
        <v>113365</v>
      </c>
      <c r="AF230" s="4">
        <v>226730</v>
      </c>
      <c r="AG230" s="4">
        <v>340095</v>
      </c>
      <c r="AH230" s="4">
        <v>453460</v>
      </c>
      <c r="AI230" s="4">
        <v>566118</v>
      </c>
      <c r="AJ230" s="4">
        <v>678776</v>
      </c>
      <c r="AK230" s="4">
        <v>791434</v>
      </c>
      <c r="AL230" s="4">
        <v>904092</v>
      </c>
      <c r="AM230" s="4">
        <v>1016750</v>
      </c>
      <c r="AN230" s="4">
        <v>1129408</v>
      </c>
      <c r="AO230" s="134">
        <v>78207</v>
      </c>
    </row>
    <row r="231" spans="1:41" x14ac:dyDescent="0.2">
      <c r="A231" s="1">
        <v>2025</v>
      </c>
      <c r="B231" s="2" t="s">
        <v>250</v>
      </c>
      <c r="C231" s="2" t="s">
        <v>690</v>
      </c>
      <c r="D231" s="1" t="s">
        <v>594</v>
      </c>
      <c r="E231" s="3">
        <v>1882145</v>
      </c>
      <c r="F231" s="3">
        <v>431</v>
      </c>
      <c r="G231" s="3">
        <v>0</v>
      </c>
      <c r="H231" s="3">
        <v>13042</v>
      </c>
      <c r="I231" s="3">
        <v>0</v>
      </c>
      <c r="J231" s="3">
        <v>1881714</v>
      </c>
      <c r="K231" s="3">
        <v>1868672</v>
      </c>
      <c r="L231" s="3">
        <v>1868672</v>
      </c>
      <c r="M231" s="3">
        <v>101307</v>
      </c>
      <c r="N231" s="3">
        <v>598321</v>
      </c>
      <c r="O231" s="3">
        <v>44592</v>
      </c>
      <c r="P231" s="3">
        <v>50524</v>
      </c>
      <c r="Q231" s="3">
        <v>236843</v>
      </c>
      <c r="R231" s="3">
        <v>850127</v>
      </c>
      <c r="S231" s="3">
        <v>837085</v>
      </c>
      <c r="T231" s="3">
        <v>837085</v>
      </c>
      <c r="U231" s="3">
        <v>188171</v>
      </c>
      <c r="V231" s="3">
        <v>188171</v>
      </c>
      <c r="W231" s="3">
        <v>188171</v>
      </c>
      <c r="X231" s="3">
        <v>188171</v>
      </c>
      <c r="Y231" s="3">
        <v>185998</v>
      </c>
      <c r="Z231" s="3">
        <v>185998</v>
      </c>
      <c r="AA231" s="4">
        <v>185998</v>
      </c>
      <c r="AB231" s="4">
        <v>185998</v>
      </c>
      <c r="AC231" s="4">
        <v>185998</v>
      </c>
      <c r="AD231" s="4">
        <v>185998</v>
      </c>
      <c r="AE231" s="4">
        <v>188171</v>
      </c>
      <c r="AF231" s="4">
        <v>376342</v>
      </c>
      <c r="AG231" s="4">
        <v>564513</v>
      </c>
      <c r="AH231" s="4">
        <v>752684</v>
      </c>
      <c r="AI231" s="4">
        <v>938682</v>
      </c>
      <c r="AJ231" s="4">
        <v>1124680</v>
      </c>
      <c r="AK231" s="4">
        <v>1310678</v>
      </c>
      <c r="AL231" s="4">
        <v>1496676</v>
      </c>
      <c r="AM231" s="4">
        <v>1682674</v>
      </c>
      <c r="AN231" s="4">
        <v>1868672</v>
      </c>
      <c r="AO231" s="134">
        <v>262493</v>
      </c>
    </row>
    <row r="232" spans="1:41" x14ac:dyDescent="0.2">
      <c r="A232" s="1">
        <v>2025</v>
      </c>
      <c r="B232" s="2" t="s">
        <v>251</v>
      </c>
      <c r="C232" s="2" t="s">
        <v>251</v>
      </c>
      <c r="D232" s="1" t="s">
        <v>595</v>
      </c>
      <c r="E232" s="3">
        <v>3274037</v>
      </c>
      <c r="F232" s="3">
        <v>531</v>
      </c>
      <c r="G232" s="3">
        <v>0</v>
      </c>
      <c r="H232" s="3">
        <v>11954</v>
      </c>
      <c r="I232" s="1">
        <v>0</v>
      </c>
      <c r="J232" s="3">
        <v>3273506</v>
      </c>
      <c r="K232" s="3">
        <v>3261552</v>
      </c>
      <c r="L232" s="3">
        <v>3261552</v>
      </c>
      <c r="M232" s="3">
        <v>124685</v>
      </c>
      <c r="N232" s="3">
        <v>487076</v>
      </c>
      <c r="O232" s="3">
        <v>41830</v>
      </c>
      <c r="P232" s="3">
        <v>40309</v>
      </c>
      <c r="Q232" s="3">
        <v>202360</v>
      </c>
      <c r="R232" s="3">
        <v>2377246</v>
      </c>
      <c r="S232" s="3">
        <v>2365292</v>
      </c>
      <c r="T232" s="3">
        <v>2365292</v>
      </c>
      <c r="U232" s="3">
        <v>327351</v>
      </c>
      <c r="V232" s="3">
        <v>327351</v>
      </c>
      <c r="W232" s="3">
        <v>327351</v>
      </c>
      <c r="X232" s="3">
        <v>327351</v>
      </c>
      <c r="Y232" s="3">
        <v>325358</v>
      </c>
      <c r="Z232" s="3">
        <v>325358</v>
      </c>
      <c r="AA232" s="4">
        <v>325358</v>
      </c>
      <c r="AB232" s="4">
        <v>325358</v>
      </c>
      <c r="AC232" s="4">
        <v>325358</v>
      </c>
      <c r="AD232" s="4">
        <v>325358</v>
      </c>
      <c r="AE232" s="4">
        <v>327351</v>
      </c>
      <c r="AF232" s="4">
        <v>654702</v>
      </c>
      <c r="AG232" s="4">
        <v>982053</v>
      </c>
      <c r="AH232" s="4">
        <v>1309404</v>
      </c>
      <c r="AI232" s="4">
        <v>1634762</v>
      </c>
      <c r="AJ232" s="4">
        <v>1960120</v>
      </c>
      <c r="AK232" s="4">
        <v>2285478</v>
      </c>
      <c r="AL232" s="4">
        <v>2610836</v>
      </c>
      <c r="AM232" s="4">
        <v>2936194</v>
      </c>
      <c r="AN232" s="4">
        <v>3261552</v>
      </c>
      <c r="AO232" s="134">
        <v>224442</v>
      </c>
    </row>
    <row r="233" spans="1:41" x14ac:dyDescent="0.2">
      <c r="A233" s="1">
        <v>2025</v>
      </c>
      <c r="B233" s="2" t="s">
        <v>252</v>
      </c>
      <c r="C233" s="2" t="s">
        <v>252</v>
      </c>
      <c r="D233" s="1" t="s">
        <v>596</v>
      </c>
      <c r="E233" s="3">
        <v>14729827</v>
      </c>
      <c r="F233" s="3">
        <v>2239</v>
      </c>
      <c r="G233" s="3">
        <v>0</v>
      </c>
      <c r="H233" s="3">
        <v>48113</v>
      </c>
      <c r="I233" s="1">
        <v>0</v>
      </c>
      <c r="J233" s="3">
        <v>14727588</v>
      </c>
      <c r="K233" s="3">
        <v>14679475</v>
      </c>
      <c r="L233" s="3">
        <v>14679475</v>
      </c>
      <c r="M233" s="3">
        <v>522198</v>
      </c>
      <c r="N233" s="3">
        <v>1780714</v>
      </c>
      <c r="O233" s="3">
        <v>182966</v>
      </c>
      <c r="P233" s="3">
        <v>169699</v>
      </c>
      <c r="Q233" s="3">
        <v>921270</v>
      </c>
      <c r="R233" s="3">
        <v>11150741</v>
      </c>
      <c r="S233" s="3">
        <v>11102628</v>
      </c>
      <c r="T233" s="3">
        <v>11102628</v>
      </c>
      <c r="U233" s="3">
        <v>1472759</v>
      </c>
      <c r="V233" s="3">
        <v>1472759</v>
      </c>
      <c r="W233" s="3">
        <v>1472759</v>
      </c>
      <c r="X233" s="3">
        <v>1472759</v>
      </c>
      <c r="Y233" s="3">
        <v>1464740</v>
      </c>
      <c r="Z233" s="3">
        <v>1464740</v>
      </c>
      <c r="AA233" s="4">
        <v>1464740</v>
      </c>
      <c r="AB233" s="4">
        <v>1464740</v>
      </c>
      <c r="AC233" s="4">
        <v>1464740</v>
      </c>
      <c r="AD233" s="4">
        <v>1464739</v>
      </c>
      <c r="AE233" s="4">
        <v>1472759</v>
      </c>
      <c r="AF233" s="4">
        <v>2945518</v>
      </c>
      <c r="AG233" s="4">
        <v>4418277</v>
      </c>
      <c r="AH233" s="4">
        <v>5891036</v>
      </c>
      <c r="AI233" s="4">
        <v>7355776</v>
      </c>
      <c r="AJ233" s="4">
        <v>8820516</v>
      </c>
      <c r="AK233" s="4">
        <v>10285256</v>
      </c>
      <c r="AL233" s="4">
        <v>11749996</v>
      </c>
      <c r="AM233" s="4">
        <v>13214736</v>
      </c>
      <c r="AN233" s="4">
        <v>14679475</v>
      </c>
      <c r="AO233" s="134">
        <v>874485</v>
      </c>
    </row>
    <row r="234" spans="1:41" x14ac:dyDescent="0.2">
      <c r="A234" s="1">
        <v>2025</v>
      </c>
      <c r="B234" s="2" t="s">
        <v>253</v>
      </c>
      <c r="C234" s="2" t="s">
        <v>253</v>
      </c>
      <c r="D234" s="1" t="s">
        <v>597</v>
      </c>
      <c r="E234" s="3">
        <v>17495992</v>
      </c>
      <c r="F234" s="3">
        <v>1410</v>
      </c>
      <c r="G234" s="3">
        <v>0</v>
      </c>
      <c r="H234" s="3">
        <v>43220</v>
      </c>
      <c r="I234" s="1">
        <v>0</v>
      </c>
      <c r="J234" s="3">
        <v>17494582</v>
      </c>
      <c r="K234" s="3">
        <v>17451362</v>
      </c>
      <c r="L234" s="3">
        <v>17451362</v>
      </c>
      <c r="M234" s="3">
        <v>331195</v>
      </c>
      <c r="N234" s="3">
        <v>1500249</v>
      </c>
      <c r="O234" s="3">
        <v>195298</v>
      </c>
      <c r="P234" s="3">
        <v>147455</v>
      </c>
      <c r="Q234" s="3">
        <v>745545</v>
      </c>
      <c r="R234" s="3">
        <v>14574840</v>
      </c>
      <c r="S234" s="3">
        <v>14531620</v>
      </c>
      <c r="T234" s="3">
        <v>14531620</v>
      </c>
      <c r="U234" s="3">
        <v>1749458</v>
      </c>
      <c r="V234" s="3">
        <v>1749458</v>
      </c>
      <c r="W234" s="3">
        <v>1749458</v>
      </c>
      <c r="X234" s="3">
        <v>1749458</v>
      </c>
      <c r="Y234" s="3">
        <v>1742255</v>
      </c>
      <c r="Z234" s="3">
        <v>1742255</v>
      </c>
      <c r="AA234" s="4">
        <v>1742255</v>
      </c>
      <c r="AB234" s="4">
        <v>1742255</v>
      </c>
      <c r="AC234" s="4">
        <v>1742255</v>
      </c>
      <c r="AD234" s="4">
        <v>1742255</v>
      </c>
      <c r="AE234" s="4">
        <v>1749458</v>
      </c>
      <c r="AF234" s="4">
        <v>3498916</v>
      </c>
      <c r="AG234" s="4">
        <v>5248374</v>
      </c>
      <c r="AH234" s="4">
        <v>6997832</v>
      </c>
      <c r="AI234" s="4">
        <v>8740087</v>
      </c>
      <c r="AJ234" s="4">
        <v>10482342</v>
      </c>
      <c r="AK234" s="4">
        <v>12224597</v>
      </c>
      <c r="AL234" s="4">
        <v>13966852</v>
      </c>
      <c r="AM234" s="4">
        <v>15709107</v>
      </c>
      <c r="AN234" s="4">
        <v>17451362</v>
      </c>
      <c r="AO234" s="134">
        <v>773644</v>
      </c>
    </row>
    <row r="235" spans="1:41" x14ac:dyDescent="0.2">
      <c r="A235" s="1">
        <v>2025</v>
      </c>
      <c r="B235" s="2" t="s">
        <v>254</v>
      </c>
      <c r="C235" s="2" t="s">
        <v>254</v>
      </c>
      <c r="D235" s="1" t="s">
        <v>598</v>
      </c>
      <c r="E235" s="3">
        <v>38900444</v>
      </c>
      <c r="F235" s="3">
        <v>3433</v>
      </c>
      <c r="G235" s="3">
        <v>0</v>
      </c>
      <c r="H235" s="3">
        <v>124746</v>
      </c>
      <c r="I235" s="1">
        <v>0</v>
      </c>
      <c r="J235" s="3">
        <v>38897011</v>
      </c>
      <c r="K235" s="3">
        <v>38772265</v>
      </c>
      <c r="L235" s="3">
        <v>38772265</v>
      </c>
      <c r="M235" s="3">
        <v>795105</v>
      </c>
      <c r="N235" s="3">
        <v>3905605</v>
      </c>
      <c r="O235" s="3">
        <v>379785</v>
      </c>
      <c r="P235" s="3">
        <v>405983</v>
      </c>
      <c r="Q235" s="3">
        <v>2110018</v>
      </c>
      <c r="R235" s="3">
        <v>31300515</v>
      </c>
      <c r="S235" s="3">
        <v>31175769</v>
      </c>
      <c r="T235" s="3">
        <v>31175769</v>
      </c>
      <c r="U235" s="3">
        <v>3889701</v>
      </c>
      <c r="V235" s="3">
        <v>3889701</v>
      </c>
      <c r="W235" s="3">
        <v>3889701</v>
      </c>
      <c r="X235" s="3">
        <v>3889701</v>
      </c>
      <c r="Y235" s="3">
        <v>3868910</v>
      </c>
      <c r="Z235" s="3">
        <v>3868910</v>
      </c>
      <c r="AA235" s="4">
        <v>3868910</v>
      </c>
      <c r="AB235" s="4">
        <v>3868910</v>
      </c>
      <c r="AC235" s="4">
        <v>3868910</v>
      </c>
      <c r="AD235" s="4">
        <v>3868911</v>
      </c>
      <c r="AE235" s="4">
        <v>3889701</v>
      </c>
      <c r="AF235" s="4">
        <v>7779402</v>
      </c>
      <c r="AG235" s="4">
        <v>11669103</v>
      </c>
      <c r="AH235" s="4">
        <v>15558804</v>
      </c>
      <c r="AI235" s="4">
        <v>19427714</v>
      </c>
      <c r="AJ235" s="4">
        <v>23296624</v>
      </c>
      <c r="AK235" s="4">
        <v>27165534</v>
      </c>
      <c r="AL235" s="4">
        <v>31034444</v>
      </c>
      <c r="AM235" s="4">
        <v>34903354</v>
      </c>
      <c r="AN235" s="4">
        <v>38772265</v>
      </c>
      <c r="AO235" s="134">
        <v>2197984</v>
      </c>
    </row>
    <row r="236" spans="1:41" x14ac:dyDescent="0.2">
      <c r="A236" s="1">
        <v>2025</v>
      </c>
      <c r="B236" s="2" t="s">
        <v>255</v>
      </c>
      <c r="C236" s="2" t="s">
        <v>255</v>
      </c>
      <c r="D236" s="1" t="s">
        <v>599</v>
      </c>
      <c r="E236" s="3">
        <v>5917971</v>
      </c>
      <c r="F236" s="3">
        <v>846</v>
      </c>
      <c r="G236" s="3">
        <v>0</v>
      </c>
      <c r="H236" s="3">
        <v>15610</v>
      </c>
      <c r="I236" s="1">
        <v>0</v>
      </c>
      <c r="J236" s="3">
        <v>5917125</v>
      </c>
      <c r="K236" s="3">
        <v>5901515</v>
      </c>
      <c r="L236" s="3">
        <v>5901515</v>
      </c>
      <c r="M236" s="3">
        <v>198717</v>
      </c>
      <c r="N236" s="3">
        <v>615190</v>
      </c>
      <c r="O236" s="3">
        <v>61015</v>
      </c>
      <c r="P236" s="3">
        <v>49392</v>
      </c>
      <c r="Q236" s="3">
        <v>262320</v>
      </c>
      <c r="R236" s="3">
        <v>4730491</v>
      </c>
      <c r="S236" s="3">
        <v>4714881</v>
      </c>
      <c r="T236" s="3">
        <v>4714881</v>
      </c>
      <c r="U236" s="3">
        <v>591713</v>
      </c>
      <c r="V236" s="3">
        <v>591713</v>
      </c>
      <c r="W236" s="3">
        <v>591713</v>
      </c>
      <c r="X236" s="3">
        <v>591713</v>
      </c>
      <c r="Y236" s="3">
        <v>589111</v>
      </c>
      <c r="Z236" s="3">
        <v>589111</v>
      </c>
      <c r="AA236" s="4">
        <v>589110</v>
      </c>
      <c r="AB236" s="4">
        <v>589110</v>
      </c>
      <c r="AC236" s="4">
        <v>589110</v>
      </c>
      <c r="AD236" s="4">
        <v>589111</v>
      </c>
      <c r="AE236" s="4">
        <v>591713</v>
      </c>
      <c r="AF236" s="4">
        <v>1183426</v>
      </c>
      <c r="AG236" s="4">
        <v>1775139</v>
      </c>
      <c r="AH236" s="4">
        <v>2366852</v>
      </c>
      <c r="AI236" s="4">
        <v>2955963</v>
      </c>
      <c r="AJ236" s="4">
        <v>3545074</v>
      </c>
      <c r="AK236" s="4">
        <v>4134184</v>
      </c>
      <c r="AL236" s="4">
        <v>4723294</v>
      </c>
      <c r="AM236" s="4">
        <v>5312404</v>
      </c>
      <c r="AN236" s="4">
        <v>5901515</v>
      </c>
      <c r="AO236" s="134">
        <v>277784</v>
      </c>
    </row>
    <row r="237" spans="1:41" x14ac:dyDescent="0.2">
      <c r="A237" s="1">
        <v>2025</v>
      </c>
      <c r="B237" s="2" t="s">
        <v>256</v>
      </c>
      <c r="C237" s="2" t="s">
        <v>256</v>
      </c>
      <c r="D237" s="1" t="s">
        <v>600</v>
      </c>
      <c r="E237" s="3">
        <v>2631882</v>
      </c>
      <c r="F237" s="3">
        <v>647</v>
      </c>
      <c r="G237" s="3">
        <v>12433</v>
      </c>
      <c r="H237" s="3">
        <v>14642</v>
      </c>
      <c r="I237" s="3">
        <v>0</v>
      </c>
      <c r="J237" s="3">
        <v>2618802</v>
      </c>
      <c r="K237" s="3">
        <v>2604160</v>
      </c>
      <c r="L237" s="3">
        <v>2604160</v>
      </c>
      <c r="M237" s="3">
        <v>151960</v>
      </c>
      <c r="N237" s="3">
        <v>617853</v>
      </c>
      <c r="O237" s="3">
        <v>51455</v>
      </c>
      <c r="P237" s="3">
        <v>66628</v>
      </c>
      <c r="Q237" s="3">
        <v>262907</v>
      </c>
      <c r="R237" s="3">
        <v>1467999</v>
      </c>
      <c r="S237" s="3">
        <v>1453357</v>
      </c>
      <c r="T237" s="3">
        <v>1453357</v>
      </c>
      <c r="U237" s="3">
        <v>261880</v>
      </c>
      <c r="V237" s="3">
        <v>261880</v>
      </c>
      <c r="W237" s="3">
        <v>261880</v>
      </c>
      <c r="X237" s="3">
        <v>261880</v>
      </c>
      <c r="Y237" s="3">
        <v>259440</v>
      </c>
      <c r="Z237" s="3">
        <v>259440</v>
      </c>
      <c r="AA237" s="4">
        <v>259440</v>
      </c>
      <c r="AB237" s="4">
        <v>259440</v>
      </c>
      <c r="AC237" s="4">
        <v>259440</v>
      </c>
      <c r="AD237" s="4">
        <v>259440</v>
      </c>
      <c r="AE237" s="4">
        <v>261880</v>
      </c>
      <c r="AF237" s="4">
        <v>523760</v>
      </c>
      <c r="AG237" s="4">
        <v>785640</v>
      </c>
      <c r="AH237" s="4">
        <v>1047520</v>
      </c>
      <c r="AI237" s="4">
        <v>1306960</v>
      </c>
      <c r="AJ237" s="4">
        <v>1566400</v>
      </c>
      <c r="AK237" s="4">
        <v>1825840</v>
      </c>
      <c r="AL237" s="4">
        <v>2085280</v>
      </c>
      <c r="AM237" s="4">
        <v>2344720</v>
      </c>
      <c r="AN237" s="4">
        <v>2604160</v>
      </c>
      <c r="AO237" s="134">
        <v>289802</v>
      </c>
    </row>
    <row r="238" spans="1:41" x14ac:dyDescent="0.2">
      <c r="A238" s="1">
        <v>2025</v>
      </c>
      <c r="B238" s="2" t="s">
        <v>257</v>
      </c>
      <c r="C238" s="2" t="s">
        <v>257</v>
      </c>
      <c r="D238" s="1" t="s">
        <v>601</v>
      </c>
      <c r="E238" s="3">
        <v>6850477</v>
      </c>
      <c r="F238" s="3">
        <v>282</v>
      </c>
      <c r="G238" s="3">
        <v>0</v>
      </c>
      <c r="H238" s="3">
        <v>17059</v>
      </c>
      <c r="I238" s="1">
        <v>0</v>
      </c>
      <c r="J238" s="3">
        <v>6850195</v>
      </c>
      <c r="K238" s="3">
        <v>6833136</v>
      </c>
      <c r="L238" s="3">
        <v>6833136</v>
      </c>
      <c r="M238" s="3">
        <v>66239</v>
      </c>
      <c r="N238" s="3">
        <v>675821</v>
      </c>
      <c r="O238" s="3">
        <v>78452</v>
      </c>
      <c r="P238" s="3">
        <v>52758</v>
      </c>
      <c r="Q238" s="3">
        <v>287573</v>
      </c>
      <c r="R238" s="3">
        <v>5689352</v>
      </c>
      <c r="S238" s="3">
        <v>5672293</v>
      </c>
      <c r="T238" s="3">
        <v>5672293</v>
      </c>
      <c r="U238" s="3">
        <v>685020</v>
      </c>
      <c r="V238" s="3">
        <v>685020</v>
      </c>
      <c r="W238" s="3">
        <v>685020</v>
      </c>
      <c r="X238" s="3">
        <v>685020</v>
      </c>
      <c r="Y238" s="3">
        <v>682176</v>
      </c>
      <c r="Z238" s="3">
        <v>682176</v>
      </c>
      <c r="AA238" s="4">
        <v>682176</v>
      </c>
      <c r="AB238" s="4">
        <v>682176</v>
      </c>
      <c r="AC238" s="4">
        <v>682176</v>
      </c>
      <c r="AD238" s="4">
        <v>682176</v>
      </c>
      <c r="AE238" s="4">
        <v>685020</v>
      </c>
      <c r="AF238" s="4">
        <v>1370040</v>
      </c>
      <c r="AG238" s="4">
        <v>2055060</v>
      </c>
      <c r="AH238" s="4">
        <v>2740080</v>
      </c>
      <c r="AI238" s="4">
        <v>3422256</v>
      </c>
      <c r="AJ238" s="4">
        <v>4104432</v>
      </c>
      <c r="AK238" s="4">
        <v>4786608</v>
      </c>
      <c r="AL238" s="4">
        <v>5468784</v>
      </c>
      <c r="AM238" s="4">
        <v>6150960</v>
      </c>
      <c r="AN238" s="4">
        <v>6833136</v>
      </c>
      <c r="AO238" s="134">
        <v>327961</v>
      </c>
    </row>
    <row r="239" spans="1:41" x14ac:dyDescent="0.2">
      <c r="A239" s="1">
        <v>2025</v>
      </c>
      <c r="B239" s="2" t="s">
        <v>258</v>
      </c>
      <c r="C239" s="2" t="s">
        <v>691</v>
      </c>
      <c r="D239" s="1" t="s">
        <v>6</v>
      </c>
      <c r="E239" s="3">
        <v>7504993</v>
      </c>
      <c r="F239" s="3">
        <v>945</v>
      </c>
      <c r="G239" s="3">
        <v>0</v>
      </c>
      <c r="H239" s="3">
        <v>22510</v>
      </c>
      <c r="I239" s="1">
        <v>0</v>
      </c>
      <c r="J239" s="3">
        <v>7504048</v>
      </c>
      <c r="K239" s="3">
        <v>7481538</v>
      </c>
      <c r="L239" s="3">
        <v>7481538</v>
      </c>
      <c r="M239" s="3">
        <v>222096</v>
      </c>
      <c r="N239" s="3">
        <v>932432</v>
      </c>
      <c r="O239" s="3">
        <v>74264</v>
      </c>
      <c r="P239" s="3">
        <v>71822</v>
      </c>
      <c r="Q239" s="3">
        <v>381253</v>
      </c>
      <c r="R239" s="3">
        <v>5822181</v>
      </c>
      <c r="S239" s="3">
        <v>5799671</v>
      </c>
      <c r="T239" s="3">
        <v>5799671</v>
      </c>
      <c r="U239" s="3">
        <v>750405</v>
      </c>
      <c r="V239" s="3">
        <v>750405</v>
      </c>
      <c r="W239" s="3">
        <v>750405</v>
      </c>
      <c r="X239" s="3">
        <v>750405</v>
      </c>
      <c r="Y239" s="3">
        <v>746653</v>
      </c>
      <c r="Z239" s="3">
        <v>746653</v>
      </c>
      <c r="AA239" s="4">
        <v>746653</v>
      </c>
      <c r="AB239" s="4">
        <v>746653</v>
      </c>
      <c r="AC239" s="4">
        <v>746653</v>
      </c>
      <c r="AD239" s="4">
        <v>746653</v>
      </c>
      <c r="AE239" s="4">
        <v>750405</v>
      </c>
      <c r="AF239" s="4">
        <v>1500810</v>
      </c>
      <c r="AG239" s="4">
        <v>2251215</v>
      </c>
      <c r="AH239" s="4">
        <v>3001620</v>
      </c>
      <c r="AI239" s="4">
        <v>3748273</v>
      </c>
      <c r="AJ239" s="4">
        <v>4494926</v>
      </c>
      <c r="AK239" s="4">
        <v>5241579</v>
      </c>
      <c r="AL239" s="4">
        <v>5988232</v>
      </c>
      <c r="AM239" s="4">
        <v>6734885</v>
      </c>
      <c r="AN239" s="4">
        <v>7481538</v>
      </c>
      <c r="AO239" s="134">
        <v>393472</v>
      </c>
    </row>
    <row r="240" spans="1:41" x14ac:dyDescent="0.2">
      <c r="A240" s="1">
        <v>2025</v>
      </c>
      <c r="B240" s="2" t="s">
        <v>260</v>
      </c>
      <c r="C240" s="2" t="s">
        <v>260</v>
      </c>
      <c r="D240" s="1" t="s">
        <v>602</v>
      </c>
      <c r="E240" s="3">
        <v>7793526</v>
      </c>
      <c r="F240" s="3">
        <v>796</v>
      </c>
      <c r="G240" s="3">
        <v>7771</v>
      </c>
      <c r="H240" s="3">
        <v>23868</v>
      </c>
      <c r="I240" s="3">
        <v>0</v>
      </c>
      <c r="J240" s="3">
        <v>7784959</v>
      </c>
      <c r="K240" s="3">
        <v>7761091</v>
      </c>
      <c r="L240" s="3">
        <v>7761091</v>
      </c>
      <c r="M240" s="3">
        <v>183210</v>
      </c>
      <c r="N240" s="3">
        <v>911203</v>
      </c>
      <c r="O240" s="3">
        <v>96212</v>
      </c>
      <c r="P240" s="3">
        <v>80551</v>
      </c>
      <c r="Q240" s="3">
        <v>400253</v>
      </c>
      <c r="R240" s="3">
        <v>6113530</v>
      </c>
      <c r="S240" s="3">
        <v>6089662</v>
      </c>
      <c r="T240" s="3">
        <v>6089662</v>
      </c>
      <c r="U240" s="3">
        <v>778496</v>
      </c>
      <c r="V240" s="3">
        <v>778496</v>
      </c>
      <c r="W240" s="3">
        <v>778496</v>
      </c>
      <c r="X240" s="3">
        <v>778496</v>
      </c>
      <c r="Y240" s="3">
        <v>774518</v>
      </c>
      <c r="Z240" s="3">
        <v>774518</v>
      </c>
      <c r="AA240" s="4">
        <v>774518</v>
      </c>
      <c r="AB240" s="4">
        <v>774518</v>
      </c>
      <c r="AC240" s="4">
        <v>774518</v>
      </c>
      <c r="AD240" s="4">
        <v>774517</v>
      </c>
      <c r="AE240" s="4">
        <v>778496</v>
      </c>
      <c r="AF240" s="4">
        <v>1556992</v>
      </c>
      <c r="AG240" s="4">
        <v>2335488</v>
      </c>
      <c r="AH240" s="4">
        <v>3113984</v>
      </c>
      <c r="AI240" s="4">
        <v>3888502</v>
      </c>
      <c r="AJ240" s="4">
        <v>4663020</v>
      </c>
      <c r="AK240" s="4">
        <v>5437538</v>
      </c>
      <c r="AL240" s="4">
        <v>6212056</v>
      </c>
      <c r="AM240" s="4">
        <v>6986574</v>
      </c>
      <c r="AN240" s="4">
        <v>7761091</v>
      </c>
      <c r="AO240" s="134">
        <v>436089</v>
      </c>
    </row>
    <row r="241" spans="1:41" x14ac:dyDescent="0.2">
      <c r="A241" s="1">
        <v>2025</v>
      </c>
      <c r="B241" s="2" t="s">
        <v>261</v>
      </c>
      <c r="C241" s="2" t="s">
        <v>261</v>
      </c>
      <c r="D241" s="1" t="s">
        <v>603</v>
      </c>
      <c r="E241" s="3">
        <v>1666686</v>
      </c>
      <c r="F241" s="3">
        <v>348</v>
      </c>
      <c r="G241" s="3">
        <v>0</v>
      </c>
      <c r="H241" s="3">
        <v>7141</v>
      </c>
      <c r="I241" s="1">
        <v>0</v>
      </c>
      <c r="J241" s="3">
        <v>1666338</v>
      </c>
      <c r="K241" s="3">
        <v>1659197</v>
      </c>
      <c r="L241" s="3">
        <v>1659197</v>
      </c>
      <c r="M241" s="3">
        <v>81825</v>
      </c>
      <c r="N241" s="3">
        <v>503372</v>
      </c>
      <c r="O241" s="3">
        <v>29018</v>
      </c>
      <c r="P241" s="3">
        <v>30393</v>
      </c>
      <c r="Q241" s="3">
        <v>157895</v>
      </c>
      <c r="R241" s="3">
        <v>863835</v>
      </c>
      <c r="S241" s="3">
        <v>856694</v>
      </c>
      <c r="T241" s="3">
        <v>856694</v>
      </c>
      <c r="U241" s="3">
        <v>166634</v>
      </c>
      <c r="V241" s="3">
        <v>166634</v>
      </c>
      <c r="W241" s="3">
        <v>166634</v>
      </c>
      <c r="X241" s="3">
        <v>166634</v>
      </c>
      <c r="Y241" s="3">
        <v>165444</v>
      </c>
      <c r="Z241" s="3">
        <v>165444</v>
      </c>
      <c r="AA241" s="4">
        <v>165443</v>
      </c>
      <c r="AB241" s="4">
        <v>165443</v>
      </c>
      <c r="AC241" s="4">
        <v>165443</v>
      </c>
      <c r="AD241" s="4">
        <v>165444</v>
      </c>
      <c r="AE241" s="4">
        <v>166634</v>
      </c>
      <c r="AF241" s="4">
        <v>333268</v>
      </c>
      <c r="AG241" s="4">
        <v>499902</v>
      </c>
      <c r="AH241" s="4">
        <v>666536</v>
      </c>
      <c r="AI241" s="4">
        <v>831980</v>
      </c>
      <c r="AJ241" s="4">
        <v>997424</v>
      </c>
      <c r="AK241" s="4">
        <v>1162867</v>
      </c>
      <c r="AL241" s="4">
        <v>1328310</v>
      </c>
      <c r="AM241" s="4">
        <v>1493753</v>
      </c>
      <c r="AN241" s="4">
        <v>1659197</v>
      </c>
      <c r="AO241" s="134">
        <v>153981</v>
      </c>
    </row>
    <row r="242" spans="1:41" x14ac:dyDescent="0.2">
      <c r="A242" s="1">
        <v>2025</v>
      </c>
      <c r="B242" s="2" t="s">
        <v>262</v>
      </c>
      <c r="C242" s="2" t="s">
        <v>262</v>
      </c>
      <c r="D242" s="1" t="s">
        <v>604</v>
      </c>
      <c r="E242" s="3">
        <v>1979469</v>
      </c>
      <c r="F242" s="3">
        <v>531</v>
      </c>
      <c r="G242" s="3">
        <v>0</v>
      </c>
      <c r="H242" s="3">
        <v>7753</v>
      </c>
      <c r="I242" s="3">
        <v>0</v>
      </c>
      <c r="J242" s="3">
        <v>1978938</v>
      </c>
      <c r="K242" s="3">
        <v>1971185</v>
      </c>
      <c r="L242" s="3">
        <v>1971185</v>
      </c>
      <c r="M242" s="3">
        <v>124685</v>
      </c>
      <c r="N242" s="3">
        <v>523929</v>
      </c>
      <c r="O242" s="3">
        <v>26339</v>
      </c>
      <c r="P242" s="3">
        <v>35029</v>
      </c>
      <c r="Q242" s="3">
        <v>130774</v>
      </c>
      <c r="R242" s="3">
        <v>1138182</v>
      </c>
      <c r="S242" s="3">
        <v>1130429</v>
      </c>
      <c r="T242" s="3">
        <v>1130429</v>
      </c>
      <c r="U242" s="3">
        <v>197894</v>
      </c>
      <c r="V242" s="3">
        <v>197894</v>
      </c>
      <c r="W242" s="3">
        <v>197894</v>
      </c>
      <c r="X242" s="3">
        <v>197894</v>
      </c>
      <c r="Y242" s="3">
        <v>196602</v>
      </c>
      <c r="Z242" s="3">
        <v>196602</v>
      </c>
      <c r="AA242" s="4">
        <v>196601</v>
      </c>
      <c r="AB242" s="4">
        <v>196601</v>
      </c>
      <c r="AC242" s="4">
        <v>196601</v>
      </c>
      <c r="AD242" s="4">
        <v>196602</v>
      </c>
      <c r="AE242" s="4">
        <v>197894</v>
      </c>
      <c r="AF242" s="4">
        <v>395788</v>
      </c>
      <c r="AG242" s="4">
        <v>593682</v>
      </c>
      <c r="AH242" s="4">
        <v>791576</v>
      </c>
      <c r="AI242" s="4">
        <v>988178</v>
      </c>
      <c r="AJ242" s="4">
        <v>1184780</v>
      </c>
      <c r="AK242" s="4">
        <v>1381381</v>
      </c>
      <c r="AL242" s="4">
        <v>1577982</v>
      </c>
      <c r="AM242" s="4">
        <v>1774583</v>
      </c>
      <c r="AN242" s="4">
        <v>1971185</v>
      </c>
      <c r="AO242" s="134">
        <v>146921</v>
      </c>
    </row>
    <row r="243" spans="1:41" x14ac:dyDescent="0.2">
      <c r="A243" s="1">
        <v>2025</v>
      </c>
      <c r="B243" s="2" t="s">
        <v>263</v>
      </c>
      <c r="C243" s="2" t="s">
        <v>263</v>
      </c>
      <c r="D243" s="1" t="s">
        <v>605</v>
      </c>
      <c r="E243" s="3">
        <v>6326944</v>
      </c>
      <c r="F243" s="3">
        <v>1343</v>
      </c>
      <c r="G243" s="3">
        <v>0</v>
      </c>
      <c r="H243" s="3">
        <v>18489</v>
      </c>
      <c r="I243" s="1">
        <v>0</v>
      </c>
      <c r="J243" s="3">
        <v>6325601</v>
      </c>
      <c r="K243" s="3">
        <v>6307112</v>
      </c>
      <c r="L243" s="3">
        <v>6307112</v>
      </c>
      <c r="M243" s="3">
        <v>315610</v>
      </c>
      <c r="N243" s="3">
        <v>915062</v>
      </c>
      <c r="O243" s="3">
        <v>96854</v>
      </c>
      <c r="P243" s="3">
        <v>75413</v>
      </c>
      <c r="Q243" s="3">
        <v>389374</v>
      </c>
      <c r="R243" s="3">
        <v>4533288</v>
      </c>
      <c r="S243" s="3">
        <v>4514799</v>
      </c>
      <c r="T243" s="3">
        <v>4514799</v>
      </c>
      <c r="U243" s="3">
        <v>632560</v>
      </c>
      <c r="V243" s="3">
        <v>632560</v>
      </c>
      <c r="W243" s="3">
        <v>632560</v>
      </c>
      <c r="X243" s="3">
        <v>632560</v>
      </c>
      <c r="Y243" s="3">
        <v>629479</v>
      </c>
      <c r="Z243" s="3">
        <v>629479</v>
      </c>
      <c r="AA243" s="4">
        <v>629479</v>
      </c>
      <c r="AB243" s="4">
        <v>629479</v>
      </c>
      <c r="AC243" s="4">
        <v>629479</v>
      </c>
      <c r="AD243" s="4">
        <v>629477</v>
      </c>
      <c r="AE243" s="4">
        <v>632560</v>
      </c>
      <c r="AF243" s="4">
        <v>1265120</v>
      </c>
      <c r="AG243" s="4">
        <v>1897680</v>
      </c>
      <c r="AH243" s="4">
        <v>2530240</v>
      </c>
      <c r="AI243" s="4">
        <v>3159719</v>
      </c>
      <c r="AJ243" s="4">
        <v>3789198</v>
      </c>
      <c r="AK243" s="4">
        <v>4418677</v>
      </c>
      <c r="AL243" s="4">
        <v>5048156</v>
      </c>
      <c r="AM243" s="4">
        <v>5677635</v>
      </c>
      <c r="AN243" s="4">
        <v>6307112</v>
      </c>
      <c r="AO243" s="134">
        <v>364133</v>
      </c>
    </row>
    <row r="244" spans="1:41" x14ac:dyDescent="0.2">
      <c r="A244" s="1">
        <v>2025</v>
      </c>
      <c r="B244" s="2" t="s">
        <v>264</v>
      </c>
      <c r="C244" s="2" t="s">
        <v>264</v>
      </c>
      <c r="D244" s="1" t="s">
        <v>606</v>
      </c>
      <c r="E244" s="3">
        <v>6965193</v>
      </c>
      <c r="F244" s="3">
        <v>1078</v>
      </c>
      <c r="G244" s="1">
        <v>0</v>
      </c>
      <c r="H244" s="3">
        <v>22147</v>
      </c>
      <c r="I244" s="1">
        <v>0</v>
      </c>
      <c r="J244" s="3">
        <v>6964115</v>
      </c>
      <c r="K244" s="3">
        <v>6941968</v>
      </c>
      <c r="L244" s="3">
        <v>6941968</v>
      </c>
      <c r="M244" s="3">
        <v>253267</v>
      </c>
      <c r="N244" s="3">
        <v>787813</v>
      </c>
      <c r="O244" s="3">
        <v>74770</v>
      </c>
      <c r="P244" s="3">
        <v>79494</v>
      </c>
      <c r="Q244" s="3">
        <v>371772</v>
      </c>
      <c r="R244" s="3">
        <v>5396999</v>
      </c>
      <c r="S244" s="3">
        <v>5374852</v>
      </c>
      <c r="T244" s="3">
        <v>5374852</v>
      </c>
      <c r="U244" s="3">
        <v>696412</v>
      </c>
      <c r="V244" s="3">
        <v>696412</v>
      </c>
      <c r="W244" s="3">
        <v>696412</v>
      </c>
      <c r="X244" s="3">
        <v>696412</v>
      </c>
      <c r="Y244" s="3">
        <v>692720</v>
      </c>
      <c r="Z244" s="3">
        <v>692720</v>
      </c>
      <c r="AA244" s="4">
        <v>692720</v>
      </c>
      <c r="AB244" s="4">
        <v>692720</v>
      </c>
      <c r="AC244" s="4">
        <v>692720</v>
      </c>
      <c r="AD244" s="4">
        <v>692720</v>
      </c>
      <c r="AE244" s="4">
        <v>696412</v>
      </c>
      <c r="AF244" s="4">
        <v>1392824</v>
      </c>
      <c r="AG244" s="4">
        <v>2089236</v>
      </c>
      <c r="AH244" s="4">
        <v>2785648</v>
      </c>
      <c r="AI244" s="4">
        <v>3478368</v>
      </c>
      <c r="AJ244" s="4">
        <v>4171088</v>
      </c>
      <c r="AK244" s="4">
        <v>4863808</v>
      </c>
      <c r="AL244" s="4">
        <v>5556528</v>
      </c>
      <c r="AM244" s="4">
        <v>6249248</v>
      </c>
      <c r="AN244" s="4">
        <v>6941968</v>
      </c>
      <c r="AO244" s="134">
        <v>380822</v>
      </c>
    </row>
    <row r="245" spans="1:41" x14ac:dyDescent="0.2">
      <c r="A245" s="1">
        <v>2025</v>
      </c>
      <c r="B245" s="2" t="s">
        <v>265</v>
      </c>
      <c r="C245" s="2" t="s">
        <v>265</v>
      </c>
      <c r="D245" s="1" t="s">
        <v>607</v>
      </c>
      <c r="E245" s="3">
        <v>3063583</v>
      </c>
      <c r="F245" s="3">
        <v>315</v>
      </c>
      <c r="G245" s="3">
        <v>0</v>
      </c>
      <c r="H245" s="3">
        <v>9461</v>
      </c>
      <c r="I245" s="1">
        <v>0</v>
      </c>
      <c r="J245" s="3">
        <v>3063268</v>
      </c>
      <c r="K245" s="3">
        <v>3053807</v>
      </c>
      <c r="L245" s="3">
        <v>3053807</v>
      </c>
      <c r="M245" s="3">
        <v>74032</v>
      </c>
      <c r="N245" s="3">
        <v>522225</v>
      </c>
      <c r="O245" s="3">
        <v>31689</v>
      </c>
      <c r="P245" s="3">
        <v>33133</v>
      </c>
      <c r="Q245" s="3">
        <v>159029</v>
      </c>
      <c r="R245" s="3">
        <v>2243160</v>
      </c>
      <c r="S245" s="3">
        <v>2233699</v>
      </c>
      <c r="T245" s="3">
        <v>2233699</v>
      </c>
      <c r="U245" s="3">
        <v>306327</v>
      </c>
      <c r="V245" s="3">
        <v>306327</v>
      </c>
      <c r="W245" s="3">
        <v>306327</v>
      </c>
      <c r="X245" s="3">
        <v>306327</v>
      </c>
      <c r="Y245" s="3">
        <v>304750</v>
      </c>
      <c r="Z245" s="3">
        <v>304750</v>
      </c>
      <c r="AA245" s="4">
        <v>304750</v>
      </c>
      <c r="AB245" s="4">
        <v>304750</v>
      </c>
      <c r="AC245" s="4">
        <v>304750</v>
      </c>
      <c r="AD245" s="4">
        <v>304749</v>
      </c>
      <c r="AE245" s="4">
        <v>306327</v>
      </c>
      <c r="AF245" s="4">
        <v>612654</v>
      </c>
      <c r="AG245" s="4">
        <v>918981</v>
      </c>
      <c r="AH245" s="4">
        <v>1225308</v>
      </c>
      <c r="AI245" s="4">
        <v>1530058</v>
      </c>
      <c r="AJ245" s="4">
        <v>1834808</v>
      </c>
      <c r="AK245" s="4">
        <v>2139558</v>
      </c>
      <c r="AL245" s="4">
        <v>2444308</v>
      </c>
      <c r="AM245" s="4">
        <v>2749058</v>
      </c>
      <c r="AN245" s="4">
        <v>3053807</v>
      </c>
      <c r="AO245" s="134">
        <v>184945</v>
      </c>
    </row>
    <row r="246" spans="1:41" x14ac:dyDescent="0.2">
      <c r="A246" s="1">
        <v>2025</v>
      </c>
      <c r="B246" s="2" t="s">
        <v>266</v>
      </c>
      <c r="C246" s="2" t="s">
        <v>266</v>
      </c>
      <c r="D246" s="1" t="s">
        <v>608</v>
      </c>
      <c r="E246" s="3">
        <v>1172600</v>
      </c>
      <c r="F246" s="3">
        <v>166</v>
      </c>
      <c r="G246" s="3">
        <v>5461</v>
      </c>
      <c r="H246" s="3">
        <v>3987</v>
      </c>
      <c r="I246" s="3">
        <v>0</v>
      </c>
      <c r="J246" s="3">
        <v>1166973</v>
      </c>
      <c r="K246" s="3">
        <v>1162986</v>
      </c>
      <c r="L246" s="3">
        <v>1162986</v>
      </c>
      <c r="M246" s="3">
        <v>38964</v>
      </c>
      <c r="N246" s="3">
        <v>240267</v>
      </c>
      <c r="O246" s="3">
        <v>16648</v>
      </c>
      <c r="P246" s="3">
        <v>15282</v>
      </c>
      <c r="Q246" s="3">
        <v>71126</v>
      </c>
      <c r="R246" s="3">
        <v>784686</v>
      </c>
      <c r="S246" s="3">
        <v>780699</v>
      </c>
      <c r="T246" s="3">
        <v>780699</v>
      </c>
      <c r="U246" s="3">
        <v>116697</v>
      </c>
      <c r="V246" s="3">
        <v>116697</v>
      </c>
      <c r="W246" s="3">
        <v>116697</v>
      </c>
      <c r="X246" s="3">
        <v>116697</v>
      </c>
      <c r="Y246" s="3">
        <v>116033</v>
      </c>
      <c r="Z246" s="3">
        <v>116033</v>
      </c>
      <c r="AA246" s="4">
        <v>116033</v>
      </c>
      <c r="AB246" s="4">
        <v>116033</v>
      </c>
      <c r="AC246" s="4">
        <v>116033</v>
      </c>
      <c r="AD246" s="4">
        <v>116033</v>
      </c>
      <c r="AE246" s="4">
        <v>116697</v>
      </c>
      <c r="AF246" s="4">
        <v>233394</v>
      </c>
      <c r="AG246" s="4">
        <v>350091</v>
      </c>
      <c r="AH246" s="4">
        <v>466788</v>
      </c>
      <c r="AI246" s="4">
        <v>582821</v>
      </c>
      <c r="AJ246" s="4">
        <v>698854</v>
      </c>
      <c r="AK246" s="4">
        <v>814887</v>
      </c>
      <c r="AL246" s="4">
        <v>930920</v>
      </c>
      <c r="AM246" s="4">
        <v>1046953</v>
      </c>
      <c r="AN246" s="4">
        <v>1162986</v>
      </c>
      <c r="AO246" s="134">
        <v>92880</v>
      </c>
    </row>
    <row r="247" spans="1:41" x14ac:dyDescent="0.2">
      <c r="A247" s="1">
        <v>2025</v>
      </c>
      <c r="B247" s="2" t="s">
        <v>267</v>
      </c>
      <c r="C247" s="2" t="s">
        <v>267</v>
      </c>
      <c r="D247" s="1" t="s">
        <v>609</v>
      </c>
      <c r="E247" s="3">
        <v>3319929</v>
      </c>
      <c r="F247" s="3">
        <v>580</v>
      </c>
      <c r="G247" s="3">
        <v>0</v>
      </c>
      <c r="H247" s="3">
        <v>12934</v>
      </c>
      <c r="I247" s="1">
        <v>0</v>
      </c>
      <c r="J247" s="3">
        <v>3319349</v>
      </c>
      <c r="K247" s="3">
        <v>3306415</v>
      </c>
      <c r="L247" s="3">
        <v>3306415</v>
      </c>
      <c r="M247" s="3">
        <v>136375</v>
      </c>
      <c r="N247" s="3">
        <v>527001</v>
      </c>
      <c r="O247" s="3">
        <v>42858</v>
      </c>
      <c r="P247" s="3">
        <v>44242</v>
      </c>
      <c r="Q247" s="3">
        <v>216898</v>
      </c>
      <c r="R247" s="3">
        <v>2351975</v>
      </c>
      <c r="S247" s="3">
        <v>2339041</v>
      </c>
      <c r="T247" s="3">
        <v>2339041</v>
      </c>
      <c r="U247" s="3">
        <v>331935</v>
      </c>
      <c r="V247" s="3">
        <v>331935</v>
      </c>
      <c r="W247" s="3">
        <v>331935</v>
      </c>
      <c r="X247" s="3">
        <v>331935</v>
      </c>
      <c r="Y247" s="3">
        <v>329779</v>
      </c>
      <c r="Z247" s="3">
        <v>329779</v>
      </c>
      <c r="AA247" s="4">
        <v>329779</v>
      </c>
      <c r="AB247" s="4">
        <v>329779</v>
      </c>
      <c r="AC247" s="4">
        <v>329779</v>
      </c>
      <c r="AD247" s="4">
        <v>329780</v>
      </c>
      <c r="AE247" s="4">
        <v>331935</v>
      </c>
      <c r="AF247" s="4">
        <v>663870</v>
      </c>
      <c r="AG247" s="4">
        <v>995805</v>
      </c>
      <c r="AH247" s="4">
        <v>1327740</v>
      </c>
      <c r="AI247" s="4">
        <v>1657519</v>
      </c>
      <c r="AJ247" s="4">
        <v>1987298</v>
      </c>
      <c r="AK247" s="4">
        <v>2317077</v>
      </c>
      <c r="AL247" s="4">
        <v>2646856</v>
      </c>
      <c r="AM247" s="4">
        <v>2976635</v>
      </c>
      <c r="AN247" s="4">
        <v>3306415</v>
      </c>
      <c r="AO247" s="134">
        <v>240583</v>
      </c>
    </row>
    <row r="248" spans="1:41" x14ac:dyDescent="0.2">
      <c r="A248" s="1">
        <v>2025</v>
      </c>
      <c r="B248" s="2" t="s">
        <v>268</v>
      </c>
      <c r="C248" s="2" t="s">
        <v>268</v>
      </c>
      <c r="D248" s="1" t="s">
        <v>610</v>
      </c>
      <c r="E248" s="3">
        <v>1766340</v>
      </c>
      <c r="F248" s="3">
        <v>929</v>
      </c>
      <c r="G248" s="3">
        <v>44832</v>
      </c>
      <c r="H248" s="3">
        <v>23044</v>
      </c>
      <c r="I248" s="3">
        <v>0</v>
      </c>
      <c r="J248" s="3">
        <v>1720579</v>
      </c>
      <c r="K248" s="3">
        <v>1697535</v>
      </c>
      <c r="L248" s="3">
        <v>1697535</v>
      </c>
      <c r="M248" s="3">
        <v>218199</v>
      </c>
      <c r="N248" s="3">
        <v>844226</v>
      </c>
      <c r="O248" s="3">
        <v>95904</v>
      </c>
      <c r="P248" s="3">
        <v>81001</v>
      </c>
      <c r="Q248" s="3">
        <v>397005</v>
      </c>
      <c r="R248" s="3">
        <v>84244</v>
      </c>
      <c r="S248" s="3">
        <v>61200</v>
      </c>
      <c r="T248" s="3">
        <v>61200</v>
      </c>
      <c r="U248" s="3">
        <v>172058</v>
      </c>
      <c r="V248" s="3">
        <v>172058</v>
      </c>
      <c r="W248" s="3">
        <v>172058</v>
      </c>
      <c r="X248" s="3">
        <v>172058</v>
      </c>
      <c r="Y248" s="3">
        <v>168217</v>
      </c>
      <c r="Z248" s="3">
        <v>168217</v>
      </c>
      <c r="AA248" s="4">
        <v>168217</v>
      </c>
      <c r="AB248" s="4">
        <v>168217</v>
      </c>
      <c r="AC248" s="4">
        <v>168217</v>
      </c>
      <c r="AD248" s="4">
        <v>168218</v>
      </c>
      <c r="AE248" s="4">
        <v>172058</v>
      </c>
      <c r="AF248" s="4">
        <v>344116</v>
      </c>
      <c r="AG248" s="4">
        <v>516174</v>
      </c>
      <c r="AH248" s="4">
        <v>688232</v>
      </c>
      <c r="AI248" s="4">
        <v>856449</v>
      </c>
      <c r="AJ248" s="4">
        <v>1024666</v>
      </c>
      <c r="AK248" s="4">
        <v>1192883</v>
      </c>
      <c r="AL248" s="4">
        <v>1361100</v>
      </c>
      <c r="AM248" s="4">
        <v>1529317</v>
      </c>
      <c r="AN248" s="4">
        <v>1697535</v>
      </c>
      <c r="AO248" s="134">
        <v>416735</v>
      </c>
    </row>
    <row r="249" spans="1:41" x14ac:dyDescent="0.2">
      <c r="A249" s="1">
        <v>2025</v>
      </c>
      <c r="B249" s="2" t="s">
        <v>269</v>
      </c>
      <c r="C249" s="2" t="s">
        <v>269</v>
      </c>
      <c r="D249" s="1" t="s">
        <v>611</v>
      </c>
      <c r="E249" s="3">
        <v>2274297</v>
      </c>
      <c r="F249" s="1">
        <v>415</v>
      </c>
      <c r="G249" s="1">
        <v>0</v>
      </c>
      <c r="H249" s="3">
        <v>8222</v>
      </c>
      <c r="I249" s="1">
        <v>0</v>
      </c>
      <c r="J249" s="3">
        <v>2273882</v>
      </c>
      <c r="K249" s="3">
        <v>2265660</v>
      </c>
      <c r="L249" s="3">
        <v>2265660</v>
      </c>
      <c r="M249" s="3">
        <v>97410</v>
      </c>
      <c r="N249" s="3">
        <v>395726</v>
      </c>
      <c r="O249" s="3">
        <v>26536</v>
      </c>
      <c r="P249" s="3">
        <v>29607</v>
      </c>
      <c r="Q249" s="3">
        <v>139764</v>
      </c>
      <c r="R249" s="3">
        <v>1584839</v>
      </c>
      <c r="S249" s="3">
        <v>1576617</v>
      </c>
      <c r="T249" s="3">
        <v>1576617</v>
      </c>
      <c r="U249" s="3">
        <v>227388</v>
      </c>
      <c r="V249" s="3">
        <v>227388</v>
      </c>
      <c r="W249" s="3">
        <v>227388</v>
      </c>
      <c r="X249" s="3">
        <v>227388</v>
      </c>
      <c r="Y249" s="3">
        <v>226018</v>
      </c>
      <c r="Z249" s="3">
        <v>226018</v>
      </c>
      <c r="AA249" s="4">
        <v>226018</v>
      </c>
      <c r="AB249" s="4">
        <v>226018</v>
      </c>
      <c r="AC249" s="4">
        <v>226018</v>
      </c>
      <c r="AD249" s="4">
        <v>226018</v>
      </c>
      <c r="AE249" s="4">
        <v>227388</v>
      </c>
      <c r="AF249" s="4">
        <v>454776</v>
      </c>
      <c r="AG249" s="4">
        <v>682164</v>
      </c>
      <c r="AH249" s="4">
        <v>909552</v>
      </c>
      <c r="AI249" s="4">
        <v>1135570</v>
      </c>
      <c r="AJ249" s="4">
        <v>1361588</v>
      </c>
      <c r="AK249" s="4">
        <v>1587606</v>
      </c>
      <c r="AL249" s="4">
        <v>1813624</v>
      </c>
      <c r="AM249" s="4">
        <v>2039642</v>
      </c>
      <c r="AN249" s="4">
        <v>2265660</v>
      </c>
      <c r="AO249" s="134">
        <v>156368</v>
      </c>
    </row>
    <row r="250" spans="1:41" x14ac:dyDescent="0.2">
      <c r="A250" s="1">
        <v>2025</v>
      </c>
      <c r="B250" s="2" t="s">
        <v>270</v>
      </c>
      <c r="C250" s="2" t="s">
        <v>270</v>
      </c>
      <c r="D250" s="1" t="s">
        <v>612</v>
      </c>
      <c r="E250" s="3">
        <v>1339119</v>
      </c>
      <c r="F250" s="3">
        <v>249</v>
      </c>
      <c r="G250" s="3">
        <v>0</v>
      </c>
      <c r="H250" s="3">
        <v>5361</v>
      </c>
      <c r="I250" s="1">
        <v>0</v>
      </c>
      <c r="J250" s="3">
        <v>1338870</v>
      </c>
      <c r="K250" s="3">
        <v>1333509</v>
      </c>
      <c r="L250" s="3">
        <v>1333509</v>
      </c>
      <c r="M250" s="3">
        <v>58446</v>
      </c>
      <c r="N250" s="3">
        <v>287813</v>
      </c>
      <c r="O250" s="3">
        <v>17325</v>
      </c>
      <c r="P250" s="3">
        <v>13322</v>
      </c>
      <c r="Q250" s="3">
        <v>90280</v>
      </c>
      <c r="R250" s="3">
        <v>871684</v>
      </c>
      <c r="S250" s="3">
        <v>866323</v>
      </c>
      <c r="T250" s="3">
        <v>866323</v>
      </c>
      <c r="U250" s="3">
        <v>133887</v>
      </c>
      <c r="V250" s="3">
        <v>133887</v>
      </c>
      <c r="W250" s="3">
        <v>133887</v>
      </c>
      <c r="X250" s="3">
        <v>133887</v>
      </c>
      <c r="Y250" s="3">
        <v>132994</v>
      </c>
      <c r="Z250" s="3">
        <v>132994</v>
      </c>
      <c r="AA250" s="4">
        <v>132993</v>
      </c>
      <c r="AB250" s="4">
        <v>132993</v>
      </c>
      <c r="AC250" s="4">
        <v>132993</v>
      </c>
      <c r="AD250" s="4">
        <v>132994</v>
      </c>
      <c r="AE250" s="4">
        <v>133887</v>
      </c>
      <c r="AF250" s="4">
        <v>267774</v>
      </c>
      <c r="AG250" s="4">
        <v>401661</v>
      </c>
      <c r="AH250" s="4">
        <v>535548</v>
      </c>
      <c r="AI250" s="4">
        <v>668542</v>
      </c>
      <c r="AJ250" s="4">
        <v>801536</v>
      </c>
      <c r="AK250" s="4">
        <v>934529</v>
      </c>
      <c r="AL250" s="4">
        <v>1067522</v>
      </c>
      <c r="AM250" s="4">
        <v>1200515</v>
      </c>
      <c r="AN250" s="4">
        <v>1333509</v>
      </c>
      <c r="AO250" s="134">
        <v>111779</v>
      </c>
    </row>
    <row r="251" spans="1:41" x14ac:dyDescent="0.2">
      <c r="A251" s="1">
        <v>2025</v>
      </c>
      <c r="B251" s="2" t="s">
        <v>271</v>
      </c>
      <c r="C251" s="2" t="s">
        <v>271</v>
      </c>
      <c r="D251" s="1" t="s">
        <v>613</v>
      </c>
      <c r="E251" s="3">
        <v>8482372</v>
      </c>
      <c r="F251" s="3">
        <v>1061</v>
      </c>
      <c r="G251" s="3">
        <v>0</v>
      </c>
      <c r="H251" s="3">
        <v>32385</v>
      </c>
      <c r="I251" s="1">
        <v>0</v>
      </c>
      <c r="J251" s="3">
        <v>8481311</v>
      </c>
      <c r="K251" s="3">
        <v>8448926</v>
      </c>
      <c r="L251" s="3">
        <v>8448926</v>
      </c>
      <c r="M251" s="3">
        <v>249371</v>
      </c>
      <c r="N251" s="3">
        <v>1063580</v>
      </c>
      <c r="O251" s="3">
        <v>117250</v>
      </c>
      <c r="P251" s="3">
        <v>118677</v>
      </c>
      <c r="Q251" s="3">
        <v>550254</v>
      </c>
      <c r="R251" s="3">
        <v>6382179</v>
      </c>
      <c r="S251" s="3">
        <v>6349794</v>
      </c>
      <c r="T251" s="3">
        <v>6349794</v>
      </c>
      <c r="U251" s="3">
        <v>848131</v>
      </c>
      <c r="V251" s="3">
        <v>848131</v>
      </c>
      <c r="W251" s="3">
        <v>848131</v>
      </c>
      <c r="X251" s="3">
        <v>848131</v>
      </c>
      <c r="Y251" s="3">
        <v>842734</v>
      </c>
      <c r="Z251" s="3">
        <v>842734</v>
      </c>
      <c r="AA251" s="4">
        <v>842734</v>
      </c>
      <c r="AB251" s="4">
        <v>842734</v>
      </c>
      <c r="AC251" s="4">
        <v>842734</v>
      </c>
      <c r="AD251" s="4">
        <v>842732</v>
      </c>
      <c r="AE251" s="4">
        <v>848131</v>
      </c>
      <c r="AF251" s="4">
        <v>1696262</v>
      </c>
      <c r="AG251" s="4">
        <v>2544393</v>
      </c>
      <c r="AH251" s="4">
        <v>3392524</v>
      </c>
      <c r="AI251" s="4">
        <v>4235258</v>
      </c>
      <c r="AJ251" s="4">
        <v>5077992</v>
      </c>
      <c r="AK251" s="4">
        <v>5920726</v>
      </c>
      <c r="AL251" s="4">
        <v>6763460</v>
      </c>
      <c r="AM251" s="4">
        <v>7606194</v>
      </c>
      <c r="AN251" s="4">
        <v>8448926</v>
      </c>
      <c r="AO251" s="134">
        <v>607638</v>
      </c>
    </row>
    <row r="252" spans="1:41" x14ac:dyDescent="0.2">
      <c r="A252" s="1">
        <v>2025</v>
      </c>
      <c r="B252" s="2" t="s">
        <v>272</v>
      </c>
      <c r="C252" s="2" t="s">
        <v>272</v>
      </c>
      <c r="D252" s="1" t="s">
        <v>614</v>
      </c>
      <c r="E252" s="3">
        <v>1802258</v>
      </c>
      <c r="F252" s="1">
        <v>166</v>
      </c>
      <c r="G252" s="1">
        <v>0</v>
      </c>
      <c r="H252" s="3">
        <v>5253</v>
      </c>
      <c r="I252" s="3">
        <v>0</v>
      </c>
      <c r="J252" s="3">
        <v>1802092</v>
      </c>
      <c r="K252" s="3">
        <v>1796839</v>
      </c>
      <c r="L252" s="3">
        <v>1796839</v>
      </c>
      <c r="M252" s="3">
        <v>38964</v>
      </c>
      <c r="N252" s="3">
        <v>434209</v>
      </c>
      <c r="O252" s="3">
        <v>21419</v>
      </c>
      <c r="P252" s="3">
        <v>20792</v>
      </c>
      <c r="Q252" s="3">
        <v>88089</v>
      </c>
      <c r="R252" s="3">
        <v>1198619</v>
      </c>
      <c r="S252" s="3">
        <v>1193366</v>
      </c>
      <c r="T252" s="3">
        <v>1193366</v>
      </c>
      <c r="U252" s="3">
        <v>180209</v>
      </c>
      <c r="V252" s="3">
        <v>180209</v>
      </c>
      <c r="W252" s="3">
        <v>180209</v>
      </c>
      <c r="X252" s="3">
        <v>180209</v>
      </c>
      <c r="Y252" s="3">
        <v>179334</v>
      </c>
      <c r="Z252" s="3">
        <v>179334</v>
      </c>
      <c r="AA252" s="4">
        <v>179334</v>
      </c>
      <c r="AB252" s="4">
        <v>179334</v>
      </c>
      <c r="AC252" s="4">
        <v>179334</v>
      </c>
      <c r="AD252" s="4">
        <v>179333</v>
      </c>
      <c r="AE252" s="4">
        <v>180209</v>
      </c>
      <c r="AF252" s="4">
        <v>360418</v>
      </c>
      <c r="AG252" s="4">
        <v>540627</v>
      </c>
      <c r="AH252" s="4">
        <v>720836</v>
      </c>
      <c r="AI252" s="4">
        <v>900170</v>
      </c>
      <c r="AJ252" s="4">
        <v>1079504</v>
      </c>
      <c r="AK252" s="4">
        <v>1258838</v>
      </c>
      <c r="AL252" s="4">
        <v>1438172</v>
      </c>
      <c r="AM252" s="4">
        <v>1617506</v>
      </c>
      <c r="AN252" s="4">
        <v>1796839</v>
      </c>
      <c r="AO252" s="134">
        <v>99293</v>
      </c>
    </row>
    <row r="253" spans="1:41" x14ac:dyDescent="0.2">
      <c r="A253" s="1">
        <v>2025</v>
      </c>
      <c r="B253" s="2" t="s">
        <v>273</v>
      </c>
      <c r="C253" s="2" t="s">
        <v>273</v>
      </c>
      <c r="D253" s="1" t="s">
        <v>615</v>
      </c>
      <c r="E253" s="3">
        <v>4785771</v>
      </c>
      <c r="F253" s="3">
        <v>746</v>
      </c>
      <c r="G253" s="3">
        <v>0</v>
      </c>
      <c r="H253" s="3">
        <v>16899</v>
      </c>
      <c r="I253" s="1">
        <v>0</v>
      </c>
      <c r="J253" s="3">
        <v>4785025</v>
      </c>
      <c r="K253" s="3">
        <v>4768126</v>
      </c>
      <c r="L253" s="3">
        <v>4768126</v>
      </c>
      <c r="M253" s="3">
        <v>175339</v>
      </c>
      <c r="N253" s="3">
        <v>682834</v>
      </c>
      <c r="O253" s="3">
        <v>54344</v>
      </c>
      <c r="P253" s="3">
        <v>64490</v>
      </c>
      <c r="Q253" s="3">
        <v>290558</v>
      </c>
      <c r="R253" s="3">
        <v>3517460</v>
      </c>
      <c r="S253" s="3">
        <v>3500561</v>
      </c>
      <c r="T253" s="3">
        <v>3500561</v>
      </c>
      <c r="U253" s="3">
        <v>478503</v>
      </c>
      <c r="V253" s="3">
        <v>478503</v>
      </c>
      <c r="W253" s="3">
        <v>478503</v>
      </c>
      <c r="X253" s="3">
        <v>478503</v>
      </c>
      <c r="Y253" s="3">
        <v>475686</v>
      </c>
      <c r="Z253" s="3">
        <v>475686</v>
      </c>
      <c r="AA253" s="4">
        <v>475686</v>
      </c>
      <c r="AB253" s="4">
        <v>475686</v>
      </c>
      <c r="AC253" s="4">
        <v>475686</v>
      </c>
      <c r="AD253" s="4">
        <v>475684</v>
      </c>
      <c r="AE253" s="4">
        <v>478503</v>
      </c>
      <c r="AF253" s="4">
        <v>957006</v>
      </c>
      <c r="AG253" s="4">
        <v>1435509</v>
      </c>
      <c r="AH253" s="4">
        <v>1914012</v>
      </c>
      <c r="AI253" s="4">
        <v>2389698</v>
      </c>
      <c r="AJ253" s="4">
        <v>2865384</v>
      </c>
      <c r="AK253" s="4">
        <v>3341070</v>
      </c>
      <c r="AL253" s="4">
        <v>3816756</v>
      </c>
      <c r="AM253" s="4">
        <v>4292442</v>
      </c>
      <c r="AN253" s="4">
        <v>4768126</v>
      </c>
      <c r="AO253" s="134">
        <v>324683</v>
      </c>
    </row>
    <row r="254" spans="1:41" x14ac:dyDescent="0.2">
      <c r="A254" s="1">
        <v>2025</v>
      </c>
      <c r="B254" s="2" t="s">
        <v>274</v>
      </c>
      <c r="C254" s="2" t="s">
        <v>274</v>
      </c>
      <c r="D254" s="1" t="s">
        <v>616</v>
      </c>
      <c r="E254" s="3">
        <v>8776933</v>
      </c>
      <c r="F254" s="3">
        <v>1592</v>
      </c>
      <c r="G254" s="3">
        <v>0</v>
      </c>
      <c r="H254" s="3">
        <v>25290</v>
      </c>
      <c r="I254" s="1">
        <v>0</v>
      </c>
      <c r="J254" s="3">
        <v>8775341</v>
      </c>
      <c r="K254" s="3">
        <v>8750051</v>
      </c>
      <c r="L254" s="3">
        <v>8750051</v>
      </c>
      <c r="M254" s="3">
        <v>374056</v>
      </c>
      <c r="N254" s="3">
        <v>968316</v>
      </c>
      <c r="O254" s="3">
        <v>97502</v>
      </c>
      <c r="P254" s="3">
        <v>84062</v>
      </c>
      <c r="Q254" s="3">
        <v>456952</v>
      </c>
      <c r="R254" s="3">
        <v>6794453</v>
      </c>
      <c r="S254" s="3">
        <v>6769163</v>
      </c>
      <c r="T254" s="3">
        <v>6769163</v>
      </c>
      <c r="U254" s="3">
        <v>877534</v>
      </c>
      <c r="V254" s="3">
        <v>877534</v>
      </c>
      <c r="W254" s="3">
        <v>877534</v>
      </c>
      <c r="X254" s="3">
        <v>877534</v>
      </c>
      <c r="Y254" s="3">
        <v>873319</v>
      </c>
      <c r="Z254" s="3">
        <v>873319</v>
      </c>
      <c r="AA254" s="4">
        <v>873319</v>
      </c>
      <c r="AB254" s="4">
        <v>873319</v>
      </c>
      <c r="AC254" s="4">
        <v>873319</v>
      </c>
      <c r="AD254" s="4">
        <v>873320</v>
      </c>
      <c r="AE254" s="4">
        <v>877534</v>
      </c>
      <c r="AF254" s="4">
        <v>1755068</v>
      </c>
      <c r="AG254" s="4">
        <v>2632602</v>
      </c>
      <c r="AH254" s="4">
        <v>3510136</v>
      </c>
      <c r="AI254" s="4">
        <v>4383455</v>
      </c>
      <c r="AJ254" s="4">
        <v>5256774</v>
      </c>
      <c r="AK254" s="4">
        <v>6130093</v>
      </c>
      <c r="AL254" s="4">
        <v>7003412</v>
      </c>
      <c r="AM254" s="4">
        <v>7876731</v>
      </c>
      <c r="AN254" s="4">
        <v>8750051</v>
      </c>
      <c r="AO254" s="134">
        <v>487492</v>
      </c>
    </row>
    <row r="255" spans="1:41" x14ac:dyDescent="0.2">
      <c r="A255" s="1">
        <v>2025</v>
      </c>
      <c r="B255" s="2" t="s">
        <v>275</v>
      </c>
      <c r="C255" s="2" t="s">
        <v>275</v>
      </c>
      <c r="D255" s="1" t="s">
        <v>617</v>
      </c>
      <c r="E255" s="3">
        <v>7776330</v>
      </c>
      <c r="F255" s="3">
        <v>929</v>
      </c>
      <c r="G255" s="3">
        <v>18564</v>
      </c>
      <c r="H255" s="3">
        <v>23810</v>
      </c>
      <c r="I255" s="1">
        <v>0</v>
      </c>
      <c r="J255" s="3">
        <v>7756837</v>
      </c>
      <c r="K255" s="3">
        <v>7733027</v>
      </c>
      <c r="L255" s="3">
        <v>7733027</v>
      </c>
      <c r="M255" s="3">
        <v>214381</v>
      </c>
      <c r="N255" s="3">
        <v>951653</v>
      </c>
      <c r="O255" s="3">
        <v>94312</v>
      </c>
      <c r="P255" s="3">
        <v>81113</v>
      </c>
      <c r="Q255" s="3">
        <v>400782</v>
      </c>
      <c r="R255" s="3">
        <v>6014596</v>
      </c>
      <c r="S255" s="3">
        <v>5990786</v>
      </c>
      <c r="T255" s="3">
        <v>5990786</v>
      </c>
      <c r="U255" s="3">
        <v>775684</v>
      </c>
      <c r="V255" s="3">
        <v>775684</v>
      </c>
      <c r="W255" s="3">
        <v>775684</v>
      </c>
      <c r="X255" s="3">
        <v>775684</v>
      </c>
      <c r="Y255" s="3">
        <v>771715</v>
      </c>
      <c r="Z255" s="3">
        <v>771715</v>
      </c>
      <c r="AA255" s="4">
        <v>771715</v>
      </c>
      <c r="AB255" s="4">
        <v>771715</v>
      </c>
      <c r="AC255" s="4">
        <v>771715</v>
      </c>
      <c r="AD255" s="4">
        <v>771716</v>
      </c>
      <c r="AE255" s="4">
        <v>775684</v>
      </c>
      <c r="AF255" s="4">
        <v>1551368</v>
      </c>
      <c r="AG255" s="4">
        <v>2327052</v>
      </c>
      <c r="AH255" s="4">
        <v>3102736</v>
      </c>
      <c r="AI255" s="4">
        <v>3874451</v>
      </c>
      <c r="AJ255" s="4">
        <v>4646166</v>
      </c>
      <c r="AK255" s="4">
        <v>5417881</v>
      </c>
      <c r="AL255" s="4">
        <v>6189596</v>
      </c>
      <c r="AM255" s="4">
        <v>6961311</v>
      </c>
      <c r="AN255" s="4">
        <v>7733027</v>
      </c>
      <c r="AO255" s="134">
        <v>441915</v>
      </c>
    </row>
    <row r="256" spans="1:41" x14ac:dyDescent="0.2">
      <c r="A256" s="1">
        <v>2025</v>
      </c>
      <c r="B256" s="2" t="s">
        <v>276</v>
      </c>
      <c r="C256" s="2" t="s">
        <v>276</v>
      </c>
      <c r="D256" s="1" t="s">
        <v>618</v>
      </c>
      <c r="E256" s="3">
        <v>4518120</v>
      </c>
      <c r="F256" s="3">
        <v>813</v>
      </c>
      <c r="G256" s="3">
        <v>0</v>
      </c>
      <c r="H256" s="3">
        <v>14615</v>
      </c>
      <c r="I256" s="1">
        <v>0</v>
      </c>
      <c r="J256" s="3">
        <v>4517307</v>
      </c>
      <c r="K256" s="3">
        <v>4502692</v>
      </c>
      <c r="L256" s="3">
        <v>4502692</v>
      </c>
      <c r="M256" s="3">
        <v>239109</v>
      </c>
      <c r="N256" s="3">
        <v>710226</v>
      </c>
      <c r="O256" s="3">
        <v>55244</v>
      </c>
      <c r="P256" s="3">
        <v>48478</v>
      </c>
      <c r="Q256" s="3">
        <v>253917</v>
      </c>
      <c r="R256" s="3">
        <v>3210333</v>
      </c>
      <c r="S256" s="3">
        <v>3195718</v>
      </c>
      <c r="T256" s="3">
        <v>3195718</v>
      </c>
      <c r="U256" s="3">
        <v>451731</v>
      </c>
      <c r="V256" s="3">
        <v>451731</v>
      </c>
      <c r="W256" s="3">
        <v>451731</v>
      </c>
      <c r="X256" s="3">
        <v>451731</v>
      </c>
      <c r="Y256" s="3">
        <v>449295</v>
      </c>
      <c r="Z256" s="3">
        <v>449295</v>
      </c>
      <c r="AA256" s="4">
        <v>449295</v>
      </c>
      <c r="AB256" s="4">
        <v>449295</v>
      </c>
      <c r="AC256" s="4">
        <v>449295</v>
      </c>
      <c r="AD256" s="4">
        <v>449293</v>
      </c>
      <c r="AE256" s="4">
        <v>451731</v>
      </c>
      <c r="AF256" s="4">
        <v>903462</v>
      </c>
      <c r="AG256" s="4">
        <v>1355193</v>
      </c>
      <c r="AH256" s="4">
        <v>1806924</v>
      </c>
      <c r="AI256" s="4">
        <v>2256219</v>
      </c>
      <c r="AJ256" s="4">
        <v>2705514</v>
      </c>
      <c r="AK256" s="4">
        <v>3154809</v>
      </c>
      <c r="AL256" s="4">
        <v>3604104</v>
      </c>
      <c r="AM256" s="4">
        <v>4053399</v>
      </c>
      <c r="AN256" s="4">
        <v>4502692</v>
      </c>
      <c r="AO256" s="134">
        <v>281579</v>
      </c>
    </row>
    <row r="257" spans="1:41" x14ac:dyDescent="0.2">
      <c r="A257" s="1">
        <v>2025</v>
      </c>
      <c r="B257" s="2" t="s">
        <v>277</v>
      </c>
      <c r="C257" s="2" t="s">
        <v>277</v>
      </c>
      <c r="D257" s="1" t="s">
        <v>619</v>
      </c>
      <c r="E257" s="3">
        <v>2770185</v>
      </c>
      <c r="F257" s="3">
        <v>265</v>
      </c>
      <c r="G257" s="3">
        <v>54396</v>
      </c>
      <c r="H257" s="3">
        <v>8763</v>
      </c>
      <c r="I257" s="1">
        <v>0</v>
      </c>
      <c r="J257" s="3">
        <v>2715524</v>
      </c>
      <c r="K257" s="3">
        <v>2706761</v>
      </c>
      <c r="L257" s="3">
        <v>2706761</v>
      </c>
      <c r="M257" s="3">
        <v>62343</v>
      </c>
      <c r="N257" s="3">
        <v>416047</v>
      </c>
      <c r="O257" s="3">
        <v>32793</v>
      </c>
      <c r="P257" s="3">
        <v>30731</v>
      </c>
      <c r="Q257" s="3">
        <v>146941</v>
      </c>
      <c r="R257" s="3">
        <v>2026669</v>
      </c>
      <c r="S257" s="3">
        <v>2017906</v>
      </c>
      <c r="T257" s="3">
        <v>2017906</v>
      </c>
      <c r="U257" s="3">
        <v>271552</v>
      </c>
      <c r="V257" s="3">
        <v>271552</v>
      </c>
      <c r="W257" s="3">
        <v>271552</v>
      </c>
      <c r="X257" s="3">
        <v>271552</v>
      </c>
      <c r="Y257" s="3">
        <v>270092</v>
      </c>
      <c r="Z257" s="3">
        <v>270092</v>
      </c>
      <c r="AA257" s="4">
        <v>270092</v>
      </c>
      <c r="AB257" s="4">
        <v>270092</v>
      </c>
      <c r="AC257" s="4">
        <v>270092</v>
      </c>
      <c r="AD257" s="4">
        <v>270093</v>
      </c>
      <c r="AE257" s="4">
        <v>271552</v>
      </c>
      <c r="AF257" s="4">
        <v>543104</v>
      </c>
      <c r="AG257" s="4">
        <v>814656</v>
      </c>
      <c r="AH257" s="4">
        <v>1086208</v>
      </c>
      <c r="AI257" s="4">
        <v>1356300</v>
      </c>
      <c r="AJ257" s="4">
        <v>1626392</v>
      </c>
      <c r="AK257" s="4">
        <v>1896484</v>
      </c>
      <c r="AL257" s="4">
        <v>2166576</v>
      </c>
      <c r="AM257" s="4">
        <v>2436668</v>
      </c>
      <c r="AN257" s="4">
        <v>2706761</v>
      </c>
      <c r="AO257" s="134">
        <v>160895</v>
      </c>
    </row>
    <row r="258" spans="1:41" x14ac:dyDescent="0.2">
      <c r="A258" s="1">
        <v>2025</v>
      </c>
      <c r="B258" s="2" t="s">
        <v>278</v>
      </c>
      <c r="C258" s="2" t="s">
        <v>278</v>
      </c>
      <c r="D258" s="1" t="s">
        <v>620</v>
      </c>
      <c r="E258" s="3">
        <v>4309719</v>
      </c>
      <c r="F258" s="3">
        <v>332</v>
      </c>
      <c r="G258" s="3">
        <v>0</v>
      </c>
      <c r="H258" s="3">
        <v>12711</v>
      </c>
      <c r="I258" s="1">
        <v>0</v>
      </c>
      <c r="J258" s="3">
        <v>4309387</v>
      </c>
      <c r="K258" s="3">
        <v>4296676</v>
      </c>
      <c r="L258" s="3">
        <v>4296676</v>
      </c>
      <c r="M258" s="3">
        <v>74110</v>
      </c>
      <c r="N258" s="3">
        <v>518832</v>
      </c>
      <c r="O258" s="3">
        <v>44619</v>
      </c>
      <c r="P258" s="3">
        <v>42652</v>
      </c>
      <c r="Q258" s="3">
        <v>213536</v>
      </c>
      <c r="R258" s="3">
        <v>3415638</v>
      </c>
      <c r="S258" s="3">
        <v>3402927</v>
      </c>
      <c r="T258" s="3">
        <v>3402927</v>
      </c>
      <c r="U258" s="3">
        <v>430939</v>
      </c>
      <c r="V258" s="3">
        <v>430939</v>
      </c>
      <c r="W258" s="3">
        <v>430939</v>
      </c>
      <c r="X258" s="3">
        <v>430939</v>
      </c>
      <c r="Y258" s="3">
        <v>428820</v>
      </c>
      <c r="Z258" s="3">
        <v>428820</v>
      </c>
      <c r="AA258" s="4">
        <v>428820</v>
      </c>
      <c r="AB258" s="4">
        <v>428820</v>
      </c>
      <c r="AC258" s="4">
        <v>428820</v>
      </c>
      <c r="AD258" s="4">
        <v>428820</v>
      </c>
      <c r="AE258" s="4">
        <v>430939</v>
      </c>
      <c r="AF258" s="4">
        <v>861878</v>
      </c>
      <c r="AG258" s="4">
        <v>1292817</v>
      </c>
      <c r="AH258" s="4">
        <v>1723756</v>
      </c>
      <c r="AI258" s="4">
        <v>2152576</v>
      </c>
      <c r="AJ258" s="4">
        <v>2581396</v>
      </c>
      <c r="AK258" s="4">
        <v>3010216</v>
      </c>
      <c r="AL258" s="4">
        <v>3439036</v>
      </c>
      <c r="AM258" s="4">
        <v>3867856</v>
      </c>
      <c r="AN258" s="4">
        <v>4296676</v>
      </c>
      <c r="AO258" s="134">
        <v>228122</v>
      </c>
    </row>
    <row r="259" spans="1:41" x14ac:dyDescent="0.2">
      <c r="A259" s="1">
        <v>2025</v>
      </c>
      <c r="B259" s="2" t="s">
        <v>279</v>
      </c>
      <c r="C259" s="2" t="s">
        <v>279</v>
      </c>
      <c r="D259" s="1" t="s">
        <v>621</v>
      </c>
      <c r="E259" s="3">
        <v>12339899</v>
      </c>
      <c r="F259" s="3">
        <v>2372</v>
      </c>
      <c r="G259" s="3">
        <v>0</v>
      </c>
      <c r="H259" s="3">
        <v>33642</v>
      </c>
      <c r="I259" s="1">
        <v>0</v>
      </c>
      <c r="J259" s="3">
        <v>12337527</v>
      </c>
      <c r="K259" s="3">
        <v>12303885</v>
      </c>
      <c r="L259" s="3">
        <v>12303885</v>
      </c>
      <c r="M259" s="3">
        <v>557187</v>
      </c>
      <c r="N259" s="3">
        <v>1373740</v>
      </c>
      <c r="O259" s="3">
        <v>170106</v>
      </c>
      <c r="P259" s="3">
        <v>161094</v>
      </c>
      <c r="Q259" s="3">
        <v>710718</v>
      </c>
      <c r="R259" s="3">
        <v>9364682</v>
      </c>
      <c r="S259" s="3">
        <v>9331040</v>
      </c>
      <c r="T259" s="3">
        <v>9331040</v>
      </c>
      <c r="U259" s="3">
        <v>1233753</v>
      </c>
      <c r="V259" s="3">
        <v>1233753</v>
      </c>
      <c r="W259" s="3">
        <v>1233753</v>
      </c>
      <c r="X259" s="3">
        <v>1233753</v>
      </c>
      <c r="Y259" s="3">
        <v>1228146</v>
      </c>
      <c r="Z259" s="3">
        <v>1228146</v>
      </c>
      <c r="AA259" s="4">
        <v>1228145</v>
      </c>
      <c r="AB259" s="4">
        <v>1228145</v>
      </c>
      <c r="AC259" s="4">
        <v>1228145</v>
      </c>
      <c r="AD259" s="4">
        <v>1228146</v>
      </c>
      <c r="AE259" s="4">
        <v>1233753</v>
      </c>
      <c r="AF259" s="4">
        <v>2467506</v>
      </c>
      <c r="AG259" s="4">
        <v>3701259</v>
      </c>
      <c r="AH259" s="4">
        <v>4935012</v>
      </c>
      <c r="AI259" s="4">
        <v>6163158</v>
      </c>
      <c r="AJ259" s="4">
        <v>7391304</v>
      </c>
      <c r="AK259" s="4">
        <v>8619449</v>
      </c>
      <c r="AL259" s="4">
        <v>9847594</v>
      </c>
      <c r="AM259" s="4">
        <v>11075739</v>
      </c>
      <c r="AN259" s="4">
        <v>12303885</v>
      </c>
      <c r="AO259" s="134">
        <v>675400</v>
      </c>
    </row>
    <row r="260" spans="1:41" x14ac:dyDescent="0.2">
      <c r="A260" s="1">
        <v>2025</v>
      </c>
      <c r="B260" s="2" t="s">
        <v>280</v>
      </c>
      <c r="C260" s="2" t="s">
        <v>280</v>
      </c>
      <c r="D260" s="1" t="s">
        <v>622</v>
      </c>
      <c r="E260" s="3">
        <v>134133314</v>
      </c>
      <c r="F260" s="3">
        <v>10764</v>
      </c>
      <c r="G260" s="3">
        <v>0</v>
      </c>
      <c r="H260" s="3">
        <v>328621</v>
      </c>
      <c r="I260" s="3">
        <v>0</v>
      </c>
      <c r="J260" s="3">
        <v>134122550</v>
      </c>
      <c r="K260" s="3">
        <v>133793929</v>
      </c>
      <c r="L260" s="3">
        <v>133793929</v>
      </c>
      <c r="M260" s="3">
        <v>2563131</v>
      </c>
      <c r="N260" s="3">
        <v>10821084</v>
      </c>
      <c r="O260" s="3">
        <v>1475849</v>
      </c>
      <c r="P260" s="3">
        <v>1199282</v>
      </c>
      <c r="Q260" s="3">
        <v>5846131</v>
      </c>
      <c r="R260" s="3">
        <v>112217073</v>
      </c>
      <c r="S260" s="3">
        <v>111888452</v>
      </c>
      <c r="T260" s="3">
        <v>111888452</v>
      </c>
      <c r="U260" s="3">
        <v>13412255</v>
      </c>
      <c r="V260" s="3">
        <v>13412255</v>
      </c>
      <c r="W260" s="3">
        <v>13412255</v>
      </c>
      <c r="X260" s="3">
        <v>13412255</v>
      </c>
      <c r="Y260" s="3">
        <v>13357485</v>
      </c>
      <c r="Z260" s="3">
        <v>13357485</v>
      </c>
      <c r="AA260" s="4">
        <v>13357485</v>
      </c>
      <c r="AB260" s="4">
        <v>13357485</v>
      </c>
      <c r="AC260" s="4">
        <v>13357485</v>
      </c>
      <c r="AD260" s="4">
        <v>13357484</v>
      </c>
      <c r="AE260" s="4">
        <v>13412255</v>
      </c>
      <c r="AF260" s="4">
        <v>26824510</v>
      </c>
      <c r="AG260" s="4">
        <v>40236765</v>
      </c>
      <c r="AH260" s="4">
        <v>53649020</v>
      </c>
      <c r="AI260" s="4">
        <v>67006505</v>
      </c>
      <c r="AJ260" s="4">
        <v>80363990</v>
      </c>
      <c r="AK260" s="4">
        <v>93721475</v>
      </c>
      <c r="AL260" s="4">
        <v>107078960</v>
      </c>
      <c r="AM260" s="4">
        <v>120436445</v>
      </c>
      <c r="AN260" s="4">
        <v>133793929</v>
      </c>
      <c r="AO260" s="134">
        <v>6415636</v>
      </c>
    </row>
    <row r="261" spans="1:41" x14ac:dyDescent="0.2">
      <c r="A261" s="1">
        <v>2025</v>
      </c>
      <c r="B261" s="2" t="s">
        <v>281</v>
      </c>
      <c r="C261" s="2" t="s">
        <v>692</v>
      </c>
      <c r="D261" s="1" t="s">
        <v>623</v>
      </c>
      <c r="E261" s="3">
        <v>2833857</v>
      </c>
      <c r="F261" s="3">
        <v>381</v>
      </c>
      <c r="G261" s="3">
        <v>7771</v>
      </c>
      <c r="H261" s="3">
        <v>9821</v>
      </c>
      <c r="I261" s="1">
        <v>0</v>
      </c>
      <c r="J261" s="3">
        <v>2825705</v>
      </c>
      <c r="K261" s="3">
        <v>2815884</v>
      </c>
      <c r="L261" s="3">
        <v>2815884</v>
      </c>
      <c r="M261" s="3">
        <v>89618</v>
      </c>
      <c r="N261" s="3">
        <v>471663</v>
      </c>
      <c r="O261" s="3">
        <v>37115</v>
      </c>
      <c r="P261" s="3">
        <v>39928</v>
      </c>
      <c r="Q261" s="3">
        <v>166583</v>
      </c>
      <c r="R261" s="3">
        <v>2020798</v>
      </c>
      <c r="S261" s="3">
        <v>2010977</v>
      </c>
      <c r="T261" s="3">
        <v>2010977</v>
      </c>
      <c r="U261" s="3">
        <v>282571</v>
      </c>
      <c r="V261" s="3">
        <v>282571</v>
      </c>
      <c r="W261" s="3">
        <v>282571</v>
      </c>
      <c r="X261" s="3">
        <v>282571</v>
      </c>
      <c r="Y261" s="3">
        <v>280933</v>
      </c>
      <c r="Z261" s="3">
        <v>280933</v>
      </c>
      <c r="AA261" s="4">
        <v>280934</v>
      </c>
      <c r="AB261" s="4">
        <v>280934</v>
      </c>
      <c r="AC261" s="4">
        <v>280934</v>
      </c>
      <c r="AD261" s="4">
        <v>280932</v>
      </c>
      <c r="AE261" s="4">
        <v>282571</v>
      </c>
      <c r="AF261" s="4">
        <v>565142</v>
      </c>
      <c r="AG261" s="4">
        <v>847713</v>
      </c>
      <c r="AH261" s="4">
        <v>1130284</v>
      </c>
      <c r="AI261" s="4">
        <v>1411217</v>
      </c>
      <c r="AJ261" s="4">
        <v>1692150</v>
      </c>
      <c r="AK261" s="4">
        <v>1973084</v>
      </c>
      <c r="AL261" s="4">
        <v>2254018</v>
      </c>
      <c r="AM261" s="4">
        <v>2534952</v>
      </c>
      <c r="AN261" s="4">
        <v>2815884</v>
      </c>
      <c r="AO261" s="134">
        <v>188251</v>
      </c>
    </row>
    <row r="262" spans="1:41" x14ac:dyDescent="0.2">
      <c r="A262" s="1">
        <v>2025</v>
      </c>
      <c r="B262" s="2" t="s">
        <v>282</v>
      </c>
      <c r="C262" s="2" t="s">
        <v>282</v>
      </c>
      <c r="D262" s="1" t="s">
        <v>624</v>
      </c>
      <c r="E262" s="3">
        <v>5371497</v>
      </c>
      <c r="F262" s="3">
        <v>614</v>
      </c>
      <c r="G262" s="3">
        <v>0</v>
      </c>
      <c r="H262" s="3">
        <v>20861</v>
      </c>
      <c r="I262" s="1">
        <v>0</v>
      </c>
      <c r="J262" s="3">
        <v>5370883</v>
      </c>
      <c r="K262" s="3">
        <v>5350022</v>
      </c>
      <c r="L262" s="3">
        <v>5350022</v>
      </c>
      <c r="M262" s="3">
        <v>144167</v>
      </c>
      <c r="N262" s="3">
        <v>806673</v>
      </c>
      <c r="O262" s="3">
        <v>76312</v>
      </c>
      <c r="P262" s="3">
        <v>71970</v>
      </c>
      <c r="Q262" s="3">
        <v>357380</v>
      </c>
      <c r="R262" s="3">
        <v>3914381</v>
      </c>
      <c r="S262" s="3">
        <v>3893520</v>
      </c>
      <c r="T262" s="3">
        <v>3893520</v>
      </c>
      <c r="U262" s="3">
        <v>537088</v>
      </c>
      <c r="V262" s="3">
        <v>537088</v>
      </c>
      <c r="W262" s="3">
        <v>537088</v>
      </c>
      <c r="X262" s="3">
        <v>537088</v>
      </c>
      <c r="Y262" s="3">
        <v>533612</v>
      </c>
      <c r="Z262" s="3">
        <v>533612</v>
      </c>
      <c r="AA262" s="4">
        <v>533612</v>
      </c>
      <c r="AB262" s="4">
        <v>533612</v>
      </c>
      <c r="AC262" s="4">
        <v>533612</v>
      </c>
      <c r="AD262" s="4">
        <v>533610</v>
      </c>
      <c r="AE262" s="4">
        <v>537088</v>
      </c>
      <c r="AF262" s="4">
        <v>1074176</v>
      </c>
      <c r="AG262" s="4">
        <v>1611264</v>
      </c>
      <c r="AH262" s="4">
        <v>2148352</v>
      </c>
      <c r="AI262" s="4">
        <v>2681964</v>
      </c>
      <c r="AJ262" s="4">
        <v>3215576</v>
      </c>
      <c r="AK262" s="4">
        <v>3749188</v>
      </c>
      <c r="AL262" s="4">
        <v>4282800</v>
      </c>
      <c r="AM262" s="4">
        <v>4816412</v>
      </c>
      <c r="AN262" s="4">
        <v>5350022</v>
      </c>
      <c r="AO262" s="134">
        <v>393259</v>
      </c>
    </row>
    <row r="263" spans="1:41" x14ac:dyDescent="0.2">
      <c r="A263" s="1">
        <v>2025</v>
      </c>
      <c r="B263" s="2" t="s">
        <v>283</v>
      </c>
      <c r="C263" s="2" t="s">
        <v>283</v>
      </c>
      <c r="D263" s="1" t="s">
        <v>625</v>
      </c>
      <c r="E263" s="3">
        <v>9799184</v>
      </c>
      <c r="F263" s="3">
        <v>1310</v>
      </c>
      <c r="G263" s="3">
        <v>0</v>
      </c>
      <c r="H263" s="3">
        <v>32491</v>
      </c>
      <c r="I263" s="3">
        <v>0</v>
      </c>
      <c r="J263" s="3">
        <v>9797874</v>
      </c>
      <c r="K263" s="3">
        <v>9765383</v>
      </c>
      <c r="L263" s="3">
        <v>9765383</v>
      </c>
      <c r="M263" s="3">
        <v>307817</v>
      </c>
      <c r="N263" s="3">
        <v>1056790</v>
      </c>
      <c r="O263" s="3">
        <v>92069</v>
      </c>
      <c r="P263" s="3">
        <v>98003</v>
      </c>
      <c r="Q263" s="3">
        <v>546741</v>
      </c>
      <c r="R263" s="3">
        <v>7696454</v>
      </c>
      <c r="S263" s="3">
        <v>7663963</v>
      </c>
      <c r="T263" s="3">
        <v>7663963</v>
      </c>
      <c r="U263" s="3">
        <v>979787</v>
      </c>
      <c r="V263" s="3">
        <v>979787</v>
      </c>
      <c r="W263" s="3">
        <v>979787</v>
      </c>
      <c r="X263" s="3">
        <v>979787</v>
      </c>
      <c r="Y263" s="3">
        <v>974373</v>
      </c>
      <c r="Z263" s="3">
        <v>974373</v>
      </c>
      <c r="AA263" s="4">
        <v>974372</v>
      </c>
      <c r="AB263" s="4">
        <v>974372</v>
      </c>
      <c r="AC263" s="4">
        <v>974372</v>
      </c>
      <c r="AD263" s="4">
        <v>974373</v>
      </c>
      <c r="AE263" s="4">
        <v>979787</v>
      </c>
      <c r="AF263" s="4">
        <v>1959574</v>
      </c>
      <c r="AG263" s="4">
        <v>2939361</v>
      </c>
      <c r="AH263" s="4">
        <v>3919148</v>
      </c>
      <c r="AI263" s="4">
        <v>4893521</v>
      </c>
      <c r="AJ263" s="4">
        <v>5867894</v>
      </c>
      <c r="AK263" s="4">
        <v>6842266</v>
      </c>
      <c r="AL263" s="4">
        <v>7816638</v>
      </c>
      <c r="AM263" s="4">
        <v>8791010</v>
      </c>
      <c r="AN263" s="4">
        <v>9765383</v>
      </c>
      <c r="AO263" s="134">
        <v>566492</v>
      </c>
    </row>
    <row r="264" spans="1:41" x14ac:dyDescent="0.2">
      <c r="A264" s="1">
        <v>2025</v>
      </c>
      <c r="B264" s="2" t="s">
        <v>284</v>
      </c>
      <c r="C264" s="2" t="s">
        <v>284</v>
      </c>
      <c r="D264" s="1" t="s">
        <v>626</v>
      </c>
      <c r="E264" s="3">
        <v>3887143</v>
      </c>
      <c r="F264" s="3">
        <v>398</v>
      </c>
      <c r="G264" s="3">
        <v>0</v>
      </c>
      <c r="H264" s="3">
        <v>10988</v>
      </c>
      <c r="I264" s="1">
        <v>0</v>
      </c>
      <c r="J264" s="3">
        <v>3886745</v>
      </c>
      <c r="K264" s="3">
        <v>3875757</v>
      </c>
      <c r="L264" s="3">
        <v>3875757</v>
      </c>
      <c r="M264" s="3">
        <v>93514</v>
      </c>
      <c r="N264" s="3">
        <v>529203</v>
      </c>
      <c r="O264" s="3">
        <v>35329</v>
      </c>
      <c r="P264" s="3">
        <v>36021</v>
      </c>
      <c r="Q264" s="3">
        <v>186906</v>
      </c>
      <c r="R264" s="3">
        <v>3005772</v>
      </c>
      <c r="S264" s="3">
        <v>2994784</v>
      </c>
      <c r="T264" s="3">
        <v>2994784</v>
      </c>
      <c r="U264" s="3">
        <v>388675</v>
      </c>
      <c r="V264" s="3">
        <v>388675</v>
      </c>
      <c r="W264" s="3">
        <v>388675</v>
      </c>
      <c r="X264" s="3">
        <v>388675</v>
      </c>
      <c r="Y264" s="3">
        <v>386843</v>
      </c>
      <c r="Z264" s="3">
        <v>386843</v>
      </c>
      <c r="AA264" s="4">
        <v>386843</v>
      </c>
      <c r="AB264" s="4">
        <v>386843</v>
      </c>
      <c r="AC264" s="4">
        <v>386843</v>
      </c>
      <c r="AD264" s="4">
        <v>386842</v>
      </c>
      <c r="AE264" s="4">
        <v>388675</v>
      </c>
      <c r="AF264" s="4">
        <v>777350</v>
      </c>
      <c r="AG264" s="4">
        <v>1166025</v>
      </c>
      <c r="AH264" s="4">
        <v>1554700</v>
      </c>
      <c r="AI264" s="4">
        <v>1941543</v>
      </c>
      <c r="AJ264" s="4">
        <v>2328386</v>
      </c>
      <c r="AK264" s="4">
        <v>2715229</v>
      </c>
      <c r="AL264" s="4">
        <v>3102072</v>
      </c>
      <c r="AM264" s="4">
        <v>3488915</v>
      </c>
      <c r="AN264" s="4">
        <v>3875757</v>
      </c>
      <c r="AO264" s="134">
        <v>200343</v>
      </c>
    </row>
    <row r="265" spans="1:41" x14ac:dyDescent="0.2">
      <c r="A265" s="1">
        <v>2025</v>
      </c>
      <c r="B265" s="2" t="s">
        <v>285</v>
      </c>
      <c r="C265" s="2" t="s">
        <v>285</v>
      </c>
      <c r="D265" s="1" t="s">
        <v>627</v>
      </c>
      <c r="E265" s="3">
        <v>3673511</v>
      </c>
      <c r="F265" s="3">
        <v>514</v>
      </c>
      <c r="G265" s="3">
        <v>0</v>
      </c>
      <c r="H265" s="3">
        <v>13707</v>
      </c>
      <c r="I265" s="1">
        <v>0</v>
      </c>
      <c r="J265" s="3">
        <v>3672997</v>
      </c>
      <c r="K265" s="3">
        <v>3659290</v>
      </c>
      <c r="L265" s="3">
        <v>3659290</v>
      </c>
      <c r="M265" s="3">
        <v>120789</v>
      </c>
      <c r="N265" s="3">
        <v>562153</v>
      </c>
      <c r="O265" s="3">
        <v>51358</v>
      </c>
      <c r="P265" s="3">
        <v>53107</v>
      </c>
      <c r="Q265" s="3">
        <v>231366</v>
      </c>
      <c r="R265" s="3">
        <v>2654224</v>
      </c>
      <c r="S265" s="3">
        <v>2640517</v>
      </c>
      <c r="T265" s="3">
        <v>2640517</v>
      </c>
      <c r="U265" s="3">
        <v>367300</v>
      </c>
      <c r="V265" s="3">
        <v>367300</v>
      </c>
      <c r="W265" s="3">
        <v>367300</v>
      </c>
      <c r="X265" s="3">
        <v>367300</v>
      </c>
      <c r="Y265" s="3">
        <v>365015</v>
      </c>
      <c r="Z265" s="3">
        <v>365015</v>
      </c>
      <c r="AA265" s="4">
        <v>365015</v>
      </c>
      <c r="AB265" s="4">
        <v>365015</v>
      </c>
      <c r="AC265" s="4">
        <v>365015</v>
      </c>
      <c r="AD265" s="4">
        <v>365015</v>
      </c>
      <c r="AE265" s="4">
        <v>367300</v>
      </c>
      <c r="AF265" s="4">
        <v>734600</v>
      </c>
      <c r="AG265" s="4">
        <v>1101900</v>
      </c>
      <c r="AH265" s="4">
        <v>1469200</v>
      </c>
      <c r="AI265" s="4">
        <v>1834215</v>
      </c>
      <c r="AJ265" s="4">
        <v>2199230</v>
      </c>
      <c r="AK265" s="4">
        <v>2564245</v>
      </c>
      <c r="AL265" s="4">
        <v>2929260</v>
      </c>
      <c r="AM265" s="4">
        <v>3294275</v>
      </c>
      <c r="AN265" s="4">
        <v>3659290</v>
      </c>
      <c r="AO265" s="134">
        <v>255827</v>
      </c>
    </row>
    <row r="266" spans="1:41" x14ac:dyDescent="0.2">
      <c r="A266" s="1">
        <v>2025</v>
      </c>
      <c r="B266" s="2" t="s">
        <v>286</v>
      </c>
      <c r="C266" s="2" t="s">
        <v>286</v>
      </c>
      <c r="D266" s="1" t="s">
        <v>824</v>
      </c>
      <c r="E266" s="3">
        <v>6944102</v>
      </c>
      <c r="F266" s="3">
        <v>1095</v>
      </c>
      <c r="G266" s="3">
        <v>0</v>
      </c>
      <c r="H266" s="3">
        <v>24882</v>
      </c>
      <c r="I266" s="3">
        <v>0</v>
      </c>
      <c r="J266" s="3">
        <v>6943007</v>
      </c>
      <c r="K266" s="3">
        <v>6918125</v>
      </c>
      <c r="L266" s="3">
        <v>6918125</v>
      </c>
      <c r="M266" s="3">
        <v>257163</v>
      </c>
      <c r="N266" s="3">
        <v>1224453</v>
      </c>
      <c r="O266" s="3">
        <v>94185</v>
      </c>
      <c r="P266" s="3">
        <v>96929</v>
      </c>
      <c r="Q266" s="3">
        <v>424806</v>
      </c>
      <c r="R266" s="3">
        <v>4845471</v>
      </c>
      <c r="S266" s="3">
        <v>4820589</v>
      </c>
      <c r="T266" s="3">
        <v>4820589</v>
      </c>
      <c r="U266" s="3">
        <v>694301</v>
      </c>
      <c r="V266" s="3">
        <v>694301</v>
      </c>
      <c r="W266" s="3">
        <v>694301</v>
      </c>
      <c r="X266" s="3">
        <v>694301</v>
      </c>
      <c r="Y266" s="3">
        <v>690154</v>
      </c>
      <c r="Z266" s="3">
        <v>690154</v>
      </c>
      <c r="AA266" s="4">
        <v>690153</v>
      </c>
      <c r="AB266" s="4">
        <v>690153</v>
      </c>
      <c r="AC266" s="4">
        <v>690153</v>
      </c>
      <c r="AD266" s="4">
        <v>690154</v>
      </c>
      <c r="AE266" s="4">
        <v>694301</v>
      </c>
      <c r="AF266" s="4">
        <v>1388602</v>
      </c>
      <c r="AG266" s="4">
        <v>2082903</v>
      </c>
      <c r="AH266" s="4">
        <v>2777204</v>
      </c>
      <c r="AI266" s="4">
        <v>3467358</v>
      </c>
      <c r="AJ266" s="4">
        <v>4157512</v>
      </c>
      <c r="AK266" s="4">
        <v>4847665</v>
      </c>
      <c r="AL266" s="4">
        <v>5537818</v>
      </c>
      <c r="AM266" s="4">
        <v>6227971</v>
      </c>
      <c r="AN266" s="4">
        <v>6918125</v>
      </c>
      <c r="AO266" s="134">
        <v>471219</v>
      </c>
    </row>
    <row r="267" spans="1:41" x14ac:dyDescent="0.2">
      <c r="A267" s="1">
        <v>2025</v>
      </c>
      <c r="B267" s="2" t="s">
        <v>287</v>
      </c>
      <c r="C267" s="2" t="s">
        <v>287</v>
      </c>
      <c r="D267" s="1" t="s">
        <v>628</v>
      </c>
      <c r="E267" s="3">
        <v>1400095</v>
      </c>
      <c r="F267" s="3">
        <v>33</v>
      </c>
      <c r="G267" s="3">
        <v>7771</v>
      </c>
      <c r="H267" s="3">
        <v>4444</v>
      </c>
      <c r="I267" s="1">
        <v>0</v>
      </c>
      <c r="J267" s="3">
        <v>1392291</v>
      </c>
      <c r="K267" s="3">
        <v>1387847</v>
      </c>
      <c r="L267" s="3">
        <v>1387847</v>
      </c>
      <c r="M267" s="3">
        <v>7793</v>
      </c>
      <c r="N267" s="3">
        <v>253773</v>
      </c>
      <c r="O267" s="3">
        <v>13266</v>
      </c>
      <c r="P267" s="3">
        <v>15449</v>
      </c>
      <c r="Q267" s="3">
        <v>74528</v>
      </c>
      <c r="R267" s="3">
        <v>1027482</v>
      </c>
      <c r="S267" s="3">
        <v>1023038</v>
      </c>
      <c r="T267" s="3">
        <v>1023038</v>
      </c>
      <c r="U267" s="3">
        <v>139229</v>
      </c>
      <c r="V267" s="3">
        <v>139229</v>
      </c>
      <c r="W267" s="3">
        <v>139229</v>
      </c>
      <c r="X267" s="3">
        <v>139229</v>
      </c>
      <c r="Y267" s="3">
        <v>138489</v>
      </c>
      <c r="Z267" s="3">
        <v>138489</v>
      </c>
      <c r="AA267" s="4">
        <v>138488</v>
      </c>
      <c r="AB267" s="4">
        <v>138488</v>
      </c>
      <c r="AC267" s="4">
        <v>138488</v>
      </c>
      <c r="AD267" s="4">
        <v>138489</v>
      </c>
      <c r="AE267" s="4">
        <v>139229</v>
      </c>
      <c r="AF267" s="4">
        <v>278458</v>
      </c>
      <c r="AG267" s="4">
        <v>417687</v>
      </c>
      <c r="AH267" s="4">
        <v>556916</v>
      </c>
      <c r="AI267" s="4">
        <v>695405</v>
      </c>
      <c r="AJ267" s="4">
        <v>833894</v>
      </c>
      <c r="AK267" s="4">
        <v>972382</v>
      </c>
      <c r="AL267" s="4">
        <v>1110870</v>
      </c>
      <c r="AM267" s="4">
        <v>1249358</v>
      </c>
      <c r="AN267" s="4">
        <v>1387847</v>
      </c>
      <c r="AO267" s="134">
        <v>85080</v>
      </c>
    </row>
    <row r="268" spans="1:41" x14ac:dyDescent="0.2">
      <c r="A268" s="1">
        <v>2025</v>
      </c>
      <c r="B268" s="2" t="s">
        <v>288</v>
      </c>
      <c r="C268" s="2" t="s">
        <v>288</v>
      </c>
      <c r="D268" s="1" t="s">
        <v>629</v>
      </c>
      <c r="E268" s="3">
        <v>12110802</v>
      </c>
      <c r="F268" s="3">
        <v>1061</v>
      </c>
      <c r="G268" s="3">
        <v>0</v>
      </c>
      <c r="H268" s="3">
        <v>31547</v>
      </c>
      <c r="I268" s="3">
        <v>0</v>
      </c>
      <c r="J268" s="3">
        <v>12109741</v>
      </c>
      <c r="K268" s="3">
        <v>12078194</v>
      </c>
      <c r="L268" s="3">
        <v>12078194</v>
      </c>
      <c r="M268" s="3">
        <v>249371</v>
      </c>
      <c r="N268" s="3">
        <v>1081187</v>
      </c>
      <c r="O268" s="3">
        <v>126430</v>
      </c>
      <c r="P268" s="3">
        <v>102534</v>
      </c>
      <c r="Q268" s="3">
        <v>533410</v>
      </c>
      <c r="R268" s="3">
        <v>10016809</v>
      </c>
      <c r="S268" s="3">
        <v>9985262</v>
      </c>
      <c r="T268" s="3">
        <v>9985262</v>
      </c>
      <c r="U268" s="3">
        <v>1210974</v>
      </c>
      <c r="V268" s="3">
        <v>1210974</v>
      </c>
      <c r="W268" s="3">
        <v>1210974</v>
      </c>
      <c r="X268" s="3">
        <v>1210974</v>
      </c>
      <c r="Y268" s="3">
        <v>1205716</v>
      </c>
      <c r="Z268" s="3">
        <v>1205716</v>
      </c>
      <c r="AA268" s="4">
        <v>1205717</v>
      </c>
      <c r="AB268" s="4">
        <v>1205717</v>
      </c>
      <c r="AC268" s="4">
        <v>1205717</v>
      </c>
      <c r="AD268" s="4">
        <v>1205715</v>
      </c>
      <c r="AE268" s="4">
        <v>1210974</v>
      </c>
      <c r="AF268" s="4">
        <v>2421948</v>
      </c>
      <c r="AG268" s="4">
        <v>3632922</v>
      </c>
      <c r="AH268" s="4">
        <v>4843896</v>
      </c>
      <c r="AI268" s="4">
        <v>6049612</v>
      </c>
      <c r="AJ268" s="4">
        <v>7255328</v>
      </c>
      <c r="AK268" s="4">
        <v>8461045</v>
      </c>
      <c r="AL268" s="4">
        <v>9666762</v>
      </c>
      <c r="AM268" s="4">
        <v>10872479</v>
      </c>
      <c r="AN268" s="4">
        <v>12078194</v>
      </c>
      <c r="AO268" s="134">
        <v>616403</v>
      </c>
    </row>
    <row r="269" spans="1:41" x14ac:dyDescent="0.2">
      <c r="A269" s="1">
        <v>2025</v>
      </c>
      <c r="B269" s="2" t="s">
        <v>289</v>
      </c>
      <c r="C269" s="2" t="s">
        <v>289</v>
      </c>
      <c r="D269" s="1" t="s">
        <v>630</v>
      </c>
      <c r="E269" s="3">
        <v>4174980</v>
      </c>
      <c r="F269" s="1">
        <v>962</v>
      </c>
      <c r="G269" s="1">
        <v>0</v>
      </c>
      <c r="H269" s="3">
        <v>12004</v>
      </c>
      <c r="I269" s="1">
        <v>0</v>
      </c>
      <c r="J269" s="3">
        <v>4174018</v>
      </c>
      <c r="K269" s="3">
        <v>4162014</v>
      </c>
      <c r="L269" s="3">
        <v>4162014</v>
      </c>
      <c r="M269" s="3">
        <v>225992</v>
      </c>
      <c r="N269" s="3">
        <v>573533</v>
      </c>
      <c r="O269" s="3">
        <v>39769</v>
      </c>
      <c r="P269" s="3">
        <v>49605</v>
      </c>
      <c r="Q269" s="3">
        <v>236050</v>
      </c>
      <c r="R269" s="3">
        <v>3049069</v>
      </c>
      <c r="S269" s="3">
        <v>3037065</v>
      </c>
      <c r="T269" s="3">
        <v>3037065</v>
      </c>
      <c r="U269" s="3">
        <v>417402</v>
      </c>
      <c r="V269" s="3">
        <v>417402</v>
      </c>
      <c r="W269" s="3">
        <v>417402</v>
      </c>
      <c r="X269" s="3">
        <v>417402</v>
      </c>
      <c r="Y269" s="3">
        <v>415401</v>
      </c>
      <c r="Z269" s="3">
        <v>415401</v>
      </c>
      <c r="AA269" s="4">
        <v>415401</v>
      </c>
      <c r="AB269" s="4">
        <v>415401</v>
      </c>
      <c r="AC269" s="4">
        <v>415401</v>
      </c>
      <c r="AD269" s="4">
        <v>415401</v>
      </c>
      <c r="AE269" s="4">
        <v>417402</v>
      </c>
      <c r="AF269" s="4">
        <v>834804</v>
      </c>
      <c r="AG269" s="4">
        <v>1252206</v>
      </c>
      <c r="AH269" s="4">
        <v>1669608</v>
      </c>
      <c r="AI269" s="4">
        <v>2085009</v>
      </c>
      <c r="AJ269" s="4">
        <v>2500410</v>
      </c>
      <c r="AK269" s="4">
        <v>2915811</v>
      </c>
      <c r="AL269" s="4">
        <v>3331212</v>
      </c>
      <c r="AM269" s="4">
        <v>3746613</v>
      </c>
      <c r="AN269" s="4">
        <v>4162014</v>
      </c>
      <c r="AO269" s="134">
        <v>246101</v>
      </c>
    </row>
    <row r="270" spans="1:41" x14ac:dyDescent="0.2">
      <c r="A270" s="1">
        <v>2025</v>
      </c>
      <c r="B270" s="2" t="s">
        <v>290</v>
      </c>
      <c r="C270" s="2" t="s">
        <v>290</v>
      </c>
      <c r="D270" s="1" t="s">
        <v>631</v>
      </c>
      <c r="E270" s="3">
        <v>56519924</v>
      </c>
      <c r="F270" s="3">
        <v>4213</v>
      </c>
      <c r="G270" s="3">
        <v>37148</v>
      </c>
      <c r="H270" s="3">
        <v>162177</v>
      </c>
      <c r="I270" s="3">
        <v>0</v>
      </c>
      <c r="J270" s="3">
        <v>56478563</v>
      </c>
      <c r="K270" s="3">
        <v>56316386</v>
      </c>
      <c r="L270" s="3">
        <v>56316386</v>
      </c>
      <c r="M270" s="3">
        <v>985871</v>
      </c>
      <c r="N270" s="3">
        <v>5161840</v>
      </c>
      <c r="O270" s="3">
        <v>540849</v>
      </c>
      <c r="P270" s="3">
        <v>537749</v>
      </c>
      <c r="Q270" s="3">
        <v>2788703</v>
      </c>
      <c r="R270" s="3">
        <v>46463551</v>
      </c>
      <c r="S270" s="3">
        <v>46301374</v>
      </c>
      <c r="T270" s="3">
        <v>46301374</v>
      </c>
      <c r="U270" s="3">
        <v>5647856</v>
      </c>
      <c r="V270" s="3">
        <v>5647856</v>
      </c>
      <c r="W270" s="3">
        <v>5647856</v>
      </c>
      <c r="X270" s="3">
        <v>5647856</v>
      </c>
      <c r="Y270" s="3">
        <v>5620827</v>
      </c>
      <c r="Z270" s="3">
        <v>5620827</v>
      </c>
      <c r="AA270" s="4">
        <v>5620827</v>
      </c>
      <c r="AB270" s="4">
        <v>5620827</v>
      </c>
      <c r="AC270" s="4">
        <v>5620827</v>
      </c>
      <c r="AD270" s="4">
        <v>5620827</v>
      </c>
      <c r="AE270" s="4">
        <v>5647856</v>
      </c>
      <c r="AF270" s="4">
        <v>11295712</v>
      </c>
      <c r="AG270" s="4">
        <v>16943568</v>
      </c>
      <c r="AH270" s="4">
        <v>22591424</v>
      </c>
      <c r="AI270" s="4">
        <v>28212251</v>
      </c>
      <c r="AJ270" s="4">
        <v>33833078</v>
      </c>
      <c r="AK270" s="4">
        <v>39453905</v>
      </c>
      <c r="AL270" s="4">
        <v>45074732</v>
      </c>
      <c r="AM270" s="4">
        <v>50695559</v>
      </c>
      <c r="AN270" s="4">
        <v>56316386</v>
      </c>
      <c r="AO270" s="134">
        <v>2920819</v>
      </c>
    </row>
    <row r="271" spans="1:41" x14ac:dyDescent="0.2">
      <c r="A271" s="1">
        <v>2025</v>
      </c>
      <c r="B271" s="2" t="s">
        <v>291</v>
      </c>
      <c r="C271" s="2" t="s">
        <v>291</v>
      </c>
      <c r="D271" s="1" t="s">
        <v>632</v>
      </c>
      <c r="E271" s="3">
        <v>16451130</v>
      </c>
      <c r="F271" s="3">
        <v>2587</v>
      </c>
      <c r="G271" s="3">
        <v>13383</v>
      </c>
      <c r="H271" s="3">
        <v>45320</v>
      </c>
      <c r="I271" s="1">
        <v>0</v>
      </c>
      <c r="J271" s="3">
        <v>16435160</v>
      </c>
      <c r="K271" s="3">
        <v>16389840</v>
      </c>
      <c r="L271" s="3">
        <v>16389840</v>
      </c>
      <c r="M271" s="3">
        <v>607841</v>
      </c>
      <c r="N271" s="3">
        <v>1553644</v>
      </c>
      <c r="O271" s="3">
        <v>172168</v>
      </c>
      <c r="P271" s="3">
        <v>173169</v>
      </c>
      <c r="Q271" s="3">
        <v>803793</v>
      </c>
      <c r="R271" s="3">
        <v>13124545</v>
      </c>
      <c r="S271" s="3">
        <v>13079225</v>
      </c>
      <c r="T271" s="3">
        <v>13079225</v>
      </c>
      <c r="U271" s="3">
        <v>1643516</v>
      </c>
      <c r="V271" s="3">
        <v>1643516</v>
      </c>
      <c r="W271" s="3">
        <v>1643516</v>
      </c>
      <c r="X271" s="3">
        <v>1643516</v>
      </c>
      <c r="Y271" s="3">
        <v>1635963</v>
      </c>
      <c r="Z271" s="3">
        <v>1635963</v>
      </c>
      <c r="AA271" s="4">
        <v>1635963</v>
      </c>
      <c r="AB271" s="4">
        <v>1635963</v>
      </c>
      <c r="AC271" s="4">
        <v>1635963</v>
      </c>
      <c r="AD271" s="4">
        <v>1635961</v>
      </c>
      <c r="AE271" s="4">
        <v>1643516</v>
      </c>
      <c r="AF271" s="4">
        <v>3287032</v>
      </c>
      <c r="AG271" s="4">
        <v>4930548</v>
      </c>
      <c r="AH271" s="4">
        <v>6574064</v>
      </c>
      <c r="AI271" s="4">
        <v>8210027</v>
      </c>
      <c r="AJ271" s="4">
        <v>9845990</v>
      </c>
      <c r="AK271" s="4">
        <v>11481953</v>
      </c>
      <c r="AL271" s="4">
        <v>13117916</v>
      </c>
      <c r="AM271" s="4">
        <v>14753879</v>
      </c>
      <c r="AN271" s="4">
        <v>16389840</v>
      </c>
      <c r="AO271" s="134">
        <v>908017</v>
      </c>
    </row>
    <row r="272" spans="1:41" x14ac:dyDescent="0.2">
      <c r="A272" s="1">
        <v>2025</v>
      </c>
      <c r="B272" s="2" t="s">
        <v>292</v>
      </c>
      <c r="C272" s="2" t="s">
        <v>292</v>
      </c>
      <c r="D272" s="1" t="s">
        <v>633</v>
      </c>
      <c r="E272" s="3">
        <v>2084983</v>
      </c>
      <c r="F272" s="3">
        <v>1343</v>
      </c>
      <c r="G272" s="3">
        <v>0</v>
      </c>
      <c r="H272" s="3">
        <v>26371</v>
      </c>
      <c r="I272" s="1">
        <v>0</v>
      </c>
      <c r="J272" s="3">
        <v>2083640</v>
      </c>
      <c r="K272" s="3">
        <v>2057269</v>
      </c>
      <c r="L272" s="3">
        <v>2057269</v>
      </c>
      <c r="M272" s="3">
        <v>315610</v>
      </c>
      <c r="N272" s="3">
        <v>937099</v>
      </c>
      <c r="O272" s="3">
        <v>90448</v>
      </c>
      <c r="P272" s="3">
        <v>93047</v>
      </c>
      <c r="Q272" s="3">
        <v>442220</v>
      </c>
      <c r="R272" s="3">
        <v>205216</v>
      </c>
      <c r="S272" s="3">
        <v>178845</v>
      </c>
      <c r="T272" s="3">
        <v>178845</v>
      </c>
      <c r="U272" s="3">
        <v>208364</v>
      </c>
      <c r="V272" s="3">
        <v>208364</v>
      </c>
      <c r="W272" s="3">
        <v>208364</v>
      </c>
      <c r="X272" s="3">
        <v>208364</v>
      </c>
      <c r="Y272" s="3">
        <v>203969</v>
      </c>
      <c r="Z272" s="3">
        <v>203969</v>
      </c>
      <c r="AA272" s="4">
        <v>203969</v>
      </c>
      <c r="AB272" s="4">
        <v>203969</v>
      </c>
      <c r="AC272" s="4">
        <v>203969</v>
      </c>
      <c r="AD272" s="4">
        <v>203968</v>
      </c>
      <c r="AE272" s="4">
        <v>208364</v>
      </c>
      <c r="AF272" s="4">
        <v>416728</v>
      </c>
      <c r="AG272" s="4">
        <v>625092</v>
      </c>
      <c r="AH272" s="4">
        <v>833456</v>
      </c>
      <c r="AI272" s="4">
        <v>1037425</v>
      </c>
      <c r="AJ272" s="4">
        <v>1241394</v>
      </c>
      <c r="AK272" s="4">
        <v>1445363</v>
      </c>
      <c r="AL272" s="4">
        <v>1649332</v>
      </c>
      <c r="AM272" s="4">
        <v>1853301</v>
      </c>
      <c r="AN272" s="4">
        <v>2057269</v>
      </c>
      <c r="AO272" s="134">
        <v>492653</v>
      </c>
    </row>
    <row r="273" spans="1:41" x14ac:dyDescent="0.2">
      <c r="A273" s="1">
        <v>2025</v>
      </c>
      <c r="B273" s="2" t="s">
        <v>293</v>
      </c>
      <c r="C273" s="2" t="s">
        <v>293</v>
      </c>
      <c r="D273" s="1" t="s">
        <v>634</v>
      </c>
      <c r="E273" s="3">
        <v>3164700</v>
      </c>
      <c r="F273" s="3">
        <v>431</v>
      </c>
      <c r="G273" s="3">
        <v>0</v>
      </c>
      <c r="H273" s="3">
        <v>9260</v>
      </c>
      <c r="I273" s="1">
        <v>0</v>
      </c>
      <c r="J273" s="3">
        <v>3164269</v>
      </c>
      <c r="K273" s="3">
        <v>3155009</v>
      </c>
      <c r="L273" s="3">
        <v>3155009</v>
      </c>
      <c r="M273" s="3">
        <v>101307</v>
      </c>
      <c r="N273" s="3">
        <v>531119</v>
      </c>
      <c r="O273" s="3">
        <v>27496</v>
      </c>
      <c r="P273" s="3">
        <v>29053</v>
      </c>
      <c r="Q273" s="3">
        <v>156044</v>
      </c>
      <c r="R273" s="3">
        <v>2319250</v>
      </c>
      <c r="S273" s="3">
        <v>2309990</v>
      </c>
      <c r="T273" s="3">
        <v>2309990</v>
      </c>
      <c r="U273" s="3">
        <v>316427</v>
      </c>
      <c r="V273" s="3">
        <v>316427</v>
      </c>
      <c r="W273" s="3">
        <v>316427</v>
      </c>
      <c r="X273" s="3">
        <v>316427</v>
      </c>
      <c r="Y273" s="3">
        <v>314884</v>
      </c>
      <c r="Z273" s="3">
        <v>314884</v>
      </c>
      <c r="AA273" s="4">
        <v>314883</v>
      </c>
      <c r="AB273" s="4">
        <v>314883</v>
      </c>
      <c r="AC273" s="4">
        <v>314883</v>
      </c>
      <c r="AD273" s="4">
        <v>314884</v>
      </c>
      <c r="AE273" s="4">
        <v>316427</v>
      </c>
      <c r="AF273" s="4">
        <v>632854</v>
      </c>
      <c r="AG273" s="4">
        <v>949281</v>
      </c>
      <c r="AH273" s="4">
        <v>1265708</v>
      </c>
      <c r="AI273" s="4">
        <v>1580592</v>
      </c>
      <c r="AJ273" s="4">
        <v>1895476</v>
      </c>
      <c r="AK273" s="4">
        <v>2210359</v>
      </c>
      <c r="AL273" s="4">
        <v>2525242</v>
      </c>
      <c r="AM273" s="4">
        <v>2840125</v>
      </c>
      <c r="AN273" s="4">
        <v>3155009</v>
      </c>
      <c r="AO273" s="134">
        <v>162288</v>
      </c>
    </row>
    <row r="274" spans="1:41" x14ac:dyDescent="0.2">
      <c r="A274" s="1">
        <v>2025</v>
      </c>
      <c r="B274" s="2" t="s">
        <v>294</v>
      </c>
      <c r="C274" s="2" t="s">
        <v>294</v>
      </c>
      <c r="D274" s="1" t="s">
        <v>635</v>
      </c>
      <c r="E274" s="3">
        <v>1509361</v>
      </c>
      <c r="F274" s="3">
        <v>315</v>
      </c>
      <c r="G274" s="3">
        <v>0</v>
      </c>
      <c r="H274" s="3">
        <v>4215</v>
      </c>
      <c r="I274" s="1">
        <v>0</v>
      </c>
      <c r="J274" s="3">
        <v>1509046</v>
      </c>
      <c r="K274" s="3">
        <v>1504831</v>
      </c>
      <c r="L274" s="3">
        <v>1504831</v>
      </c>
      <c r="M274" s="3">
        <v>74032</v>
      </c>
      <c r="N274" s="3">
        <v>226657</v>
      </c>
      <c r="O274" s="3">
        <v>15025</v>
      </c>
      <c r="P274" s="3">
        <v>18039</v>
      </c>
      <c r="Q274" s="3">
        <v>72600</v>
      </c>
      <c r="R274" s="3">
        <v>1102693</v>
      </c>
      <c r="S274" s="3">
        <v>1098478</v>
      </c>
      <c r="T274" s="3">
        <v>1098478</v>
      </c>
      <c r="U274" s="3">
        <v>150905</v>
      </c>
      <c r="V274" s="3">
        <v>150905</v>
      </c>
      <c r="W274" s="3">
        <v>150905</v>
      </c>
      <c r="X274" s="3">
        <v>150905</v>
      </c>
      <c r="Y274" s="3">
        <v>150202</v>
      </c>
      <c r="Z274" s="3">
        <v>150202</v>
      </c>
      <c r="AA274" s="4">
        <v>150202</v>
      </c>
      <c r="AB274" s="4">
        <v>150202</v>
      </c>
      <c r="AC274" s="4">
        <v>150202</v>
      </c>
      <c r="AD274" s="4">
        <v>150201</v>
      </c>
      <c r="AE274" s="4">
        <v>150905</v>
      </c>
      <c r="AF274" s="4">
        <v>301810</v>
      </c>
      <c r="AG274" s="4">
        <v>452715</v>
      </c>
      <c r="AH274" s="4">
        <v>603620</v>
      </c>
      <c r="AI274" s="4">
        <v>753822</v>
      </c>
      <c r="AJ274" s="4">
        <v>904024</v>
      </c>
      <c r="AK274" s="4">
        <v>1054226</v>
      </c>
      <c r="AL274" s="4">
        <v>1204428</v>
      </c>
      <c r="AM274" s="4">
        <v>1354630</v>
      </c>
      <c r="AN274" s="4">
        <v>1504831</v>
      </c>
      <c r="AO274" s="134">
        <v>77320</v>
      </c>
    </row>
    <row r="275" spans="1:41" x14ac:dyDescent="0.2">
      <c r="A275" s="1">
        <v>2025</v>
      </c>
      <c r="B275" s="2" t="s">
        <v>295</v>
      </c>
      <c r="C275" s="2" t="s">
        <v>295</v>
      </c>
      <c r="D275" s="1" t="s">
        <v>636</v>
      </c>
      <c r="E275" s="3">
        <v>4269990</v>
      </c>
      <c r="F275" s="3">
        <v>531</v>
      </c>
      <c r="G275" s="3">
        <v>6173</v>
      </c>
      <c r="H275" s="3">
        <v>12950</v>
      </c>
      <c r="I275" s="3">
        <v>0</v>
      </c>
      <c r="J275" s="3">
        <v>4263286</v>
      </c>
      <c r="K275" s="3">
        <v>4250336</v>
      </c>
      <c r="L275" s="3">
        <v>4250336</v>
      </c>
      <c r="M275" s="3">
        <v>124685</v>
      </c>
      <c r="N275" s="3">
        <v>529479</v>
      </c>
      <c r="O275" s="3">
        <v>51523</v>
      </c>
      <c r="P275" s="3">
        <v>46631</v>
      </c>
      <c r="Q275" s="3">
        <v>217918</v>
      </c>
      <c r="R275" s="3">
        <v>3293050</v>
      </c>
      <c r="S275" s="3">
        <v>3280100</v>
      </c>
      <c r="T275" s="3">
        <v>3280100</v>
      </c>
      <c r="U275" s="3">
        <v>426329</v>
      </c>
      <c r="V275" s="3">
        <v>426329</v>
      </c>
      <c r="W275" s="3">
        <v>426329</v>
      </c>
      <c r="X275" s="3">
        <v>426329</v>
      </c>
      <c r="Y275" s="3">
        <v>424170</v>
      </c>
      <c r="Z275" s="3">
        <v>424170</v>
      </c>
      <c r="AA275" s="4">
        <v>424170</v>
      </c>
      <c r="AB275" s="4">
        <v>424170</v>
      </c>
      <c r="AC275" s="4">
        <v>424170</v>
      </c>
      <c r="AD275" s="4">
        <v>424170</v>
      </c>
      <c r="AE275" s="4">
        <v>426329</v>
      </c>
      <c r="AF275" s="4">
        <v>852658</v>
      </c>
      <c r="AG275" s="4">
        <v>1278987</v>
      </c>
      <c r="AH275" s="4">
        <v>1705316</v>
      </c>
      <c r="AI275" s="4">
        <v>2129486</v>
      </c>
      <c r="AJ275" s="4">
        <v>2553656</v>
      </c>
      <c r="AK275" s="4">
        <v>2977826</v>
      </c>
      <c r="AL275" s="4">
        <v>3401996</v>
      </c>
      <c r="AM275" s="4">
        <v>3826166</v>
      </c>
      <c r="AN275" s="4">
        <v>4250336</v>
      </c>
      <c r="AO275" s="134">
        <v>257821</v>
      </c>
    </row>
    <row r="276" spans="1:41" x14ac:dyDescent="0.2">
      <c r="A276" s="1">
        <v>2025</v>
      </c>
      <c r="B276" s="2" t="s">
        <v>296</v>
      </c>
      <c r="C276" s="2" t="s">
        <v>296</v>
      </c>
      <c r="D276" s="1" t="s">
        <v>637</v>
      </c>
      <c r="E276" s="3">
        <v>24081592</v>
      </c>
      <c r="F276" s="3">
        <v>2620</v>
      </c>
      <c r="G276" s="3">
        <v>5893</v>
      </c>
      <c r="H276" s="3">
        <v>58164</v>
      </c>
      <c r="I276" s="1">
        <v>0</v>
      </c>
      <c r="J276" s="3">
        <v>24073079</v>
      </c>
      <c r="K276" s="3">
        <v>24014915</v>
      </c>
      <c r="L276" s="3">
        <v>24014915</v>
      </c>
      <c r="M276" s="3">
        <v>615634</v>
      </c>
      <c r="N276" s="3">
        <v>1974345</v>
      </c>
      <c r="O276" s="3">
        <v>256673</v>
      </c>
      <c r="P276" s="3">
        <v>204484</v>
      </c>
      <c r="Q276" s="3">
        <v>1021447</v>
      </c>
      <c r="R276" s="3">
        <v>20000496</v>
      </c>
      <c r="S276" s="3">
        <v>19942332</v>
      </c>
      <c r="T276" s="3">
        <v>19942332</v>
      </c>
      <c r="U276" s="3">
        <v>2407308</v>
      </c>
      <c r="V276" s="3">
        <v>2407308</v>
      </c>
      <c r="W276" s="3">
        <v>2407308</v>
      </c>
      <c r="X276" s="3">
        <v>2407308</v>
      </c>
      <c r="Y276" s="3">
        <v>2397614</v>
      </c>
      <c r="Z276" s="3">
        <v>2397614</v>
      </c>
      <c r="AA276" s="4">
        <v>2397614</v>
      </c>
      <c r="AB276" s="4">
        <v>2397614</v>
      </c>
      <c r="AC276" s="4">
        <v>2397614</v>
      </c>
      <c r="AD276" s="4">
        <v>2397613</v>
      </c>
      <c r="AE276" s="4">
        <v>2407308</v>
      </c>
      <c r="AF276" s="4">
        <v>4814616</v>
      </c>
      <c r="AG276" s="4">
        <v>7221924</v>
      </c>
      <c r="AH276" s="4">
        <v>9629232</v>
      </c>
      <c r="AI276" s="4">
        <v>12026846</v>
      </c>
      <c r="AJ276" s="4">
        <v>14424460</v>
      </c>
      <c r="AK276" s="4">
        <v>16822074</v>
      </c>
      <c r="AL276" s="4">
        <v>19219688</v>
      </c>
      <c r="AM276" s="4">
        <v>21617302</v>
      </c>
      <c r="AN276" s="4">
        <v>24014915</v>
      </c>
      <c r="AO276" s="134">
        <v>1114274</v>
      </c>
    </row>
    <row r="277" spans="1:41" x14ac:dyDescent="0.2">
      <c r="A277" s="1">
        <v>2025</v>
      </c>
      <c r="B277" s="2" t="s">
        <v>297</v>
      </c>
      <c r="C277" s="2" t="s">
        <v>297</v>
      </c>
      <c r="D277" s="1" t="s">
        <v>638</v>
      </c>
      <c r="E277" s="3">
        <v>1117135</v>
      </c>
      <c r="F277" s="3">
        <v>199</v>
      </c>
      <c r="G277" s="3">
        <v>0</v>
      </c>
      <c r="H277" s="3">
        <v>3287</v>
      </c>
      <c r="I277" s="3">
        <v>0</v>
      </c>
      <c r="J277" s="3">
        <v>1116936</v>
      </c>
      <c r="K277" s="3">
        <v>1113649</v>
      </c>
      <c r="L277" s="3">
        <v>1113649</v>
      </c>
      <c r="M277" s="3">
        <v>46757</v>
      </c>
      <c r="N277" s="3">
        <v>180516</v>
      </c>
      <c r="O277" s="3">
        <v>10995</v>
      </c>
      <c r="P277" s="3">
        <v>9715</v>
      </c>
      <c r="Q277" s="3">
        <v>56623</v>
      </c>
      <c r="R277" s="3">
        <v>812330</v>
      </c>
      <c r="S277" s="3">
        <v>809043</v>
      </c>
      <c r="T277" s="3">
        <v>809043</v>
      </c>
      <c r="U277" s="3">
        <v>111694</v>
      </c>
      <c r="V277" s="3">
        <v>111694</v>
      </c>
      <c r="W277" s="3">
        <v>111694</v>
      </c>
      <c r="X277" s="3">
        <v>111694</v>
      </c>
      <c r="Y277" s="3">
        <v>111146</v>
      </c>
      <c r="Z277" s="3">
        <v>111146</v>
      </c>
      <c r="AA277" s="4">
        <v>111145</v>
      </c>
      <c r="AB277" s="4">
        <v>111145</v>
      </c>
      <c r="AC277" s="4">
        <v>111145</v>
      </c>
      <c r="AD277" s="4">
        <v>111146</v>
      </c>
      <c r="AE277" s="4">
        <v>111694</v>
      </c>
      <c r="AF277" s="4">
        <v>223388</v>
      </c>
      <c r="AG277" s="4">
        <v>335082</v>
      </c>
      <c r="AH277" s="4">
        <v>446776</v>
      </c>
      <c r="AI277" s="4">
        <v>557922</v>
      </c>
      <c r="AJ277" s="4">
        <v>669068</v>
      </c>
      <c r="AK277" s="4">
        <v>780213</v>
      </c>
      <c r="AL277" s="4">
        <v>891358</v>
      </c>
      <c r="AM277" s="4">
        <v>1002503</v>
      </c>
      <c r="AN277" s="4">
        <v>1113649</v>
      </c>
      <c r="AO277" s="134">
        <v>67970</v>
      </c>
    </row>
    <row r="278" spans="1:41" x14ac:dyDescent="0.2">
      <c r="A278" s="1">
        <v>2025</v>
      </c>
      <c r="B278" s="2" t="s">
        <v>298</v>
      </c>
      <c r="C278" s="2" t="s">
        <v>298</v>
      </c>
      <c r="D278" s="1" t="s">
        <v>639</v>
      </c>
      <c r="E278" s="3">
        <v>5646351</v>
      </c>
      <c r="F278" s="3">
        <v>846</v>
      </c>
      <c r="G278" s="3">
        <v>0</v>
      </c>
      <c r="H278" s="3">
        <v>21192</v>
      </c>
      <c r="I278" s="1">
        <v>0</v>
      </c>
      <c r="J278" s="3">
        <v>5645505</v>
      </c>
      <c r="K278" s="3">
        <v>5624313</v>
      </c>
      <c r="L278" s="3">
        <v>5624313</v>
      </c>
      <c r="M278" s="3">
        <v>198717</v>
      </c>
      <c r="N278" s="3">
        <v>774275</v>
      </c>
      <c r="O278" s="3">
        <v>71219</v>
      </c>
      <c r="P278" s="3">
        <v>64591</v>
      </c>
      <c r="Q278" s="3">
        <v>356133</v>
      </c>
      <c r="R278" s="3">
        <v>4180570</v>
      </c>
      <c r="S278" s="3">
        <v>4159378</v>
      </c>
      <c r="T278" s="3">
        <v>4159378</v>
      </c>
      <c r="U278" s="3">
        <v>564551</v>
      </c>
      <c r="V278" s="3">
        <v>564551</v>
      </c>
      <c r="W278" s="3">
        <v>564551</v>
      </c>
      <c r="X278" s="3">
        <v>564551</v>
      </c>
      <c r="Y278" s="3">
        <v>561018</v>
      </c>
      <c r="Z278" s="3">
        <v>561018</v>
      </c>
      <c r="AA278" s="4">
        <v>561018</v>
      </c>
      <c r="AB278" s="4">
        <v>561018</v>
      </c>
      <c r="AC278" s="4">
        <v>561018</v>
      </c>
      <c r="AD278" s="4">
        <v>561019</v>
      </c>
      <c r="AE278" s="4">
        <v>564551</v>
      </c>
      <c r="AF278" s="4">
        <v>1129102</v>
      </c>
      <c r="AG278" s="4">
        <v>1693653</v>
      </c>
      <c r="AH278" s="4">
        <v>2258204</v>
      </c>
      <c r="AI278" s="4">
        <v>2819222</v>
      </c>
      <c r="AJ278" s="4">
        <v>3380240</v>
      </c>
      <c r="AK278" s="4">
        <v>3941258</v>
      </c>
      <c r="AL278" s="4">
        <v>4502276</v>
      </c>
      <c r="AM278" s="4">
        <v>5063294</v>
      </c>
      <c r="AN278" s="4">
        <v>5624313</v>
      </c>
      <c r="AO278" s="134">
        <v>376659</v>
      </c>
    </row>
    <row r="279" spans="1:41" x14ac:dyDescent="0.2">
      <c r="A279" s="1">
        <v>2025</v>
      </c>
      <c r="B279" s="2" t="s">
        <v>299</v>
      </c>
      <c r="C279" s="2" t="s">
        <v>299</v>
      </c>
      <c r="D279" s="1" t="s">
        <v>640</v>
      </c>
      <c r="E279" s="3">
        <v>5693374</v>
      </c>
      <c r="F279" s="3">
        <v>647</v>
      </c>
      <c r="G279" s="3">
        <v>0</v>
      </c>
      <c r="H279" s="3">
        <v>17509</v>
      </c>
      <c r="I279" s="1">
        <v>0</v>
      </c>
      <c r="J279" s="3">
        <v>5692727</v>
      </c>
      <c r="K279" s="3">
        <v>5675218</v>
      </c>
      <c r="L279" s="3">
        <v>5675218</v>
      </c>
      <c r="M279" s="3">
        <v>151960</v>
      </c>
      <c r="N279" s="3">
        <v>692688</v>
      </c>
      <c r="O279" s="3">
        <v>56104</v>
      </c>
      <c r="P279" s="3">
        <v>59326</v>
      </c>
      <c r="Q279" s="3">
        <v>294751</v>
      </c>
      <c r="R279" s="3">
        <v>4437898</v>
      </c>
      <c r="S279" s="3">
        <v>4420389</v>
      </c>
      <c r="T279" s="3">
        <v>4420389</v>
      </c>
      <c r="U279" s="3">
        <v>569273</v>
      </c>
      <c r="V279" s="3">
        <v>569273</v>
      </c>
      <c r="W279" s="3">
        <v>569273</v>
      </c>
      <c r="X279" s="3">
        <v>569273</v>
      </c>
      <c r="Y279" s="3">
        <v>566354</v>
      </c>
      <c r="Z279" s="3">
        <v>566354</v>
      </c>
      <c r="AA279" s="4">
        <v>566355</v>
      </c>
      <c r="AB279" s="4">
        <v>566355</v>
      </c>
      <c r="AC279" s="4">
        <v>566355</v>
      </c>
      <c r="AD279" s="4">
        <v>566353</v>
      </c>
      <c r="AE279" s="4">
        <v>569273</v>
      </c>
      <c r="AF279" s="4">
        <v>1138546</v>
      </c>
      <c r="AG279" s="4">
        <v>1707819</v>
      </c>
      <c r="AH279" s="4">
        <v>2277092</v>
      </c>
      <c r="AI279" s="4">
        <v>2843446</v>
      </c>
      <c r="AJ279" s="4">
        <v>3409800</v>
      </c>
      <c r="AK279" s="4">
        <v>3976155</v>
      </c>
      <c r="AL279" s="4">
        <v>4542510</v>
      </c>
      <c r="AM279" s="4">
        <v>5108865</v>
      </c>
      <c r="AN279" s="4">
        <v>5675218</v>
      </c>
      <c r="AO279" s="134">
        <v>342570</v>
      </c>
    </row>
    <row r="280" spans="1:41" x14ac:dyDescent="0.2">
      <c r="A280" s="1">
        <v>2025</v>
      </c>
      <c r="B280" s="2" t="s">
        <v>300</v>
      </c>
      <c r="C280" s="2" t="s">
        <v>300</v>
      </c>
      <c r="D280" s="1" t="s">
        <v>641</v>
      </c>
      <c r="E280" s="3">
        <v>5986308</v>
      </c>
      <c r="F280" s="1">
        <v>514</v>
      </c>
      <c r="G280" s="1">
        <v>0</v>
      </c>
      <c r="H280" s="3">
        <v>18241</v>
      </c>
      <c r="I280" s="1">
        <v>0</v>
      </c>
      <c r="J280" s="3">
        <v>5985794</v>
      </c>
      <c r="K280" s="3">
        <v>5967553</v>
      </c>
      <c r="L280" s="3">
        <v>5967553</v>
      </c>
      <c r="M280" s="3">
        <v>120789</v>
      </c>
      <c r="N280" s="3">
        <v>793337</v>
      </c>
      <c r="O280" s="3">
        <v>63148</v>
      </c>
      <c r="P280" s="3">
        <v>57423</v>
      </c>
      <c r="Q280" s="3">
        <v>305894</v>
      </c>
      <c r="R280" s="3">
        <v>4645203</v>
      </c>
      <c r="S280" s="3">
        <v>4626962</v>
      </c>
      <c r="T280" s="3">
        <v>4626962</v>
      </c>
      <c r="U280" s="3">
        <v>598579</v>
      </c>
      <c r="V280" s="3">
        <v>598579</v>
      </c>
      <c r="W280" s="3">
        <v>598579</v>
      </c>
      <c r="X280" s="3">
        <v>598579</v>
      </c>
      <c r="Y280" s="3">
        <v>595540</v>
      </c>
      <c r="Z280" s="3">
        <v>595540</v>
      </c>
      <c r="AA280" s="4">
        <v>595539</v>
      </c>
      <c r="AB280" s="4">
        <v>595539</v>
      </c>
      <c r="AC280" s="4">
        <v>595539</v>
      </c>
      <c r="AD280" s="4">
        <v>595540</v>
      </c>
      <c r="AE280" s="4">
        <v>598579</v>
      </c>
      <c r="AF280" s="4">
        <v>1197158</v>
      </c>
      <c r="AG280" s="4">
        <v>1795737</v>
      </c>
      <c r="AH280" s="4">
        <v>2394316</v>
      </c>
      <c r="AI280" s="4">
        <v>2989856</v>
      </c>
      <c r="AJ280" s="4">
        <v>3585396</v>
      </c>
      <c r="AK280" s="4">
        <v>4180935</v>
      </c>
      <c r="AL280" s="4">
        <v>4776474</v>
      </c>
      <c r="AM280" s="4">
        <v>5372013</v>
      </c>
      <c r="AN280" s="4">
        <v>5967553</v>
      </c>
      <c r="AO280" s="134">
        <v>339829</v>
      </c>
    </row>
    <row r="281" spans="1:41" x14ac:dyDescent="0.2">
      <c r="A281" s="1">
        <v>2025</v>
      </c>
      <c r="B281" s="2" t="s">
        <v>301</v>
      </c>
      <c r="C281" s="2" t="s">
        <v>301</v>
      </c>
      <c r="D281" s="1" t="s">
        <v>642</v>
      </c>
      <c r="E281" s="3">
        <v>3639082</v>
      </c>
      <c r="F281" s="3">
        <v>0</v>
      </c>
      <c r="G281" s="3">
        <v>0</v>
      </c>
      <c r="H281" s="3">
        <v>12914</v>
      </c>
      <c r="I281" s="3">
        <v>0</v>
      </c>
      <c r="J281" s="3">
        <v>3639082</v>
      </c>
      <c r="K281" s="3">
        <v>3626168</v>
      </c>
      <c r="L281" s="3">
        <v>3626168</v>
      </c>
      <c r="M281" s="3">
        <v>0</v>
      </c>
      <c r="N281" s="3">
        <v>530764</v>
      </c>
      <c r="O281" s="3">
        <v>43789</v>
      </c>
      <c r="P281" s="3">
        <v>41620</v>
      </c>
      <c r="Q281" s="3">
        <v>218447</v>
      </c>
      <c r="R281" s="3">
        <v>2804462</v>
      </c>
      <c r="S281" s="3">
        <v>2791548</v>
      </c>
      <c r="T281" s="3">
        <v>2791548</v>
      </c>
      <c r="U281" s="3">
        <v>363908</v>
      </c>
      <c r="V281" s="3">
        <v>363908</v>
      </c>
      <c r="W281" s="3">
        <v>363908</v>
      </c>
      <c r="X281" s="3">
        <v>363908</v>
      </c>
      <c r="Y281" s="3">
        <v>361756</v>
      </c>
      <c r="Z281" s="3">
        <v>361756</v>
      </c>
      <c r="AA281" s="4">
        <v>361756</v>
      </c>
      <c r="AB281" s="4">
        <v>361756</v>
      </c>
      <c r="AC281" s="4">
        <v>361756</v>
      </c>
      <c r="AD281" s="4">
        <v>361756</v>
      </c>
      <c r="AE281" s="4">
        <v>363908</v>
      </c>
      <c r="AF281" s="4">
        <v>727816</v>
      </c>
      <c r="AG281" s="4">
        <v>1091724</v>
      </c>
      <c r="AH281" s="4">
        <v>1455632</v>
      </c>
      <c r="AI281" s="4">
        <v>1817388</v>
      </c>
      <c r="AJ281" s="4">
        <v>2179144</v>
      </c>
      <c r="AK281" s="4">
        <v>2540900</v>
      </c>
      <c r="AL281" s="4">
        <v>2902656</v>
      </c>
      <c r="AM281" s="4">
        <v>3264412</v>
      </c>
      <c r="AN281" s="4">
        <v>3626168</v>
      </c>
      <c r="AO281" s="134">
        <v>226655</v>
      </c>
    </row>
    <row r="282" spans="1:41" x14ac:dyDescent="0.2">
      <c r="A282" s="1">
        <v>2025</v>
      </c>
      <c r="B282" s="2" t="s">
        <v>302</v>
      </c>
      <c r="C282" s="2" t="s">
        <v>302</v>
      </c>
      <c r="D282" s="1" t="s">
        <v>643</v>
      </c>
      <c r="E282" s="3">
        <v>4934202</v>
      </c>
      <c r="F282" s="1">
        <v>713</v>
      </c>
      <c r="G282" s="1">
        <v>0</v>
      </c>
      <c r="H282" s="3">
        <v>14766</v>
      </c>
      <c r="I282" s="1">
        <v>0</v>
      </c>
      <c r="J282" s="3">
        <v>4933489</v>
      </c>
      <c r="K282" s="3">
        <v>4918723</v>
      </c>
      <c r="L282" s="3">
        <v>4918723</v>
      </c>
      <c r="M282" s="3">
        <v>167546</v>
      </c>
      <c r="N282" s="3">
        <v>610771</v>
      </c>
      <c r="O282" s="3">
        <v>49597</v>
      </c>
      <c r="P282" s="3">
        <v>50033</v>
      </c>
      <c r="Q282" s="3">
        <v>249497</v>
      </c>
      <c r="R282" s="3">
        <v>3806045</v>
      </c>
      <c r="S282" s="3">
        <v>3791279</v>
      </c>
      <c r="T282" s="3">
        <v>3791279</v>
      </c>
      <c r="U282" s="3">
        <v>493349</v>
      </c>
      <c r="V282" s="3">
        <v>493349</v>
      </c>
      <c r="W282" s="3">
        <v>493349</v>
      </c>
      <c r="X282" s="3">
        <v>493349</v>
      </c>
      <c r="Y282" s="3">
        <v>490888</v>
      </c>
      <c r="Z282" s="3">
        <v>490888</v>
      </c>
      <c r="AA282" s="4">
        <v>490888</v>
      </c>
      <c r="AB282" s="4">
        <v>490888</v>
      </c>
      <c r="AC282" s="4">
        <v>490888</v>
      </c>
      <c r="AD282" s="4">
        <v>490887</v>
      </c>
      <c r="AE282" s="4">
        <v>493349</v>
      </c>
      <c r="AF282" s="4">
        <v>986698</v>
      </c>
      <c r="AG282" s="4">
        <v>1480047</v>
      </c>
      <c r="AH282" s="4">
        <v>1973396</v>
      </c>
      <c r="AI282" s="4">
        <v>2464284</v>
      </c>
      <c r="AJ282" s="4">
        <v>2955172</v>
      </c>
      <c r="AK282" s="4">
        <v>3446060</v>
      </c>
      <c r="AL282" s="4">
        <v>3936948</v>
      </c>
      <c r="AM282" s="4">
        <v>4427836</v>
      </c>
      <c r="AN282" s="4">
        <v>4918723</v>
      </c>
      <c r="AO282" s="134">
        <v>267900</v>
      </c>
    </row>
    <row r="283" spans="1:41" x14ac:dyDescent="0.2">
      <c r="A283" s="1">
        <v>2025</v>
      </c>
      <c r="B283" s="2" t="s">
        <v>303</v>
      </c>
      <c r="C283" s="2" t="s">
        <v>303</v>
      </c>
      <c r="D283" s="1" t="s">
        <v>644</v>
      </c>
      <c r="E283" s="3">
        <v>1901629</v>
      </c>
      <c r="F283" s="3">
        <v>166</v>
      </c>
      <c r="G283" s="3">
        <v>0</v>
      </c>
      <c r="H283" s="3">
        <v>5785</v>
      </c>
      <c r="I283" s="1">
        <v>0</v>
      </c>
      <c r="J283" s="3">
        <v>1901463</v>
      </c>
      <c r="K283" s="3">
        <v>1895678</v>
      </c>
      <c r="L283" s="3">
        <v>1895678</v>
      </c>
      <c r="M283" s="3">
        <v>38964</v>
      </c>
      <c r="N283" s="3">
        <v>311657</v>
      </c>
      <c r="O283" s="3">
        <v>23369</v>
      </c>
      <c r="P283" s="3">
        <v>18579</v>
      </c>
      <c r="Q283" s="3">
        <v>97955</v>
      </c>
      <c r="R283" s="3">
        <v>1410939</v>
      </c>
      <c r="S283" s="3">
        <v>1405154</v>
      </c>
      <c r="T283" s="3">
        <v>1405154</v>
      </c>
      <c r="U283" s="3">
        <v>190146</v>
      </c>
      <c r="V283" s="3">
        <v>190146</v>
      </c>
      <c r="W283" s="3">
        <v>190146</v>
      </c>
      <c r="X283" s="3">
        <v>190146</v>
      </c>
      <c r="Y283" s="3">
        <v>189182</v>
      </c>
      <c r="Z283" s="3">
        <v>189182</v>
      </c>
      <c r="AA283" s="4">
        <v>189183</v>
      </c>
      <c r="AB283" s="4">
        <v>189183</v>
      </c>
      <c r="AC283" s="4">
        <v>189183</v>
      </c>
      <c r="AD283" s="4">
        <v>189181</v>
      </c>
      <c r="AE283" s="4">
        <v>190146</v>
      </c>
      <c r="AF283" s="4">
        <v>380292</v>
      </c>
      <c r="AG283" s="4">
        <v>570438</v>
      </c>
      <c r="AH283" s="4">
        <v>760584</v>
      </c>
      <c r="AI283" s="4">
        <v>949766</v>
      </c>
      <c r="AJ283" s="4">
        <v>1138948</v>
      </c>
      <c r="AK283" s="4">
        <v>1328131</v>
      </c>
      <c r="AL283" s="4">
        <v>1517314</v>
      </c>
      <c r="AM283" s="4">
        <v>1706497</v>
      </c>
      <c r="AN283" s="4">
        <v>1895678</v>
      </c>
      <c r="AO283" s="134">
        <v>105676</v>
      </c>
    </row>
    <row r="284" spans="1:41" x14ac:dyDescent="0.2">
      <c r="A284" s="1">
        <v>2025</v>
      </c>
      <c r="B284" s="2" t="s">
        <v>304</v>
      </c>
      <c r="C284" s="2" t="s">
        <v>304</v>
      </c>
      <c r="D284" s="1" t="s">
        <v>645</v>
      </c>
      <c r="E284" s="3">
        <v>3158617</v>
      </c>
      <c r="F284" s="1">
        <v>0</v>
      </c>
      <c r="G284" s="1">
        <v>0</v>
      </c>
      <c r="H284" s="3">
        <v>8589</v>
      </c>
      <c r="I284" s="1">
        <v>0</v>
      </c>
      <c r="J284" s="3">
        <v>3158617</v>
      </c>
      <c r="K284" s="3">
        <v>3150028</v>
      </c>
      <c r="L284" s="3">
        <v>3150028</v>
      </c>
      <c r="M284" s="3">
        <v>91620</v>
      </c>
      <c r="N284" s="3">
        <v>407812</v>
      </c>
      <c r="O284" s="3">
        <v>29924</v>
      </c>
      <c r="P284" s="3">
        <v>28807</v>
      </c>
      <c r="Q284" s="3">
        <v>144032</v>
      </c>
      <c r="R284" s="3">
        <v>2456422</v>
      </c>
      <c r="S284" s="3">
        <v>2447833</v>
      </c>
      <c r="T284" s="3">
        <v>2447833</v>
      </c>
      <c r="U284" s="3">
        <v>315862</v>
      </c>
      <c r="V284" s="3">
        <v>315862</v>
      </c>
      <c r="W284" s="3">
        <v>315862</v>
      </c>
      <c r="X284" s="3">
        <v>315862</v>
      </c>
      <c r="Y284" s="3">
        <v>314430</v>
      </c>
      <c r="Z284" s="3">
        <v>314430</v>
      </c>
      <c r="AA284" s="4">
        <v>314430</v>
      </c>
      <c r="AB284" s="4">
        <v>314430</v>
      </c>
      <c r="AC284" s="4">
        <v>314430</v>
      </c>
      <c r="AD284" s="4">
        <v>314430</v>
      </c>
      <c r="AE284" s="4">
        <v>315862</v>
      </c>
      <c r="AF284" s="4">
        <v>631724</v>
      </c>
      <c r="AG284" s="4">
        <v>947586</v>
      </c>
      <c r="AH284" s="4">
        <v>1263448</v>
      </c>
      <c r="AI284" s="4">
        <v>1577878</v>
      </c>
      <c r="AJ284" s="4">
        <v>1892308</v>
      </c>
      <c r="AK284" s="4">
        <v>2206738</v>
      </c>
      <c r="AL284" s="4">
        <v>2521168</v>
      </c>
      <c r="AM284" s="4">
        <v>2835598</v>
      </c>
      <c r="AN284" s="4">
        <v>3150028</v>
      </c>
      <c r="AO284" s="134">
        <v>166080</v>
      </c>
    </row>
    <row r="285" spans="1:41" x14ac:dyDescent="0.2">
      <c r="A285" s="1">
        <v>2025</v>
      </c>
      <c r="B285" s="2" t="s">
        <v>305</v>
      </c>
      <c r="C285" s="2" t="s">
        <v>305</v>
      </c>
      <c r="D285" s="1" t="s">
        <v>646</v>
      </c>
      <c r="E285" s="3">
        <v>2486095</v>
      </c>
      <c r="F285" s="1">
        <v>597</v>
      </c>
      <c r="G285" s="1">
        <v>0</v>
      </c>
      <c r="H285" s="3">
        <v>8026</v>
      </c>
      <c r="I285" s="3">
        <v>0</v>
      </c>
      <c r="J285" s="3">
        <v>2485498</v>
      </c>
      <c r="K285" s="3">
        <v>2477472</v>
      </c>
      <c r="L285" s="3">
        <v>2477472</v>
      </c>
      <c r="M285" s="3">
        <v>140271</v>
      </c>
      <c r="N285" s="3">
        <v>407812</v>
      </c>
      <c r="O285" s="3">
        <v>23953</v>
      </c>
      <c r="P285" s="3">
        <v>31331</v>
      </c>
      <c r="Q285" s="3">
        <v>144032</v>
      </c>
      <c r="R285" s="3">
        <v>1738099</v>
      </c>
      <c r="S285" s="3">
        <v>1730073</v>
      </c>
      <c r="T285" s="3">
        <v>1730073</v>
      </c>
      <c r="U285" s="3">
        <v>248550</v>
      </c>
      <c r="V285" s="3">
        <v>248550</v>
      </c>
      <c r="W285" s="3">
        <v>248550</v>
      </c>
      <c r="X285" s="3">
        <v>248550</v>
      </c>
      <c r="Y285" s="3">
        <v>247212</v>
      </c>
      <c r="Z285" s="3">
        <v>247212</v>
      </c>
      <c r="AA285" s="4">
        <v>247212</v>
      </c>
      <c r="AB285" s="4">
        <v>247212</v>
      </c>
      <c r="AC285" s="4">
        <v>247212</v>
      </c>
      <c r="AD285" s="4">
        <v>247212</v>
      </c>
      <c r="AE285" s="4">
        <v>248550</v>
      </c>
      <c r="AF285" s="4">
        <v>497100</v>
      </c>
      <c r="AG285" s="4">
        <v>745650</v>
      </c>
      <c r="AH285" s="4">
        <v>994200</v>
      </c>
      <c r="AI285" s="4">
        <v>1241412</v>
      </c>
      <c r="AJ285" s="4">
        <v>1488624</v>
      </c>
      <c r="AK285" s="4">
        <v>1735836</v>
      </c>
      <c r="AL285" s="4">
        <v>1983048</v>
      </c>
      <c r="AM285" s="4">
        <v>2230260</v>
      </c>
      <c r="AN285" s="4">
        <v>2477472</v>
      </c>
      <c r="AO285" s="134">
        <v>159851</v>
      </c>
    </row>
    <row r="286" spans="1:41" x14ac:dyDescent="0.2">
      <c r="A286" s="1">
        <v>2025</v>
      </c>
      <c r="B286" s="2" t="s">
        <v>306</v>
      </c>
      <c r="C286" s="2" t="s">
        <v>306</v>
      </c>
      <c r="D286" s="1" t="s">
        <v>647</v>
      </c>
      <c r="E286" s="3">
        <v>2713846</v>
      </c>
      <c r="F286" s="1">
        <v>299</v>
      </c>
      <c r="G286" s="1">
        <v>0</v>
      </c>
      <c r="H286" s="3">
        <v>7078</v>
      </c>
      <c r="I286" s="1">
        <v>0</v>
      </c>
      <c r="J286" s="3">
        <v>2713547</v>
      </c>
      <c r="K286" s="3">
        <v>2706469</v>
      </c>
      <c r="L286" s="3">
        <v>2706469</v>
      </c>
      <c r="M286" s="3">
        <v>70135</v>
      </c>
      <c r="N286" s="3">
        <v>385598</v>
      </c>
      <c r="O286" s="3">
        <v>28386</v>
      </c>
      <c r="P286" s="3">
        <v>24543</v>
      </c>
      <c r="Q286" s="3">
        <v>120952</v>
      </c>
      <c r="R286" s="3">
        <v>2083933</v>
      </c>
      <c r="S286" s="3">
        <v>2076855</v>
      </c>
      <c r="T286" s="3">
        <v>2076855</v>
      </c>
      <c r="U286" s="3">
        <v>271355</v>
      </c>
      <c r="V286" s="3">
        <v>271355</v>
      </c>
      <c r="W286" s="3">
        <v>271355</v>
      </c>
      <c r="X286" s="3">
        <v>271355</v>
      </c>
      <c r="Y286" s="3">
        <v>270175</v>
      </c>
      <c r="Z286" s="3">
        <v>270175</v>
      </c>
      <c r="AA286" s="4">
        <v>270175</v>
      </c>
      <c r="AB286" s="4">
        <v>270175</v>
      </c>
      <c r="AC286" s="4">
        <v>270175</v>
      </c>
      <c r="AD286" s="4">
        <v>270174</v>
      </c>
      <c r="AE286" s="4">
        <v>271355</v>
      </c>
      <c r="AF286" s="4">
        <v>542710</v>
      </c>
      <c r="AG286" s="4">
        <v>814065</v>
      </c>
      <c r="AH286" s="4">
        <v>1085420</v>
      </c>
      <c r="AI286" s="4">
        <v>1355595</v>
      </c>
      <c r="AJ286" s="4">
        <v>1625770</v>
      </c>
      <c r="AK286" s="4">
        <v>1895945</v>
      </c>
      <c r="AL286" s="4">
        <v>2166120</v>
      </c>
      <c r="AM286" s="4">
        <v>2436295</v>
      </c>
      <c r="AN286" s="4">
        <v>2706469</v>
      </c>
      <c r="AO286" s="134">
        <v>134158</v>
      </c>
    </row>
    <row r="287" spans="1:41" x14ac:dyDescent="0.2">
      <c r="A287" s="1">
        <v>2025</v>
      </c>
      <c r="B287" s="2" t="s">
        <v>307</v>
      </c>
      <c r="C287" s="2" t="s">
        <v>307</v>
      </c>
      <c r="D287" s="1" t="s">
        <v>648</v>
      </c>
      <c r="E287" s="3">
        <v>783817</v>
      </c>
      <c r="F287" s="1">
        <v>133</v>
      </c>
      <c r="G287" s="1">
        <v>0</v>
      </c>
      <c r="H287" s="3">
        <v>3514</v>
      </c>
      <c r="I287" s="1">
        <v>0</v>
      </c>
      <c r="J287" s="3">
        <v>783684</v>
      </c>
      <c r="K287" s="3">
        <v>780170</v>
      </c>
      <c r="L287" s="3">
        <v>780170</v>
      </c>
      <c r="M287" s="3">
        <v>31171</v>
      </c>
      <c r="N287" s="3">
        <v>196291</v>
      </c>
      <c r="O287" s="3">
        <v>12202</v>
      </c>
      <c r="P287" s="3">
        <v>12176</v>
      </c>
      <c r="Q287" s="3">
        <v>61572</v>
      </c>
      <c r="R287" s="3">
        <v>470272</v>
      </c>
      <c r="S287" s="3">
        <v>466758</v>
      </c>
      <c r="T287" s="3">
        <v>466758</v>
      </c>
      <c r="U287" s="3">
        <v>78368</v>
      </c>
      <c r="V287" s="3">
        <v>78368</v>
      </c>
      <c r="W287" s="3">
        <v>78368</v>
      </c>
      <c r="X287" s="3">
        <v>78368</v>
      </c>
      <c r="Y287" s="3">
        <v>77783</v>
      </c>
      <c r="Z287" s="3">
        <v>77783</v>
      </c>
      <c r="AA287" s="4">
        <v>77783</v>
      </c>
      <c r="AB287" s="4">
        <v>77783</v>
      </c>
      <c r="AC287" s="4">
        <v>77783</v>
      </c>
      <c r="AD287" s="4">
        <v>77783</v>
      </c>
      <c r="AE287" s="4">
        <v>78368</v>
      </c>
      <c r="AF287" s="4">
        <v>156736</v>
      </c>
      <c r="AG287" s="4">
        <v>235104</v>
      </c>
      <c r="AH287" s="4">
        <v>313472</v>
      </c>
      <c r="AI287" s="4">
        <v>391255</v>
      </c>
      <c r="AJ287" s="4">
        <v>469038</v>
      </c>
      <c r="AK287" s="4">
        <v>546821</v>
      </c>
      <c r="AL287" s="4">
        <v>624604</v>
      </c>
      <c r="AM287" s="4">
        <v>702387</v>
      </c>
      <c r="AN287" s="4">
        <v>780170</v>
      </c>
      <c r="AO287" s="134">
        <v>71811</v>
      </c>
    </row>
    <row r="288" spans="1:41" x14ac:dyDescent="0.2">
      <c r="A288" s="1">
        <v>2025</v>
      </c>
      <c r="B288" s="2" t="s">
        <v>308</v>
      </c>
      <c r="C288" s="2" t="s">
        <v>308</v>
      </c>
      <c r="D288" s="1" t="s">
        <v>649</v>
      </c>
      <c r="E288" s="3">
        <v>5330810</v>
      </c>
      <c r="F288" s="1">
        <v>763</v>
      </c>
      <c r="G288" s="1">
        <v>0</v>
      </c>
      <c r="H288" s="3">
        <v>16541</v>
      </c>
      <c r="I288" s="1">
        <v>0</v>
      </c>
      <c r="J288" s="3">
        <v>5330047</v>
      </c>
      <c r="K288" s="3">
        <v>5313506</v>
      </c>
      <c r="L288" s="3">
        <v>5313506</v>
      </c>
      <c r="M288" s="3">
        <v>179235</v>
      </c>
      <c r="N288" s="3">
        <v>660730</v>
      </c>
      <c r="O288" s="3">
        <v>55145</v>
      </c>
      <c r="P288" s="3">
        <v>50054</v>
      </c>
      <c r="Q288" s="3">
        <v>281815</v>
      </c>
      <c r="R288" s="3">
        <v>4103068</v>
      </c>
      <c r="S288" s="3">
        <v>4086527</v>
      </c>
      <c r="T288" s="3">
        <v>4086527</v>
      </c>
      <c r="U288" s="3">
        <v>533005</v>
      </c>
      <c r="V288" s="3">
        <v>533005</v>
      </c>
      <c r="W288" s="3">
        <v>533005</v>
      </c>
      <c r="X288" s="3">
        <v>533005</v>
      </c>
      <c r="Y288" s="3">
        <v>530248</v>
      </c>
      <c r="Z288" s="3">
        <v>530248</v>
      </c>
      <c r="AA288" s="4">
        <v>530248</v>
      </c>
      <c r="AB288" s="4">
        <v>530248</v>
      </c>
      <c r="AC288" s="4">
        <v>530248</v>
      </c>
      <c r="AD288" s="4">
        <v>530246</v>
      </c>
      <c r="AE288" s="4">
        <v>533005</v>
      </c>
      <c r="AF288" s="4">
        <v>1066010</v>
      </c>
      <c r="AG288" s="4">
        <v>1599015</v>
      </c>
      <c r="AH288" s="4">
        <v>2132020</v>
      </c>
      <c r="AI288" s="4">
        <v>2662268</v>
      </c>
      <c r="AJ288" s="4">
        <v>3192516</v>
      </c>
      <c r="AK288" s="4">
        <v>3722764</v>
      </c>
      <c r="AL288" s="4">
        <v>4253012</v>
      </c>
      <c r="AM288" s="4">
        <v>4783260</v>
      </c>
      <c r="AN288" s="4">
        <v>5313506</v>
      </c>
      <c r="AO288" s="134">
        <v>303586</v>
      </c>
    </row>
    <row r="289" spans="1:41" x14ac:dyDescent="0.2">
      <c r="A289" s="1">
        <v>2025</v>
      </c>
      <c r="B289" s="2" t="s">
        <v>309</v>
      </c>
      <c r="C289" s="2" t="s">
        <v>309</v>
      </c>
      <c r="D289" s="1" t="s">
        <v>650</v>
      </c>
      <c r="E289" s="3">
        <v>1635673</v>
      </c>
      <c r="F289" s="1">
        <v>813</v>
      </c>
      <c r="G289" s="1">
        <v>0</v>
      </c>
      <c r="H289" s="3">
        <v>8188</v>
      </c>
      <c r="I289" s="1">
        <v>0</v>
      </c>
      <c r="J289" s="3">
        <v>1634860</v>
      </c>
      <c r="K289" s="3">
        <v>1626672</v>
      </c>
      <c r="L289" s="3">
        <v>1626672</v>
      </c>
      <c r="M289" s="3">
        <v>190924</v>
      </c>
      <c r="N289" s="3">
        <v>484275</v>
      </c>
      <c r="O289" s="3">
        <v>29818</v>
      </c>
      <c r="P289" s="3">
        <v>19924</v>
      </c>
      <c r="Q289" s="3">
        <v>142216</v>
      </c>
      <c r="R289" s="3">
        <v>767703</v>
      </c>
      <c r="S289" s="3">
        <v>759515</v>
      </c>
      <c r="T289" s="3">
        <v>759515</v>
      </c>
      <c r="U289" s="3">
        <v>163486</v>
      </c>
      <c r="V289" s="3">
        <v>163486</v>
      </c>
      <c r="W289" s="3">
        <v>163486</v>
      </c>
      <c r="X289" s="3">
        <v>163486</v>
      </c>
      <c r="Y289" s="3">
        <v>162121</v>
      </c>
      <c r="Z289" s="3">
        <v>162121</v>
      </c>
      <c r="AA289" s="4">
        <v>162122</v>
      </c>
      <c r="AB289" s="4">
        <v>162122</v>
      </c>
      <c r="AC289" s="4">
        <v>162122</v>
      </c>
      <c r="AD289" s="4">
        <v>162120</v>
      </c>
      <c r="AE289" s="4">
        <v>163486</v>
      </c>
      <c r="AF289" s="4">
        <v>326972</v>
      </c>
      <c r="AG289" s="4">
        <v>490458</v>
      </c>
      <c r="AH289" s="4">
        <v>653944</v>
      </c>
      <c r="AI289" s="4">
        <v>816065</v>
      </c>
      <c r="AJ289" s="4">
        <v>978186</v>
      </c>
      <c r="AK289" s="4">
        <v>1140308</v>
      </c>
      <c r="AL289" s="4">
        <v>1302430</v>
      </c>
      <c r="AM289" s="4">
        <v>1464552</v>
      </c>
      <c r="AN289" s="4">
        <v>1626672</v>
      </c>
      <c r="AO289" s="134">
        <v>146379</v>
      </c>
    </row>
    <row r="290" spans="1:41" x14ac:dyDescent="0.2">
      <c r="A290" s="1">
        <v>2025</v>
      </c>
      <c r="B290" s="2" t="s">
        <v>310</v>
      </c>
      <c r="C290" s="2" t="s">
        <v>310</v>
      </c>
      <c r="D290" s="1" t="s">
        <v>651</v>
      </c>
      <c r="E290" s="3">
        <v>24940960</v>
      </c>
      <c r="F290" s="3">
        <v>3549</v>
      </c>
      <c r="G290" s="3">
        <v>19707</v>
      </c>
      <c r="H290" s="3">
        <v>77523</v>
      </c>
      <c r="I290" s="1">
        <v>0</v>
      </c>
      <c r="J290" s="3">
        <v>24917704</v>
      </c>
      <c r="K290" s="3">
        <v>24840181</v>
      </c>
      <c r="L290" s="3">
        <v>24840181</v>
      </c>
      <c r="M290" s="3">
        <v>833833</v>
      </c>
      <c r="N290" s="3">
        <v>2631754</v>
      </c>
      <c r="O290" s="3">
        <v>280755</v>
      </c>
      <c r="P290" s="3">
        <v>287062</v>
      </c>
      <c r="Q290" s="3">
        <v>1361564</v>
      </c>
      <c r="R290" s="3">
        <v>19522736</v>
      </c>
      <c r="S290" s="3">
        <v>19445213</v>
      </c>
      <c r="T290" s="3">
        <v>19445213</v>
      </c>
      <c r="U290" s="3">
        <v>2491770</v>
      </c>
      <c r="V290" s="3">
        <v>2491770</v>
      </c>
      <c r="W290" s="3">
        <v>2491770</v>
      </c>
      <c r="X290" s="3">
        <v>2491770</v>
      </c>
      <c r="Y290" s="3">
        <v>2478850</v>
      </c>
      <c r="Z290" s="3">
        <v>2478850</v>
      </c>
      <c r="AA290" s="4">
        <v>2478850</v>
      </c>
      <c r="AB290" s="4">
        <v>2478850</v>
      </c>
      <c r="AC290" s="4">
        <v>2478850</v>
      </c>
      <c r="AD290" s="4">
        <v>2478851</v>
      </c>
      <c r="AE290" s="4">
        <v>2491770</v>
      </c>
      <c r="AF290" s="4">
        <v>4983540</v>
      </c>
      <c r="AG290" s="4">
        <v>7475310</v>
      </c>
      <c r="AH290" s="4">
        <v>9967080</v>
      </c>
      <c r="AI290" s="4">
        <v>12445930</v>
      </c>
      <c r="AJ290" s="4">
        <v>14924780</v>
      </c>
      <c r="AK290" s="4">
        <v>17403630</v>
      </c>
      <c r="AL290" s="4">
        <v>19882480</v>
      </c>
      <c r="AM290" s="4">
        <v>22361330</v>
      </c>
      <c r="AN290" s="4">
        <v>24840181</v>
      </c>
      <c r="AO290" s="134">
        <v>1399328</v>
      </c>
    </row>
    <row r="291" spans="1:41" x14ac:dyDescent="0.2">
      <c r="A291" s="1">
        <v>2025</v>
      </c>
      <c r="B291" s="2" t="s">
        <v>311</v>
      </c>
      <c r="C291" s="2" t="s">
        <v>311</v>
      </c>
      <c r="D291" s="1" t="s">
        <v>795</v>
      </c>
      <c r="E291" s="3">
        <v>6555077</v>
      </c>
      <c r="F291" s="3">
        <v>879</v>
      </c>
      <c r="G291" s="3">
        <v>31989</v>
      </c>
      <c r="H291" s="3">
        <v>21618</v>
      </c>
      <c r="I291" s="3">
        <v>0</v>
      </c>
      <c r="J291" s="3">
        <v>6522209</v>
      </c>
      <c r="K291" s="3">
        <v>6500591</v>
      </c>
      <c r="L291" s="3">
        <v>6500591</v>
      </c>
      <c r="M291" s="3">
        <v>206510</v>
      </c>
      <c r="N291" s="3">
        <v>881998</v>
      </c>
      <c r="O291" s="3">
        <v>78224</v>
      </c>
      <c r="P291" s="3">
        <v>65002</v>
      </c>
      <c r="Q291" s="3">
        <v>364028</v>
      </c>
      <c r="R291" s="3">
        <v>4926447</v>
      </c>
      <c r="S291" s="3">
        <v>4904829</v>
      </c>
      <c r="T291" s="3">
        <v>4904829</v>
      </c>
      <c r="U291" s="3">
        <v>652221</v>
      </c>
      <c r="V291" s="3">
        <v>652221</v>
      </c>
      <c r="W291" s="3">
        <v>652221</v>
      </c>
      <c r="X291" s="3">
        <v>652221</v>
      </c>
      <c r="Y291" s="3">
        <v>648618</v>
      </c>
      <c r="Z291" s="3">
        <v>648618</v>
      </c>
      <c r="AA291" s="4">
        <v>648618</v>
      </c>
      <c r="AB291" s="4">
        <v>648618</v>
      </c>
      <c r="AC291" s="4">
        <v>648618</v>
      </c>
      <c r="AD291" s="4">
        <v>648617</v>
      </c>
      <c r="AE291" s="4">
        <v>652221</v>
      </c>
      <c r="AF291" s="4">
        <v>1304442</v>
      </c>
      <c r="AG291" s="4">
        <v>1956663</v>
      </c>
      <c r="AH291" s="4">
        <v>2608884</v>
      </c>
      <c r="AI291" s="4">
        <v>3257502</v>
      </c>
      <c r="AJ291" s="4">
        <v>3906120</v>
      </c>
      <c r="AK291" s="4">
        <v>4554738</v>
      </c>
      <c r="AL291" s="4">
        <v>5203356</v>
      </c>
      <c r="AM291" s="4">
        <v>5851974</v>
      </c>
      <c r="AN291" s="4">
        <v>6500591</v>
      </c>
      <c r="AO291" s="134">
        <v>396146</v>
      </c>
    </row>
    <row r="292" spans="1:41" x14ac:dyDescent="0.2">
      <c r="A292" s="1">
        <v>2025</v>
      </c>
      <c r="B292" s="2" t="s">
        <v>312</v>
      </c>
      <c r="C292" s="2" t="s">
        <v>312</v>
      </c>
      <c r="D292" s="1" t="s">
        <v>652</v>
      </c>
      <c r="E292" s="3">
        <v>6755429</v>
      </c>
      <c r="F292" s="3">
        <v>879</v>
      </c>
      <c r="G292" s="3">
        <v>0</v>
      </c>
      <c r="H292" s="3">
        <v>21082</v>
      </c>
      <c r="I292" s="1">
        <v>0</v>
      </c>
      <c r="J292" s="3">
        <v>6754550</v>
      </c>
      <c r="K292" s="3">
        <v>6733468</v>
      </c>
      <c r="L292" s="3">
        <v>6733468</v>
      </c>
      <c r="M292" s="3">
        <v>206510</v>
      </c>
      <c r="N292" s="3">
        <v>751552</v>
      </c>
      <c r="O292" s="3">
        <v>71460</v>
      </c>
      <c r="P292" s="3">
        <v>67629</v>
      </c>
      <c r="Q292" s="3">
        <v>354660</v>
      </c>
      <c r="R292" s="3">
        <v>5302739</v>
      </c>
      <c r="S292" s="3">
        <v>5281657</v>
      </c>
      <c r="T292" s="3">
        <v>5281657</v>
      </c>
      <c r="U292" s="3">
        <v>675455</v>
      </c>
      <c r="V292" s="3">
        <v>675455</v>
      </c>
      <c r="W292" s="3">
        <v>675455</v>
      </c>
      <c r="X292" s="3">
        <v>675455</v>
      </c>
      <c r="Y292" s="3">
        <v>671941</v>
      </c>
      <c r="Z292" s="3">
        <v>671941</v>
      </c>
      <c r="AA292" s="4">
        <v>671942</v>
      </c>
      <c r="AB292" s="4">
        <v>671942</v>
      </c>
      <c r="AC292" s="4">
        <v>671942</v>
      </c>
      <c r="AD292" s="4">
        <v>671940</v>
      </c>
      <c r="AE292" s="4">
        <v>675455</v>
      </c>
      <c r="AF292" s="4">
        <v>1350910</v>
      </c>
      <c r="AG292" s="4">
        <v>2026365</v>
      </c>
      <c r="AH292" s="4">
        <v>2701820</v>
      </c>
      <c r="AI292" s="4">
        <v>3373761</v>
      </c>
      <c r="AJ292" s="4">
        <v>4045702</v>
      </c>
      <c r="AK292" s="4">
        <v>4717644</v>
      </c>
      <c r="AL292" s="4">
        <v>5389586</v>
      </c>
      <c r="AM292" s="4">
        <v>6061528</v>
      </c>
      <c r="AN292" s="4">
        <v>6733468</v>
      </c>
      <c r="AO292" s="134">
        <v>353218</v>
      </c>
    </row>
    <row r="293" spans="1:41" x14ac:dyDescent="0.2">
      <c r="A293" s="1">
        <v>2025</v>
      </c>
      <c r="B293" s="2" t="s">
        <v>313</v>
      </c>
      <c r="C293" s="2" t="s">
        <v>313</v>
      </c>
      <c r="D293" s="1" t="s">
        <v>653</v>
      </c>
      <c r="E293" s="3">
        <v>1997208</v>
      </c>
      <c r="F293" s="3">
        <v>199</v>
      </c>
      <c r="G293" s="3">
        <v>0</v>
      </c>
      <c r="H293" s="3">
        <v>6352</v>
      </c>
      <c r="I293" s="1">
        <v>0</v>
      </c>
      <c r="J293" s="3">
        <v>1997009</v>
      </c>
      <c r="K293" s="3">
        <v>1990657</v>
      </c>
      <c r="L293" s="3">
        <v>1990657</v>
      </c>
      <c r="M293" s="3">
        <v>46757</v>
      </c>
      <c r="N293" s="3">
        <v>339596</v>
      </c>
      <c r="O293" s="3">
        <v>25485</v>
      </c>
      <c r="P293" s="3">
        <v>22496</v>
      </c>
      <c r="Q293" s="3">
        <v>114650</v>
      </c>
      <c r="R293" s="3">
        <v>1448025</v>
      </c>
      <c r="S293" s="3">
        <v>1441673</v>
      </c>
      <c r="T293" s="3">
        <v>1441673</v>
      </c>
      <c r="U293" s="3">
        <v>199701</v>
      </c>
      <c r="V293" s="3">
        <v>199701</v>
      </c>
      <c r="W293" s="3">
        <v>199701</v>
      </c>
      <c r="X293" s="3">
        <v>199701</v>
      </c>
      <c r="Y293" s="3">
        <v>198642</v>
      </c>
      <c r="Z293" s="3">
        <v>198642</v>
      </c>
      <c r="AA293" s="4">
        <v>198642</v>
      </c>
      <c r="AB293" s="4">
        <v>198642</v>
      </c>
      <c r="AC293" s="4">
        <v>198642</v>
      </c>
      <c r="AD293" s="4">
        <v>198643</v>
      </c>
      <c r="AE293" s="4">
        <v>199701</v>
      </c>
      <c r="AF293" s="4">
        <v>399402</v>
      </c>
      <c r="AG293" s="4">
        <v>599103</v>
      </c>
      <c r="AH293" s="4">
        <v>798804</v>
      </c>
      <c r="AI293" s="4">
        <v>997446</v>
      </c>
      <c r="AJ293" s="4">
        <v>1196088</v>
      </c>
      <c r="AK293" s="4">
        <v>1394730</v>
      </c>
      <c r="AL293" s="4">
        <v>1593372</v>
      </c>
      <c r="AM293" s="4">
        <v>1792014</v>
      </c>
      <c r="AN293" s="4">
        <v>1990657</v>
      </c>
      <c r="AO293" s="134">
        <v>125416</v>
      </c>
    </row>
    <row r="294" spans="1:41" x14ac:dyDescent="0.2">
      <c r="A294" s="1">
        <v>2025</v>
      </c>
      <c r="B294" s="2" t="s">
        <v>314</v>
      </c>
      <c r="C294" s="2" t="s">
        <v>314</v>
      </c>
      <c r="D294" s="1" t="s">
        <v>654</v>
      </c>
      <c r="E294" s="3">
        <v>12042549</v>
      </c>
      <c r="F294" s="3">
        <v>1360</v>
      </c>
      <c r="G294" s="3">
        <v>12239</v>
      </c>
      <c r="H294" s="3">
        <v>36321</v>
      </c>
      <c r="I294" s="1">
        <v>0</v>
      </c>
      <c r="J294" s="3">
        <v>12028950</v>
      </c>
      <c r="K294" s="3">
        <v>11992629</v>
      </c>
      <c r="L294" s="3">
        <v>11992629</v>
      </c>
      <c r="M294" s="3">
        <v>319506</v>
      </c>
      <c r="N294" s="3">
        <v>1302046</v>
      </c>
      <c r="O294" s="3">
        <v>123695</v>
      </c>
      <c r="P294" s="3">
        <v>125939</v>
      </c>
      <c r="Q294" s="3">
        <v>609823</v>
      </c>
      <c r="R294" s="3">
        <v>9547941</v>
      </c>
      <c r="S294" s="3">
        <v>9511620</v>
      </c>
      <c r="T294" s="3">
        <v>9511620</v>
      </c>
      <c r="U294" s="3">
        <v>1202895</v>
      </c>
      <c r="V294" s="3">
        <v>1202895</v>
      </c>
      <c r="W294" s="3">
        <v>1202895</v>
      </c>
      <c r="X294" s="3">
        <v>1202895</v>
      </c>
      <c r="Y294" s="3">
        <v>1196842</v>
      </c>
      <c r="Z294" s="3">
        <v>1196842</v>
      </c>
      <c r="AA294" s="4">
        <v>1196841</v>
      </c>
      <c r="AB294" s="4">
        <v>1196841</v>
      </c>
      <c r="AC294" s="4">
        <v>1196841</v>
      </c>
      <c r="AD294" s="4">
        <v>1196842</v>
      </c>
      <c r="AE294" s="4">
        <v>1202895</v>
      </c>
      <c r="AF294" s="4">
        <v>2405790</v>
      </c>
      <c r="AG294" s="4">
        <v>3608685</v>
      </c>
      <c r="AH294" s="4">
        <v>4811580</v>
      </c>
      <c r="AI294" s="4">
        <v>6008422</v>
      </c>
      <c r="AJ294" s="4">
        <v>7205264</v>
      </c>
      <c r="AK294" s="4">
        <v>8402105</v>
      </c>
      <c r="AL294" s="4">
        <v>9598946</v>
      </c>
      <c r="AM294" s="4">
        <v>10795787</v>
      </c>
      <c r="AN294" s="4">
        <v>11992629</v>
      </c>
      <c r="AO294" s="134">
        <v>658740</v>
      </c>
    </row>
    <row r="295" spans="1:41" x14ac:dyDescent="0.2">
      <c r="A295" s="1">
        <v>2025</v>
      </c>
      <c r="B295" s="2" t="s">
        <v>315</v>
      </c>
      <c r="C295" s="2" t="s">
        <v>315</v>
      </c>
      <c r="D295" s="1" t="s">
        <v>655</v>
      </c>
      <c r="E295" s="3">
        <v>3942469</v>
      </c>
      <c r="F295" s="3">
        <v>630</v>
      </c>
      <c r="G295" s="3">
        <v>0</v>
      </c>
      <c r="H295" s="3">
        <v>10353</v>
      </c>
      <c r="I295" s="1">
        <v>0</v>
      </c>
      <c r="J295" s="3">
        <v>3941839</v>
      </c>
      <c r="K295" s="3">
        <v>3931486</v>
      </c>
      <c r="L295" s="3">
        <v>3931486</v>
      </c>
      <c r="M295" s="3">
        <v>148064</v>
      </c>
      <c r="N295" s="3">
        <v>643521</v>
      </c>
      <c r="O295" s="3">
        <v>38888</v>
      </c>
      <c r="P295" s="3">
        <v>38325</v>
      </c>
      <c r="Q295" s="3">
        <v>180359</v>
      </c>
      <c r="R295" s="3">
        <v>2892682</v>
      </c>
      <c r="S295" s="3">
        <v>2882329</v>
      </c>
      <c r="T295" s="3">
        <v>2882329</v>
      </c>
      <c r="U295" s="3">
        <v>394184</v>
      </c>
      <c r="V295" s="3">
        <v>394184</v>
      </c>
      <c r="W295" s="3">
        <v>394184</v>
      </c>
      <c r="X295" s="3">
        <v>394184</v>
      </c>
      <c r="Y295" s="3">
        <v>392458</v>
      </c>
      <c r="Z295" s="3">
        <v>392458</v>
      </c>
      <c r="AA295" s="4">
        <v>392459</v>
      </c>
      <c r="AB295" s="4">
        <v>392459</v>
      </c>
      <c r="AC295" s="4">
        <v>392459</v>
      </c>
      <c r="AD295" s="4">
        <v>392457</v>
      </c>
      <c r="AE295" s="4">
        <v>394184</v>
      </c>
      <c r="AF295" s="4">
        <v>788368</v>
      </c>
      <c r="AG295" s="4">
        <v>1182552</v>
      </c>
      <c r="AH295" s="4">
        <v>1576736</v>
      </c>
      <c r="AI295" s="4">
        <v>1969194</v>
      </c>
      <c r="AJ295" s="4">
        <v>2361652</v>
      </c>
      <c r="AK295" s="4">
        <v>2754111</v>
      </c>
      <c r="AL295" s="4">
        <v>3146570</v>
      </c>
      <c r="AM295" s="4">
        <v>3539029</v>
      </c>
      <c r="AN295" s="4">
        <v>3931486</v>
      </c>
      <c r="AO295" s="134">
        <v>198811</v>
      </c>
    </row>
    <row r="296" spans="1:41" x14ac:dyDescent="0.2">
      <c r="A296" s="1">
        <v>2025</v>
      </c>
      <c r="B296" s="2" t="s">
        <v>316</v>
      </c>
      <c r="C296" s="2" t="s">
        <v>316</v>
      </c>
      <c r="D296" s="1" t="s">
        <v>656</v>
      </c>
      <c r="E296" s="3">
        <v>5364330</v>
      </c>
      <c r="F296" s="3">
        <v>879</v>
      </c>
      <c r="G296" s="3">
        <v>0</v>
      </c>
      <c r="H296" s="3">
        <v>19021</v>
      </c>
      <c r="I296" s="1">
        <v>0</v>
      </c>
      <c r="J296" s="3">
        <v>5363451</v>
      </c>
      <c r="K296" s="3">
        <v>5344430</v>
      </c>
      <c r="L296" s="3">
        <v>5344430</v>
      </c>
      <c r="M296" s="3">
        <v>206510</v>
      </c>
      <c r="N296" s="3">
        <v>790243</v>
      </c>
      <c r="O296" s="3">
        <v>70907</v>
      </c>
      <c r="P296" s="3">
        <v>65318</v>
      </c>
      <c r="Q296" s="3">
        <v>325763</v>
      </c>
      <c r="R296" s="3">
        <v>3904710</v>
      </c>
      <c r="S296" s="3">
        <v>3885689</v>
      </c>
      <c r="T296" s="3">
        <v>3885689</v>
      </c>
      <c r="U296" s="3">
        <v>536345</v>
      </c>
      <c r="V296" s="3">
        <v>536345</v>
      </c>
      <c r="W296" s="3">
        <v>536345</v>
      </c>
      <c r="X296" s="3">
        <v>536345</v>
      </c>
      <c r="Y296" s="3">
        <v>533175</v>
      </c>
      <c r="Z296" s="3">
        <v>533175</v>
      </c>
      <c r="AA296" s="4">
        <v>533175</v>
      </c>
      <c r="AB296" s="4">
        <v>533175</v>
      </c>
      <c r="AC296" s="4">
        <v>533175</v>
      </c>
      <c r="AD296" s="4">
        <v>533175</v>
      </c>
      <c r="AE296" s="4">
        <v>536345</v>
      </c>
      <c r="AF296" s="4">
        <v>1072690</v>
      </c>
      <c r="AG296" s="4">
        <v>1609035</v>
      </c>
      <c r="AH296" s="4">
        <v>2145380</v>
      </c>
      <c r="AI296" s="4">
        <v>2678555</v>
      </c>
      <c r="AJ296" s="4">
        <v>3211730</v>
      </c>
      <c r="AK296" s="4">
        <v>3744905</v>
      </c>
      <c r="AL296" s="4">
        <v>4278080</v>
      </c>
      <c r="AM296" s="4">
        <v>4811255</v>
      </c>
      <c r="AN296" s="4">
        <v>5344430</v>
      </c>
      <c r="AO296" s="134">
        <v>359740</v>
      </c>
    </row>
    <row r="297" spans="1:41" x14ac:dyDescent="0.2">
      <c r="A297" s="1">
        <v>2025</v>
      </c>
      <c r="B297" s="2" t="s">
        <v>317</v>
      </c>
      <c r="C297" s="2" t="s">
        <v>317</v>
      </c>
      <c r="D297" s="1" t="s">
        <v>657</v>
      </c>
      <c r="E297" s="3">
        <v>3761061</v>
      </c>
      <c r="F297" s="3">
        <v>481</v>
      </c>
      <c r="G297" s="3">
        <v>0</v>
      </c>
      <c r="H297" s="3">
        <v>11416</v>
      </c>
      <c r="I297" s="1">
        <v>0</v>
      </c>
      <c r="J297" s="3">
        <v>3760580</v>
      </c>
      <c r="K297" s="3">
        <v>3749164</v>
      </c>
      <c r="L297" s="3">
        <v>3749164</v>
      </c>
      <c r="M297" s="3">
        <v>112996</v>
      </c>
      <c r="N297" s="3">
        <v>505148</v>
      </c>
      <c r="O297" s="3">
        <v>45873</v>
      </c>
      <c r="P297" s="3">
        <v>38541</v>
      </c>
      <c r="Q297" s="3">
        <v>196942</v>
      </c>
      <c r="R297" s="3">
        <v>2861080</v>
      </c>
      <c r="S297" s="3">
        <v>2849664</v>
      </c>
      <c r="T297" s="3">
        <v>2849664</v>
      </c>
      <c r="U297" s="3">
        <v>376058</v>
      </c>
      <c r="V297" s="3">
        <v>376058</v>
      </c>
      <c r="W297" s="3">
        <v>376058</v>
      </c>
      <c r="X297" s="3">
        <v>376058</v>
      </c>
      <c r="Y297" s="3">
        <v>374155</v>
      </c>
      <c r="Z297" s="3">
        <v>374155</v>
      </c>
      <c r="AA297" s="4">
        <v>374156</v>
      </c>
      <c r="AB297" s="4">
        <v>374156</v>
      </c>
      <c r="AC297" s="4">
        <v>374156</v>
      </c>
      <c r="AD297" s="4">
        <v>374154</v>
      </c>
      <c r="AE297" s="4">
        <v>376058</v>
      </c>
      <c r="AF297" s="4">
        <v>752116</v>
      </c>
      <c r="AG297" s="4">
        <v>1128174</v>
      </c>
      <c r="AH297" s="4">
        <v>1504232</v>
      </c>
      <c r="AI297" s="4">
        <v>1878387</v>
      </c>
      <c r="AJ297" s="4">
        <v>2252542</v>
      </c>
      <c r="AK297" s="4">
        <v>2626698</v>
      </c>
      <c r="AL297" s="4">
        <v>3000854</v>
      </c>
      <c r="AM297" s="4">
        <v>3375010</v>
      </c>
      <c r="AN297" s="4">
        <v>3749164</v>
      </c>
      <c r="AO297" s="134">
        <v>242809</v>
      </c>
    </row>
    <row r="298" spans="1:41" x14ac:dyDescent="0.2">
      <c r="A298" s="1">
        <v>2025</v>
      </c>
      <c r="B298" s="2" t="s">
        <v>318</v>
      </c>
      <c r="C298" s="2" t="s">
        <v>318</v>
      </c>
      <c r="D298" s="1" t="s">
        <v>658</v>
      </c>
      <c r="E298" s="3">
        <v>4944157</v>
      </c>
      <c r="F298" s="3">
        <v>464</v>
      </c>
      <c r="G298" s="3">
        <v>0</v>
      </c>
      <c r="H298" s="3">
        <v>14414</v>
      </c>
      <c r="I298" s="3">
        <v>0</v>
      </c>
      <c r="J298" s="3">
        <v>4943693</v>
      </c>
      <c r="K298" s="3">
        <v>4929279</v>
      </c>
      <c r="L298" s="3">
        <v>4929279</v>
      </c>
      <c r="M298" s="3">
        <v>109100</v>
      </c>
      <c r="N298" s="3">
        <v>583143</v>
      </c>
      <c r="O298" s="3">
        <v>52427</v>
      </c>
      <c r="P298" s="3">
        <v>49563</v>
      </c>
      <c r="Q298" s="3">
        <v>248137</v>
      </c>
      <c r="R298" s="3">
        <v>3901323</v>
      </c>
      <c r="S298" s="3">
        <v>3886909</v>
      </c>
      <c r="T298" s="3">
        <v>3886909</v>
      </c>
      <c r="U298" s="3">
        <v>494369</v>
      </c>
      <c r="V298" s="3">
        <v>494369</v>
      </c>
      <c r="W298" s="3">
        <v>494369</v>
      </c>
      <c r="X298" s="3">
        <v>494369</v>
      </c>
      <c r="Y298" s="3">
        <v>491967</v>
      </c>
      <c r="Z298" s="3">
        <v>491967</v>
      </c>
      <c r="AA298" s="4">
        <v>491967</v>
      </c>
      <c r="AB298" s="4">
        <v>491967</v>
      </c>
      <c r="AC298" s="4">
        <v>491967</v>
      </c>
      <c r="AD298" s="4">
        <v>491968</v>
      </c>
      <c r="AE298" s="4">
        <v>494369</v>
      </c>
      <c r="AF298" s="4">
        <v>988738</v>
      </c>
      <c r="AG298" s="4">
        <v>1483107</v>
      </c>
      <c r="AH298" s="4">
        <v>1977476</v>
      </c>
      <c r="AI298" s="4">
        <v>2469443</v>
      </c>
      <c r="AJ298" s="4">
        <v>2961410</v>
      </c>
      <c r="AK298" s="4">
        <v>3453377</v>
      </c>
      <c r="AL298" s="4">
        <v>3945344</v>
      </c>
      <c r="AM298" s="4">
        <v>4437311</v>
      </c>
      <c r="AN298" s="4">
        <v>4929279</v>
      </c>
      <c r="AO298" s="134">
        <v>274971</v>
      </c>
    </row>
    <row r="299" spans="1:41" x14ac:dyDescent="0.2">
      <c r="A299" s="1">
        <v>2025</v>
      </c>
      <c r="B299" s="2" t="s">
        <v>319</v>
      </c>
      <c r="C299" s="2" t="s">
        <v>319</v>
      </c>
      <c r="D299" s="1" t="s">
        <v>659</v>
      </c>
      <c r="E299" s="3">
        <v>13602897</v>
      </c>
      <c r="F299" s="3">
        <v>1111</v>
      </c>
      <c r="G299" s="3">
        <v>7771</v>
      </c>
      <c r="H299" s="3">
        <v>37123</v>
      </c>
      <c r="I299" s="1">
        <v>0</v>
      </c>
      <c r="J299" s="3">
        <v>13594015</v>
      </c>
      <c r="K299" s="3">
        <v>13556892</v>
      </c>
      <c r="L299" s="3">
        <v>13556892</v>
      </c>
      <c r="M299" s="3">
        <v>261060</v>
      </c>
      <c r="N299" s="3">
        <v>1649524</v>
      </c>
      <c r="O299" s="3">
        <v>140333</v>
      </c>
      <c r="P299" s="3">
        <v>126670</v>
      </c>
      <c r="Q299" s="3">
        <v>639514</v>
      </c>
      <c r="R299" s="3">
        <v>10776914</v>
      </c>
      <c r="S299" s="3">
        <v>10739791</v>
      </c>
      <c r="T299" s="3">
        <v>10739791</v>
      </c>
      <c r="U299" s="3">
        <v>1359402</v>
      </c>
      <c r="V299" s="3">
        <v>1359402</v>
      </c>
      <c r="W299" s="3">
        <v>1359402</v>
      </c>
      <c r="X299" s="3">
        <v>1359402</v>
      </c>
      <c r="Y299" s="3">
        <v>1353214</v>
      </c>
      <c r="Z299" s="3">
        <v>1353214</v>
      </c>
      <c r="AA299" s="4">
        <v>1353214</v>
      </c>
      <c r="AB299" s="4">
        <v>1353214</v>
      </c>
      <c r="AC299" s="4">
        <v>1353214</v>
      </c>
      <c r="AD299" s="4">
        <v>1353214</v>
      </c>
      <c r="AE299" s="4">
        <v>1359402</v>
      </c>
      <c r="AF299" s="4">
        <v>2718804</v>
      </c>
      <c r="AG299" s="4">
        <v>4078206</v>
      </c>
      <c r="AH299" s="4">
        <v>5437608</v>
      </c>
      <c r="AI299" s="4">
        <v>6790822</v>
      </c>
      <c r="AJ299" s="4">
        <v>8144036</v>
      </c>
      <c r="AK299" s="4">
        <v>9497250</v>
      </c>
      <c r="AL299" s="4">
        <v>10850464</v>
      </c>
      <c r="AM299" s="4">
        <v>12203678</v>
      </c>
      <c r="AN299" s="4">
        <v>13556892</v>
      </c>
      <c r="AO299" s="134">
        <v>684535</v>
      </c>
    </row>
    <row r="300" spans="1:41" x14ac:dyDescent="0.2">
      <c r="A300" s="1">
        <v>2025</v>
      </c>
      <c r="B300" s="2" t="s">
        <v>320</v>
      </c>
      <c r="C300" s="2" t="s">
        <v>320</v>
      </c>
      <c r="D300" s="1" t="s">
        <v>660</v>
      </c>
      <c r="E300" s="3">
        <v>98556254</v>
      </c>
      <c r="F300" s="3">
        <v>7729</v>
      </c>
      <c r="G300" s="3">
        <v>27953</v>
      </c>
      <c r="H300" s="3">
        <v>241741</v>
      </c>
      <c r="I300" s="1">
        <v>0</v>
      </c>
      <c r="J300" s="3">
        <v>98520572</v>
      </c>
      <c r="K300" s="3">
        <v>98278831</v>
      </c>
      <c r="L300" s="3">
        <v>98278831</v>
      </c>
      <c r="M300" s="3">
        <v>1804276</v>
      </c>
      <c r="N300" s="3">
        <v>7981743</v>
      </c>
      <c r="O300" s="3">
        <v>1033577</v>
      </c>
      <c r="P300" s="3">
        <v>826611</v>
      </c>
      <c r="Q300" s="3">
        <v>4312167</v>
      </c>
      <c r="R300" s="3">
        <v>82562198</v>
      </c>
      <c r="S300" s="3">
        <v>82320457</v>
      </c>
      <c r="T300" s="3">
        <v>82320457</v>
      </c>
      <c r="U300" s="3">
        <v>9852057</v>
      </c>
      <c r="V300" s="3">
        <v>9852057</v>
      </c>
      <c r="W300" s="3">
        <v>9852057</v>
      </c>
      <c r="X300" s="3">
        <v>9852057</v>
      </c>
      <c r="Y300" s="3">
        <v>9811767</v>
      </c>
      <c r="Z300" s="3">
        <v>9811767</v>
      </c>
      <c r="AA300" s="4">
        <v>9811767</v>
      </c>
      <c r="AB300" s="4">
        <v>9811767</v>
      </c>
      <c r="AC300" s="4">
        <v>9811767</v>
      </c>
      <c r="AD300" s="4">
        <v>9811768</v>
      </c>
      <c r="AE300" s="4">
        <v>9852057</v>
      </c>
      <c r="AF300" s="4">
        <v>19704114</v>
      </c>
      <c r="AG300" s="4">
        <v>29556171</v>
      </c>
      <c r="AH300" s="4">
        <v>39408228</v>
      </c>
      <c r="AI300" s="4">
        <v>49219995</v>
      </c>
      <c r="AJ300" s="4">
        <v>59031762</v>
      </c>
      <c r="AK300" s="4">
        <v>68843529</v>
      </c>
      <c r="AL300" s="4">
        <v>78655296</v>
      </c>
      <c r="AM300" s="4">
        <v>88467063</v>
      </c>
      <c r="AN300" s="4">
        <v>98278831</v>
      </c>
      <c r="AO300" s="134">
        <v>4943031</v>
      </c>
    </row>
    <row r="301" spans="1:41" x14ac:dyDescent="0.2">
      <c r="A301" s="1">
        <v>2025</v>
      </c>
      <c r="B301" s="2" t="s">
        <v>321</v>
      </c>
      <c r="C301" s="2" t="s">
        <v>321</v>
      </c>
      <c r="D301" s="1" t="s">
        <v>661</v>
      </c>
      <c r="E301" s="3">
        <v>92614395</v>
      </c>
      <c r="F301" s="3">
        <v>3864</v>
      </c>
      <c r="G301" s="3">
        <v>6972</v>
      </c>
      <c r="H301" s="3">
        <v>308019</v>
      </c>
      <c r="I301" s="3">
        <v>0</v>
      </c>
      <c r="J301" s="3">
        <v>92603559</v>
      </c>
      <c r="K301" s="3">
        <v>92295540</v>
      </c>
      <c r="L301" s="3">
        <v>92295540</v>
      </c>
      <c r="M301" s="3">
        <v>907865</v>
      </c>
      <c r="N301" s="3">
        <v>9749505</v>
      </c>
      <c r="O301" s="3">
        <v>1101018</v>
      </c>
      <c r="P301" s="3">
        <v>881400</v>
      </c>
      <c r="Q301" s="3">
        <v>5267207</v>
      </c>
      <c r="R301" s="3">
        <v>74696564</v>
      </c>
      <c r="S301" s="3">
        <v>74388545</v>
      </c>
      <c r="T301" s="3">
        <v>74388545</v>
      </c>
      <c r="U301" s="3">
        <v>9260356</v>
      </c>
      <c r="V301" s="3">
        <v>9260356</v>
      </c>
      <c r="W301" s="3">
        <v>9260356</v>
      </c>
      <c r="X301" s="3">
        <v>9260356</v>
      </c>
      <c r="Y301" s="3">
        <v>9209019</v>
      </c>
      <c r="Z301" s="3">
        <v>9209019</v>
      </c>
      <c r="AA301" s="4">
        <v>9209020</v>
      </c>
      <c r="AB301" s="4">
        <v>9209020</v>
      </c>
      <c r="AC301" s="4">
        <v>9209020</v>
      </c>
      <c r="AD301" s="4">
        <v>9209018</v>
      </c>
      <c r="AE301" s="4">
        <v>9260356</v>
      </c>
      <c r="AF301" s="4">
        <v>18520712</v>
      </c>
      <c r="AG301" s="4">
        <v>27781068</v>
      </c>
      <c r="AH301" s="4">
        <v>37041424</v>
      </c>
      <c r="AI301" s="4">
        <v>46250443</v>
      </c>
      <c r="AJ301" s="4">
        <v>55459462</v>
      </c>
      <c r="AK301" s="4">
        <v>64668482</v>
      </c>
      <c r="AL301" s="4">
        <v>73877502</v>
      </c>
      <c r="AM301" s="4">
        <v>83086522</v>
      </c>
      <c r="AN301" s="4">
        <v>92295540</v>
      </c>
      <c r="AO301" s="134">
        <v>5421634</v>
      </c>
    </row>
    <row r="302" spans="1:41" x14ac:dyDescent="0.2">
      <c r="A302" s="1">
        <v>2025</v>
      </c>
      <c r="B302" s="2" t="s">
        <v>322</v>
      </c>
      <c r="C302" s="2" t="s">
        <v>322</v>
      </c>
      <c r="D302" s="1" t="s">
        <v>662</v>
      </c>
      <c r="E302" s="3">
        <v>16504615</v>
      </c>
      <c r="F302" s="3">
        <v>1642</v>
      </c>
      <c r="G302" s="3">
        <v>0</v>
      </c>
      <c r="H302" s="3">
        <v>49190</v>
      </c>
      <c r="I302" s="1">
        <v>0</v>
      </c>
      <c r="J302" s="3">
        <v>16502973</v>
      </c>
      <c r="K302" s="3">
        <v>16453783</v>
      </c>
      <c r="L302" s="3">
        <v>16453783</v>
      </c>
      <c r="M302" s="3">
        <v>385745</v>
      </c>
      <c r="N302" s="3">
        <v>1647684</v>
      </c>
      <c r="O302" s="3">
        <v>157495</v>
      </c>
      <c r="P302" s="3">
        <v>179001</v>
      </c>
      <c r="Q302" s="3">
        <v>852446</v>
      </c>
      <c r="R302" s="3">
        <v>13280602</v>
      </c>
      <c r="S302" s="3">
        <v>13231412</v>
      </c>
      <c r="T302" s="3">
        <v>13231412</v>
      </c>
      <c r="U302" s="3">
        <v>1650297</v>
      </c>
      <c r="V302" s="3">
        <v>1650297</v>
      </c>
      <c r="W302" s="3">
        <v>1650297</v>
      </c>
      <c r="X302" s="3">
        <v>1650297</v>
      </c>
      <c r="Y302" s="3">
        <v>1642099</v>
      </c>
      <c r="Z302" s="3">
        <v>1642099</v>
      </c>
      <c r="AA302" s="4">
        <v>1642099</v>
      </c>
      <c r="AB302" s="4">
        <v>1642099</v>
      </c>
      <c r="AC302" s="4">
        <v>1642099</v>
      </c>
      <c r="AD302" s="4">
        <v>1642100</v>
      </c>
      <c r="AE302" s="4">
        <v>1650297</v>
      </c>
      <c r="AF302" s="4">
        <v>3300594</v>
      </c>
      <c r="AG302" s="4">
        <v>4950891</v>
      </c>
      <c r="AH302" s="4">
        <v>6601188</v>
      </c>
      <c r="AI302" s="4">
        <v>8243287</v>
      </c>
      <c r="AJ302" s="4">
        <v>9885386</v>
      </c>
      <c r="AK302" s="4">
        <v>11527485</v>
      </c>
      <c r="AL302" s="4">
        <v>13169584</v>
      </c>
      <c r="AM302" s="4">
        <v>14811683</v>
      </c>
      <c r="AN302" s="4">
        <v>16453783</v>
      </c>
      <c r="AO302" s="134">
        <v>940012</v>
      </c>
    </row>
    <row r="303" spans="1:41" x14ac:dyDescent="0.2">
      <c r="A303" s="1">
        <v>2025</v>
      </c>
      <c r="B303" s="2" t="s">
        <v>323</v>
      </c>
      <c r="C303" s="2" t="s">
        <v>323</v>
      </c>
      <c r="D303" s="1" t="s">
        <v>663</v>
      </c>
      <c r="E303" s="3">
        <v>4187090</v>
      </c>
      <c r="F303" s="3">
        <v>547</v>
      </c>
      <c r="G303" s="3">
        <v>0</v>
      </c>
      <c r="H303" s="3">
        <v>12858</v>
      </c>
      <c r="I303" s="1">
        <v>0</v>
      </c>
      <c r="J303" s="3">
        <v>4186543</v>
      </c>
      <c r="K303" s="3">
        <v>4173685</v>
      </c>
      <c r="L303" s="3">
        <v>4173685</v>
      </c>
      <c r="M303" s="3">
        <v>128582</v>
      </c>
      <c r="N303" s="3">
        <v>653184</v>
      </c>
      <c r="O303" s="3">
        <v>49985</v>
      </c>
      <c r="P303" s="3">
        <v>49289</v>
      </c>
      <c r="Q303" s="3">
        <v>215614</v>
      </c>
      <c r="R303" s="3">
        <v>3089889</v>
      </c>
      <c r="S303" s="3">
        <v>3077031</v>
      </c>
      <c r="T303" s="3">
        <v>3077031</v>
      </c>
      <c r="U303" s="3">
        <v>418654</v>
      </c>
      <c r="V303" s="3">
        <v>418654</v>
      </c>
      <c r="W303" s="3">
        <v>418654</v>
      </c>
      <c r="X303" s="3">
        <v>418654</v>
      </c>
      <c r="Y303" s="3">
        <v>416512</v>
      </c>
      <c r="Z303" s="3">
        <v>416512</v>
      </c>
      <c r="AA303" s="4">
        <v>416511</v>
      </c>
      <c r="AB303" s="4">
        <v>416511</v>
      </c>
      <c r="AC303" s="4">
        <v>416511</v>
      </c>
      <c r="AD303" s="4">
        <v>416512</v>
      </c>
      <c r="AE303" s="4">
        <v>418654</v>
      </c>
      <c r="AF303" s="4">
        <v>837308</v>
      </c>
      <c r="AG303" s="4">
        <v>1255962</v>
      </c>
      <c r="AH303" s="4">
        <v>1674616</v>
      </c>
      <c r="AI303" s="4">
        <v>2091128</v>
      </c>
      <c r="AJ303" s="4">
        <v>2507640</v>
      </c>
      <c r="AK303" s="4">
        <v>2924151</v>
      </c>
      <c r="AL303" s="4">
        <v>3340662</v>
      </c>
      <c r="AM303" s="4">
        <v>3757173</v>
      </c>
      <c r="AN303" s="4">
        <v>4173685</v>
      </c>
      <c r="AO303" s="134">
        <v>240420</v>
      </c>
    </row>
    <row r="304" spans="1:41" x14ac:dyDescent="0.2">
      <c r="A304" s="1">
        <v>2025</v>
      </c>
      <c r="B304" s="2" t="s">
        <v>324</v>
      </c>
      <c r="C304" s="2" t="s">
        <v>324</v>
      </c>
      <c r="D304" s="1" t="s">
        <v>664</v>
      </c>
      <c r="E304" s="3">
        <v>12662750</v>
      </c>
      <c r="F304" s="3">
        <v>1841</v>
      </c>
      <c r="G304" s="3">
        <v>626</v>
      </c>
      <c r="H304" s="3">
        <v>39571</v>
      </c>
      <c r="I304" s="3">
        <v>0</v>
      </c>
      <c r="J304" s="3">
        <v>12660283</v>
      </c>
      <c r="K304" s="3">
        <v>12620712</v>
      </c>
      <c r="L304" s="3">
        <v>12620712</v>
      </c>
      <c r="M304" s="3">
        <v>432502</v>
      </c>
      <c r="N304" s="3">
        <v>1420158</v>
      </c>
      <c r="O304" s="3">
        <v>151457</v>
      </c>
      <c r="P304" s="3">
        <v>137015</v>
      </c>
      <c r="Q304" s="3">
        <v>680196</v>
      </c>
      <c r="R304" s="3">
        <v>9838955</v>
      </c>
      <c r="S304" s="3">
        <v>9799384</v>
      </c>
      <c r="T304" s="3">
        <v>9799384</v>
      </c>
      <c r="U304" s="3">
        <v>1266028</v>
      </c>
      <c r="V304" s="3">
        <v>1266028</v>
      </c>
      <c r="W304" s="3">
        <v>1266028</v>
      </c>
      <c r="X304" s="3">
        <v>1266028</v>
      </c>
      <c r="Y304" s="3">
        <v>1259433</v>
      </c>
      <c r="Z304" s="3">
        <v>1259433</v>
      </c>
      <c r="AA304" s="4">
        <v>1259434</v>
      </c>
      <c r="AB304" s="4">
        <v>1259434</v>
      </c>
      <c r="AC304" s="4">
        <v>1259434</v>
      </c>
      <c r="AD304" s="4">
        <v>1259432</v>
      </c>
      <c r="AE304" s="4">
        <v>1266028</v>
      </c>
      <c r="AF304" s="4">
        <v>2532056</v>
      </c>
      <c r="AG304" s="4">
        <v>3798084</v>
      </c>
      <c r="AH304" s="4">
        <v>5064112</v>
      </c>
      <c r="AI304" s="4">
        <v>6323545</v>
      </c>
      <c r="AJ304" s="4">
        <v>7582978</v>
      </c>
      <c r="AK304" s="4">
        <v>8842412</v>
      </c>
      <c r="AL304" s="4">
        <v>10101846</v>
      </c>
      <c r="AM304" s="4">
        <v>11361280</v>
      </c>
      <c r="AN304" s="4">
        <v>12620712</v>
      </c>
      <c r="AO304" s="134">
        <v>742514</v>
      </c>
    </row>
    <row r="305" spans="1:41" x14ac:dyDescent="0.2">
      <c r="A305" s="1">
        <v>2025</v>
      </c>
      <c r="B305" s="2" t="s">
        <v>325</v>
      </c>
      <c r="C305" s="2" t="s">
        <v>325</v>
      </c>
      <c r="D305" s="1" t="s">
        <v>665</v>
      </c>
      <c r="E305" s="3">
        <v>2152028</v>
      </c>
      <c r="F305" s="3">
        <v>381</v>
      </c>
      <c r="G305" s="3">
        <v>0</v>
      </c>
      <c r="H305" s="3">
        <v>7661</v>
      </c>
      <c r="I305" s="3">
        <v>0</v>
      </c>
      <c r="J305" s="3">
        <v>2151647</v>
      </c>
      <c r="K305" s="3">
        <v>2143986</v>
      </c>
      <c r="L305" s="3">
        <v>2143986</v>
      </c>
      <c r="M305" s="3">
        <v>89618</v>
      </c>
      <c r="N305" s="3">
        <v>522651</v>
      </c>
      <c r="O305" s="3">
        <v>26116</v>
      </c>
      <c r="P305" s="3">
        <v>28759</v>
      </c>
      <c r="Q305" s="3">
        <v>135269</v>
      </c>
      <c r="R305" s="3">
        <v>1349234</v>
      </c>
      <c r="S305" s="3">
        <v>1341573</v>
      </c>
      <c r="T305" s="3">
        <v>1341573</v>
      </c>
      <c r="U305" s="3">
        <v>215165</v>
      </c>
      <c r="V305" s="3">
        <v>215165</v>
      </c>
      <c r="W305" s="3">
        <v>215165</v>
      </c>
      <c r="X305" s="3">
        <v>215165</v>
      </c>
      <c r="Y305" s="3">
        <v>213888</v>
      </c>
      <c r="Z305" s="3">
        <v>213888</v>
      </c>
      <c r="AA305" s="4">
        <v>213888</v>
      </c>
      <c r="AB305" s="4">
        <v>213888</v>
      </c>
      <c r="AC305" s="4">
        <v>213888</v>
      </c>
      <c r="AD305" s="4">
        <v>213886</v>
      </c>
      <c r="AE305" s="4">
        <v>215165</v>
      </c>
      <c r="AF305" s="4">
        <v>430330</v>
      </c>
      <c r="AG305" s="4">
        <v>645495</v>
      </c>
      <c r="AH305" s="4">
        <v>860660</v>
      </c>
      <c r="AI305" s="4">
        <v>1074548</v>
      </c>
      <c r="AJ305" s="4">
        <v>1288436</v>
      </c>
      <c r="AK305" s="4">
        <v>1502324</v>
      </c>
      <c r="AL305" s="4">
        <v>1716212</v>
      </c>
      <c r="AM305" s="4">
        <v>1930100</v>
      </c>
      <c r="AN305" s="4">
        <v>2143986</v>
      </c>
      <c r="AO305" s="134">
        <v>141512</v>
      </c>
    </row>
    <row r="306" spans="1:41" x14ac:dyDescent="0.2">
      <c r="A306" s="1">
        <v>2025</v>
      </c>
      <c r="B306" s="2" t="s">
        <v>326</v>
      </c>
      <c r="C306" s="2" t="s">
        <v>326</v>
      </c>
      <c r="D306" s="1" t="s">
        <v>666</v>
      </c>
      <c r="E306" s="3">
        <v>5058045</v>
      </c>
      <c r="F306" s="3">
        <v>713</v>
      </c>
      <c r="G306" s="3">
        <v>0</v>
      </c>
      <c r="H306" s="3">
        <v>17559</v>
      </c>
      <c r="I306" s="1">
        <v>0</v>
      </c>
      <c r="J306" s="3">
        <v>5057332</v>
      </c>
      <c r="K306" s="3">
        <v>5039773</v>
      </c>
      <c r="L306" s="3">
        <v>5039773</v>
      </c>
      <c r="M306" s="3">
        <v>167546</v>
      </c>
      <c r="N306" s="3">
        <v>703518</v>
      </c>
      <c r="O306" s="3">
        <v>58257</v>
      </c>
      <c r="P306" s="3">
        <v>56521</v>
      </c>
      <c r="Q306" s="3">
        <v>299359</v>
      </c>
      <c r="R306" s="3">
        <v>3772131</v>
      </c>
      <c r="S306" s="3">
        <v>3754572</v>
      </c>
      <c r="T306" s="3">
        <v>3754572</v>
      </c>
      <c r="U306" s="3">
        <v>505733</v>
      </c>
      <c r="V306" s="3">
        <v>505733</v>
      </c>
      <c r="W306" s="3">
        <v>505733</v>
      </c>
      <c r="X306" s="3">
        <v>505733</v>
      </c>
      <c r="Y306" s="3">
        <v>502807</v>
      </c>
      <c r="Z306" s="3">
        <v>502807</v>
      </c>
      <c r="AA306" s="4">
        <v>502807</v>
      </c>
      <c r="AB306" s="4">
        <v>502807</v>
      </c>
      <c r="AC306" s="4">
        <v>502807</v>
      </c>
      <c r="AD306" s="4">
        <v>502806</v>
      </c>
      <c r="AE306" s="4">
        <v>505733</v>
      </c>
      <c r="AF306" s="4">
        <v>1011466</v>
      </c>
      <c r="AG306" s="4">
        <v>1517199</v>
      </c>
      <c r="AH306" s="4">
        <v>2022932</v>
      </c>
      <c r="AI306" s="4">
        <v>2525739</v>
      </c>
      <c r="AJ306" s="4">
        <v>3028546</v>
      </c>
      <c r="AK306" s="4">
        <v>3531353</v>
      </c>
      <c r="AL306" s="4">
        <v>4034160</v>
      </c>
      <c r="AM306" s="4">
        <v>4536967</v>
      </c>
      <c r="AN306" s="4">
        <v>5039773</v>
      </c>
      <c r="AO306" s="134">
        <v>319164</v>
      </c>
    </row>
    <row r="307" spans="1:41" x14ac:dyDescent="0.2">
      <c r="A307" s="1">
        <v>2025</v>
      </c>
      <c r="B307" s="2" t="s">
        <v>327</v>
      </c>
      <c r="C307" s="2" t="s">
        <v>327</v>
      </c>
      <c r="D307" s="1" t="s">
        <v>667</v>
      </c>
      <c r="E307" s="3">
        <v>2781386</v>
      </c>
      <c r="F307" s="3">
        <v>514</v>
      </c>
      <c r="G307" s="3">
        <v>0</v>
      </c>
      <c r="H307" s="3">
        <v>8650</v>
      </c>
      <c r="I307" s="3">
        <v>0</v>
      </c>
      <c r="J307" s="3">
        <v>2780872</v>
      </c>
      <c r="K307" s="3">
        <v>2772222</v>
      </c>
      <c r="L307" s="3">
        <v>2772222</v>
      </c>
      <c r="M307" s="3">
        <v>120789</v>
      </c>
      <c r="N307" s="3">
        <v>414978</v>
      </c>
      <c r="O307" s="3">
        <v>50536</v>
      </c>
      <c r="P307" s="3">
        <v>40451</v>
      </c>
      <c r="Q307" s="3">
        <v>149255</v>
      </c>
      <c r="R307" s="3">
        <v>2004863</v>
      </c>
      <c r="S307" s="3">
        <v>1996213</v>
      </c>
      <c r="T307" s="3">
        <v>1996213</v>
      </c>
      <c r="U307" s="3">
        <v>278087</v>
      </c>
      <c r="V307" s="3">
        <v>278087</v>
      </c>
      <c r="W307" s="3">
        <v>278087</v>
      </c>
      <c r="X307" s="3">
        <v>278087</v>
      </c>
      <c r="Y307" s="3">
        <v>276646</v>
      </c>
      <c r="Z307" s="3">
        <v>276646</v>
      </c>
      <c r="AA307" s="4">
        <v>276646</v>
      </c>
      <c r="AB307" s="4">
        <v>276646</v>
      </c>
      <c r="AC307" s="4">
        <v>276646</v>
      </c>
      <c r="AD307" s="4">
        <v>276644</v>
      </c>
      <c r="AE307" s="4">
        <v>278087</v>
      </c>
      <c r="AF307" s="4">
        <v>556174</v>
      </c>
      <c r="AG307" s="4">
        <v>834261</v>
      </c>
      <c r="AH307" s="4">
        <v>1112348</v>
      </c>
      <c r="AI307" s="4">
        <v>1388994</v>
      </c>
      <c r="AJ307" s="4">
        <v>1665640</v>
      </c>
      <c r="AK307" s="4">
        <v>1942286</v>
      </c>
      <c r="AL307" s="4">
        <v>2218932</v>
      </c>
      <c r="AM307" s="4">
        <v>2495578</v>
      </c>
      <c r="AN307" s="4">
        <v>2772222</v>
      </c>
      <c r="AO307" s="134">
        <v>170805</v>
      </c>
    </row>
    <row r="308" spans="1:41" x14ac:dyDescent="0.2">
      <c r="A308" s="1">
        <v>2025</v>
      </c>
      <c r="B308" s="2" t="s">
        <v>328</v>
      </c>
      <c r="C308" s="2" t="s">
        <v>328</v>
      </c>
      <c r="D308" s="1" t="s">
        <v>668</v>
      </c>
      <c r="E308" s="3">
        <v>1877416</v>
      </c>
      <c r="F308" s="3">
        <v>514</v>
      </c>
      <c r="G308" s="3">
        <v>0</v>
      </c>
      <c r="H308" s="3">
        <v>5728</v>
      </c>
      <c r="I308" s="1">
        <v>0</v>
      </c>
      <c r="J308" s="3">
        <v>1876902</v>
      </c>
      <c r="K308" s="3">
        <v>1871174</v>
      </c>
      <c r="L308" s="3">
        <v>1871174</v>
      </c>
      <c r="M308" s="3">
        <v>120789</v>
      </c>
      <c r="N308" s="3">
        <v>388947</v>
      </c>
      <c r="O308" s="3">
        <v>18487</v>
      </c>
      <c r="P308" s="3">
        <v>19646</v>
      </c>
      <c r="Q308" s="3">
        <v>98840</v>
      </c>
      <c r="R308" s="3">
        <v>1230193</v>
      </c>
      <c r="S308" s="3">
        <v>1224465</v>
      </c>
      <c r="T308" s="3">
        <v>1224465</v>
      </c>
      <c r="U308" s="3">
        <v>187690</v>
      </c>
      <c r="V308" s="3">
        <v>187690</v>
      </c>
      <c r="W308" s="3">
        <v>187690</v>
      </c>
      <c r="X308" s="3">
        <v>187690</v>
      </c>
      <c r="Y308" s="3">
        <v>186736</v>
      </c>
      <c r="Z308" s="3">
        <v>186736</v>
      </c>
      <c r="AA308" s="4">
        <v>186736</v>
      </c>
      <c r="AB308" s="4">
        <v>186736</v>
      </c>
      <c r="AC308" s="4">
        <v>186736</v>
      </c>
      <c r="AD308" s="4">
        <v>186734</v>
      </c>
      <c r="AE308" s="4">
        <v>187690</v>
      </c>
      <c r="AF308" s="4">
        <v>375380</v>
      </c>
      <c r="AG308" s="4">
        <v>563070</v>
      </c>
      <c r="AH308" s="4">
        <v>750760</v>
      </c>
      <c r="AI308" s="4">
        <v>937496</v>
      </c>
      <c r="AJ308" s="4">
        <v>1124232</v>
      </c>
      <c r="AK308" s="4">
        <v>1310968</v>
      </c>
      <c r="AL308" s="4">
        <v>1497704</v>
      </c>
      <c r="AM308" s="4">
        <v>1684440</v>
      </c>
      <c r="AN308" s="4">
        <v>1871174</v>
      </c>
      <c r="AO308" s="134">
        <v>112101</v>
      </c>
    </row>
    <row r="309" spans="1:41" x14ac:dyDescent="0.2">
      <c r="A309" s="1">
        <v>2025</v>
      </c>
      <c r="B309" s="2" t="s">
        <v>329</v>
      </c>
      <c r="C309" s="2" t="s">
        <v>329</v>
      </c>
      <c r="D309" s="1" t="s">
        <v>669</v>
      </c>
      <c r="E309" s="3">
        <v>8971699</v>
      </c>
      <c r="F309" s="3">
        <v>995</v>
      </c>
      <c r="G309" s="3">
        <v>0</v>
      </c>
      <c r="H309" s="3">
        <v>29903</v>
      </c>
      <c r="I309" s="1">
        <v>0</v>
      </c>
      <c r="J309" s="3">
        <v>8970704</v>
      </c>
      <c r="K309" s="3">
        <v>8940801</v>
      </c>
      <c r="L309" s="3">
        <v>8940801</v>
      </c>
      <c r="M309" s="3">
        <v>233785</v>
      </c>
      <c r="N309" s="3">
        <v>1120244</v>
      </c>
      <c r="O309" s="3">
        <v>104137</v>
      </c>
      <c r="P309" s="3">
        <v>104487</v>
      </c>
      <c r="Q309" s="3">
        <v>528647</v>
      </c>
      <c r="R309" s="3">
        <v>6879404</v>
      </c>
      <c r="S309" s="3">
        <v>6849501</v>
      </c>
      <c r="T309" s="3">
        <v>6849501</v>
      </c>
      <c r="U309" s="3">
        <v>897070</v>
      </c>
      <c r="V309" s="3">
        <v>897070</v>
      </c>
      <c r="W309" s="3">
        <v>897070</v>
      </c>
      <c r="X309" s="3">
        <v>897070</v>
      </c>
      <c r="Y309" s="3">
        <v>892087</v>
      </c>
      <c r="Z309" s="3">
        <v>892087</v>
      </c>
      <c r="AA309" s="4">
        <v>892087</v>
      </c>
      <c r="AB309" s="4">
        <v>892087</v>
      </c>
      <c r="AC309" s="4">
        <v>892087</v>
      </c>
      <c r="AD309" s="4">
        <v>892086</v>
      </c>
      <c r="AE309" s="4">
        <v>897070</v>
      </c>
      <c r="AF309" s="4">
        <v>1794140</v>
      </c>
      <c r="AG309" s="4">
        <v>2691210</v>
      </c>
      <c r="AH309" s="4">
        <v>3588280</v>
      </c>
      <c r="AI309" s="4">
        <v>4480367</v>
      </c>
      <c r="AJ309" s="4">
        <v>5372454</v>
      </c>
      <c r="AK309" s="4">
        <v>6264541</v>
      </c>
      <c r="AL309" s="4">
        <v>7156628</v>
      </c>
      <c r="AM309" s="4">
        <v>8048715</v>
      </c>
      <c r="AN309" s="4">
        <v>8940801</v>
      </c>
      <c r="AO309" s="134">
        <v>589332</v>
      </c>
    </row>
    <row r="310" spans="1:41" x14ac:dyDescent="0.2">
      <c r="A310" s="1">
        <v>2025</v>
      </c>
      <c r="B310" s="2" t="s">
        <v>330</v>
      </c>
      <c r="C310" s="2" t="s">
        <v>330</v>
      </c>
      <c r="D310" s="1" t="s">
        <v>670</v>
      </c>
      <c r="E310" s="3">
        <v>52599125</v>
      </c>
      <c r="F310" s="3">
        <v>5921</v>
      </c>
      <c r="G310" s="3">
        <v>9174</v>
      </c>
      <c r="H310" s="3">
        <v>194042</v>
      </c>
      <c r="I310" s="3">
        <v>0</v>
      </c>
      <c r="J310" s="3">
        <v>52584030</v>
      </c>
      <c r="K310" s="3">
        <v>52389988</v>
      </c>
      <c r="L310" s="3">
        <v>52389988</v>
      </c>
      <c r="M310" s="3">
        <v>1375750</v>
      </c>
      <c r="N310" s="3">
        <v>6227825</v>
      </c>
      <c r="O310" s="3">
        <v>649424</v>
      </c>
      <c r="P310" s="3">
        <v>653521</v>
      </c>
      <c r="Q310" s="3">
        <v>3364606</v>
      </c>
      <c r="R310" s="3">
        <v>40312904</v>
      </c>
      <c r="S310" s="3">
        <v>40118862</v>
      </c>
      <c r="T310" s="3">
        <v>40118862</v>
      </c>
      <c r="U310" s="3">
        <v>5258403</v>
      </c>
      <c r="V310" s="3">
        <v>5258403</v>
      </c>
      <c r="W310" s="3">
        <v>5258403</v>
      </c>
      <c r="X310" s="3">
        <v>5258403</v>
      </c>
      <c r="Y310" s="3">
        <v>5226063</v>
      </c>
      <c r="Z310" s="3">
        <v>5226063</v>
      </c>
      <c r="AA310" s="4">
        <v>5226063</v>
      </c>
      <c r="AB310" s="4">
        <v>5226063</v>
      </c>
      <c r="AC310" s="4">
        <v>5226063</v>
      </c>
      <c r="AD310" s="4">
        <v>5226061</v>
      </c>
      <c r="AE310" s="4">
        <v>5258403</v>
      </c>
      <c r="AF310" s="4">
        <v>10516806</v>
      </c>
      <c r="AG310" s="4">
        <v>15775209</v>
      </c>
      <c r="AH310" s="4">
        <v>21033612</v>
      </c>
      <c r="AI310" s="4">
        <v>26259675</v>
      </c>
      <c r="AJ310" s="4">
        <v>31485738</v>
      </c>
      <c r="AK310" s="4">
        <v>36711801</v>
      </c>
      <c r="AL310" s="4">
        <v>41937864</v>
      </c>
      <c r="AM310" s="4">
        <v>47163927</v>
      </c>
      <c r="AN310" s="4">
        <v>52389988</v>
      </c>
      <c r="AO310" s="134">
        <v>3488438</v>
      </c>
    </row>
    <row r="311" spans="1:41" x14ac:dyDescent="0.2">
      <c r="A311" s="1">
        <v>2025</v>
      </c>
      <c r="B311" s="2" t="s">
        <v>331</v>
      </c>
      <c r="C311" s="2" t="s">
        <v>331</v>
      </c>
      <c r="D311" s="1" t="s">
        <v>671</v>
      </c>
      <c r="E311" s="3">
        <v>21654694</v>
      </c>
      <c r="F311" s="3">
        <v>4826</v>
      </c>
      <c r="G311" s="3">
        <v>0</v>
      </c>
      <c r="H311" s="3">
        <v>71851</v>
      </c>
      <c r="I311" s="1">
        <v>0</v>
      </c>
      <c r="J311" s="3">
        <v>21649868</v>
      </c>
      <c r="K311" s="3">
        <v>21578017</v>
      </c>
      <c r="L311" s="3">
        <v>21578017</v>
      </c>
      <c r="M311" s="3">
        <v>1130039</v>
      </c>
      <c r="N311" s="3">
        <v>2612186</v>
      </c>
      <c r="O311" s="3">
        <v>275841</v>
      </c>
      <c r="P311" s="3">
        <v>265573</v>
      </c>
      <c r="Q311" s="3">
        <v>1351440</v>
      </c>
      <c r="R311" s="3">
        <v>16014789</v>
      </c>
      <c r="S311" s="3">
        <v>15942938</v>
      </c>
      <c r="T311" s="3">
        <v>15942938</v>
      </c>
      <c r="U311" s="3">
        <v>2164987</v>
      </c>
      <c r="V311" s="3">
        <v>2164987</v>
      </c>
      <c r="W311" s="3">
        <v>2164987</v>
      </c>
      <c r="X311" s="3">
        <v>2164987</v>
      </c>
      <c r="Y311" s="3">
        <v>2153012</v>
      </c>
      <c r="Z311" s="3">
        <v>2153012</v>
      </c>
      <c r="AA311" s="4">
        <v>2153011</v>
      </c>
      <c r="AB311" s="4">
        <v>2153011</v>
      </c>
      <c r="AC311" s="4">
        <v>2153011</v>
      </c>
      <c r="AD311" s="4">
        <v>2153012</v>
      </c>
      <c r="AE311" s="4">
        <v>2164987</v>
      </c>
      <c r="AF311" s="4">
        <v>4329974</v>
      </c>
      <c r="AG311" s="4">
        <v>6494961</v>
      </c>
      <c r="AH311" s="4">
        <v>8659948</v>
      </c>
      <c r="AI311" s="4">
        <v>10812960</v>
      </c>
      <c r="AJ311" s="4">
        <v>12965972</v>
      </c>
      <c r="AK311" s="4">
        <v>15118983</v>
      </c>
      <c r="AL311" s="4">
        <v>17271994</v>
      </c>
      <c r="AM311" s="4">
        <v>19425005</v>
      </c>
      <c r="AN311" s="4">
        <v>21578017</v>
      </c>
      <c r="AO311" s="134">
        <v>1426089</v>
      </c>
    </row>
    <row r="312" spans="1:41" x14ac:dyDescent="0.2">
      <c r="A312" s="1">
        <v>2025</v>
      </c>
      <c r="B312" s="2" t="s">
        <v>332</v>
      </c>
      <c r="C312" s="2" t="s">
        <v>332</v>
      </c>
      <c r="D312" s="1" t="s">
        <v>672</v>
      </c>
      <c r="E312" s="3">
        <v>2057196</v>
      </c>
      <c r="F312" s="3">
        <v>315</v>
      </c>
      <c r="G312" s="3">
        <v>0</v>
      </c>
      <c r="H312" s="3">
        <v>7900</v>
      </c>
      <c r="I312" s="1">
        <v>0</v>
      </c>
      <c r="J312" s="3">
        <v>2056881</v>
      </c>
      <c r="K312" s="3">
        <v>2048981</v>
      </c>
      <c r="L312" s="3">
        <v>2048981</v>
      </c>
      <c r="M312" s="3">
        <v>74032</v>
      </c>
      <c r="N312" s="3">
        <v>375084</v>
      </c>
      <c r="O312" s="3">
        <v>23181</v>
      </c>
      <c r="P312" s="3">
        <v>26464</v>
      </c>
      <c r="Q312" s="3">
        <v>132473</v>
      </c>
      <c r="R312" s="3">
        <v>1425647</v>
      </c>
      <c r="S312" s="3">
        <v>1417747</v>
      </c>
      <c r="T312" s="3">
        <v>1417747</v>
      </c>
      <c r="U312" s="3">
        <v>205688</v>
      </c>
      <c r="V312" s="3">
        <v>205688</v>
      </c>
      <c r="W312" s="3">
        <v>205688</v>
      </c>
      <c r="X312" s="3">
        <v>205688</v>
      </c>
      <c r="Y312" s="3">
        <v>204372</v>
      </c>
      <c r="Z312" s="3">
        <v>204372</v>
      </c>
      <c r="AA312" s="4">
        <v>204371</v>
      </c>
      <c r="AB312" s="4">
        <v>204371</v>
      </c>
      <c r="AC312" s="4">
        <v>204371</v>
      </c>
      <c r="AD312" s="4">
        <v>204372</v>
      </c>
      <c r="AE312" s="4">
        <v>205688</v>
      </c>
      <c r="AF312" s="4">
        <v>411376</v>
      </c>
      <c r="AG312" s="4">
        <v>617064</v>
      </c>
      <c r="AH312" s="4">
        <v>822752</v>
      </c>
      <c r="AI312" s="4">
        <v>1027124</v>
      </c>
      <c r="AJ312" s="4">
        <v>1231496</v>
      </c>
      <c r="AK312" s="4">
        <v>1435867</v>
      </c>
      <c r="AL312" s="4">
        <v>1640238</v>
      </c>
      <c r="AM312" s="4">
        <v>1844609</v>
      </c>
      <c r="AN312" s="4">
        <v>2048981</v>
      </c>
      <c r="AO312" s="134">
        <v>157780</v>
      </c>
    </row>
    <row r="313" spans="1:41" x14ac:dyDescent="0.2">
      <c r="A313" s="1">
        <v>2025</v>
      </c>
      <c r="B313" s="2" t="s">
        <v>333</v>
      </c>
      <c r="C313" s="2" t="s">
        <v>333</v>
      </c>
      <c r="D313" s="1" t="s">
        <v>673</v>
      </c>
      <c r="E313" s="3">
        <v>10764372</v>
      </c>
      <c r="F313" s="3">
        <v>896</v>
      </c>
      <c r="G313" s="3">
        <v>0</v>
      </c>
      <c r="H313" s="3">
        <v>28166</v>
      </c>
      <c r="I313" s="1">
        <v>0</v>
      </c>
      <c r="J313" s="3">
        <v>10763476</v>
      </c>
      <c r="K313" s="3">
        <v>10735310</v>
      </c>
      <c r="L313" s="3">
        <v>10735310</v>
      </c>
      <c r="M313" s="3">
        <v>210406</v>
      </c>
      <c r="N313" s="3">
        <v>1101826</v>
      </c>
      <c r="O313" s="3">
        <v>115200</v>
      </c>
      <c r="P313" s="3">
        <v>89756</v>
      </c>
      <c r="Q313" s="3">
        <v>473459</v>
      </c>
      <c r="R313" s="3">
        <v>8772829</v>
      </c>
      <c r="S313" s="3">
        <v>8744663</v>
      </c>
      <c r="T313" s="3">
        <v>8744663</v>
      </c>
      <c r="U313" s="3">
        <v>1076348</v>
      </c>
      <c r="V313" s="3">
        <v>1076348</v>
      </c>
      <c r="W313" s="3">
        <v>1076348</v>
      </c>
      <c r="X313" s="3">
        <v>1076348</v>
      </c>
      <c r="Y313" s="3">
        <v>1071653</v>
      </c>
      <c r="Z313" s="3">
        <v>1071653</v>
      </c>
      <c r="AA313" s="4">
        <v>1071653</v>
      </c>
      <c r="AB313" s="4">
        <v>1071653</v>
      </c>
      <c r="AC313" s="4">
        <v>1071653</v>
      </c>
      <c r="AD313" s="4">
        <v>1071653</v>
      </c>
      <c r="AE313" s="4">
        <v>1076348</v>
      </c>
      <c r="AF313" s="4">
        <v>2152696</v>
      </c>
      <c r="AG313" s="4">
        <v>3229044</v>
      </c>
      <c r="AH313" s="4">
        <v>4305392</v>
      </c>
      <c r="AI313" s="4">
        <v>5377045</v>
      </c>
      <c r="AJ313" s="4">
        <v>6448698</v>
      </c>
      <c r="AK313" s="4">
        <v>7520351</v>
      </c>
      <c r="AL313" s="4">
        <v>8592004</v>
      </c>
      <c r="AM313" s="4">
        <v>9663657</v>
      </c>
      <c r="AN313" s="4">
        <v>10735310</v>
      </c>
      <c r="AO313" s="134">
        <v>509048</v>
      </c>
    </row>
    <row r="314" spans="1:41" x14ac:dyDescent="0.2">
      <c r="A314" s="1">
        <v>2025</v>
      </c>
      <c r="B314" s="2" t="s">
        <v>334</v>
      </c>
      <c r="C314" s="2" t="s">
        <v>334</v>
      </c>
      <c r="D314" s="1" t="s">
        <v>674</v>
      </c>
      <c r="E314" s="3">
        <v>5867764</v>
      </c>
      <c r="F314" s="3">
        <v>962</v>
      </c>
      <c r="G314" s="3">
        <v>0</v>
      </c>
      <c r="H314" s="3">
        <v>21388</v>
      </c>
      <c r="I314" s="3">
        <v>0</v>
      </c>
      <c r="J314" s="3">
        <v>5866802</v>
      </c>
      <c r="K314" s="3">
        <v>5845414</v>
      </c>
      <c r="L314" s="3">
        <v>5845414</v>
      </c>
      <c r="M314" s="3">
        <v>225992</v>
      </c>
      <c r="N314" s="3">
        <v>832879</v>
      </c>
      <c r="O314" s="3">
        <v>76841</v>
      </c>
      <c r="P314" s="3">
        <v>74635</v>
      </c>
      <c r="Q314" s="3">
        <v>393038</v>
      </c>
      <c r="R314" s="3">
        <v>4263417</v>
      </c>
      <c r="S314" s="3">
        <v>4242029</v>
      </c>
      <c r="T314" s="3">
        <v>4242029</v>
      </c>
      <c r="U314" s="3">
        <v>586680</v>
      </c>
      <c r="V314" s="3">
        <v>586680</v>
      </c>
      <c r="W314" s="3">
        <v>586680</v>
      </c>
      <c r="X314" s="3">
        <v>586680</v>
      </c>
      <c r="Y314" s="3">
        <v>583116</v>
      </c>
      <c r="Z314" s="3">
        <v>583116</v>
      </c>
      <c r="AA314" s="4">
        <v>583116</v>
      </c>
      <c r="AB314" s="4">
        <v>583116</v>
      </c>
      <c r="AC314" s="4">
        <v>583116</v>
      </c>
      <c r="AD314" s="4">
        <v>583114</v>
      </c>
      <c r="AE314" s="4">
        <v>586680</v>
      </c>
      <c r="AF314" s="4">
        <v>1173360</v>
      </c>
      <c r="AG314" s="4">
        <v>1760040</v>
      </c>
      <c r="AH314" s="4">
        <v>2346720</v>
      </c>
      <c r="AI314" s="4">
        <v>2929836</v>
      </c>
      <c r="AJ314" s="4">
        <v>3512952</v>
      </c>
      <c r="AK314" s="4">
        <v>4096068</v>
      </c>
      <c r="AL314" s="4">
        <v>4679184</v>
      </c>
      <c r="AM314" s="4">
        <v>5262300</v>
      </c>
      <c r="AN314" s="4">
        <v>5845414</v>
      </c>
      <c r="AO314" s="134">
        <v>396293</v>
      </c>
    </row>
    <row r="315" spans="1:41" x14ac:dyDescent="0.2">
      <c r="A315" s="1">
        <v>2025</v>
      </c>
      <c r="B315" s="2" t="s">
        <v>335</v>
      </c>
      <c r="C315" s="2" t="s">
        <v>335</v>
      </c>
      <c r="D315" s="1" t="s">
        <v>675</v>
      </c>
      <c r="E315" s="3">
        <v>5173696</v>
      </c>
      <c r="F315" s="3">
        <v>663</v>
      </c>
      <c r="G315" s="3">
        <v>0</v>
      </c>
      <c r="H315" s="3">
        <v>17066</v>
      </c>
      <c r="I315" s="3">
        <v>0</v>
      </c>
      <c r="J315" s="3">
        <v>5173033</v>
      </c>
      <c r="K315" s="3">
        <v>5155967</v>
      </c>
      <c r="L315" s="3">
        <v>5155967</v>
      </c>
      <c r="M315" s="3">
        <v>155857</v>
      </c>
      <c r="N315" s="3">
        <v>676088</v>
      </c>
      <c r="O315" s="3">
        <v>62204</v>
      </c>
      <c r="P315" s="3">
        <v>51261</v>
      </c>
      <c r="Q315" s="3">
        <v>289923</v>
      </c>
      <c r="R315" s="3">
        <v>3937700</v>
      </c>
      <c r="S315" s="3">
        <v>3920634</v>
      </c>
      <c r="T315" s="3">
        <v>3920634</v>
      </c>
      <c r="U315" s="3">
        <v>517303</v>
      </c>
      <c r="V315" s="3">
        <v>517303</v>
      </c>
      <c r="W315" s="3">
        <v>517303</v>
      </c>
      <c r="X315" s="3">
        <v>517303</v>
      </c>
      <c r="Y315" s="3">
        <v>514459</v>
      </c>
      <c r="Z315" s="3">
        <v>514459</v>
      </c>
      <c r="AA315" s="4">
        <v>514459</v>
      </c>
      <c r="AB315" s="4">
        <v>514459</v>
      </c>
      <c r="AC315" s="4">
        <v>514459</v>
      </c>
      <c r="AD315" s="4">
        <v>514460</v>
      </c>
      <c r="AE315" s="4">
        <v>517303</v>
      </c>
      <c r="AF315" s="4">
        <v>1034606</v>
      </c>
      <c r="AG315" s="4">
        <v>1551909</v>
      </c>
      <c r="AH315" s="4">
        <v>2069212</v>
      </c>
      <c r="AI315" s="4">
        <v>2583671</v>
      </c>
      <c r="AJ315" s="4">
        <v>3098130</v>
      </c>
      <c r="AK315" s="4">
        <v>3612589</v>
      </c>
      <c r="AL315" s="4">
        <v>4127048</v>
      </c>
      <c r="AM315" s="4">
        <v>4641507</v>
      </c>
      <c r="AN315" s="4">
        <v>5155967</v>
      </c>
      <c r="AO315" s="134">
        <v>323900</v>
      </c>
    </row>
    <row r="316" spans="1:41" x14ac:dyDescent="0.2">
      <c r="A316" s="1">
        <v>2025</v>
      </c>
      <c r="B316" s="2" t="s">
        <v>336</v>
      </c>
      <c r="C316" s="2" t="s">
        <v>336</v>
      </c>
      <c r="D316" s="1" t="s">
        <v>676</v>
      </c>
      <c r="E316" s="3">
        <v>4032538</v>
      </c>
      <c r="F316" s="3">
        <v>730</v>
      </c>
      <c r="G316" s="3">
        <v>0</v>
      </c>
      <c r="H316" s="3">
        <v>13038</v>
      </c>
      <c r="I316" s="3">
        <v>0</v>
      </c>
      <c r="J316" s="3">
        <v>4031808</v>
      </c>
      <c r="K316" s="3">
        <v>4018770</v>
      </c>
      <c r="L316" s="3">
        <v>4018770</v>
      </c>
      <c r="M316" s="3">
        <v>171442</v>
      </c>
      <c r="N316" s="3">
        <v>584823</v>
      </c>
      <c r="O316" s="3">
        <v>46537</v>
      </c>
      <c r="P316" s="3">
        <v>43396</v>
      </c>
      <c r="Q316" s="3">
        <v>221781</v>
      </c>
      <c r="R316" s="3">
        <v>2963829</v>
      </c>
      <c r="S316" s="3">
        <v>2950791</v>
      </c>
      <c r="T316" s="3">
        <v>2950791</v>
      </c>
      <c r="U316" s="3">
        <v>403181</v>
      </c>
      <c r="V316" s="3">
        <v>403181</v>
      </c>
      <c r="W316" s="3">
        <v>403181</v>
      </c>
      <c r="X316" s="3">
        <v>403181</v>
      </c>
      <c r="Y316" s="3">
        <v>401008</v>
      </c>
      <c r="Z316" s="3">
        <v>401008</v>
      </c>
      <c r="AA316" s="4">
        <v>401008</v>
      </c>
      <c r="AB316" s="4">
        <v>401008</v>
      </c>
      <c r="AC316" s="4">
        <v>401008</v>
      </c>
      <c r="AD316" s="4">
        <v>401006</v>
      </c>
      <c r="AE316" s="4">
        <v>403181</v>
      </c>
      <c r="AF316" s="4">
        <v>806362</v>
      </c>
      <c r="AG316" s="4">
        <v>1209543</v>
      </c>
      <c r="AH316" s="4">
        <v>1612724</v>
      </c>
      <c r="AI316" s="4">
        <v>2013732</v>
      </c>
      <c r="AJ316" s="4">
        <v>2414740</v>
      </c>
      <c r="AK316" s="4">
        <v>2815748</v>
      </c>
      <c r="AL316" s="4">
        <v>3216756</v>
      </c>
      <c r="AM316" s="4">
        <v>3617764</v>
      </c>
      <c r="AN316" s="4">
        <v>4018770</v>
      </c>
      <c r="AO316" s="134">
        <v>258814</v>
      </c>
    </row>
    <row r="317" spans="1:41" x14ac:dyDescent="0.2">
      <c r="A317" s="1">
        <v>2025</v>
      </c>
      <c r="B317" s="2" t="s">
        <v>337</v>
      </c>
      <c r="C317" s="2" t="s">
        <v>337</v>
      </c>
      <c r="D317" s="1" t="s">
        <v>677</v>
      </c>
      <c r="E317" s="3">
        <v>6290634</v>
      </c>
      <c r="F317" s="3">
        <v>779</v>
      </c>
      <c r="G317" s="3">
        <v>0</v>
      </c>
      <c r="H317" s="3">
        <v>17059</v>
      </c>
      <c r="I317" s="3">
        <v>0</v>
      </c>
      <c r="J317" s="3">
        <v>6289855</v>
      </c>
      <c r="K317" s="3">
        <v>6272796</v>
      </c>
      <c r="L317" s="3">
        <v>6272796</v>
      </c>
      <c r="M317" s="3">
        <v>171679</v>
      </c>
      <c r="N317" s="3">
        <v>722870</v>
      </c>
      <c r="O317" s="3">
        <v>68206</v>
      </c>
      <c r="P317" s="3">
        <v>65681</v>
      </c>
      <c r="Q317" s="3">
        <v>307594</v>
      </c>
      <c r="R317" s="3">
        <v>4953825</v>
      </c>
      <c r="S317" s="3">
        <v>4936766</v>
      </c>
      <c r="T317" s="3">
        <v>4936766</v>
      </c>
      <c r="U317" s="3">
        <v>628986</v>
      </c>
      <c r="V317" s="3">
        <v>628986</v>
      </c>
      <c r="W317" s="3">
        <v>628986</v>
      </c>
      <c r="X317" s="3">
        <v>628986</v>
      </c>
      <c r="Y317" s="3">
        <v>626142</v>
      </c>
      <c r="Z317" s="3">
        <v>626142</v>
      </c>
      <c r="AA317" s="4">
        <v>626142</v>
      </c>
      <c r="AB317" s="4">
        <v>626142</v>
      </c>
      <c r="AC317" s="4">
        <v>626142</v>
      </c>
      <c r="AD317" s="4">
        <v>626142</v>
      </c>
      <c r="AE317" s="4">
        <v>628986</v>
      </c>
      <c r="AF317" s="4">
        <v>1257972</v>
      </c>
      <c r="AG317" s="4">
        <v>1886958</v>
      </c>
      <c r="AH317" s="4">
        <v>2515944</v>
      </c>
      <c r="AI317" s="4">
        <v>3142086</v>
      </c>
      <c r="AJ317" s="4">
        <v>3768228</v>
      </c>
      <c r="AK317" s="4">
        <v>4394370</v>
      </c>
      <c r="AL317" s="4">
        <v>5020512</v>
      </c>
      <c r="AM317" s="4">
        <v>5646654</v>
      </c>
      <c r="AN317" s="4">
        <v>6272796</v>
      </c>
      <c r="AO317" s="134">
        <v>342892</v>
      </c>
    </row>
    <row r="318" spans="1:41" x14ac:dyDescent="0.2">
      <c r="A318" s="1">
        <v>2025</v>
      </c>
      <c r="B318" s="2" t="s">
        <v>338</v>
      </c>
      <c r="C318" s="2" t="s">
        <v>338</v>
      </c>
      <c r="D318" s="1" t="s">
        <v>678</v>
      </c>
      <c r="E318" s="3">
        <v>3039887</v>
      </c>
      <c r="F318" s="3">
        <v>464</v>
      </c>
      <c r="G318" s="3">
        <v>0</v>
      </c>
      <c r="H318" s="3">
        <v>12004</v>
      </c>
      <c r="I318" s="3">
        <v>0</v>
      </c>
      <c r="J318" s="3">
        <v>3039423</v>
      </c>
      <c r="K318" s="3">
        <v>3027419</v>
      </c>
      <c r="L318" s="3">
        <v>3027419</v>
      </c>
      <c r="M318" s="3">
        <v>109100</v>
      </c>
      <c r="N318" s="3">
        <v>493685</v>
      </c>
      <c r="O318" s="3">
        <v>43608</v>
      </c>
      <c r="P318" s="3">
        <v>43742</v>
      </c>
      <c r="Q318" s="3">
        <v>203186</v>
      </c>
      <c r="R318" s="3">
        <v>2146102</v>
      </c>
      <c r="S318" s="3">
        <v>2134098</v>
      </c>
      <c r="T318" s="3">
        <v>2134098</v>
      </c>
      <c r="U318" s="3">
        <v>303942</v>
      </c>
      <c r="V318" s="3">
        <v>303942</v>
      </c>
      <c r="W318" s="3">
        <v>303942</v>
      </c>
      <c r="X318" s="3">
        <v>303942</v>
      </c>
      <c r="Y318" s="3">
        <v>301942</v>
      </c>
      <c r="Z318" s="3">
        <v>301942</v>
      </c>
      <c r="AA318" s="4">
        <v>301942</v>
      </c>
      <c r="AB318" s="4">
        <v>301942</v>
      </c>
      <c r="AC318" s="4">
        <v>301942</v>
      </c>
      <c r="AD318" s="4">
        <v>301941</v>
      </c>
      <c r="AE318" s="4">
        <v>303942</v>
      </c>
      <c r="AF318" s="4">
        <v>607884</v>
      </c>
      <c r="AG318" s="4">
        <v>911826</v>
      </c>
      <c r="AH318" s="4">
        <v>1215768</v>
      </c>
      <c r="AI318" s="4">
        <v>1517710</v>
      </c>
      <c r="AJ318" s="4">
        <v>1819652</v>
      </c>
      <c r="AK318" s="4">
        <v>2121594</v>
      </c>
      <c r="AL318" s="4">
        <v>2423536</v>
      </c>
      <c r="AM318" s="4">
        <v>2725478</v>
      </c>
      <c r="AN318" s="4">
        <v>3027419</v>
      </c>
      <c r="AO318" s="134">
        <v>231482</v>
      </c>
    </row>
    <row r="319" spans="1:41" x14ac:dyDescent="0.2">
      <c r="A319" s="1">
        <v>2025</v>
      </c>
      <c r="B319" s="2" t="s">
        <v>339</v>
      </c>
      <c r="C319" s="2" t="s">
        <v>339</v>
      </c>
      <c r="D319" s="1" t="s">
        <v>679</v>
      </c>
      <c r="E319" s="3">
        <v>1244276</v>
      </c>
      <c r="F319" s="3">
        <v>133</v>
      </c>
      <c r="G319" s="3">
        <v>0</v>
      </c>
      <c r="H319" s="3">
        <v>4341</v>
      </c>
      <c r="I319" s="1">
        <v>0</v>
      </c>
      <c r="J319" s="3">
        <v>1244143</v>
      </c>
      <c r="K319" s="3">
        <v>1239802</v>
      </c>
      <c r="L319" s="3">
        <v>1239802</v>
      </c>
      <c r="M319" s="3">
        <v>31171</v>
      </c>
      <c r="N319" s="3">
        <v>276313</v>
      </c>
      <c r="O319" s="3">
        <v>19287</v>
      </c>
      <c r="P319" s="3">
        <v>17540</v>
      </c>
      <c r="Q319" s="3">
        <v>72790</v>
      </c>
      <c r="R319" s="3">
        <v>827042</v>
      </c>
      <c r="S319" s="3">
        <v>822701</v>
      </c>
      <c r="T319" s="3">
        <v>822701</v>
      </c>
      <c r="U319" s="3">
        <v>124414</v>
      </c>
      <c r="V319" s="3">
        <v>124414</v>
      </c>
      <c r="W319" s="3">
        <v>124414</v>
      </c>
      <c r="X319" s="3">
        <v>124414</v>
      </c>
      <c r="Y319" s="3">
        <v>123691</v>
      </c>
      <c r="Z319" s="3">
        <v>123691</v>
      </c>
      <c r="AA319" s="4">
        <v>123691</v>
      </c>
      <c r="AB319" s="4">
        <v>123691</v>
      </c>
      <c r="AC319" s="4">
        <v>123691</v>
      </c>
      <c r="AD319" s="4">
        <v>123691</v>
      </c>
      <c r="AE319" s="4">
        <v>124414</v>
      </c>
      <c r="AF319" s="4">
        <v>248828</v>
      </c>
      <c r="AG319" s="4">
        <v>373242</v>
      </c>
      <c r="AH319" s="4">
        <v>497656</v>
      </c>
      <c r="AI319" s="4">
        <v>621347</v>
      </c>
      <c r="AJ319" s="4">
        <v>745038</v>
      </c>
      <c r="AK319" s="4">
        <v>868729</v>
      </c>
      <c r="AL319" s="4">
        <v>992420</v>
      </c>
      <c r="AM319" s="4">
        <v>1116111</v>
      </c>
      <c r="AN319" s="4">
        <v>1239802</v>
      </c>
      <c r="AO319" s="134">
        <v>80882</v>
      </c>
    </row>
    <row r="320" spans="1:41" x14ac:dyDescent="0.2">
      <c r="A320" s="1">
        <v>2025</v>
      </c>
      <c r="B320" s="2" t="s">
        <v>340</v>
      </c>
      <c r="C320" s="2" t="s">
        <v>340</v>
      </c>
      <c r="D320" s="1" t="s">
        <v>680</v>
      </c>
      <c r="E320" s="3">
        <v>8249714</v>
      </c>
      <c r="F320" s="3">
        <v>796</v>
      </c>
      <c r="G320" s="3">
        <v>0</v>
      </c>
      <c r="H320" s="3">
        <v>25927</v>
      </c>
      <c r="I320" s="1">
        <v>0</v>
      </c>
      <c r="J320" s="3">
        <v>8248918</v>
      </c>
      <c r="K320" s="3">
        <v>8222991</v>
      </c>
      <c r="L320" s="3">
        <v>8222991</v>
      </c>
      <c r="M320" s="3">
        <v>187028</v>
      </c>
      <c r="N320" s="3">
        <v>954949</v>
      </c>
      <c r="O320" s="3">
        <v>79191</v>
      </c>
      <c r="P320" s="3">
        <v>88115</v>
      </c>
      <c r="Q320" s="3">
        <v>450644</v>
      </c>
      <c r="R320" s="3">
        <v>6488991</v>
      </c>
      <c r="S320" s="3">
        <v>6463064</v>
      </c>
      <c r="T320" s="3">
        <v>6463064</v>
      </c>
      <c r="U320" s="3">
        <v>824892</v>
      </c>
      <c r="V320" s="3">
        <v>824892</v>
      </c>
      <c r="W320" s="3">
        <v>824892</v>
      </c>
      <c r="X320" s="3">
        <v>824892</v>
      </c>
      <c r="Y320" s="3">
        <v>820571</v>
      </c>
      <c r="Z320" s="3">
        <v>820571</v>
      </c>
      <c r="AA320" s="4">
        <v>820570</v>
      </c>
      <c r="AB320" s="4">
        <v>820570</v>
      </c>
      <c r="AC320" s="4">
        <v>820570</v>
      </c>
      <c r="AD320" s="4">
        <v>820571</v>
      </c>
      <c r="AE320" s="4">
        <v>824892</v>
      </c>
      <c r="AF320" s="4">
        <v>1649784</v>
      </c>
      <c r="AG320" s="4">
        <v>2474676</v>
      </c>
      <c r="AH320" s="4">
        <v>3299568</v>
      </c>
      <c r="AI320" s="4">
        <v>4120139</v>
      </c>
      <c r="AJ320" s="4">
        <v>4940710</v>
      </c>
      <c r="AK320" s="4">
        <v>5761280</v>
      </c>
      <c r="AL320" s="4">
        <v>6581850</v>
      </c>
      <c r="AM320" s="4">
        <v>7402420</v>
      </c>
      <c r="AN320" s="4">
        <v>8222991</v>
      </c>
      <c r="AO320" s="134">
        <v>461803</v>
      </c>
    </row>
    <row r="321" spans="1:41" x14ac:dyDescent="0.2">
      <c r="A321" s="1">
        <v>2025</v>
      </c>
      <c r="B321" s="2" t="s">
        <v>341</v>
      </c>
      <c r="C321" s="2" t="s">
        <v>341</v>
      </c>
      <c r="D321" s="1" t="s">
        <v>681</v>
      </c>
      <c r="E321" s="3">
        <v>6721826</v>
      </c>
      <c r="F321" s="3">
        <v>663</v>
      </c>
      <c r="G321" s="3">
        <v>0</v>
      </c>
      <c r="H321" s="3">
        <v>19181</v>
      </c>
      <c r="I321" s="3">
        <v>0</v>
      </c>
      <c r="J321" s="3">
        <v>6721163</v>
      </c>
      <c r="K321" s="3">
        <v>6701982</v>
      </c>
      <c r="L321" s="3">
        <v>6701982</v>
      </c>
      <c r="M321" s="3">
        <v>155857</v>
      </c>
      <c r="N321" s="3">
        <v>755894</v>
      </c>
      <c r="O321" s="3">
        <v>66970</v>
      </c>
      <c r="P321" s="3">
        <v>65370</v>
      </c>
      <c r="Q321" s="3">
        <v>321646</v>
      </c>
      <c r="R321" s="3">
        <v>5355426</v>
      </c>
      <c r="S321" s="3">
        <v>5336245</v>
      </c>
      <c r="T321" s="3">
        <v>5336245</v>
      </c>
      <c r="U321" s="3">
        <v>672116</v>
      </c>
      <c r="V321" s="3">
        <v>672116</v>
      </c>
      <c r="W321" s="3">
        <v>672116</v>
      </c>
      <c r="X321" s="3">
        <v>672116</v>
      </c>
      <c r="Y321" s="3">
        <v>668920</v>
      </c>
      <c r="Z321" s="3">
        <v>668920</v>
      </c>
      <c r="AA321" s="4">
        <v>668920</v>
      </c>
      <c r="AB321" s="4">
        <v>668920</v>
      </c>
      <c r="AC321" s="4">
        <v>668920</v>
      </c>
      <c r="AD321" s="4">
        <v>668918</v>
      </c>
      <c r="AE321" s="4">
        <v>672116</v>
      </c>
      <c r="AF321" s="4">
        <v>1344232</v>
      </c>
      <c r="AG321" s="4">
        <v>2016348</v>
      </c>
      <c r="AH321" s="4">
        <v>2688464</v>
      </c>
      <c r="AI321" s="4">
        <v>3357384</v>
      </c>
      <c r="AJ321" s="4">
        <v>4026304</v>
      </c>
      <c r="AK321" s="4">
        <v>4695224</v>
      </c>
      <c r="AL321" s="4">
        <v>5364144</v>
      </c>
      <c r="AM321" s="4">
        <v>6033064</v>
      </c>
      <c r="AN321" s="4">
        <v>6701982</v>
      </c>
      <c r="AO321" s="134">
        <v>342590</v>
      </c>
    </row>
    <row r="322" spans="1:41" x14ac:dyDescent="0.2">
      <c r="A322" s="1">
        <v>2025</v>
      </c>
      <c r="B322" s="2" t="s">
        <v>342</v>
      </c>
      <c r="C322" s="2" t="s">
        <v>342</v>
      </c>
      <c r="D322" s="1" t="s">
        <v>682</v>
      </c>
      <c r="E322" s="3">
        <v>2550818</v>
      </c>
      <c r="F322" s="3">
        <v>315</v>
      </c>
      <c r="G322" s="3">
        <v>0</v>
      </c>
      <c r="H322" s="3">
        <v>7132</v>
      </c>
      <c r="I322" s="1">
        <v>0</v>
      </c>
      <c r="J322" s="3">
        <v>2550503</v>
      </c>
      <c r="K322" s="3">
        <v>2543371</v>
      </c>
      <c r="L322" s="3">
        <v>2543371</v>
      </c>
      <c r="M322" s="3">
        <v>74032</v>
      </c>
      <c r="N322" s="3">
        <v>382475</v>
      </c>
      <c r="O322" s="3">
        <v>27253</v>
      </c>
      <c r="P322" s="3">
        <v>24134</v>
      </c>
      <c r="Q322" s="3">
        <v>119592</v>
      </c>
      <c r="R322" s="3">
        <v>1923017</v>
      </c>
      <c r="S322" s="3">
        <v>1915885</v>
      </c>
      <c r="T322" s="3">
        <v>1915885</v>
      </c>
      <c r="U322" s="3">
        <v>255050</v>
      </c>
      <c r="V322" s="3">
        <v>255050</v>
      </c>
      <c r="W322" s="3">
        <v>255050</v>
      </c>
      <c r="X322" s="3">
        <v>255050</v>
      </c>
      <c r="Y322" s="3">
        <v>253862</v>
      </c>
      <c r="Z322" s="3">
        <v>253862</v>
      </c>
      <c r="AA322" s="4">
        <v>253862</v>
      </c>
      <c r="AB322" s="4">
        <v>253862</v>
      </c>
      <c r="AC322" s="4">
        <v>253862</v>
      </c>
      <c r="AD322" s="4">
        <v>253861</v>
      </c>
      <c r="AE322" s="4">
        <v>255050</v>
      </c>
      <c r="AF322" s="4">
        <v>510100</v>
      </c>
      <c r="AG322" s="4">
        <v>765150</v>
      </c>
      <c r="AH322" s="4">
        <v>1020200</v>
      </c>
      <c r="AI322" s="4">
        <v>1274062</v>
      </c>
      <c r="AJ322" s="4">
        <v>1527924</v>
      </c>
      <c r="AK322" s="4">
        <v>1781786</v>
      </c>
      <c r="AL322" s="4">
        <v>2035648</v>
      </c>
      <c r="AM322" s="4">
        <v>2289510</v>
      </c>
      <c r="AN322" s="4">
        <v>2543371</v>
      </c>
      <c r="AO322" s="134">
        <v>129642</v>
      </c>
    </row>
    <row r="323" spans="1:41" x14ac:dyDescent="0.2">
      <c r="A323" s="1">
        <v>2025</v>
      </c>
      <c r="B323" s="2" t="s">
        <v>343</v>
      </c>
      <c r="C323" s="2" t="s">
        <v>343</v>
      </c>
      <c r="D323" s="1" t="s">
        <v>683</v>
      </c>
      <c r="E323" s="3">
        <v>12348647</v>
      </c>
      <c r="F323" s="3">
        <v>1227</v>
      </c>
      <c r="G323" s="3">
        <v>0</v>
      </c>
      <c r="H323" s="3">
        <v>37569</v>
      </c>
      <c r="I323" s="1">
        <v>0</v>
      </c>
      <c r="J323" s="3">
        <v>12347420</v>
      </c>
      <c r="K323" s="3">
        <v>12309851</v>
      </c>
      <c r="L323" s="3">
        <v>12309851</v>
      </c>
      <c r="M323" s="3">
        <v>284517</v>
      </c>
      <c r="N323" s="3">
        <v>1220631</v>
      </c>
      <c r="O323" s="3">
        <v>140766</v>
      </c>
      <c r="P323" s="3">
        <v>118848</v>
      </c>
      <c r="Q323" s="3">
        <v>631506</v>
      </c>
      <c r="R323" s="3">
        <v>9951152</v>
      </c>
      <c r="S323" s="3">
        <v>9913583</v>
      </c>
      <c r="T323" s="3">
        <v>9913583</v>
      </c>
      <c r="U323" s="3">
        <v>1234742</v>
      </c>
      <c r="V323" s="3">
        <v>1234742</v>
      </c>
      <c r="W323" s="3">
        <v>1234742</v>
      </c>
      <c r="X323" s="3">
        <v>1234742</v>
      </c>
      <c r="Y323" s="3">
        <v>1228481</v>
      </c>
      <c r="Z323" s="3">
        <v>1228481</v>
      </c>
      <c r="AA323" s="4">
        <v>1228480</v>
      </c>
      <c r="AB323" s="4">
        <v>1228480</v>
      </c>
      <c r="AC323" s="4">
        <v>1228480</v>
      </c>
      <c r="AD323" s="4">
        <v>1228481</v>
      </c>
      <c r="AE323" s="4">
        <v>1234742</v>
      </c>
      <c r="AF323" s="4">
        <v>2469484</v>
      </c>
      <c r="AG323" s="4">
        <v>3704226</v>
      </c>
      <c r="AH323" s="4">
        <v>4938968</v>
      </c>
      <c r="AI323" s="4">
        <v>6167449</v>
      </c>
      <c r="AJ323" s="4">
        <v>7395930</v>
      </c>
      <c r="AK323" s="4">
        <v>8624410</v>
      </c>
      <c r="AL323" s="4">
        <v>9852890</v>
      </c>
      <c r="AM323" s="4">
        <v>11081370</v>
      </c>
      <c r="AN323" s="4">
        <v>12309851</v>
      </c>
      <c r="AO323" s="134">
        <v>662853</v>
      </c>
    </row>
    <row r="324" spans="1:41" x14ac:dyDescent="0.2">
      <c r="A324" s="1">
        <v>2025</v>
      </c>
      <c r="B324" s="2" t="s">
        <v>344</v>
      </c>
      <c r="C324" s="2" t="s">
        <v>344</v>
      </c>
      <c r="D324" s="1" t="s">
        <v>684</v>
      </c>
      <c r="E324" s="3">
        <v>3845923</v>
      </c>
      <c r="F324" s="1">
        <v>481</v>
      </c>
      <c r="G324" s="1">
        <v>0</v>
      </c>
      <c r="H324" s="3">
        <v>11421</v>
      </c>
      <c r="I324" s="3">
        <v>0</v>
      </c>
      <c r="J324" s="3">
        <v>3845442</v>
      </c>
      <c r="K324" s="3">
        <v>3834021</v>
      </c>
      <c r="L324" s="3">
        <v>3834021</v>
      </c>
      <c r="M324" s="3">
        <v>112996</v>
      </c>
      <c r="N324" s="3">
        <v>512161</v>
      </c>
      <c r="O324" s="3">
        <v>43128</v>
      </c>
      <c r="P324" s="3">
        <v>41265</v>
      </c>
      <c r="Q324" s="3">
        <v>192270</v>
      </c>
      <c r="R324" s="3">
        <v>2943622</v>
      </c>
      <c r="S324" s="3">
        <v>2932201</v>
      </c>
      <c r="T324" s="3">
        <v>2932201</v>
      </c>
      <c r="U324" s="3">
        <v>384544</v>
      </c>
      <c r="V324" s="3">
        <v>384544</v>
      </c>
      <c r="W324" s="3">
        <v>384544</v>
      </c>
      <c r="X324" s="3">
        <v>384544</v>
      </c>
      <c r="Y324" s="3">
        <v>382641</v>
      </c>
      <c r="Z324" s="3">
        <v>382641</v>
      </c>
      <c r="AA324" s="4">
        <v>382641</v>
      </c>
      <c r="AB324" s="4">
        <v>382641</v>
      </c>
      <c r="AC324" s="4">
        <v>382641</v>
      </c>
      <c r="AD324" s="4">
        <v>382640</v>
      </c>
      <c r="AE324" s="4">
        <v>384544</v>
      </c>
      <c r="AF324" s="4">
        <v>769088</v>
      </c>
      <c r="AG324" s="4">
        <v>1153632</v>
      </c>
      <c r="AH324" s="4">
        <v>1538176</v>
      </c>
      <c r="AI324" s="4">
        <v>1920817</v>
      </c>
      <c r="AJ324" s="4">
        <v>2303458</v>
      </c>
      <c r="AK324" s="4">
        <v>2686099</v>
      </c>
      <c r="AL324" s="4">
        <v>3068740</v>
      </c>
      <c r="AM324" s="4">
        <v>3451381</v>
      </c>
      <c r="AN324" s="4">
        <v>3834021</v>
      </c>
      <c r="AO324" s="134">
        <v>209549</v>
      </c>
    </row>
    <row r="325" spans="1:41" x14ac:dyDescent="0.2">
      <c r="A325" s="1">
        <v>2025</v>
      </c>
      <c r="B325" s="2" t="s">
        <v>345</v>
      </c>
      <c r="C325" s="2" t="s">
        <v>345</v>
      </c>
      <c r="D325" s="1" t="s">
        <v>685</v>
      </c>
      <c r="E325" s="3">
        <v>3873035</v>
      </c>
      <c r="F325" s="3">
        <v>464</v>
      </c>
      <c r="G325" s="3">
        <v>0</v>
      </c>
      <c r="H325" s="3">
        <v>11470</v>
      </c>
      <c r="I325" s="1">
        <v>0</v>
      </c>
      <c r="J325" s="3">
        <v>3872571</v>
      </c>
      <c r="K325" s="3">
        <v>3861101</v>
      </c>
      <c r="L325" s="3">
        <v>3861101</v>
      </c>
      <c r="M325" s="3">
        <v>109100</v>
      </c>
      <c r="N325" s="3">
        <v>486476</v>
      </c>
      <c r="O325" s="3">
        <v>40186</v>
      </c>
      <c r="P325" s="3">
        <v>38254</v>
      </c>
      <c r="Q325" s="3">
        <v>195745</v>
      </c>
      <c r="R325" s="3">
        <v>3002810</v>
      </c>
      <c r="S325" s="3">
        <v>2991340</v>
      </c>
      <c r="T325" s="3">
        <v>2991340</v>
      </c>
      <c r="U325" s="3">
        <v>387257</v>
      </c>
      <c r="V325" s="3">
        <v>387257</v>
      </c>
      <c r="W325" s="3">
        <v>387257</v>
      </c>
      <c r="X325" s="3">
        <v>387257</v>
      </c>
      <c r="Y325" s="3">
        <v>385346</v>
      </c>
      <c r="Z325" s="3">
        <v>385346</v>
      </c>
      <c r="AA325" s="4">
        <v>385345</v>
      </c>
      <c r="AB325" s="4">
        <v>385345</v>
      </c>
      <c r="AC325" s="4">
        <v>385345</v>
      </c>
      <c r="AD325" s="4">
        <v>385346</v>
      </c>
      <c r="AE325" s="4">
        <v>387257</v>
      </c>
      <c r="AF325" s="4">
        <v>774514</v>
      </c>
      <c r="AG325" s="4">
        <v>1161771</v>
      </c>
      <c r="AH325" s="4">
        <v>1549028</v>
      </c>
      <c r="AI325" s="4">
        <v>1934374</v>
      </c>
      <c r="AJ325" s="4">
        <v>2319720</v>
      </c>
      <c r="AK325" s="4">
        <v>2705065</v>
      </c>
      <c r="AL325" s="4">
        <v>3090410</v>
      </c>
      <c r="AM325" s="4">
        <v>3475755</v>
      </c>
      <c r="AN325" s="4">
        <v>3861101</v>
      </c>
      <c r="AO325" s="134">
        <v>221783</v>
      </c>
    </row>
    <row r="326" spans="1:41" x14ac:dyDescent="0.2">
      <c r="A326" s="1">
        <v>2025</v>
      </c>
      <c r="B326" s="2" t="s">
        <v>346</v>
      </c>
      <c r="C326" s="2" t="s">
        <v>346</v>
      </c>
      <c r="D326" s="1" t="s">
        <v>686</v>
      </c>
      <c r="E326" s="3">
        <v>7876040</v>
      </c>
      <c r="F326" s="3">
        <v>979</v>
      </c>
      <c r="G326" s="3">
        <v>0</v>
      </c>
      <c r="H326" s="3">
        <v>24296</v>
      </c>
      <c r="I326" s="1">
        <v>0</v>
      </c>
      <c r="J326" s="3">
        <v>7875061</v>
      </c>
      <c r="K326" s="3">
        <v>7850765</v>
      </c>
      <c r="L326" s="3">
        <v>7850765</v>
      </c>
      <c r="M326" s="3">
        <v>229888</v>
      </c>
      <c r="N326" s="3">
        <v>867378</v>
      </c>
      <c r="O326" s="3">
        <v>81205</v>
      </c>
      <c r="P326" s="3">
        <v>76535</v>
      </c>
      <c r="Q326" s="3">
        <v>409319</v>
      </c>
      <c r="R326" s="3">
        <v>6210736</v>
      </c>
      <c r="S326" s="3">
        <v>6186440</v>
      </c>
      <c r="T326" s="3">
        <v>6186440</v>
      </c>
      <c r="U326" s="3">
        <v>787506</v>
      </c>
      <c r="V326" s="3">
        <v>787506</v>
      </c>
      <c r="W326" s="3">
        <v>787506</v>
      </c>
      <c r="X326" s="3">
        <v>787506</v>
      </c>
      <c r="Y326" s="3">
        <v>783457</v>
      </c>
      <c r="Z326" s="3">
        <v>783457</v>
      </c>
      <c r="AA326" s="4">
        <v>783457</v>
      </c>
      <c r="AB326" s="4">
        <v>783457</v>
      </c>
      <c r="AC326" s="4">
        <v>783457</v>
      </c>
      <c r="AD326" s="4">
        <v>783456</v>
      </c>
      <c r="AE326" s="4">
        <v>787506</v>
      </c>
      <c r="AF326" s="4">
        <v>1575012</v>
      </c>
      <c r="AG326" s="4">
        <v>2362518</v>
      </c>
      <c r="AH326" s="4">
        <v>3150024</v>
      </c>
      <c r="AI326" s="4">
        <v>3933481</v>
      </c>
      <c r="AJ326" s="4">
        <v>4716938</v>
      </c>
      <c r="AK326" s="4">
        <v>5500395</v>
      </c>
      <c r="AL326" s="4">
        <v>6283852</v>
      </c>
      <c r="AM326" s="4">
        <v>7067309</v>
      </c>
      <c r="AN326" s="4">
        <v>7850765</v>
      </c>
      <c r="AO326" s="134">
        <v>418100</v>
      </c>
    </row>
    <row r="327" spans="1:41" x14ac:dyDescent="0.2">
      <c r="B327" s="111" t="s">
        <v>779</v>
      </c>
      <c r="D327" s="1" t="s">
        <v>778</v>
      </c>
      <c r="E327" s="3">
        <f t="shared" ref="E327:AO327" si="0">SUM(E2:E326)</f>
        <v>3644273711</v>
      </c>
      <c r="F327" s="3">
        <f t="shared" si="0"/>
        <v>387427</v>
      </c>
      <c r="G327" s="3">
        <f t="shared" si="0"/>
        <v>1891910</v>
      </c>
      <c r="H327" s="3">
        <f t="shared" si="0"/>
        <v>10895736</v>
      </c>
      <c r="I327" s="3">
        <f t="shared" si="0"/>
        <v>0</v>
      </c>
      <c r="J327" s="3">
        <f t="shared" si="0"/>
        <v>3641994374</v>
      </c>
      <c r="K327" s="3">
        <f t="shared" si="0"/>
        <v>3631098638</v>
      </c>
      <c r="L327" s="3">
        <f t="shared" si="0"/>
        <v>3631098638</v>
      </c>
      <c r="M327" s="3">
        <f t="shared" si="0"/>
        <v>91034073</v>
      </c>
      <c r="N327" s="3">
        <f t="shared" si="0"/>
        <v>401143347</v>
      </c>
      <c r="O327" s="3">
        <f t="shared" si="0"/>
        <v>41289183</v>
      </c>
      <c r="P327" s="3">
        <f t="shared" si="0"/>
        <v>37967116</v>
      </c>
      <c r="Q327" s="3">
        <f t="shared" si="0"/>
        <v>189229348</v>
      </c>
      <c r="R327" s="3">
        <f t="shared" si="0"/>
        <v>2881331307</v>
      </c>
      <c r="S327" s="3">
        <f t="shared" si="0"/>
        <v>2870435571</v>
      </c>
      <c r="T327" s="3">
        <f t="shared" si="0"/>
        <v>2870435571</v>
      </c>
      <c r="U327" s="3">
        <f t="shared" si="0"/>
        <v>364199459</v>
      </c>
      <c r="V327" s="3">
        <f t="shared" si="0"/>
        <v>364199459</v>
      </c>
      <c r="W327" s="3">
        <f t="shared" si="0"/>
        <v>364199459</v>
      </c>
      <c r="X327" s="3">
        <f t="shared" si="0"/>
        <v>364199459</v>
      </c>
      <c r="Y327" s="3">
        <f t="shared" si="0"/>
        <v>362383500</v>
      </c>
      <c r="Z327" s="3">
        <f t="shared" si="0"/>
        <v>362383500</v>
      </c>
      <c r="AA327" s="3">
        <f t="shared" si="0"/>
        <v>362383491</v>
      </c>
      <c r="AB327" s="3">
        <f t="shared" si="0"/>
        <v>362383491</v>
      </c>
      <c r="AC327" s="3">
        <f t="shared" si="0"/>
        <v>362383491</v>
      </c>
      <c r="AD327" s="3">
        <f t="shared" si="0"/>
        <v>362383329</v>
      </c>
      <c r="AE327" s="3">
        <f t="shared" si="0"/>
        <v>364199459</v>
      </c>
      <c r="AF327" s="3">
        <f t="shared" si="0"/>
        <v>728398918</v>
      </c>
      <c r="AG327" s="3">
        <f t="shared" si="0"/>
        <v>1092598377</v>
      </c>
      <c r="AH327" s="3">
        <f t="shared" si="0"/>
        <v>1456797836</v>
      </c>
      <c r="AI327" s="3">
        <f t="shared" si="0"/>
        <v>1819181336</v>
      </c>
      <c r="AJ327" s="3">
        <f t="shared" si="0"/>
        <v>2181564836</v>
      </c>
      <c r="AK327" s="3">
        <f t="shared" si="0"/>
        <v>2543948327</v>
      </c>
      <c r="AL327" s="3">
        <f t="shared" si="0"/>
        <v>2906331818</v>
      </c>
      <c r="AM327" s="3">
        <f t="shared" si="0"/>
        <v>3268715309</v>
      </c>
      <c r="AN327" s="3">
        <f t="shared" si="0"/>
        <v>3631098638</v>
      </c>
      <c r="AO327" s="3">
        <f t="shared" si="0"/>
        <v>203901037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C00000"/>
  </sheetPr>
  <dimension ref="A1:N50"/>
  <sheetViews>
    <sheetView workbookViewId="0">
      <selection activeCell="B20" sqref="B20"/>
    </sheetView>
  </sheetViews>
  <sheetFormatPr defaultRowHeight="12.75" x14ac:dyDescent="0.2"/>
  <cols>
    <col min="1" max="1" width="41" style="1" bestFit="1" customWidth="1"/>
    <col min="2" max="2" width="16.5703125" style="1" customWidth="1"/>
    <col min="3" max="3" width="10.85546875" style="1" bestFit="1" customWidth="1"/>
    <col min="4" max="8" width="9.140625" style="1"/>
    <col min="9" max="9" width="28.5703125" style="1" bestFit="1" customWidth="1"/>
    <col min="10" max="10" width="9.140625" style="1"/>
    <col min="11" max="11" width="14.85546875" style="1" customWidth="1"/>
    <col min="12" max="16384" width="9.140625" style="1"/>
  </cols>
  <sheetData>
    <row r="1" spans="1:14" x14ac:dyDescent="0.2">
      <c r="A1" s="1" t="s">
        <v>693</v>
      </c>
      <c r="B1" s="8">
        <v>2025</v>
      </c>
      <c r="G1" s="9"/>
      <c r="H1" s="9"/>
      <c r="I1" s="1" t="s">
        <v>712</v>
      </c>
      <c r="K1" s="1" t="s">
        <v>757</v>
      </c>
      <c r="L1" s="1" t="s">
        <v>713</v>
      </c>
      <c r="M1" s="1" t="s">
        <v>714</v>
      </c>
      <c r="N1" s="1" t="s">
        <v>715</v>
      </c>
    </row>
    <row r="2" spans="1:14" x14ac:dyDescent="0.2">
      <c r="A2" s="1" t="s">
        <v>699</v>
      </c>
      <c r="B2" s="8" t="s">
        <v>706</v>
      </c>
      <c r="I2" s="1" t="s">
        <v>700</v>
      </c>
      <c r="J2" s="1" t="s">
        <v>713</v>
      </c>
      <c r="L2" s="1">
        <v>1</v>
      </c>
      <c r="M2" s="1">
        <v>0</v>
      </c>
      <c r="N2" s="1">
        <v>0</v>
      </c>
    </row>
    <row r="3" spans="1:14" x14ac:dyDescent="0.2">
      <c r="A3" s="1" t="s">
        <v>701</v>
      </c>
      <c r="B3" s="1" t="str">
        <f>IF(OR($B$2="September",$B$2="October",$B$2="November",$B$2="December"),"Pay 1 Regular State Payment Budget",IF(OR($B$2="January",$B$2="February"),"Pay 2 Regular State Payment Budget",IF(OR($B$2="March",$B$2="April",$B$2="May",$B$2="June"),"Pay 3 Regular State Payment Budget","")))</f>
        <v>Pay 2 Regular State Payment Budget</v>
      </c>
      <c r="I3" s="1" t="s">
        <v>703</v>
      </c>
      <c r="J3" s="1" t="s">
        <v>713</v>
      </c>
      <c r="L3" s="1">
        <v>2</v>
      </c>
      <c r="M3" s="1">
        <v>0</v>
      </c>
      <c r="N3" s="1">
        <v>0</v>
      </c>
    </row>
    <row r="4" spans="1:14" x14ac:dyDescent="0.2">
      <c r="A4" s="1" t="s">
        <v>702</v>
      </c>
      <c r="B4" s="1" t="str">
        <f>IF(OR($B$2="September",$B$2="October",$B$2="November",$B$2="December"),"Pay 1 State Foundation Aid (Code 3111)",IF(OR($B$2="January",$B$2="February"),"Pay 2 State Foundation Aid (Code 3111)",IF(OR($B$2="March",$B$2="April",$B$2="May",$B$2="June"),"Pay 3 State Foundation Aid (Code 3111)","")))</f>
        <v>Pay 2 State Foundation Aid (Code 3111)</v>
      </c>
      <c r="I4" s="1" t="s">
        <v>704</v>
      </c>
      <c r="J4" s="1" t="s">
        <v>713</v>
      </c>
      <c r="L4" s="1">
        <v>3</v>
      </c>
      <c r="M4" s="1">
        <v>0</v>
      </c>
      <c r="N4" s="1">
        <v>0</v>
      </c>
    </row>
    <row r="5" spans="1:14" x14ac:dyDescent="0.2">
      <c r="I5" s="1" t="s">
        <v>705</v>
      </c>
      <c r="J5" s="1" t="s">
        <v>713</v>
      </c>
      <c r="L5" s="1">
        <v>4</v>
      </c>
      <c r="M5" s="1">
        <v>0</v>
      </c>
      <c r="N5" s="1">
        <v>0</v>
      </c>
    </row>
    <row r="6" spans="1:14" x14ac:dyDescent="0.2">
      <c r="I6" s="1" t="s">
        <v>706</v>
      </c>
      <c r="J6" s="1" t="s">
        <v>714</v>
      </c>
      <c r="L6" s="1">
        <v>4</v>
      </c>
      <c r="M6" s="1">
        <v>1</v>
      </c>
      <c r="N6" s="1">
        <v>0</v>
      </c>
    </row>
    <row r="7" spans="1:14" x14ac:dyDescent="0.2">
      <c r="I7" s="1" t="s">
        <v>707</v>
      </c>
      <c r="J7" s="1" t="s">
        <v>714</v>
      </c>
      <c r="L7" s="1">
        <v>4</v>
      </c>
      <c r="M7" s="1">
        <v>2</v>
      </c>
      <c r="N7" s="1">
        <v>0</v>
      </c>
    </row>
    <row r="8" spans="1:14" x14ac:dyDescent="0.2">
      <c r="I8" s="1" t="s">
        <v>708</v>
      </c>
      <c r="J8" s="1" t="s">
        <v>715</v>
      </c>
      <c r="L8" s="1">
        <v>4</v>
      </c>
      <c r="M8" s="1">
        <v>2</v>
      </c>
      <c r="N8" s="1">
        <v>1</v>
      </c>
    </row>
    <row r="9" spans="1:14" x14ac:dyDescent="0.2">
      <c r="I9" s="1" t="s">
        <v>709</v>
      </c>
      <c r="J9" s="1" t="s">
        <v>715</v>
      </c>
      <c r="L9" s="1">
        <v>4</v>
      </c>
      <c r="M9" s="1">
        <v>2</v>
      </c>
      <c r="N9" s="1">
        <v>2</v>
      </c>
    </row>
    <row r="10" spans="1:14" x14ac:dyDescent="0.2">
      <c r="I10" s="1" t="s">
        <v>710</v>
      </c>
      <c r="J10" s="1" t="s">
        <v>715</v>
      </c>
      <c r="L10" s="1">
        <v>4</v>
      </c>
      <c r="M10" s="1">
        <v>2</v>
      </c>
      <c r="N10" s="1">
        <v>3</v>
      </c>
    </row>
    <row r="11" spans="1:14" x14ac:dyDescent="0.2">
      <c r="I11" s="1" t="s">
        <v>711</v>
      </c>
      <c r="J11" s="1" t="s">
        <v>716</v>
      </c>
      <c r="L11" s="1">
        <v>4</v>
      </c>
      <c r="M11" s="1">
        <v>2</v>
      </c>
      <c r="N11" s="1">
        <v>3</v>
      </c>
    </row>
    <row r="14" spans="1:14" x14ac:dyDescent="0.2">
      <c r="A14" s="1" t="s">
        <v>729</v>
      </c>
      <c r="B14" s="1" t="s">
        <v>731</v>
      </c>
      <c r="C14" s="1" t="s">
        <v>798</v>
      </c>
    </row>
    <row r="15" spans="1:14" x14ac:dyDescent="0.2">
      <c r="A15" s="1" t="s">
        <v>730</v>
      </c>
      <c r="B15" s="3">
        <f>'Budget Total'!C331-'Budget Total'!D331-'Budget Total'!E331-'Budget Total'!F331-'Budget Total'!G331-'Budget Total'!H331</f>
        <v>0</v>
      </c>
    </row>
    <row r="16" spans="1:14" x14ac:dyDescent="0.2">
      <c r="A16" s="1" t="s">
        <v>732</v>
      </c>
      <c r="B16" s="3">
        <f>'Budget Total'!H331-'Budget by Source'!I331</f>
        <v>0</v>
      </c>
    </row>
    <row r="17" spans="1:4" x14ac:dyDescent="0.2">
      <c r="A17" s="1" t="s">
        <v>733</v>
      </c>
      <c r="B17" s="3">
        <f>SUM('Budget by Source'!C331:H331)-'Budget by Source'!I331</f>
        <v>0</v>
      </c>
    </row>
    <row r="18" spans="1:4" x14ac:dyDescent="0.2">
      <c r="A18" s="6" t="s">
        <v>736</v>
      </c>
      <c r="B18" s="3">
        <f>'Payment by Source'!I331-'Payment Total'!D332</f>
        <v>0</v>
      </c>
      <c r="C18" s="1" t="s">
        <v>761</v>
      </c>
    </row>
    <row r="19" spans="1:4" x14ac:dyDescent="0.2">
      <c r="A19" s="7" t="s">
        <v>742</v>
      </c>
      <c r="B19" s="3">
        <f>'Payment Total'!Q332-'Payment Total'!D332</f>
        <v>0</v>
      </c>
      <c r="C19" s="1" t="s">
        <v>761</v>
      </c>
    </row>
    <row r="20" spans="1:4" x14ac:dyDescent="0.2">
      <c r="A20" s="7" t="s">
        <v>797</v>
      </c>
      <c r="B20" s="3">
        <f>C20-'Budget Total'!C331</f>
        <v>0</v>
      </c>
      <c r="C20" s="3">
        <v>3644273711</v>
      </c>
    </row>
    <row r="21" spans="1:4" x14ac:dyDescent="0.2">
      <c r="A21" s="6" t="s">
        <v>752</v>
      </c>
      <c r="B21" s="3">
        <f>SUM('Payment Total'!$N$7:$N$331)</f>
        <v>0</v>
      </c>
    </row>
    <row r="22" spans="1:4" x14ac:dyDescent="0.2">
      <c r="A22" s="6" t="s">
        <v>753</v>
      </c>
      <c r="B22" s="56">
        <f>SUM('Payment Total'!$T$7:$T$331,'Payment Total'!$V$7:$V$331)</f>
        <v>0</v>
      </c>
    </row>
    <row r="23" spans="1:4" x14ac:dyDescent="0.2">
      <c r="A23" s="6" t="s">
        <v>754</v>
      </c>
      <c r="B23" s="56">
        <f>SUM('Payment by Source'!$K$6:$K$330)</f>
        <v>0</v>
      </c>
      <c r="C23" s="1" t="s">
        <v>758</v>
      </c>
    </row>
    <row r="24" spans="1:4" x14ac:dyDescent="0.2">
      <c r="A24" s="6" t="s">
        <v>755</v>
      </c>
      <c r="B24" s="3">
        <f>'Budget Total'!H331-SUM('Payment Total'!G332,'Payment Total'!H332)</f>
        <v>0</v>
      </c>
    </row>
    <row r="25" spans="1:4" x14ac:dyDescent="0.2">
      <c r="A25" s="6" t="s">
        <v>799</v>
      </c>
      <c r="B25" s="3">
        <f>C25-'Budget Total'!D331</f>
        <v>0</v>
      </c>
      <c r="C25" s="3">
        <v>387427</v>
      </c>
    </row>
    <row r="26" spans="1:4" x14ac:dyDescent="0.2">
      <c r="A26" s="6" t="s">
        <v>829</v>
      </c>
      <c r="B26" s="147">
        <f>C26-'Budget Total'!E331</f>
        <v>-2.9200000006239861</v>
      </c>
      <c r="C26" s="3">
        <v>1891907.0799999994</v>
      </c>
      <c r="D26" s="148" t="s">
        <v>801</v>
      </c>
    </row>
    <row r="27" spans="1:4" x14ac:dyDescent="0.2">
      <c r="A27" s="6" t="s">
        <v>800</v>
      </c>
      <c r="B27" s="147">
        <f>C27-'Budget Total'!F331</f>
        <v>-0.4999999962747097</v>
      </c>
      <c r="C27" s="147">
        <v>10895735.500000004</v>
      </c>
      <c r="D27" s="148" t="s">
        <v>801</v>
      </c>
    </row>
    <row r="28" spans="1:4" x14ac:dyDescent="0.2">
      <c r="A28" s="6" t="s">
        <v>802</v>
      </c>
      <c r="B28" s="147">
        <f>MIN('Payment by Source'!$I$6:$I$330)</f>
        <v>31982</v>
      </c>
      <c r="C28" s="147" t="str">
        <f>INDEX('Payment by Source'!$A$6:$I$330,MATCH(Notes!B28,'Payment by Source'!$I$6:$I$330,0),2)</f>
        <v>Okoboji</v>
      </c>
      <c r="D28" s="147" t="s">
        <v>803</v>
      </c>
    </row>
    <row r="29" spans="1:4" x14ac:dyDescent="0.2">
      <c r="A29" s="6" t="s">
        <v>804</v>
      </c>
      <c r="B29" s="147">
        <f>C29-'Budget Total'!G331</f>
        <v>3809254</v>
      </c>
      <c r="C29" s="147">
        <v>3809254</v>
      </c>
      <c r="D29" s="147"/>
    </row>
    <row r="30" spans="1:4" x14ac:dyDescent="0.2">
      <c r="A30" s="6" t="s">
        <v>822</v>
      </c>
      <c r="B30" s="147">
        <f>COUNTIF(SpecialEdDeficit!$E$3:$E$327,"&gt;0")-C30</f>
        <v>0</v>
      </c>
      <c r="C30" s="147">
        <v>288</v>
      </c>
      <c r="D30" s="147" t="s">
        <v>823</v>
      </c>
    </row>
    <row r="31" spans="1:4" x14ac:dyDescent="0.2">
      <c r="A31" s="6"/>
    </row>
    <row r="32" spans="1:4" x14ac:dyDescent="0.2">
      <c r="A32" s="6" t="s">
        <v>744</v>
      </c>
    </row>
    <row r="33" spans="1:2" x14ac:dyDescent="0.2">
      <c r="A33" s="6" t="s">
        <v>787</v>
      </c>
    </row>
    <row r="34" spans="1:2" x14ac:dyDescent="0.2">
      <c r="A34" s="6"/>
    </row>
    <row r="35" spans="1:2" x14ac:dyDescent="0.2">
      <c r="A35" s="6"/>
    </row>
    <row r="36" spans="1:2" x14ac:dyDescent="0.2">
      <c r="A36" s="61" t="s">
        <v>776</v>
      </c>
      <c r="B36" s="61" t="s">
        <v>777</v>
      </c>
    </row>
    <row r="37" spans="1:2" x14ac:dyDescent="0.2">
      <c r="A37" s="175" t="str">
        <f>_xlfn.CONCAT("9/",B37,"/",$B$1-1)</f>
        <v>9/18/2024</v>
      </c>
      <c r="B37" s="61">
        <v>18</v>
      </c>
    </row>
    <row r="38" spans="1:2" x14ac:dyDescent="0.2">
      <c r="A38" s="175" t="str">
        <f>_xlfn.CONCAT("10/",B38,"/",$B$1-1)</f>
        <v>10/17/2024</v>
      </c>
      <c r="B38" s="61">
        <v>17</v>
      </c>
    </row>
    <row r="39" spans="1:2" x14ac:dyDescent="0.2">
      <c r="A39" s="175" t="str">
        <f>_xlfn.CONCAT("11/",B39,"/",$B$1-1)</f>
        <v>11/19/2024</v>
      </c>
      <c r="B39" s="61">
        <v>19</v>
      </c>
    </row>
    <row r="40" spans="1:2" x14ac:dyDescent="0.2">
      <c r="A40" s="175" t="str">
        <f>_xlfn.CONCAT("12/",B40,"/",$B$1-1)</f>
        <v>12/18/2024</v>
      </c>
      <c r="B40" s="61">
        <v>18</v>
      </c>
    </row>
    <row r="41" spans="1:2" x14ac:dyDescent="0.2">
      <c r="A41" s="175" t="str">
        <f>_xlfn.CONCAT("1/",B41,"/",$B$1)</f>
        <v>1/17/2025</v>
      </c>
      <c r="B41" s="61">
        <v>17</v>
      </c>
    </row>
    <row r="42" spans="1:2" x14ac:dyDescent="0.2">
      <c r="A42" s="175" t="str">
        <f>_xlfn.CONCAT("2/",B42,"/",$B$1)</f>
        <v>2/20/2025</v>
      </c>
      <c r="B42" s="61">
        <v>20</v>
      </c>
    </row>
    <row r="43" spans="1:2" x14ac:dyDescent="0.2">
      <c r="A43" s="175" t="str">
        <f>_xlfn.CONCAT("3/",B43,"/",$B$1)</f>
        <v>3/19/2025</v>
      </c>
      <c r="B43" s="61">
        <v>19</v>
      </c>
    </row>
    <row r="44" spans="1:2" x14ac:dyDescent="0.2">
      <c r="A44" s="175" t="str">
        <f>_xlfn.CONCAT("4/",B44,"/",$B$1)</f>
        <v>4/17/2025</v>
      </c>
      <c r="B44" s="61">
        <v>17</v>
      </c>
    </row>
    <row r="45" spans="1:2" x14ac:dyDescent="0.2">
      <c r="A45" s="175" t="str">
        <f>_xlfn.CONCAT("5/",B45,"/",$B$1)</f>
        <v>5/19/2025</v>
      </c>
      <c r="B45" s="61">
        <v>19</v>
      </c>
    </row>
    <row r="46" spans="1:2" x14ac:dyDescent="0.2">
      <c r="A46" s="175" t="str">
        <f>_xlfn.CONCAT("6/",B46,"/",$B$1)</f>
        <v>6/18/2025</v>
      </c>
      <c r="B46" s="61">
        <v>18</v>
      </c>
    </row>
    <row r="47" spans="1:2" x14ac:dyDescent="0.2">
      <c r="A47" s="6"/>
    </row>
    <row r="48" spans="1:2" x14ac:dyDescent="0.2">
      <c r="A48" s="6"/>
    </row>
    <row r="49" spans="1:1" x14ac:dyDescent="0.2">
      <c r="A49" s="6"/>
    </row>
    <row r="50" spans="1:1" x14ac:dyDescent="0.2">
      <c r="A50" s="6"/>
    </row>
  </sheetData>
  <dataValidations count="1">
    <dataValidation type="list" allowBlank="1" showInputMessage="1" showErrorMessage="1" sqref="B2" xr:uid="{00000000-0002-0000-0700-000000000000}">
      <formula1>$I$2:$I$11</formula1>
    </dataValidation>
  </dataValidation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Y44"/>
  <sheetViews>
    <sheetView showGridLines="0" zoomScaleNormal="100" workbookViewId="0">
      <selection activeCell="B2" sqref="B2"/>
    </sheetView>
  </sheetViews>
  <sheetFormatPr defaultRowHeight="12.75" x14ac:dyDescent="0.2"/>
  <cols>
    <col min="1" max="1" width="4.28515625" style="70" customWidth="1"/>
    <col min="2" max="2" width="38.28515625" style="70" customWidth="1"/>
    <col min="3" max="3" width="17.42578125" style="84" customWidth="1"/>
    <col min="4" max="4" width="19.42578125" style="84" customWidth="1"/>
    <col min="5" max="5" width="4.28515625" style="84" customWidth="1"/>
    <col min="6" max="6" width="9" style="84" customWidth="1"/>
    <col min="7" max="7" width="9.140625" style="118" hidden="1" customWidth="1"/>
    <col min="8" max="8" width="2.140625" style="61" customWidth="1"/>
    <col min="9" max="9" width="11.85546875" style="61" customWidth="1"/>
    <col min="10" max="10" width="16.85546875" style="61" customWidth="1"/>
    <col min="11" max="11" width="17.42578125" style="61" customWidth="1"/>
    <col min="12" max="12" width="14.140625" style="61" customWidth="1"/>
    <col min="13" max="13" width="14.42578125" style="61" customWidth="1"/>
    <col min="14" max="14" width="14.7109375" style="61" customWidth="1"/>
    <col min="15" max="15" width="16.28515625" style="61" customWidth="1"/>
    <col min="16" max="16" width="17" style="61" customWidth="1"/>
    <col min="17" max="17" width="1.42578125" style="61" customWidth="1"/>
    <col min="18" max="25" width="0" style="118" hidden="1" customWidth="1"/>
    <col min="26" max="16384" width="9.140625" style="61"/>
  </cols>
  <sheetData>
    <row r="1" spans="1:25" ht="24" customHeight="1" x14ac:dyDescent="0.4">
      <c r="A1" s="208" t="str">
        <f>CONCATENATE("FY ",Notes!$B$1," Summary of State Aid Payments to School Districts")</f>
        <v>FY 2025 Summary of State Aid Payments to School Districts</v>
      </c>
      <c r="B1" s="209"/>
      <c r="C1" s="209"/>
      <c r="D1" s="209"/>
      <c r="E1" s="210"/>
      <c r="F1" s="60"/>
    </row>
    <row r="2" spans="1:25" ht="19.5" customHeight="1" x14ac:dyDescent="0.3">
      <c r="A2" s="62"/>
      <c r="B2" s="63" t="s">
        <v>778</v>
      </c>
      <c r="C2" s="211"/>
      <c r="D2" s="211"/>
      <c r="E2" s="212"/>
      <c r="F2" s="64"/>
    </row>
    <row r="3" spans="1:25" ht="17.25" customHeight="1" x14ac:dyDescent="0.4">
      <c r="A3" s="65"/>
      <c r="B3" s="66" t="str">
        <f>INDEX('Budget Total'!$A$6:$H$331,MATCH(PaymentSummary!$B$2,Districts,0),1)</f>
        <v>9999</v>
      </c>
      <c r="C3" s="67"/>
      <c r="D3" s="67"/>
      <c r="E3" s="68"/>
      <c r="F3" s="69"/>
    </row>
    <row r="4" spans="1:25" ht="7.5" customHeight="1" x14ac:dyDescent="0.4">
      <c r="B4" s="71"/>
      <c r="C4" s="72"/>
      <c r="D4" s="72"/>
      <c r="E4" s="73"/>
      <c r="F4" s="69"/>
    </row>
    <row r="5" spans="1:25" ht="7.5" customHeight="1" x14ac:dyDescent="0.2">
      <c r="A5" s="74"/>
      <c r="B5" s="75"/>
      <c r="C5" s="76"/>
      <c r="D5" s="76"/>
      <c r="E5" s="77"/>
      <c r="F5" s="78"/>
    </row>
    <row r="6" spans="1:25" ht="15.75" customHeight="1" x14ac:dyDescent="0.25">
      <c r="A6" s="79"/>
      <c r="B6" s="80" t="s">
        <v>763</v>
      </c>
      <c r="C6" s="81"/>
      <c r="D6" s="95">
        <f>INDEX('Budget Total'!$A$6:$H$331,MATCH(PaymentSummary!$B$2,Districts,0),3)</f>
        <v>3644273711</v>
      </c>
      <c r="E6" s="82"/>
      <c r="F6" s="83"/>
      <c r="G6" s="119"/>
    </row>
    <row r="7" spans="1:25" ht="15.75" customHeight="1" x14ac:dyDescent="0.25">
      <c r="A7" s="79"/>
      <c r="B7" s="80" t="s">
        <v>764</v>
      </c>
      <c r="C7" s="81"/>
      <c r="D7" s="81"/>
      <c r="E7" s="82"/>
      <c r="G7" s="119"/>
    </row>
    <row r="8" spans="1:25" ht="15.75" customHeight="1" x14ac:dyDescent="0.25">
      <c r="A8" s="79"/>
      <c r="B8" s="80" t="s">
        <v>765</v>
      </c>
      <c r="C8" s="81">
        <f>-INDEX('Budget Total'!$A$6:$H$331,MATCH(PaymentSummary!$B$2,Districts,0),4)</f>
        <v>-387427</v>
      </c>
      <c r="D8" s="81"/>
      <c r="E8" s="82"/>
      <c r="F8" s="83"/>
      <c r="G8" s="120"/>
    </row>
    <row r="9" spans="1:25" ht="15.75" customHeight="1" x14ac:dyDescent="0.25">
      <c r="A9" s="79"/>
      <c r="B9" s="187" t="s">
        <v>1155</v>
      </c>
      <c r="C9" s="81">
        <f>-INDEX('Budget Total'!$A$6:$H$331,MATCH(PaymentSummary!$B$2,Districts,0),5)</f>
        <v>-1891910</v>
      </c>
      <c r="D9" s="81"/>
      <c r="E9" s="82"/>
      <c r="F9" s="83"/>
      <c r="G9" s="120"/>
    </row>
    <row r="10" spans="1:25" ht="15.75" customHeight="1" x14ac:dyDescent="0.25">
      <c r="A10" s="79"/>
      <c r="B10" s="80" t="s">
        <v>766</v>
      </c>
      <c r="C10" s="81">
        <f>-INDEX('Budget Total'!$A$6:$H$331,MATCH(PaymentSummary!$B$2,Districts,0),6)</f>
        <v>-10895736</v>
      </c>
      <c r="D10" s="81"/>
      <c r="E10" s="82"/>
      <c r="F10" s="83"/>
      <c r="G10" s="120"/>
      <c r="J10" s="112"/>
    </row>
    <row r="11" spans="1:25" ht="15.75" customHeight="1" x14ac:dyDescent="0.25">
      <c r="A11" s="79"/>
      <c r="B11" s="80" t="s">
        <v>767</v>
      </c>
      <c r="C11" s="81">
        <f>-INDEX('Budget Total'!$A$6:$H$331,MATCH(PaymentSummary!$B$2,Districts,0),7)</f>
        <v>0</v>
      </c>
      <c r="D11" s="81"/>
      <c r="E11" s="82"/>
      <c r="F11" s="83"/>
      <c r="G11" s="120"/>
      <c r="H11" s="122"/>
      <c r="I11" s="213" t="str">
        <f>CONCATENATE("FY ",Notes!$B$1," Budget for State Payments to School Districts by Month by Source")</f>
        <v>FY 2025 Budget for State Payments to School Districts by Month by Source</v>
      </c>
      <c r="J11" s="213"/>
      <c r="K11" s="213"/>
      <c r="L11" s="213"/>
      <c r="M11" s="213"/>
      <c r="N11" s="213"/>
      <c r="O11" s="213"/>
      <c r="P11" s="213"/>
      <c r="Q11" s="214"/>
    </row>
    <row r="12" spans="1:25" ht="15.75" customHeight="1" x14ac:dyDescent="0.25">
      <c r="A12" s="79"/>
      <c r="B12" s="80" t="s">
        <v>768</v>
      </c>
      <c r="C12" s="81">
        <f>INDEX(SpecialEdDeficit!$A$3:$E$328,MATCH(PaymentSummary!$B$3,SpecialEdDeficit!$B$3:$B$328,0),5)</f>
        <v>3361624</v>
      </c>
      <c r="D12" s="81">
        <f>SUM(C8:C12)</f>
        <v>-9813449</v>
      </c>
      <c r="E12" s="82"/>
      <c r="F12" s="83"/>
      <c r="G12" s="120"/>
      <c r="H12" s="125"/>
      <c r="I12" s="202"/>
      <c r="J12" s="202"/>
      <c r="K12" s="202"/>
      <c r="L12" s="202"/>
      <c r="M12" s="202"/>
      <c r="N12" s="202"/>
      <c r="O12" s="202"/>
      <c r="P12" s="202"/>
      <c r="Q12" s="215"/>
    </row>
    <row r="13" spans="1:25" ht="15.75" customHeight="1" thickBot="1" x14ac:dyDescent="0.3">
      <c r="A13" s="79"/>
      <c r="B13" s="80" t="s">
        <v>769</v>
      </c>
      <c r="C13" s="81"/>
      <c r="D13" s="85">
        <f>D6+D12</f>
        <v>3634460262</v>
      </c>
      <c r="E13" s="82"/>
      <c r="F13" s="83"/>
      <c r="G13" s="120"/>
      <c r="H13" s="125"/>
      <c r="Q13" s="128"/>
    </row>
    <row r="14" spans="1:25" ht="18.75" customHeight="1" thickTop="1" x14ac:dyDescent="0.25">
      <c r="A14" s="79"/>
      <c r="B14" s="80"/>
      <c r="C14" s="81"/>
      <c r="D14" s="81"/>
      <c r="E14" s="82"/>
      <c r="G14" s="119"/>
      <c r="H14" s="125"/>
      <c r="I14" s="206" t="s">
        <v>699</v>
      </c>
      <c r="J14" s="206" t="str">
        <f>Data!$M$1</f>
        <v>Preschool State Aid (Code 3117)</v>
      </c>
      <c r="K14" s="206" t="str">
        <f>Data!N1</f>
        <v>Teacher Salary (Code 3204)</v>
      </c>
      <c r="L14" s="206" t="str">
        <f>Data!O1</f>
        <v>Early Intervention (Code 3216)</v>
      </c>
      <c r="M14" s="206" t="str">
        <f>Data!P1</f>
        <v>Professional Development (Code 3376)</v>
      </c>
      <c r="N14" s="206" t="str">
        <f>Data!Q1</f>
        <v>Teacher Leadership (Code 3116)</v>
      </c>
      <c r="O14" s="206" t="s">
        <v>747</v>
      </c>
      <c r="P14" s="206" t="s">
        <v>354</v>
      </c>
      <c r="Q14" s="128"/>
      <c r="R14" s="132" t="str">
        <f>'Payment by Source'!C$4</f>
        <v>Preschool State Aid 
(Code 3117)</v>
      </c>
      <c r="S14" s="121" t="str">
        <f>'Payment by Source'!D$4</f>
        <v>Teacher Salary (Code 3204)</v>
      </c>
      <c r="T14" s="121" t="str">
        <f>'Payment by Source'!E$4</f>
        <v>Early Intervention (Code 3216)</v>
      </c>
      <c r="U14" s="121" t="str">
        <f>'Payment by Source'!F$4</f>
        <v>Professional Development (Code 3376)</v>
      </c>
      <c r="V14" s="121" t="str">
        <f>'Payment by Source'!G$4</f>
        <v>Teacher Leadership 
(Code 3116)</v>
      </c>
      <c r="W14" s="121" t="str">
        <f>'Payment by Source'!H$4</f>
        <v>State Foundation Aid 
(Code 3111)</v>
      </c>
      <c r="X14" s="121" t="str">
        <f>'Payment by Source'!I$4</f>
        <v>Regular State Payment</v>
      </c>
      <c r="Y14" s="121">
        <f>'Payment by Source'!J$4</f>
        <v>0</v>
      </c>
    </row>
    <row r="15" spans="1:25" ht="15.75" customHeight="1" x14ac:dyDescent="0.25">
      <c r="A15" s="79"/>
      <c r="B15" s="86"/>
      <c r="C15" s="87"/>
      <c r="D15" s="88" t="s">
        <v>770</v>
      </c>
      <c r="E15" s="82"/>
      <c r="G15" s="119"/>
      <c r="H15" s="125"/>
      <c r="I15" s="206"/>
      <c r="J15" s="206"/>
      <c r="K15" s="206"/>
      <c r="L15" s="206"/>
      <c r="M15" s="206"/>
      <c r="N15" s="206"/>
      <c r="O15" s="206"/>
      <c r="P15" s="206"/>
      <c r="Q15" s="128"/>
    </row>
    <row r="16" spans="1:25" ht="15.75" customHeight="1" x14ac:dyDescent="0.25">
      <c r="A16" s="79"/>
      <c r="B16" s="80" t="str">
        <f>CONCATENATE("FY ",Notes!$B$1," Payments (EFT Date):")</f>
        <v>FY 2025 Payments (EFT Date):</v>
      </c>
      <c r="C16" s="87"/>
      <c r="D16" s="89" t="s">
        <v>771</v>
      </c>
      <c r="E16" s="82"/>
      <c r="G16" s="119"/>
      <c r="H16" s="125"/>
      <c r="I16" s="207"/>
      <c r="J16" s="207"/>
      <c r="K16" s="207"/>
      <c r="L16" s="207"/>
      <c r="M16" s="207"/>
      <c r="N16" s="207"/>
      <c r="O16" s="207"/>
      <c r="P16" s="207"/>
      <c r="Q16" s="128"/>
    </row>
    <row r="17" spans="1:17" ht="15.75" customHeight="1" x14ac:dyDescent="0.25">
      <c r="A17" s="79"/>
      <c r="B17" s="176" t="str">
        <f>Notes!A37</f>
        <v>9/18/2024</v>
      </c>
      <c r="C17" s="87"/>
      <c r="D17" s="81">
        <f>INDEX(Data[],MATCH($B$3,Data[Dist],0),MATCH($G17,Data[#Headers],0))</f>
        <v>364199459</v>
      </c>
      <c r="E17" s="82"/>
      <c r="G17" s="119" t="str">
        <f>Data[[#Headers],[September Payment]]</f>
        <v>September Payment</v>
      </c>
      <c r="H17" s="125"/>
      <c r="I17" s="115" t="s">
        <v>700</v>
      </c>
      <c r="J17" s="81">
        <f>ROUND(INDEX(Data[],MATCH($B$3,Data[Dist],0),MATCH(J$14,Data[#Headers],0))/10,0)</f>
        <v>9103407</v>
      </c>
      <c r="K17" s="81">
        <f>ROUND(INDEX(Data[],MATCH($B$3,Data[Dist],0),MATCH(K$14,Data[#Headers],0))/10,0)</f>
        <v>40114335</v>
      </c>
      <c r="L17" s="81">
        <f>ROUND(INDEX(Data[],MATCH($B$3,Data[Dist],0),MATCH(L$14,Data[#Headers],0))/10,0)</f>
        <v>4128918</v>
      </c>
      <c r="M17" s="81">
        <f>ROUND(INDEX(Data[],MATCH($B$3,Data[Dist],0),MATCH(M$14,Data[#Headers],0))/10,0)</f>
        <v>3796712</v>
      </c>
      <c r="N17" s="81">
        <f>ROUND(INDEX(Data[],MATCH($B$3,Data[Dist],0),MATCH(N$14,Data[#Headers],0))/10,0)</f>
        <v>18922935</v>
      </c>
      <c r="O17" s="81">
        <f>P17-SUM(J17:N17)</f>
        <v>288133152</v>
      </c>
      <c r="P17" s="81">
        <f>D17</f>
        <v>364199459</v>
      </c>
      <c r="Q17" s="128"/>
    </row>
    <row r="18" spans="1:17" ht="15.75" customHeight="1" x14ac:dyDescent="0.25">
      <c r="A18" s="79"/>
      <c r="B18" s="176" t="str">
        <f>Notes!A38</f>
        <v>10/17/2024</v>
      </c>
      <c r="C18" s="87"/>
      <c r="D18" s="81">
        <f>INDEX(Data[],MATCH($B$3,Data[Dist],0),MATCH($G18,Data[#Headers],0))</f>
        <v>364199459</v>
      </c>
      <c r="E18" s="82"/>
      <c r="G18" s="119" t="str">
        <f>Data[[#Headers],[October Payment]]</f>
        <v>October Payment</v>
      </c>
      <c r="H18" s="125"/>
      <c r="I18" s="115" t="s">
        <v>703</v>
      </c>
      <c r="J18" s="81">
        <f>ROUND(INDEX(Data[],MATCH($B$3,Data[Dist],0),MATCH(J$14,Data[#Headers],0))/10,0)</f>
        <v>9103407</v>
      </c>
      <c r="K18" s="81">
        <f>ROUND(INDEX(Data[],MATCH($B$3,Data[Dist],0),MATCH(K$14,Data[#Headers],0))/10,0)</f>
        <v>40114335</v>
      </c>
      <c r="L18" s="81">
        <f>ROUND(INDEX(Data[],MATCH($B$3,Data[Dist],0),MATCH(L$14,Data[#Headers],0))/10,0)</f>
        <v>4128918</v>
      </c>
      <c r="M18" s="81">
        <f>ROUND(INDEX(Data[],MATCH($B$3,Data[Dist],0),MATCH(M$14,Data[#Headers],0))/10,0)</f>
        <v>3796712</v>
      </c>
      <c r="N18" s="81">
        <f>ROUND(INDEX(Data[],MATCH($B$3,Data[Dist],0),MATCH(N$14,Data[#Headers],0))/10,0)</f>
        <v>18922935</v>
      </c>
      <c r="O18" s="81">
        <f t="shared" ref="O18:O25" si="0">P18-SUM(J18:N18)</f>
        <v>288133152</v>
      </c>
      <c r="P18" s="81">
        <f t="shared" ref="P18:P26" si="1">D18</f>
        <v>364199459</v>
      </c>
      <c r="Q18" s="128"/>
    </row>
    <row r="19" spans="1:17" ht="15.75" customHeight="1" x14ac:dyDescent="0.25">
      <c r="A19" s="79"/>
      <c r="B19" s="176" t="str">
        <f>Notes!A39</f>
        <v>11/19/2024</v>
      </c>
      <c r="C19" s="87"/>
      <c r="D19" s="81">
        <f>INDEX(Data[],MATCH($B$3,Data[Dist],0),MATCH($G19,Data[#Headers],0))</f>
        <v>364199459</v>
      </c>
      <c r="E19" s="82"/>
      <c r="G19" s="119" t="str">
        <f>Data[[#Headers],[November Payment]]</f>
        <v>November Payment</v>
      </c>
      <c r="H19" s="125"/>
      <c r="I19" s="115" t="s">
        <v>704</v>
      </c>
      <c r="J19" s="81">
        <f>ROUND(INDEX(Data[],MATCH($B$3,Data[Dist],0),MATCH(J$14,Data[#Headers],0))/10,0)</f>
        <v>9103407</v>
      </c>
      <c r="K19" s="81">
        <f>ROUND(INDEX(Data[],MATCH($B$3,Data[Dist],0),MATCH(K$14,Data[#Headers],0))/10,0)</f>
        <v>40114335</v>
      </c>
      <c r="L19" s="81">
        <f>ROUND(INDEX(Data[],MATCH($B$3,Data[Dist],0),MATCH(L$14,Data[#Headers],0))/10,0)</f>
        <v>4128918</v>
      </c>
      <c r="M19" s="81">
        <f>ROUND(INDEX(Data[],MATCH($B$3,Data[Dist],0),MATCH(M$14,Data[#Headers],0))/10,0)</f>
        <v>3796712</v>
      </c>
      <c r="N19" s="81">
        <f>ROUND(INDEX(Data[],MATCH($B$3,Data[Dist],0),MATCH(N$14,Data[#Headers],0))/10,0)</f>
        <v>18922935</v>
      </c>
      <c r="O19" s="81">
        <f t="shared" si="0"/>
        <v>288133152</v>
      </c>
      <c r="P19" s="81">
        <f t="shared" si="1"/>
        <v>364199459</v>
      </c>
      <c r="Q19" s="128"/>
    </row>
    <row r="20" spans="1:17" ht="15.75" customHeight="1" x14ac:dyDescent="0.25">
      <c r="A20" s="79"/>
      <c r="B20" s="176" t="str">
        <f>Notes!A40</f>
        <v>12/18/2024</v>
      </c>
      <c r="C20" s="87"/>
      <c r="D20" s="81">
        <f>INDEX(Data[],MATCH($B$3,Data[Dist],0),MATCH($G20,Data[#Headers],0))</f>
        <v>364199459</v>
      </c>
      <c r="E20" s="82"/>
      <c r="G20" s="119" t="str">
        <f>Data[[#Headers],[December Payment]]</f>
        <v>December Payment</v>
      </c>
      <c r="H20" s="125"/>
      <c r="I20" s="115" t="s">
        <v>705</v>
      </c>
      <c r="J20" s="81">
        <f>ROUND(INDEX(Data[],MATCH($B$3,Data[Dist],0),MATCH(J$14,Data[#Headers],0))/10,0)</f>
        <v>9103407</v>
      </c>
      <c r="K20" s="81">
        <f>ROUND(INDEX(Data[],MATCH($B$3,Data[Dist],0),MATCH(K$14,Data[#Headers],0))/10,0)</f>
        <v>40114335</v>
      </c>
      <c r="L20" s="81">
        <f>ROUND(INDEX(Data[],MATCH($B$3,Data[Dist],0),MATCH(L$14,Data[#Headers],0))/10,0)</f>
        <v>4128918</v>
      </c>
      <c r="M20" s="81">
        <f>ROUND(INDEX(Data[],MATCH($B$3,Data[Dist],0),MATCH(M$14,Data[#Headers],0))/10,0)</f>
        <v>3796712</v>
      </c>
      <c r="N20" s="81">
        <f>ROUND(INDEX(Data[],MATCH($B$3,Data[Dist],0),MATCH(N$14,Data[#Headers],0))/10,0)</f>
        <v>18922935</v>
      </c>
      <c r="O20" s="81">
        <f t="shared" si="0"/>
        <v>288133152</v>
      </c>
      <c r="P20" s="81">
        <f t="shared" si="1"/>
        <v>364199459</v>
      </c>
      <c r="Q20" s="128"/>
    </row>
    <row r="21" spans="1:17" ht="15.75" customHeight="1" x14ac:dyDescent="0.25">
      <c r="A21" s="79"/>
      <c r="B21" s="176" t="str">
        <f>Notes!A41</f>
        <v>1/17/2025</v>
      </c>
      <c r="C21" s="87"/>
      <c r="D21" s="81">
        <f>INDEX(Data[],MATCH($B$3,Data[Dist],0),MATCH($G21,Data[#Headers],0))</f>
        <v>362383500</v>
      </c>
      <c r="E21" s="82"/>
      <c r="G21" s="119" t="str">
        <f>Data[[#Headers],[January Payment]]</f>
        <v>January Payment</v>
      </c>
      <c r="H21" s="125"/>
      <c r="I21" s="115" t="s">
        <v>706</v>
      </c>
      <c r="J21" s="81">
        <f>ROUND(INDEX(Data[],MATCH($B$3,Data[Dist],0),MATCH(J$14,Data[#Headers],0))/10,0)</f>
        <v>9103407</v>
      </c>
      <c r="K21" s="81">
        <f>ROUND(INDEX(Data[],MATCH($B$3,Data[Dist],0),MATCH(K$14,Data[#Headers],0))/10,0)</f>
        <v>40114335</v>
      </c>
      <c r="L21" s="81">
        <f>ROUND(INDEX(Data[],MATCH($B$3,Data[Dist],0),MATCH(L$14,Data[#Headers],0))/10,0)</f>
        <v>4128918</v>
      </c>
      <c r="M21" s="81">
        <f>ROUND(INDEX(Data[],MATCH($B$3,Data[Dist],0),MATCH(M$14,Data[#Headers],0))/10,0)</f>
        <v>3796712</v>
      </c>
      <c r="N21" s="81">
        <f>ROUND(INDEX(Data[],MATCH($B$3,Data[Dist],0),MATCH(N$14,Data[#Headers],0))/10,0)</f>
        <v>18922935</v>
      </c>
      <c r="O21" s="81">
        <f t="shared" si="0"/>
        <v>286317193</v>
      </c>
      <c r="P21" s="81">
        <f t="shared" si="1"/>
        <v>362383500</v>
      </c>
      <c r="Q21" s="128"/>
    </row>
    <row r="22" spans="1:17" ht="15.75" customHeight="1" x14ac:dyDescent="0.25">
      <c r="A22" s="79"/>
      <c r="B22" s="176" t="str">
        <f>Notes!A42</f>
        <v>2/20/2025</v>
      </c>
      <c r="C22" s="87"/>
      <c r="D22" s="81">
        <f>INDEX(Data[],MATCH($B$3,Data[Dist],0),MATCH($G22,Data[#Headers],0))</f>
        <v>362383500</v>
      </c>
      <c r="E22" s="90"/>
      <c r="G22" s="119" t="str">
        <f>Data[[#Headers],[February Payment]]</f>
        <v>February Payment</v>
      </c>
      <c r="H22" s="125"/>
      <c r="I22" s="115" t="s">
        <v>707</v>
      </c>
      <c r="J22" s="81">
        <f>ROUND(INDEX(Data[],MATCH($B$3,Data[Dist],0),MATCH(J$14,Data[#Headers],0))/10,0)</f>
        <v>9103407</v>
      </c>
      <c r="K22" s="81">
        <f>ROUND(INDEX(Data[],MATCH($B$3,Data[Dist],0),MATCH(K$14,Data[#Headers],0))/10,0)</f>
        <v>40114335</v>
      </c>
      <c r="L22" s="81">
        <f>ROUND(INDEX(Data[],MATCH($B$3,Data[Dist],0),MATCH(L$14,Data[#Headers],0))/10,0)</f>
        <v>4128918</v>
      </c>
      <c r="M22" s="81">
        <f>ROUND(INDEX(Data[],MATCH($B$3,Data[Dist],0),MATCH(M$14,Data[#Headers],0))/10,0)</f>
        <v>3796712</v>
      </c>
      <c r="N22" s="81">
        <f>ROUND(INDEX(Data[],MATCH($B$3,Data[Dist],0),MATCH(N$14,Data[#Headers],0))/10,0)</f>
        <v>18922935</v>
      </c>
      <c r="O22" s="81">
        <f t="shared" si="0"/>
        <v>286317193</v>
      </c>
      <c r="P22" s="81">
        <f t="shared" si="1"/>
        <v>362383500</v>
      </c>
      <c r="Q22" s="128"/>
    </row>
    <row r="23" spans="1:17" ht="15.75" customHeight="1" x14ac:dyDescent="0.25">
      <c r="A23" s="79"/>
      <c r="B23" s="176" t="str">
        <f>Notes!A43</f>
        <v>3/19/2025</v>
      </c>
      <c r="C23" s="87"/>
      <c r="D23" s="81">
        <f>INDEX(Data[],MATCH($B$3,Data[Dist],0),MATCH($G23,Data[#Headers],0))</f>
        <v>362383491</v>
      </c>
      <c r="E23" s="90"/>
      <c r="G23" s="119" t="str">
        <f>Data[[#Headers],[March Payment]]</f>
        <v>March Payment</v>
      </c>
      <c r="H23" s="125"/>
      <c r="I23" s="115" t="s">
        <v>708</v>
      </c>
      <c r="J23" s="81">
        <f>ROUND(INDEX(Data[],MATCH($B$3,Data[Dist],0),MATCH(J$14,Data[#Headers],0))/10,0)</f>
        <v>9103407</v>
      </c>
      <c r="K23" s="81">
        <f>ROUND(INDEX(Data[],MATCH($B$3,Data[Dist],0),MATCH(K$14,Data[#Headers],0))/10,0)</f>
        <v>40114335</v>
      </c>
      <c r="L23" s="81">
        <f>ROUND(INDEX(Data[],MATCH($B$3,Data[Dist],0),MATCH(L$14,Data[#Headers],0))/10,0)</f>
        <v>4128918</v>
      </c>
      <c r="M23" s="81">
        <f>ROUND(INDEX(Data[],MATCH($B$3,Data[Dist],0),MATCH(M$14,Data[#Headers],0))/10,0)</f>
        <v>3796712</v>
      </c>
      <c r="N23" s="81">
        <f>ROUND(INDEX(Data[],MATCH($B$3,Data[Dist],0),MATCH(N$14,Data[#Headers],0))/10,0)</f>
        <v>18922935</v>
      </c>
      <c r="O23" s="81">
        <f t="shared" si="0"/>
        <v>286317184</v>
      </c>
      <c r="P23" s="81">
        <f t="shared" si="1"/>
        <v>362383491</v>
      </c>
      <c r="Q23" s="128"/>
    </row>
    <row r="24" spans="1:17" ht="15.75" customHeight="1" x14ac:dyDescent="0.25">
      <c r="A24" s="79"/>
      <c r="B24" s="176" t="str">
        <f>Notes!A44</f>
        <v>4/17/2025</v>
      </c>
      <c r="C24" s="87"/>
      <c r="D24" s="81">
        <f>INDEX(Data[],MATCH($B$3,Data[Dist],0),MATCH($G24,Data[#Headers],0))</f>
        <v>362383491</v>
      </c>
      <c r="E24" s="82"/>
      <c r="G24" s="119" t="str">
        <f>Data[[#Headers],[April Payment]]</f>
        <v>April Payment</v>
      </c>
      <c r="H24" s="125"/>
      <c r="I24" s="115" t="s">
        <v>709</v>
      </c>
      <c r="J24" s="81">
        <f>ROUND(INDEX(Data[],MATCH($B$3,Data[Dist],0),MATCH(J$14,Data[#Headers],0))/10,0)</f>
        <v>9103407</v>
      </c>
      <c r="K24" s="81">
        <f>ROUND(INDEX(Data[],MATCH($B$3,Data[Dist],0),MATCH(K$14,Data[#Headers],0))/10,0)</f>
        <v>40114335</v>
      </c>
      <c r="L24" s="81">
        <f>ROUND(INDEX(Data[],MATCH($B$3,Data[Dist],0),MATCH(L$14,Data[#Headers],0))/10,0)</f>
        <v>4128918</v>
      </c>
      <c r="M24" s="81">
        <f>ROUND(INDEX(Data[],MATCH($B$3,Data[Dist],0),MATCH(M$14,Data[#Headers],0))/10,0)</f>
        <v>3796712</v>
      </c>
      <c r="N24" s="81">
        <f>ROUND(INDEX(Data[],MATCH($B$3,Data[Dist],0),MATCH(N$14,Data[#Headers],0))/10,0)</f>
        <v>18922935</v>
      </c>
      <c r="O24" s="81">
        <f t="shared" si="0"/>
        <v>286317184</v>
      </c>
      <c r="P24" s="81">
        <f t="shared" si="1"/>
        <v>362383491</v>
      </c>
      <c r="Q24" s="128"/>
    </row>
    <row r="25" spans="1:17" ht="15.75" customHeight="1" x14ac:dyDescent="0.25">
      <c r="A25" s="79"/>
      <c r="B25" s="176" t="str">
        <f>Notes!A45</f>
        <v>5/19/2025</v>
      </c>
      <c r="C25" s="87"/>
      <c r="D25" s="81">
        <f>INDEX(Data[],MATCH($B$3,Data[Dist],0),MATCH($G25,Data[#Headers],0))</f>
        <v>362383491</v>
      </c>
      <c r="E25" s="82"/>
      <c r="G25" s="119" t="str">
        <f>Data[[#Headers],[May Payment]]</f>
        <v>May Payment</v>
      </c>
      <c r="H25" s="125"/>
      <c r="I25" s="115" t="s">
        <v>710</v>
      </c>
      <c r="J25" s="81">
        <f>ROUND(INDEX(Data[],MATCH($B$3,Data[Dist],0),MATCH(J$14,Data[#Headers],0))/10,0)</f>
        <v>9103407</v>
      </c>
      <c r="K25" s="81">
        <f>ROUND(INDEX(Data[],MATCH($B$3,Data[Dist],0),MATCH(K$14,Data[#Headers],0))/10,0)</f>
        <v>40114335</v>
      </c>
      <c r="L25" s="81">
        <f>ROUND(INDEX(Data[],MATCH($B$3,Data[Dist],0),MATCH(L$14,Data[#Headers],0))/10,0)</f>
        <v>4128918</v>
      </c>
      <c r="M25" s="81">
        <f>ROUND(INDEX(Data[],MATCH($B$3,Data[Dist],0),MATCH(M$14,Data[#Headers],0))/10,0)</f>
        <v>3796712</v>
      </c>
      <c r="N25" s="81">
        <f>ROUND(INDEX(Data[],MATCH($B$3,Data[Dist],0),MATCH(N$14,Data[#Headers],0))/10,0)</f>
        <v>18922935</v>
      </c>
      <c r="O25" s="81">
        <f t="shared" si="0"/>
        <v>286317184</v>
      </c>
      <c r="P25" s="81">
        <f t="shared" si="1"/>
        <v>362383491</v>
      </c>
      <c r="Q25" s="128"/>
    </row>
    <row r="26" spans="1:17" ht="15.75" customHeight="1" x14ac:dyDescent="0.25">
      <c r="A26" s="79"/>
      <c r="B26" s="176" t="str">
        <f>Notes!A46</f>
        <v>6/18/2025</v>
      </c>
      <c r="C26" s="87"/>
      <c r="D26" s="81">
        <f>INDEX(Data[],MATCH($B$3,Data[Dist],0),MATCH($G26,Data[#Headers],0))</f>
        <v>362383329</v>
      </c>
      <c r="E26" s="82"/>
      <c r="G26" s="119" t="str">
        <f>Data[[#Headers],[June Payment]]</f>
        <v>June Payment</v>
      </c>
      <c r="H26" s="125"/>
      <c r="I26" s="115" t="s">
        <v>711</v>
      </c>
      <c r="J26" s="81">
        <f>INDEX('Payment by Source'!$A$6:$I$331,MATCH(PaymentSummary!$B$3,'Payment by Source'!$A$6:$A$331,0),MATCH(R$14,'Payment by Source'!$A$4:$I$4,0))</f>
        <v>9103429</v>
      </c>
      <c r="K26" s="81">
        <f>INDEX('Payment by Source'!$A$6:$I$331,MATCH(PaymentSummary!$B$3,'Payment by Source'!$A$6:$A$331,0),MATCH(S$14,'Payment by Source'!$A$4:$I$4,0))</f>
        <v>40114343</v>
      </c>
      <c r="L26" s="81">
        <f>INDEX('Payment by Source'!$A$6:$I$331,MATCH(PaymentSummary!$B$3,'Payment by Source'!$A$6:$A$331,0),MATCH(T$14,'Payment by Source'!$A$4:$I$4,0))</f>
        <v>4128940</v>
      </c>
      <c r="M26" s="81">
        <f>INDEX('Payment by Source'!$A$6:$I$331,MATCH(PaymentSummary!$B$3,'Payment by Source'!$A$6:$A$331,0),MATCH(U$14,'Payment by Source'!$A$4:$I$4,0))</f>
        <v>3796721</v>
      </c>
      <c r="N26" s="81">
        <f>INDEX('Payment by Source'!$A$6:$I$331,MATCH(PaymentSummary!$B$3,'Payment by Source'!$A$6:$A$331,0),MATCH(V$14,'Payment by Source'!$A$4:$I$4,0))</f>
        <v>18922945</v>
      </c>
      <c r="O26" s="81">
        <f>INDEX('Payment by Source'!$A$6:$I$331,MATCH(PaymentSummary!$B$3,'Payment by Source'!$A$6:$A$331,0),MATCH(W$14,'Payment by Source'!$A$4:$I$4,0))</f>
        <v>286317122</v>
      </c>
      <c r="P26" s="81">
        <f t="shared" si="1"/>
        <v>362383329</v>
      </c>
      <c r="Q26" s="128"/>
    </row>
    <row r="27" spans="1:17" ht="15.75" customHeight="1" thickBot="1" x14ac:dyDescent="0.3">
      <c r="A27" s="79"/>
      <c r="B27" s="91" t="str">
        <f>CONCATENATE(TEXT(B26,"   mm/dd/yyyy")," Special Ed Deficit")</f>
        <v xml:space="preserve">   06/18/2025 Special Ed Deficit</v>
      </c>
      <c r="C27" s="87"/>
      <c r="D27" s="81">
        <f>C12</f>
        <v>3361624</v>
      </c>
      <c r="E27" s="82"/>
      <c r="G27" s="119"/>
      <c r="H27" s="125"/>
      <c r="I27" s="115" t="s">
        <v>780</v>
      </c>
      <c r="J27" s="85">
        <f>INDEX(Data[],MATCH($B$3,Data[Dist],0),MATCH(J$14,Data[#Headers],0))</f>
        <v>91034073</v>
      </c>
      <c r="K27" s="85">
        <f>INDEX(Data[],MATCH($B$3,Data[Dist],0),MATCH(K$14,Data[#Headers],0))</f>
        <v>401143347</v>
      </c>
      <c r="L27" s="85">
        <f>INDEX(Data[],MATCH($B$3,Data[Dist],0),MATCH(L$14,Data[#Headers],0))</f>
        <v>41289183</v>
      </c>
      <c r="M27" s="85">
        <f>INDEX(Data[],MATCH($B$3,Data[Dist],0),MATCH(M$14,Data[#Headers],0))</f>
        <v>37967116</v>
      </c>
      <c r="N27" s="85">
        <f>INDEX(Data[],MATCH($B$3,Data[Dist],0),MATCH(N$14,Data[#Headers],0))</f>
        <v>189229348</v>
      </c>
      <c r="O27" s="85">
        <f>SUM(O17:O26)</f>
        <v>2870435668</v>
      </c>
      <c r="P27" s="85">
        <f>SUM(P17:P26)</f>
        <v>3631098638</v>
      </c>
      <c r="Q27" s="128"/>
    </row>
    <row r="28" spans="1:17" ht="18" customHeight="1" thickTop="1" thickBot="1" x14ac:dyDescent="0.3">
      <c r="A28" s="79"/>
      <c r="B28" s="92" t="s">
        <v>772</v>
      </c>
      <c r="C28" s="87"/>
      <c r="D28" s="85">
        <f>SUM(D17:D27)</f>
        <v>3634460262</v>
      </c>
      <c r="E28" s="82"/>
      <c r="H28" s="125"/>
      <c r="J28" s="133"/>
      <c r="K28" s="133"/>
      <c r="L28" s="133"/>
      <c r="Q28" s="128"/>
    </row>
    <row r="29" spans="1:17" ht="13.5" customHeight="1" thickTop="1" x14ac:dyDescent="0.25">
      <c r="A29" s="93"/>
      <c r="B29" s="94"/>
      <c r="C29" s="95"/>
      <c r="D29" s="95"/>
      <c r="E29" s="96"/>
      <c r="H29" s="125"/>
      <c r="J29" s="80"/>
      <c r="K29" s="133"/>
      <c r="L29" s="133"/>
      <c r="M29" s="133"/>
      <c r="N29" s="133"/>
      <c r="O29" s="133"/>
      <c r="Q29" s="128"/>
    </row>
    <row r="30" spans="1:17" ht="7.5" customHeight="1" x14ac:dyDescent="0.25">
      <c r="A30" s="97"/>
      <c r="B30" s="92"/>
      <c r="C30" s="81"/>
      <c r="D30" s="81"/>
      <c r="H30" s="129"/>
      <c r="I30" s="130"/>
      <c r="J30" s="130"/>
      <c r="K30" s="130"/>
      <c r="L30" s="130"/>
      <c r="M30" s="130"/>
      <c r="N30" s="130"/>
      <c r="O30" s="130"/>
      <c r="P30" s="130"/>
      <c r="Q30" s="131"/>
    </row>
    <row r="31" spans="1:17" ht="7.5" customHeight="1" x14ac:dyDescent="0.25">
      <c r="A31" s="98"/>
      <c r="B31" s="99"/>
      <c r="C31" s="100"/>
      <c r="D31" s="100"/>
      <c r="E31" s="101"/>
    </row>
    <row r="32" spans="1:17" ht="13.9" customHeight="1" x14ac:dyDescent="0.25">
      <c r="A32" s="79"/>
      <c r="B32" s="80" t="s">
        <v>773</v>
      </c>
      <c r="C32" s="81"/>
      <c r="D32" s="81">
        <v>0</v>
      </c>
      <c r="E32" s="82"/>
    </row>
    <row r="33" spans="1:17" ht="7.5" customHeight="1" x14ac:dyDescent="0.25">
      <c r="A33" s="65"/>
      <c r="B33" s="94"/>
      <c r="C33" s="95"/>
      <c r="D33" s="95"/>
      <c r="E33" s="96"/>
    </row>
    <row r="34" spans="1:17" ht="7.5" customHeight="1" x14ac:dyDescent="0.25">
      <c r="B34" s="80"/>
      <c r="C34" s="102"/>
      <c r="D34" s="102"/>
      <c r="H34" s="122"/>
      <c r="I34" s="123"/>
      <c r="J34" s="203" t="s">
        <v>785</v>
      </c>
      <c r="K34" s="203" t="s">
        <v>786</v>
      </c>
      <c r="L34" s="124"/>
    </row>
    <row r="35" spans="1:17" ht="7.5" customHeight="1" x14ac:dyDescent="0.25">
      <c r="A35" s="74"/>
      <c r="B35" s="103"/>
      <c r="C35" s="104"/>
      <c r="D35" s="104"/>
      <c r="E35" s="101"/>
      <c r="H35" s="125"/>
      <c r="J35" s="204"/>
      <c r="K35" s="204"/>
      <c r="L35" s="128"/>
    </row>
    <row r="36" spans="1:17" ht="15.75" customHeight="1" x14ac:dyDescent="0.25">
      <c r="A36" s="62"/>
      <c r="B36" s="80" t="s">
        <v>774</v>
      </c>
      <c r="C36" s="102"/>
      <c r="D36" s="102"/>
      <c r="E36" s="82"/>
      <c r="H36" s="125"/>
      <c r="I36" s="92"/>
      <c r="J36" s="205"/>
      <c r="K36" s="205"/>
      <c r="L36" s="126"/>
      <c r="Q36" s="114"/>
    </row>
    <row r="37" spans="1:17" ht="15.75" customHeight="1" x14ac:dyDescent="0.25">
      <c r="A37" s="62"/>
      <c r="B37" s="91" t="str">
        <f>CONCATENATE("   12/01/",Notes!$B$1-1)</f>
        <v xml:space="preserve">   12/01/2024</v>
      </c>
      <c r="C37" s="105">
        <f>IFERROR(INDEX(SurtaxPayment!$C$6:$U$338,MATCH(PaymentSummary!$B$3,SurtaxPayment!$C$6:$C$338,0),9),0)</f>
        <v>95221863</v>
      </c>
      <c r="D37" s="105"/>
      <c r="E37" s="82"/>
      <c r="H37" s="125"/>
      <c r="I37" s="116" t="s">
        <v>705</v>
      </c>
      <c r="J37" s="105">
        <f>IFERROR(INDEX(SurtaxPayment!$C$6:$U$338,MATCH(PaymentSummary!$B$3,SurtaxPayment!$C$6:$C$338,0),10),0)</f>
        <v>11522220.770000011</v>
      </c>
      <c r="K37" s="105">
        <f>IFERROR(INDEX(SurtaxPayment!$C$6:$U$338,MATCH(PaymentSummary!$B$3,SurtaxPayment!$C$6:$C$338,0),11),0)</f>
        <v>83699642.230000004</v>
      </c>
      <c r="L37" s="127"/>
      <c r="O37" s="113"/>
      <c r="P37" s="113"/>
    </row>
    <row r="38" spans="1:17" ht="15.75" customHeight="1" x14ac:dyDescent="0.25">
      <c r="A38" s="62"/>
      <c r="B38" s="91" t="str">
        <f>CONCATENATE("   02/01/",Notes!$B$1)</f>
        <v xml:space="preserve">   02/01/2025</v>
      </c>
      <c r="C38" s="105">
        <f>IFERROR(INDEX(SurtaxPayment!$C$6:$U$338,MATCH(PaymentSummary!$B$3,SurtaxPayment!$C$6:$C$338,0),13),0)</f>
        <v>33339651.660000015</v>
      </c>
      <c r="D38" s="105"/>
      <c r="E38" s="82"/>
      <c r="H38" s="125"/>
      <c r="I38" s="116" t="s">
        <v>707</v>
      </c>
      <c r="J38" s="105">
        <f>IFERROR(INDEX(SurtaxPayment!$C$6:$U$338,MATCH(PaymentSummary!$B$3,SurtaxPayment!$C$6:$C$338,0),14),0)</f>
        <v>4002078.6000000006</v>
      </c>
      <c r="K38" s="105">
        <f>IFERROR(INDEX(SurtaxPayment!$C$6:$U$338,MATCH(PaymentSummary!$B$3,SurtaxPayment!$C$6:$C$338,0),15),0)</f>
        <v>29337573.060000014</v>
      </c>
      <c r="L38" s="128"/>
    </row>
    <row r="39" spans="1:17" ht="18" customHeight="1" thickBot="1" x14ac:dyDescent="0.3">
      <c r="A39" s="62"/>
      <c r="B39" s="92" t="s">
        <v>775</v>
      </c>
      <c r="C39" s="105"/>
      <c r="D39" s="106">
        <f>C37+C38</f>
        <v>128561514.66000001</v>
      </c>
      <c r="E39" s="82"/>
      <c r="H39" s="125"/>
      <c r="I39" s="116" t="s">
        <v>782</v>
      </c>
      <c r="J39" s="117">
        <f>SUM(J37:J38)</f>
        <v>15524299.370000012</v>
      </c>
      <c r="K39" s="117">
        <f>SUM(K37:K38)</f>
        <v>113037215.29000002</v>
      </c>
      <c r="L39" s="128"/>
    </row>
    <row r="40" spans="1:17" ht="7.5" customHeight="1" thickTop="1" x14ac:dyDescent="0.25">
      <c r="A40" s="65"/>
      <c r="B40" s="94"/>
      <c r="C40" s="95"/>
      <c r="D40" s="95"/>
      <c r="E40" s="96"/>
      <c r="H40" s="129"/>
      <c r="I40" s="130"/>
      <c r="J40" s="130"/>
      <c r="K40" s="130"/>
      <c r="L40" s="131"/>
    </row>
    <row r="41" spans="1:17" ht="7.5" customHeight="1" x14ac:dyDescent="0.25">
      <c r="B41" s="80"/>
      <c r="C41" s="102"/>
      <c r="D41" s="102"/>
    </row>
    <row r="42" spans="1:17" ht="7.5" customHeight="1" x14ac:dyDescent="0.25">
      <c r="A42" s="74"/>
      <c r="B42" s="103"/>
      <c r="C42" s="104"/>
      <c r="D42" s="104"/>
      <c r="E42" s="101"/>
    </row>
    <row r="43" spans="1:17" ht="15.75" customHeight="1" thickBot="1" x14ac:dyDescent="0.3">
      <c r="A43" s="62"/>
      <c r="B43" s="92" t="str">
        <f>CONCATENATE("FY ",Notes!$B$1," AEA Flowthrough Amount")</f>
        <v>FY 2025 AEA Flowthrough Amount</v>
      </c>
      <c r="C43" s="102"/>
      <c r="D43" s="85">
        <f>INDEX(Data[],MATCH(PaymentSummary!$B$3,Data[Dist],0),MATCH($G$43,Data[#Headers],0))</f>
        <v>203901037</v>
      </c>
      <c r="E43" s="82"/>
      <c r="G43" s="118" t="str">
        <f>Data[[#Headers],[State Payments to AEA (AEA Flowthrough)]]</f>
        <v>State Payments to AEA (AEA Flowthrough)</v>
      </c>
    </row>
    <row r="44" spans="1:17" ht="7.5" customHeight="1" thickTop="1" x14ac:dyDescent="0.2">
      <c r="A44" s="65"/>
      <c r="B44" s="107"/>
      <c r="C44" s="108"/>
      <c r="D44" s="108"/>
      <c r="E44" s="96"/>
    </row>
  </sheetData>
  <mergeCells count="13">
    <mergeCell ref="A1:E1"/>
    <mergeCell ref="C2:E2"/>
    <mergeCell ref="J14:J16"/>
    <mergeCell ref="K14:K16"/>
    <mergeCell ref="L14:L16"/>
    <mergeCell ref="I14:I16"/>
    <mergeCell ref="I11:Q12"/>
    <mergeCell ref="K34:K36"/>
    <mergeCell ref="J34:J36"/>
    <mergeCell ref="N14:N16"/>
    <mergeCell ref="O14:O16"/>
    <mergeCell ref="P14:P16"/>
    <mergeCell ref="M14:M16"/>
  </mergeCells>
  <dataValidations count="1">
    <dataValidation type="list" allowBlank="1" showInputMessage="1" showErrorMessage="1" sqref="B2" xr:uid="{00000000-0002-0000-0400-000000000000}">
      <formula1>Districts</formula1>
    </dataValidation>
  </dataValidations>
  <printOptions horizontalCentered="1"/>
  <pageMargins left="0.25" right="0.25" top="0.5" bottom="0.75" header="0.3" footer="0.3"/>
  <pageSetup orientation="landscape" r:id="rId1"/>
  <headerFooter alignWithMargins="0">
    <oddFooter>&amp;L&amp;"Times New Roman,Regular"&amp;11             
&amp;R&amp;"Times New Roman,Regular"&amp;9Iowa Department of Management; 06/22/18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V332"/>
  <sheetViews>
    <sheetView workbookViewId="0">
      <pane xSplit="7" ySplit="5" topLeftCell="H306" activePane="bottomRight" state="frozen"/>
      <selection pane="topRight" activeCell="C1" sqref="C1"/>
      <selection pane="bottomLeft" activeCell="A6" sqref="A6"/>
      <selection pane="bottomRight" activeCell="S331" sqref="S331"/>
    </sheetView>
  </sheetViews>
  <sheetFormatPr defaultRowHeight="15" x14ac:dyDescent="0.25"/>
  <cols>
    <col min="1" max="2" width="9.140625" style="149" customWidth="1"/>
    <col min="3" max="3" width="5" style="164" bestFit="1" customWidth="1"/>
    <col min="4" max="6" width="5" style="164" customWidth="1"/>
    <col min="7" max="7" width="32.28515625" style="149" bestFit="1" customWidth="1"/>
    <col min="8" max="8" width="11" style="149" bestFit="1" customWidth="1"/>
    <col min="9" max="9" width="12.7109375" style="149" customWidth="1"/>
    <col min="10" max="10" width="1.7109375" style="149" customWidth="1"/>
    <col min="11" max="11" width="12.7109375" style="149" bestFit="1" customWidth="1"/>
    <col min="12" max="12" width="13.5703125" style="149" bestFit="1" customWidth="1"/>
    <col min="13" max="13" width="12.85546875" style="149" bestFit="1" customWidth="1"/>
    <col min="14" max="14" width="1.7109375" style="149" customWidth="1"/>
    <col min="15" max="15" width="13.28515625" style="149" customWidth="1"/>
    <col min="16" max="16" width="12.42578125" style="149" customWidth="1"/>
    <col min="17" max="17" width="13.85546875" style="149" customWidth="1"/>
    <col min="18" max="18" width="1.7109375" style="149" customWidth="1"/>
    <col min="19" max="19" width="13.85546875" style="149" customWidth="1"/>
    <col min="20" max="20" width="12.7109375" style="149" customWidth="1"/>
    <col min="21" max="21" width="13.85546875" style="149" bestFit="1" customWidth="1"/>
    <col min="22" max="16384" width="9.140625" style="149"/>
  </cols>
  <sheetData>
    <row r="1" spans="1:22" x14ac:dyDescent="0.25">
      <c r="A1" s="165"/>
      <c r="B1" s="165"/>
      <c r="C1" s="166"/>
      <c r="D1" s="165"/>
      <c r="E1" s="165"/>
      <c r="F1" s="167"/>
      <c r="G1" s="217" t="str">
        <f>_xlfn.CONCAT("School District Income Surtax Payment - FY ",Notes!$B$1)</f>
        <v>School District Income Surtax Payment - FY 2025</v>
      </c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</row>
    <row r="2" spans="1:22" x14ac:dyDescent="0.25">
      <c r="A2" s="165"/>
      <c r="B2" s="165"/>
      <c r="C2" s="166"/>
      <c r="D2" s="165"/>
      <c r="E2" s="165"/>
      <c r="F2" s="167"/>
      <c r="G2" s="217" t="str">
        <f>_xlfn.CONCAT("Based upon income surtax rates in FY ",Notes!B1-1," budgets")</f>
        <v>Based upon income surtax rates in FY 2024 budgets</v>
      </c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</row>
    <row r="3" spans="1:22" x14ac:dyDescent="0.25">
      <c r="A3" s="165"/>
      <c r="B3" s="165"/>
      <c r="C3" s="166"/>
      <c r="D3" s="165"/>
      <c r="E3" s="165"/>
      <c r="F3" s="150"/>
      <c r="G3" s="151"/>
      <c r="H3" s="151"/>
      <c r="I3" s="151"/>
      <c r="J3" s="151"/>
      <c r="K3" s="151"/>
      <c r="L3" s="151"/>
      <c r="M3" s="151"/>
      <c r="N3" s="166"/>
      <c r="O3" s="166"/>
      <c r="P3" s="166"/>
      <c r="Q3" s="166"/>
      <c r="R3" s="166"/>
      <c r="S3" s="166"/>
      <c r="T3" s="166"/>
      <c r="U3" s="166"/>
    </row>
    <row r="4" spans="1:22" ht="15" customHeight="1" x14ac:dyDescent="0.25">
      <c r="A4" s="165"/>
      <c r="B4" s="165"/>
      <c r="C4" s="166"/>
      <c r="D4" s="165"/>
      <c r="E4" s="165"/>
      <c r="F4" s="150"/>
      <c r="G4" s="152"/>
      <c r="H4" s="166"/>
      <c r="I4" s="166"/>
      <c r="J4" s="168"/>
      <c r="K4" s="216" t="str">
        <f>CONCATENATE("First Payment - 12/01/",Notes!$B$1-1)</f>
        <v>First Payment - 12/01/2024</v>
      </c>
      <c r="L4" s="216"/>
      <c r="M4" s="216"/>
      <c r="N4" s="168"/>
      <c r="O4" s="216" t="str">
        <f>CONCATENATE("Second Payment - 02/01/",Notes!$B$1)</f>
        <v>Second Payment - 02/01/2025</v>
      </c>
      <c r="P4" s="216"/>
      <c r="Q4" s="216"/>
      <c r="R4" s="153"/>
      <c r="S4" s="216" t="s">
        <v>782</v>
      </c>
      <c r="T4" s="216"/>
      <c r="U4" s="216"/>
    </row>
    <row r="5" spans="1:22" ht="45" x14ac:dyDescent="0.25">
      <c r="A5" s="165" t="s">
        <v>347</v>
      </c>
      <c r="B5" s="165" t="s">
        <v>806</v>
      </c>
      <c r="C5" s="154" t="s">
        <v>788</v>
      </c>
      <c r="D5" s="165" t="s">
        <v>807</v>
      </c>
      <c r="E5" s="165" t="s">
        <v>808</v>
      </c>
      <c r="F5" s="155" t="s">
        <v>348</v>
      </c>
      <c r="G5" s="156" t="s">
        <v>793</v>
      </c>
      <c r="H5" s="157" t="s">
        <v>783</v>
      </c>
      <c r="I5" s="158" t="s">
        <v>784</v>
      </c>
      <c r="J5" s="159"/>
      <c r="K5" s="160" t="s">
        <v>717</v>
      </c>
      <c r="L5" s="158" t="s">
        <v>785</v>
      </c>
      <c r="M5" s="158" t="s">
        <v>786</v>
      </c>
      <c r="N5" s="168"/>
      <c r="O5" s="161" t="s">
        <v>717</v>
      </c>
      <c r="P5" s="157" t="s">
        <v>785</v>
      </c>
      <c r="Q5" s="157" t="s">
        <v>786</v>
      </c>
      <c r="R5" s="168"/>
      <c r="S5" s="161" t="s">
        <v>717</v>
      </c>
      <c r="T5" s="157" t="s">
        <v>785</v>
      </c>
      <c r="U5" s="157" t="s">
        <v>786</v>
      </c>
    </row>
    <row r="6" spans="1:22" x14ac:dyDescent="0.25">
      <c r="A6" s="169">
        <v>2024</v>
      </c>
      <c r="B6" s="169" t="s">
        <v>809</v>
      </c>
      <c r="C6" s="170" t="s">
        <v>20</v>
      </c>
      <c r="D6" s="171" t="s">
        <v>810</v>
      </c>
      <c r="E6" s="171" t="s">
        <v>810</v>
      </c>
      <c r="F6" s="171" t="s">
        <v>20</v>
      </c>
      <c r="G6" s="170" t="s">
        <v>375</v>
      </c>
      <c r="H6" s="172">
        <v>4</v>
      </c>
      <c r="I6" s="172">
        <v>4</v>
      </c>
      <c r="J6" s="173"/>
      <c r="K6" s="172">
        <v>190171.5</v>
      </c>
      <c r="L6" s="172">
        <v>95085.75</v>
      </c>
      <c r="M6" s="172">
        <v>95085.75</v>
      </c>
      <c r="N6" s="173"/>
      <c r="O6" s="172">
        <v>66363.88</v>
      </c>
      <c r="P6" s="172">
        <v>33181.94</v>
      </c>
      <c r="Q6" s="172">
        <v>33181.94</v>
      </c>
      <c r="R6" s="173"/>
      <c r="S6" s="172">
        <v>256535.38</v>
      </c>
      <c r="T6" s="172">
        <v>128267.69</v>
      </c>
      <c r="U6" s="172">
        <v>128267.69</v>
      </c>
      <c r="V6" s="162"/>
    </row>
    <row r="7" spans="1:22" x14ac:dyDescent="0.25">
      <c r="A7" s="169">
        <v>2024</v>
      </c>
      <c r="B7" s="169" t="s">
        <v>809</v>
      </c>
      <c r="C7" s="170" t="s">
        <v>21</v>
      </c>
      <c r="D7" s="171" t="s">
        <v>810</v>
      </c>
      <c r="E7" s="171" t="s">
        <v>810</v>
      </c>
      <c r="F7" s="171" t="s">
        <v>21</v>
      </c>
      <c r="G7" s="170" t="s">
        <v>376</v>
      </c>
      <c r="H7" s="172">
        <v>0</v>
      </c>
      <c r="I7" s="172">
        <v>0</v>
      </c>
      <c r="J7" s="173"/>
      <c r="K7" s="172">
        <v>0</v>
      </c>
      <c r="L7" s="172">
        <v>0</v>
      </c>
      <c r="M7" s="172">
        <v>0</v>
      </c>
      <c r="N7" s="173"/>
      <c r="O7" s="172">
        <v>0</v>
      </c>
      <c r="P7" s="172">
        <v>0</v>
      </c>
      <c r="Q7" s="172">
        <v>0</v>
      </c>
      <c r="R7" s="173"/>
      <c r="S7" s="172">
        <v>0</v>
      </c>
      <c r="T7" s="172">
        <v>0</v>
      </c>
      <c r="U7" s="172">
        <v>0</v>
      </c>
      <c r="V7" s="162"/>
    </row>
    <row r="8" spans="1:22" x14ac:dyDescent="0.25">
      <c r="A8" s="169">
        <v>2024</v>
      </c>
      <c r="B8" s="169" t="s">
        <v>811</v>
      </c>
      <c r="C8" s="170" t="s">
        <v>19</v>
      </c>
      <c r="D8" s="171" t="s">
        <v>810</v>
      </c>
      <c r="E8" s="171" t="s">
        <v>810</v>
      </c>
      <c r="F8" s="171" t="s">
        <v>19</v>
      </c>
      <c r="G8" s="170" t="s">
        <v>0</v>
      </c>
      <c r="H8" s="172">
        <v>15</v>
      </c>
      <c r="I8" s="172">
        <v>0</v>
      </c>
      <c r="J8" s="173"/>
      <c r="K8" s="172">
        <v>577970.25</v>
      </c>
      <c r="L8" s="172">
        <v>577970.25</v>
      </c>
      <c r="M8" s="172">
        <v>0</v>
      </c>
      <c r="N8" s="173"/>
      <c r="O8" s="172">
        <v>218055.33</v>
      </c>
      <c r="P8" s="172">
        <v>218055.33</v>
      </c>
      <c r="Q8" s="172">
        <v>0</v>
      </c>
      <c r="R8" s="173"/>
      <c r="S8" s="172">
        <v>796025.58</v>
      </c>
      <c r="T8" s="172">
        <v>796025.58</v>
      </c>
      <c r="U8" s="172">
        <v>0</v>
      </c>
      <c r="V8" s="162"/>
    </row>
    <row r="9" spans="1:22" x14ac:dyDescent="0.25">
      <c r="A9" s="169">
        <v>2024</v>
      </c>
      <c r="B9" s="169" t="s">
        <v>812</v>
      </c>
      <c r="C9" s="170" t="s">
        <v>40</v>
      </c>
      <c r="D9" s="171" t="s">
        <v>810</v>
      </c>
      <c r="E9" s="171" t="s">
        <v>810</v>
      </c>
      <c r="F9" s="171" t="s">
        <v>40</v>
      </c>
      <c r="G9" s="170" t="s">
        <v>18</v>
      </c>
      <c r="H9" s="172">
        <v>0</v>
      </c>
      <c r="I9" s="172">
        <v>3</v>
      </c>
      <c r="J9" s="173"/>
      <c r="K9" s="172">
        <v>119040.75</v>
      </c>
      <c r="L9" s="172">
        <v>0</v>
      </c>
      <c r="M9" s="172">
        <v>119040.75</v>
      </c>
      <c r="N9" s="173"/>
      <c r="O9" s="172">
        <v>41786.339999999997</v>
      </c>
      <c r="P9" s="172">
        <v>0</v>
      </c>
      <c r="Q9" s="172">
        <v>41786.339999999997</v>
      </c>
      <c r="R9" s="173"/>
      <c r="S9" s="172">
        <v>160827.09</v>
      </c>
      <c r="T9" s="172">
        <v>0</v>
      </c>
      <c r="U9" s="172">
        <v>160827.09</v>
      </c>
      <c r="V9" s="162"/>
    </row>
    <row r="10" spans="1:22" x14ac:dyDescent="0.25">
      <c r="A10" s="169">
        <v>2024</v>
      </c>
      <c r="B10" s="169" t="s">
        <v>813</v>
      </c>
      <c r="C10" s="170" t="s">
        <v>22</v>
      </c>
      <c r="D10" s="171" t="s">
        <v>810</v>
      </c>
      <c r="E10" s="171" t="s">
        <v>810</v>
      </c>
      <c r="F10" s="171" t="s">
        <v>22</v>
      </c>
      <c r="G10" s="170" t="s">
        <v>377</v>
      </c>
      <c r="H10" s="172">
        <v>0</v>
      </c>
      <c r="I10" s="172">
        <v>4</v>
      </c>
      <c r="J10" s="173"/>
      <c r="K10" s="172">
        <v>115079.25</v>
      </c>
      <c r="L10" s="172">
        <v>0</v>
      </c>
      <c r="M10" s="172">
        <v>115079.25</v>
      </c>
      <c r="N10" s="173"/>
      <c r="O10" s="172">
        <v>41184.129999999997</v>
      </c>
      <c r="P10" s="172">
        <v>0</v>
      </c>
      <c r="Q10" s="172">
        <v>41184.129999999997</v>
      </c>
      <c r="R10" s="173"/>
      <c r="S10" s="172">
        <v>156263.38</v>
      </c>
      <c r="T10" s="172">
        <v>0</v>
      </c>
      <c r="U10" s="172">
        <v>156263.38</v>
      </c>
      <c r="V10" s="162"/>
    </row>
    <row r="11" spans="1:22" x14ac:dyDescent="0.25">
      <c r="A11" s="169">
        <v>2024</v>
      </c>
      <c r="B11" s="169" t="s">
        <v>814</v>
      </c>
      <c r="C11" s="170" t="s">
        <v>23</v>
      </c>
      <c r="D11" s="171" t="s">
        <v>810</v>
      </c>
      <c r="E11" s="171" t="s">
        <v>810</v>
      </c>
      <c r="F11" s="171" t="s">
        <v>23</v>
      </c>
      <c r="G11" s="170" t="s">
        <v>378</v>
      </c>
      <c r="H11" s="172">
        <v>0</v>
      </c>
      <c r="I11" s="172">
        <v>0</v>
      </c>
      <c r="J11" s="173"/>
      <c r="K11" s="172">
        <v>0</v>
      </c>
      <c r="L11" s="172">
        <v>0</v>
      </c>
      <c r="M11" s="172">
        <v>0</v>
      </c>
      <c r="N11" s="173"/>
      <c r="O11" s="172">
        <v>0</v>
      </c>
      <c r="P11" s="172">
        <v>0</v>
      </c>
      <c r="Q11" s="172">
        <v>0</v>
      </c>
      <c r="R11" s="173"/>
      <c r="S11" s="172">
        <v>0</v>
      </c>
      <c r="T11" s="172">
        <v>0</v>
      </c>
      <c r="U11" s="172">
        <v>0</v>
      </c>
      <c r="V11" s="162"/>
    </row>
    <row r="12" spans="1:22" x14ac:dyDescent="0.25">
      <c r="A12" s="169">
        <v>2024</v>
      </c>
      <c r="B12" s="169" t="s">
        <v>815</v>
      </c>
      <c r="C12" s="170" t="s">
        <v>24</v>
      </c>
      <c r="D12" s="171" t="s">
        <v>810</v>
      </c>
      <c r="E12" s="171" t="s">
        <v>810</v>
      </c>
      <c r="F12" s="171" t="s">
        <v>24</v>
      </c>
      <c r="G12" s="170" t="s">
        <v>379</v>
      </c>
      <c r="H12" s="172">
        <v>0</v>
      </c>
      <c r="I12" s="172">
        <v>1</v>
      </c>
      <c r="J12" s="173"/>
      <c r="K12" s="172">
        <v>56418</v>
      </c>
      <c r="L12" s="172">
        <v>0</v>
      </c>
      <c r="M12" s="172">
        <v>56418</v>
      </c>
      <c r="N12" s="173"/>
      <c r="O12" s="172">
        <v>19869.3</v>
      </c>
      <c r="P12" s="172">
        <v>0</v>
      </c>
      <c r="Q12" s="172">
        <v>19869.3</v>
      </c>
      <c r="R12" s="173"/>
      <c r="S12" s="172">
        <v>76287.3</v>
      </c>
      <c r="T12" s="172">
        <v>0</v>
      </c>
      <c r="U12" s="172">
        <v>76287.3</v>
      </c>
      <c r="V12" s="162"/>
    </row>
    <row r="13" spans="1:22" x14ac:dyDescent="0.25">
      <c r="A13" s="169">
        <v>2024</v>
      </c>
      <c r="B13" s="169" t="s">
        <v>816</v>
      </c>
      <c r="C13" s="170" t="s">
        <v>25</v>
      </c>
      <c r="D13" s="171" t="s">
        <v>810</v>
      </c>
      <c r="E13" s="171" t="s">
        <v>810</v>
      </c>
      <c r="F13" s="171" t="s">
        <v>25</v>
      </c>
      <c r="G13" s="170" t="s">
        <v>380</v>
      </c>
      <c r="H13" s="172">
        <v>2</v>
      </c>
      <c r="I13" s="172">
        <v>0</v>
      </c>
      <c r="J13" s="173"/>
      <c r="K13" s="172">
        <v>88416.75</v>
      </c>
      <c r="L13" s="172">
        <v>88416.75</v>
      </c>
      <c r="M13" s="172">
        <v>0</v>
      </c>
      <c r="N13" s="173"/>
      <c r="O13" s="172">
        <v>31233.96</v>
      </c>
      <c r="P13" s="172">
        <v>31233.96</v>
      </c>
      <c r="Q13" s="172">
        <v>0</v>
      </c>
      <c r="R13" s="173"/>
      <c r="S13" s="172">
        <v>119650.70999999999</v>
      </c>
      <c r="T13" s="172">
        <v>119650.70999999999</v>
      </c>
      <c r="U13" s="172">
        <v>0</v>
      </c>
      <c r="V13" s="162"/>
    </row>
    <row r="14" spans="1:22" x14ac:dyDescent="0.25">
      <c r="A14" s="169">
        <v>2024</v>
      </c>
      <c r="B14" s="169" t="s">
        <v>811</v>
      </c>
      <c r="C14" s="170" t="s">
        <v>26</v>
      </c>
      <c r="D14" s="171" t="s">
        <v>810</v>
      </c>
      <c r="E14" s="171" t="s">
        <v>810</v>
      </c>
      <c r="F14" s="171" t="s">
        <v>26</v>
      </c>
      <c r="G14" s="170" t="s">
        <v>381</v>
      </c>
      <c r="H14" s="172">
        <v>0</v>
      </c>
      <c r="I14" s="172">
        <v>11</v>
      </c>
      <c r="J14" s="173"/>
      <c r="K14" s="172">
        <v>145362.75</v>
      </c>
      <c r="L14" s="172">
        <v>0</v>
      </c>
      <c r="M14" s="172">
        <v>145362.75</v>
      </c>
      <c r="N14" s="173"/>
      <c r="O14" s="172">
        <v>58388.94</v>
      </c>
      <c r="P14" s="172">
        <v>0</v>
      </c>
      <c r="Q14" s="172">
        <v>58388.94</v>
      </c>
      <c r="R14" s="173"/>
      <c r="S14" s="172">
        <v>203751.69</v>
      </c>
      <c r="T14" s="172">
        <v>0</v>
      </c>
      <c r="U14" s="172">
        <v>203751.69</v>
      </c>
      <c r="V14" s="162"/>
    </row>
    <row r="15" spans="1:22" x14ac:dyDescent="0.25">
      <c r="A15" s="169">
        <v>2024</v>
      </c>
      <c r="B15" s="169" t="s">
        <v>814</v>
      </c>
      <c r="C15" s="170" t="s">
        <v>27</v>
      </c>
      <c r="D15" s="171" t="s">
        <v>817</v>
      </c>
      <c r="E15" s="171" t="s">
        <v>189</v>
      </c>
      <c r="F15" s="171" t="s">
        <v>27</v>
      </c>
      <c r="G15" s="170" t="s">
        <v>382</v>
      </c>
      <c r="H15" s="172">
        <v>0</v>
      </c>
      <c r="I15" s="172">
        <v>19</v>
      </c>
      <c r="J15" s="173"/>
      <c r="K15" s="172">
        <v>741033.75</v>
      </c>
      <c r="L15" s="172">
        <v>0</v>
      </c>
      <c r="M15" s="172">
        <v>741033.75</v>
      </c>
      <c r="N15" s="173"/>
      <c r="O15" s="172">
        <v>269933.84000000003</v>
      </c>
      <c r="P15" s="172">
        <v>0</v>
      </c>
      <c r="Q15" s="172">
        <v>269933.84000000003</v>
      </c>
      <c r="R15" s="173"/>
      <c r="S15" s="172">
        <v>1010967.5900000001</v>
      </c>
      <c r="T15" s="172">
        <v>0</v>
      </c>
      <c r="U15" s="172">
        <v>1010967.5900000001</v>
      </c>
      <c r="V15" s="162"/>
    </row>
    <row r="16" spans="1:22" x14ac:dyDescent="0.25">
      <c r="A16" s="169">
        <v>2024</v>
      </c>
      <c r="B16" s="169" t="s">
        <v>818</v>
      </c>
      <c r="C16" s="170" t="s">
        <v>28</v>
      </c>
      <c r="D16" s="171" t="s">
        <v>810</v>
      </c>
      <c r="E16" s="171" t="s">
        <v>810</v>
      </c>
      <c r="F16" s="171" t="s">
        <v>28</v>
      </c>
      <c r="G16" s="170" t="s">
        <v>383</v>
      </c>
      <c r="H16" s="172">
        <v>8</v>
      </c>
      <c r="I16" s="172">
        <v>0</v>
      </c>
      <c r="J16" s="173"/>
      <c r="K16" s="172">
        <v>468765.75</v>
      </c>
      <c r="L16" s="172">
        <v>468765.75</v>
      </c>
      <c r="M16" s="172">
        <v>0</v>
      </c>
      <c r="N16" s="173"/>
      <c r="O16" s="172">
        <v>157941.04</v>
      </c>
      <c r="P16" s="172">
        <v>157941.04</v>
      </c>
      <c r="Q16" s="172">
        <v>0</v>
      </c>
      <c r="R16" s="173"/>
      <c r="S16" s="172">
        <v>626706.79</v>
      </c>
      <c r="T16" s="172">
        <v>626706.79</v>
      </c>
      <c r="U16" s="172">
        <v>0</v>
      </c>
      <c r="V16" s="162"/>
    </row>
    <row r="17" spans="1:22" x14ac:dyDescent="0.25">
      <c r="A17" s="169">
        <v>2024</v>
      </c>
      <c r="B17" s="169" t="s">
        <v>814</v>
      </c>
      <c r="C17" s="170" t="s">
        <v>30</v>
      </c>
      <c r="D17" s="171" t="s">
        <v>810</v>
      </c>
      <c r="E17" s="171" t="s">
        <v>810</v>
      </c>
      <c r="F17" s="171" t="s">
        <v>30</v>
      </c>
      <c r="G17" s="170" t="s">
        <v>789</v>
      </c>
      <c r="H17" s="172">
        <v>1</v>
      </c>
      <c r="I17" s="172">
        <v>8</v>
      </c>
      <c r="J17" s="173"/>
      <c r="K17" s="172">
        <v>418310.25</v>
      </c>
      <c r="L17" s="172">
        <v>46478.92</v>
      </c>
      <c r="M17" s="172">
        <v>371831.33</v>
      </c>
      <c r="N17" s="173"/>
      <c r="O17" s="172">
        <v>144750.89000000001</v>
      </c>
      <c r="P17" s="172">
        <v>16083.43</v>
      </c>
      <c r="Q17" s="172">
        <v>128667.46000000002</v>
      </c>
      <c r="R17" s="173"/>
      <c r="S17" s="172">
        <v>563061.14</v>
      </c>
      <c r="T17" s="172">
        <v>62562.35</v>
      </c>
      <c r="U17" s="172">
        <v>500498.79000000004</v>
      </c>
      <c r="V17" s="162"/>
    </row>
    <row r="18" spans="1:22" x14ac:dyDescent="0.25">
      <c r="A18" s="169">
        <v>2024</v>
      </c>
      <c r="B18" s="169" t="s">
        <v>809</v>
      </c>
      <c r="C18" s="170" t="s">
        <v>31</v>
      </c>
      <c r="D18" s="171" t="s">
        <v>810</v>
      </c>
      <c r="E18" s="171" t="s">
        <v>810</v>
      </c>
      <c r="F18" s="171" t="s">
        <v>31</v>
      </c>
      <c r="G18" s="170" t="s">
        <v>385</v>
      </c>
      <c r="H18" s="172">
        <v>0</v>
      </c>
      <c r="I18" s="172">
        <v>4</v>
      </c>
      <c r="J18" s="173"/>
      <c r="K18" s="172">
        <v>1998042.75</v>
      </c>
      <c r="L18" s="172">
        <v>0</v>
      </c>
      <c r="M18" s="172">
        <v>1998042.75</v>
      </c>
      <c r="N18" s="173"/>
      <c r="O18" s="172">
        <v>689272.93</v>
      </c>
      <c r="P18" s="172">
        <v>0</v>
      </c>
      <c r="Q18" s="172">
        <v>689272.93</v>
      </c>
      <c r="R18" s="173"/>
      <c r="S18" s="172">
        <v>2687315.68</v>
      </c>
      <c r="T18" s="172">
        <v>0</v>
      </c>
      <c r="U18" s="172">
        <v>2687315.68</v>
      </c>
      <c r="V18" s="162"/>
    </row>
    <row r="19" spans="1:22" x14ac:dyDescent="0.25">
      <c r="A19" s="169">
        <v>2024</v>
      </c>
      <c r="B19" s="169" t="s">
        <v>816</v>
      </c>
      <c r="C19" s="170" t="s">
        <v>32</v>
      </c>
      <c r="D19" s="171" t="s">
        <v>810</v>
      </c>
      <c r="E19" s="171" t="s">
        <v>810</v>
      </c>
      <c r="F19" s="171" t="s">
        <v>32</v>
      </c>
      <c r="G19" s="170" t="s">
        <v>386</v>
      </c>
      <c r="H19" s="172">
        <v>1</v>
      </c>
      <c r="I19" s="172">
        <v>6</v>
      </c>
      <c r="J19" s="173"/>
      <c r="K19" s="172">
        <v>569083.5</v>
      </c>
      <c r="L19" s="172">
        <v>81297.64</v>
      </c>
      <c r="M19" s="172">
        <v>487785.86</v>
      </c>
      <c r="N19" s="173"/>
      <c r="O19" s="172">
        <v>197207.82</v>
      </c>
      <c r="P19" s="172">
        <v>28172.55</v>
      </c>
      <c r="Q19" s="172">
        <v>169035.27000000002</v>
      </c>
      <c r="R19" s="173"/>
      <c r="S19" s="172">
        <v>766291.32000000007</v>
      </c>
      <c r="T19" s="172">
        <v>109470.19</v>
      </c>
      <c r="U19" s="172">
        <v>656821.13</v>
      </c>
      <c r="V19" s="162"/>
    </row>
    <row r="20" spans="1:22" x14ac:dyDescent="0.25">
      <c r="A20" s="169">
        <v>2024</v>
      </c>
      <c r="B20" s="169" t="s">
        <v>819</v>
      </c>
      <c r="C20" s="170" t="s">
        <v>33</v>
      </c>
      <c r="D20" s="171" t="s">
        <v>810</v>
      </c>
      <c r="E20" s="171" t="s">
        <v>810</v>
      </c>
      <c r="F20" s="171" t="s">
        <v>33</v>
      </c>
      <c r="G20" s="170" t="s">
        <v>387</v>
      </c>
      <c r="H20" s="172">
        <v>0</v>
      </c>
      <c r="I20" s="172">
        <v>1</v>
      </c>
      <c r="J20" s="173"/>
      <c r="K20" s="172">
        <v>18996</v>
      </c>
      <c r="L20" s="172">
        <v>0</v>
      </c>
      <c r="M20" s="172">
        <v>18996</v>
      </c>
      <c r="N20" s="173"/>
      <c r="O20" s="172">
        <v>6706.9</v>
      </c>
      <c r="P20" s="172">
        <v>0</v>
      </c>
      <c r="Q20" s="172">
        <v>6706.9</v>
      </c>
      <c r="R20" s="173"/>
      <c r="S20" s="172">
        <v>25702.9</v>
      </c>
      <c r="T20" s="172">
        <v>0</v>
      </c>
      <c r="U20" s="172">
        <v>25702.9</v>
      </c>
      <c r="V20" s="162"/>
    </row>
    <row r="21" spans="1:22" x14ac:dyDescent="0.25">
      <c r="A21" s="169">
        <v>2024</v>
      </c>
      <c r="B21" s="169" t="s">
        <v>809</v>
      </c>
      <c r="C21" s="170" t="s">
        <v>34</v>
      </c>
      <c r="D21" s="171" t="s">
        <v>810</v>
      </c>
      <c r="E21" s="171" t="s">
        <v>810</v>
      </c>
      <c r="F21" s="171" t="s">
        <v>34</v>
      </c>
      <c r="G21" s="170" t="s">
        <v>388</v>
      </c>
      <c r="H21" s="172">
        <v>0</v>
      </c>
      <c r="I21" s="172">
        <v>0</v>
      </c>
      <c r="J21" s="173"/>
      <c r="K21" s="172">
        <v>0</v>
      </c>
      <c r="L21" s="172">
        <v>0</v>
      </c>
      <c r="M21" s="172">
        <v>0</v>
      </c>
      <c r="N21" s="173"/>
      <c r="O21" s="172">
        <v>0</v>
      </c>
      <c r="P21" s="172">
        <v>0</v>
      </c>
      <c r="Q21" s="172">
        <v>0</v>
      </c>
      <c r="R21" s="173"/>
      <c r="S21" s="172">
        <v>0</v>
      </c>
      <c r="T21" s="172">
        <v>0</v>
      </c>
      <c r="U21" s="172">
        <v>0</v>
      </c>
      <c r="V21" s="162"/>
    </row>
    <row r="22" spans="1:22" x14ac:dyDescent="0.25">
      <c r="A22" s="169">
        <v>2024</v>
      </c>
      <c r="B22" s="169" t="s">
        <v>811</v>
      </c>
      <c r="C22" s="170" t="s">
        <v>35</v>
      </c>
      <c r="D22" s="171" t="s">
        <v>810</v>
      </c>
      <c r="E22" s="171" t="s">
        <v>810</v>
      </c>
      <c r="F22" s="171" t="s">
        <v>35</v>
      </c>
      <c r="G22" s="170" t="s">
        <v>389</v>
      </c>
      <c r="H22" s="172">
        <v>0</v>
      </c>
      <c r="I22" s="172">
        <v>4</v>
      </c>
      <c r="J22" s="173"/>
      <c r="K22" s="172">
        <v>230708.25</v>
      </c>
      <c r="L22" s="172">
        <v>0</v>
      </c>
      <c r="M22" s="172">
        <v>230708.25</v>
      </c>
      <c r="N22" s="173"/>
      <c r="O22" s="172">
        <v>82084.960000000006</v>
      </c>
      <c r="P22" s="172">
        <v>0</v>
      </c>
      <c r="Q22" s="172">
        <v>82084.960000000006</v>
      </c>
      <c r="R22" s="173"/>
      <c r="S22" s="172">
        <v>312793.21000000002</v>
      </c>
      <c r="T22" s="172">
        <v>0</v>
      </c>
      <c r="U22" s="172">
        <v>312793.21000000002</v>
      </c>
      <c r="V22" s="162"/>
    </row>
    <row r="23" spans="1:22" x14ac:dyDescent="0.25">
      <c r="A23" s="169">
        <v>2024</v>
      </c>
      <c r="B23" s="169" t="s">
        <v>813</v>
      </c>
      <c r="C23" s="170" t="s">
        <v>37</v>
      </c>
      <c r="D23" s="171" t="s">
        <v>810</v>
      </c>
      <c r="E23" s="171" t="s">
        <v>810</v>
      </c>
      <c r="F23" s="171" t="s">
        <v>37</v>
      </c>
      <c r="G23" s="170" t="s">
        <v>391</v>
      </c>
      <c r="H23" s="172">
        <v>0</v>
      </c>
      <c r="I23" s="172">
        <v>5</v>
      </c>
      <c r="J23" s="173"/>
      <c r="K23" s="172">
        <v>99744.75</v>
      </c>
      <c r="L23" s="172">
        <v>0</v>
      </c>
      <c r="M23" s="172">
        <v>99744.75</v>
      </c>
      <c r="N23" s="173"/>
      <c r="O23" s="172">
        <v>33658.800000000003</v>
      </c>
      <c r="P23" s="172">
        <v>0</v>
      </c>
      <c r="Q23" s="172">
        <v>33658.800000000003</v>
      </c>
      <c r="R23" s="173"/>
      <c r="S23" s="172">
        <v>133403.54999999999</v>
      </c>
      <c r="T23" s="172">
        <v>0</v>
      </c>
      <c r="U23" s="172">
        <v>133403.54999999999</v>
      </c>
      <c r="V23" s="162"/>
    </row>
    <row r="24" spans="1:22" x14ac:dyDescent="0.25">
      <c r="A24" s="169">
        <v>2024</v>
      </c>
      <c r="B24" s="169" t="s">
        <v>812</v>
      </c>
      <c r="C24" s="170" t="s">
        <v>38</v>
      </c>
      <c r="D24" s="171" t="s">
        <v>810</v>
      </c>
      <c r="E24" s="171" t="s">
        <v>810</v>
      </c>
      <c r="F24" s="171" t="s">
        <v>38</v>
      </c>
      <c r="G24" s="170" t="s">
        <v>392</v>
      </c>
      <c r="H24" s="172">
        <v>4</v>
      </c>
      <c r="I24" s="172">
        <v>8</v>
      </c>
      <c r="J24" s="173"/>
      <c r="K24" s="172">
        <v>886805.25</v>
      </c>
      <c r="L24" s="172">
        <v>295601.75</v>
      </c>
      <c r="M24" s="172">
        <v>591203.5</v>
      </c>
      <c r="N24" s="173"/>
      <c r="O24" s="172">
        <v>322505.07</v>
      </c>
      <c r="P24" s="172">
        <v>107501.69</v>
      </c>
      <c r="Q24" s="172">
        <v>215003.38</v>
      </c>
      <c r="R24" s="173"/>
      <c r="S24" s="172">
        <v>1209310.32</v>
      </c>
      <c r="T24" s="172">
        <v>403103.44</v>
      </c>
      <c r="U24" s="172">
        <v>806206.88</v>
      </c>
      <c r="V24" s="162"/>
    </row>
    <row r="25" spans="1:22" x14ac:dyDescent="0.25">
      <c r="A25" s="169">
        <v>2024</v>
      </c>
      <c r="B25" s="169" t="s">
        <v>809</v>
      </c>
      <c r="C25" s="170" t="s">
        <v>39</v>
      </c>
      <c r="D25" s="171" t="s">
        <v>810</v>
      </c>
      <c r="E25" s="171" t="s">
        <v>810</v>
      </c>
      <c r="F25" s="171" t="s">
        <v>39</v>
      </c>
      <c r="G25" s="170" t="s">
        <v>393</v>
      </c>
      <c r="H25" s="172">
        <v>0</v>
      </c>
      <c r="I25" s="172">
        <v>8</v>
      </c>
      <c r="J25" s="173"/>
      <c r="K25" s="172">
        <v>268950</v>
      </c>
      <c r="L25" s="172">
        <v>0</v>
      </c>
      <c r="M25" s="172">
        <v>268950</v>
      </c>
      <c r="N25" s="173"/>
      <c r="O25" s="172">
        <v>91465.89</v>
      </c>
      <c r="P25" s="172">
        <v>0</v>
      </c>
      <c r="Q25" s="172">
        <v>91465.89</v>
      </c>
      <c r="R25" s="173"/>
      <c r="S25" s="172">
        <v>360415.89</v>
      </c>
      <c r="T25" s="172">
        <v>0</v>
      </c>
      <c r="U25" s="172">
        <v>360415.89</v>
      </c>
      <c r="V25" s="162"/>
    </row>
    <row r="26" spans="1:22" x14ac:dyDescent="0.25">
      <c r="A26" s="169">
        <v>2024</v>
      </c>
      <c r="B26" s="169" t="s">
        <v>809</v>
      </c>
      <c r="C26" s="170" t="s">
        <v>41</v>
      </c>
      <c r="D26" s="171" t="s">
        <v>810</v>
      </c>
      <c r="E26" s="171" t="s">
        <v>810</v>
      </c>
      <c r="F26" s="171" t="s">
        <v>41</v>
      </c>
      <c r="G26" s="170" t="s">
        <v>394</v>
      </c>
      <c r="H26" s="172">
        <v>2</v>
      </c>
      <c r="I26" s="172">
        <v>0</v>
      </c>
      <c r="J26" s="173"/>
      <c r="K26" s="172">
        <v>229402.5</v>
      </c>
      <c r="L26" s="172">
        <v>229402.5</v>
      </c>
      <c r="M26" s="172">
        <v>0</v>
      </c>
      <c r="N26" s="173"/>
      <c r="O26" s="172">
        <v>78920.86</v>
      </c>
      <c r="P26" s="172">
        <v>78920.86</v>
      </c>
      <c r="Q26" s="172">
        <v>0</v>
      </c>
      <c r="R26" s="173"/>
      <c r="S26" s="172">
        <v>308323.36</v>
      </c>
      <c r="T26" s="172">
        <v>308323.36</v>
      </c>
      <c r="U26" s="172">
        <v>0</v>
      </c>
      <c r="V26" s="162"/>
    </row>
    <row r="27" spans="1:22" x14ac:dyDescent="0.25">
      <c r="A27" s="169">
        <v>2024</v>
      </c>
      <c r="B27" s="169" t="s">
        <v>809</v>
      </c>
      <c r="C27" s="170" t="s">
        <v>42</v>
      </c>
      <c r="D27" s="171" t="s">
        <v>810</v>
      </c>
      <c r="E27" s="171" t="s">
        <v>810</v>
      </c>
      <c r="F27" s="171" t="s">
        <v>42</v>
      </c>
      <c r="G27" s="170" t="s">
        <v>395</v>
      </c>
      <c r="H27" s="172">
        <v>2</v>
      </c>
      <c r="I27" s="172">
        <v>7</v>
      </c>
      <c r="J27" s="173"/>
      <c r="K27" s="172">
        <v>188783.25</v>
      </c>
      <c r="L27" s="172">
        <v>41951.83</v>
      </c>
      <c r="M27" s="172">
        <v>146831.41999999998</v>
      </c>
      <c r="N27" s="173"/>
      <c r="O27" s="172">
        <v>64561.37</v>
      </c>
      <c r="P27" s="172">
        <v>14346.97</v>
      </c>
      <c r="Q27" s="172">
        <v>50214.400000000001</v>
      </c>
      <c r="R27" s="173"/>
      <c r="S27" s="172">
        <v>253344.62</v>
      </c>
      <c r="T27" s="172">
        <v>56298.8</v>
      </c>
      <c r="U27" s="172">
        <v>197045.81999999998</v>
      </c>
      <c r="V27" s="162"/>
    </row>
    <row r="28" spans="1:22" x14ac:dyDescent="0.25">
      <c r="A28" s="169">
        <v>2024</v>
      </c>
      <c r="B28" s="169" t="s">
        <v>811</v>
      </c>
      <c r="C28" s="170" t="s">
        <v>43</v>
      </c>
      <c r="D28" s="171" t="s">
        <v>810</v>
      </c>
      <c r="E28" s="171" t="s">
        <v>810</v>
      </c>
      <c r="F28" s="171" t="s">
        <v>43</v>
      </c>
      <c r="G28" s="170" t="s">
        <v>1</v>
      </c>
      <c r="H28" s="172">
        <v>0</v>
      </c>
      <c r="I28" s="172">
        <v>5</v>
      </c>
      <c r="J28" s="173"/>
      <c r="K28" s="172">
        <v>176415.75</v>
      </c>
      <c r="L28" s="172">
        <v>0</v>
      </c>
      <c r="M28" s="172">
        <v>176415.75</v>
      </c>
      <c r="N28" s="173"/>
      <c r="O28" s="172">
        <v>61351.34</v>
      </c>
      <c r="P28" s="172">
        <v>0</v>
      </c>
      <c r="Q28" s="172">
        <v>61351.34</v>
      </c>
      <c r="R28" s="173"/>
      <c r="S28" s="172">
        <v>237767.09</v>
      </c>
      <c r="T28" s="172">
        <v>0</v>
      </c>
      <c r="U28" s="172">
        <v>237767.09</v>
      </c>
      <c r="V28" s="162"/>
    </row>
    <row r="29" spans="1:22" x14ac:dyDescent="0.25">
      <c r="A29" s="169">
        <v>2024</v>
      </c>
      <c r="B29" s="169" t="s">
        <v>812</v>
      </c>
      <c r="C29" s="170" t="s">
        <v>44</v>
      </c>
      <c r="D29" s="171" t="s">
        <v>810</v>
      </c>
      <c r="E29" s="171" t="s">
        <v>810</v>
      </c>
      <c r="F29" s="171" t="s">
        <v>44</v>
      </c>
      <c r="G29" s="170" t="s">
        <v>396</v>
      </c>
      <c r="H29" s="172">
        <v>0</v>
      </c>
      <c r="I29" s="172">
        <v>10</v>
      </c>
      <c r="J29" s="173"/>
      <c r="K29" s="172">
        <v>210057.75</v>
      </c>
      <c r="L29" s="172">
        <v>0</v>
      </c>
      <c r="M29" s="172">
        <v>210057.75</v>
      </c>
      <c r="N29" s="173"/>
      <c r="O29" s="172">
        <v>74336.52</v>
      </c>
      <c r="P29" s="172">
        <v>0</v>
      </c>
      <c r="Q29" s="172">
        <v>74336.52</v>
      </c>
      <c r="R29" s="173"/>
      <c r="S29" s="172">
        <v>284394.27</v>
      </c>
      <c r="T29" s="172">
        <v>0</v>
      </c>
      <c r="U29" s="172">
        <v>284394.27</v>
      </c>
      <c r="V29" s="162"/>
    </row>
    <row r="30" spans="1:22" x14ac:dyDescent="0.25">
      <c r="A30" s="169">
        <v>2024</v>
      </c>
      <c r="B30" s="169" t="s">
        <v>816</v>
      </c>
      <c r="C30" s="170" t="s">
        <v>45</v>
      </c>
      <c r="D30" s="171" t="s">
        <v>810</v>
      </c>
      <c r="E30" s="171" t="s">
        <v>810</v>
      </c>
      <c r="F30" s="171" t="s">
        <v>45</v>
      </c>
      <c r="G30" s="170" t="s">
        <v>397</v>
      </c>
      <c r="H30" s="172">
        <v>1</v>
      </c>
      <c r="I30" s="172">
        <v>2</v>
      </c>
      <c r="J30" s="173"/>
      <c r="K30" s="172">
        <v>84514.5</v>
      </c>
      <c r="L30" s="172">
        <v>28171.5</v>
      </c>
      <c r="M30" s="172">
        <v>56343</v>
      </c>
      <c r="N30" s="173"/>
      <c r="O30" s="172">
        <v>28386.58</v>
      </c>
      <c r="P30" s="172">
        <v>9462.19</v>
      </c>
      <c r="Q30" s="172">
        <v>18924.39</v>
      </c>
      <c r="R30" s="173"/>
      <c r="S30" s="172">
        <v>112901.08</v>
      </c>
      <c r="T30" s="172">
        <v>37633.69</v>
      </c>
      <c r="U30" s="172">
        <v>75267.39</v>
      </c>
      <c r="V30" s="162"/>
    </row>
    <row r="31" spans="1:22" x14ac:dyDescent="0.25">
      <c r="A31" s="169">
        <v>2024</v>
      </c>
      <c r="B31" s="169" t="s">
        <v>819</v>
      </c>
      <c r="C31" s="170" t="s">
        <v>46</v>
      </c>
      <c r="D31" s="171" t="s">
        <v>810</v>
      </c>
      <c r="E31" s="171" t="s">
        <v>810</v>
      </c>
      <c r="F31" s="171" t="s">
        <v>46</v>
      </c>
      <c r="G31" s="170" t="s">
        <v>398</v>
      </c>
      <c r="H31" s="172">
        <v>4</v>
      </c>
      <c r="I31" s="172">
        <v>0</v>
      </c>
      <c r="J31" s="173"/>
      <c r="K31" s="172">
        <v>219015</v>
      </c>
      <c r="L31" s="172">
        <v>219015</v>
      </c>
      <c r="M31" s="172">
        <v>0</v>
      </c>
      <c r="N31" s="173"/>
      <c r="O31" s="172">
        <v>75631.17</v>
      </c>
      <c r="P31" s="172">
        <v>75631.17</v>
      </c>
      <c r="Q31" s="172">
        <v>0</v>
      </c>
      <c r="R31" s="173"/>
      <c r="S31" s="172">
        <v>294646.17</v>
      </c>
      <c r="T31" s="172">
        <v>294646.17</v>
      </c>
      <c r="U31" s="172">
        <v>0</v>
      </c>
      <c r="V31" s="162"/>
    </row>
    <row r="32" spans="1:22" x14ac:dyDescent="0.25">
      <c r="A32" s="169">
        <v>2024</v>
      </c>
      <c r="B32" s="169" t="s">
        <v>811</v>
      </c>
      <c r="C32" s="170" t="s">
        <v>47</v>
      </c>
      <c r="D32" s="171" t="s">
        <v>810</v>
      </c>
      <c r="E32" s="171" t="s">
        <v>810</v>
      </c>
      <c r="F32" s="171" t="s">
        <v>47</v>
      </c>
      <c r="G32" s="170" t="s">
        <v>399</v>
      </c>
      <c r="H32" s="172">
        <v>0</v>
      </c>
      <c r="I32" s="172">
        <v>3</v>
      </c>
      <c r="J32" s="173"/>
      <c r="K32" s="172">
        <v>95805.75</v>
      </c>
      <c r="L32" s="172">
        <v>0</v>
      </c>
      <c r="M32" s="172">
        <v>95805.75</v>
      </c>
      <c r="N32" s="173"/>
      <c r="O32" s="172">
        <v>33395.71</v>
      </c>
      <c r="P32" s="172">
        <v>0</v>
      </c>
      <c r="Q32" s="172">
        <v>33395.71</v>
      </c>
      <c r="R32" s="173"/>
      <c r="S32" s="172">
        <v>129201.45999999999</v>
      </c>
      <c r="T32" s="172">
        <v>0</v>
      </c>
      <c r="U32" s="172">
        <v>129201.45999999999</v>
      </c>
      <c r="V32" s="162"/>
    </row>
    <row r="33" spans="1:22" x14ac:dyDescent="0.25">
      <c r="A33" s="169">
        <v>2024</v>
      </c>
      <c r="B33" s="169" t="s">
        <v>819</v>
      </c>
      <c r="C33" s="170" t="s">
        <v>48</v>
      </c>
      <c r="D33" s="171" t="s">
        <v>810</v>
      </c>
      <c r="E33" s="171" t="s">
        <v>810</v>
      </c>
      <c r="F33" s="171" t="s">
        <v>48</v>
      </c>
      <c r="G33" s="170" t="s">
        <v>400</v>
      </c>
      <c r="H33" s="172">
        <v>0</v>
      </c>
      <c r="I33" s="172">
        <v>1</v>
      </c>
      <c r="J33" s="173"/>
      <c r="K33" s="172">
        <v>12847.5</v>
      </c>
      <c r="L33" s="172">
        <v>0</v>
      </c>
      <c r="M33" s="172">
        <v>12847.5</v>
      </c>
      <c r="N33" s="173"/>
      <c r="O33" s="172">
        <v>4466.95</v>
      </c>
      <c r="P33" s="172">
        <v>0</v>
      </c>
      <c r="Q33" s="172">
        <v>4466.95</v>
      </c>
      <c r="R33" s="173"/>
      <c r="S33" s="172">
        <v>17314.45</v>
      </c>
      <c r="T33" s="172">
        <v>0</v>
      </c>
      <c r="U33" s="172">
        <v>17314.45</v>
      </c>
      <c r="V33" s="162"/>
    </row>
    <row r="34" spans="1:22" x14ac:dyDescent="0.25">
      <c r="A34" s="169">
        <v>2024</v>
      </c>
      <c r="B34" s="169" t="s">
        <v>816</v>
      </c>
      <c r="C34" s="170" t="s">
        <v>49</v>
      </c>
      <c r="D34" s="171" t="s">
        <v>810</v>
      </c>
      <c r="E34" s="171" t="s">
        <v>810</v>
      </c>
      <c r="F34" s="171" t="s">
        <v>49</v>
      </c>
      <c r="G34" s="170" t="s">
        <v>401</v>
      </c>
      <c r="H34" s="172">
        <v>0</v>
      </c>
      <c r="I34" s="172">
        <v>4</v>
      </c>
      <c r="J34" s="173"/>
      <c r="K34" s="172">
        <v>412486.5</v>
      </c>
      <c r="L34" s="172">
        <v>0</v>
      </c>
      <c r="M34" s="172">
        <v>412486.5</v>
      </c>
      <c r="N34" s="173"/>
      <c r="O34" s="172">
        <v>145951.53</v>
      </c>
      <c r="P34" s="172">
        <v>0</v>
      </c>
      <c r="Q34" s="172">
        <v>145951.53</v>
      </c>
      <c r="R34" s="173"/>
      <c r="S34" s="172">
        <v>558438.03</v>
      </c>
      <c r="T34" s="172">
        <v>0</v>
      </c>
      <c r="U34" s="172">
        <v>558438.03</v>
      </c>
      <c r="V34" s="162"/>
    </row>
    <row r="35" spans="1:22" x14ac:dyDescent="0.25">
      <c r="A35" s="169">
        <v>2024</v>
      </c>
      <c r="B35" s="169" t="s">
        <v>819</v>
      </c>
      <c r="C35" s="170" t="s">
        <v>50</v>
      </c>
      <c r="D35" s="171" t="s">
        <v>810</v>
      </c>
      <c r="E35" s="171" t="s">
        <v>810</v>
      </c>
      <c r="F35" s="171" t="s">
        <v>50</v>
      </c>
      <c r="G35" s="170" t="s">
        <v>402</v>
      </c>
      <c r="H35" s="172">
        <v>0</v>
      </c>
      <c r="I35" s="172">
        <v>0</v>
      </c>
      <c r="J35" s="173"/>
      <c r="K35" s="172">
        <v>0</v>
      </c>
      <c r="L35" s="172">
        <v>0</v>
      </c>
      <c r="M35" s="172">
        <v>0</v>
      </c>
      <c r="N35" s="173"/>
      <c r="O35" s="172">
        <v>0</v>
      </c>
      <c r="P35" s="172">
        <v>0</v>
      </c>
      <c r="Q35" s="172">
        <v>0</v>
      </c>
      <c r="R35" s="173"/>
      <c r="S35" s="172">
        <v>0</v>
      </c>
      <c r="T35" s="172">
        <v>0</v>
      </c>
      <c r="U35" s="172">
        <v>0</v>
      </c>
      <c r="V35" s="162"/>
    </row>
    <row r="36" spans="1:22" x14ac:dyDescent="0.25">
      <c r="A36" s="169">
        <v>2024</v>
      </c>
      <c r="B36" s="169" t="s">
        <v>809</v>
      </c>
      <c r="C36" s="170" t="s">
        <v>52</v>
      </c>
      <c r="D36" s="171" t="s">
        <v>810</v>
      </c>
      <c r="E36" s="171" t="s">
        <v>810</v>
      </c>
      <c r="F36" s="171" t="s">
        <v>52</v>
      </c>
      <c r="G36" s="170" t="s">
        <v>404</v>
      </c>
      <c r="H36" s="172">
        <v>0</v>
      </c>
      <c r="I36" s="172">
        <v>1</v>
      </c>
      <c r="J36" s="173"/>
      <c r="K36" s="172">
        <v>138859.5</v>
      </c>
      <c r="L36" s="172">
        <v>0</v>
      </c>
      <c r="M36" s="172">
        <v>138859.5</v>
      </c>
      <c r="N36" s="173"/>
      <c r="O36" s="172">
        <v>49322.9</v>
      </c>
      <c r="P36" s="172">
        <v>0</v>
      </c>
      <c r="Q36" s="172">
        <v>49322.9</v>
      </c>
      <c r="R36" s="173"/>
      <c r="S36" s="172">
        <v>188182.39999999999</v>
      </c>
      <c r="T36" s="172">
        <v>0</v>
      </c>
      <c r="U36" s="172">
        <v>188182.39999999999</v>
      </c>
      <c r="V36" s="162"/>
    </row>
    <row r="37" spans="1:22" x14ac:dyDescent="0.25">
      <c r="A37" s="169">
        <v>2024</v>
      </c>
      <c r="B37" s="169" t="s">
        <v>809</v>
      </c>
      <c r="C37" s="170" t="s">
        <v>53</v>
      </c>
      <c r="D37" s="171" t="s">
        <v>810</v>
      </c>
      <c r="E37" s="171" t="s">
        <v>810</v>
      </c>
      <c r="F37" s="171" t="s">
        <v>53</v>
      </c>
      <c r="G37" s="170" t="s">
        <v>405</v>
      </c>
      <c r="H37" s="172">
        <v>0</v>
      </c>
      <c r="I37" s="172">
        <v>1</v>
      </c>
      <c r="J37" s="173"/>
      <c r="K37" s="172">
        <v>131436.75</v>
      </c>
      <c r="L37" s="172">
        <v>0</v>
      </c>
      <c r="M37" s="172">
        <v>131436.75</v>
      </c>
      <c r="N37" s="173"/>
      <c r="O37" s="172">
        <v>45091.519999999997</v>
      </c>
      <c r="P37" s="172">
        <v>0</v>
      </c>
      <c r="Q37" s="172">
        <v>45091.519999999997</v>
      </c>
      <c r="R37" s="173"/>
      <c r="S37" s="172">
        <v>176528.27</v>
      </c>
      <c r="T37" s="172">
        <v>0</v>
      </c>
      <c r="U37" s="172">
        <v>176528.27</v>
      </c>
      <c r="V37" s="162"/>
    </row>
    <row r="38" spans="1:22" x14ac:dyDescent="0.25">
      <c r="A38" s="169">
        <v>2024</v>
      </c>
      <c r="B38" s="169" t="s">
        <v>813</v>
      </c>
      <c r="C38" s="170" t="s">
        <v>54</v>
      </c>
      <c r="D38" s="171" t="s">
        <v>810</v>
      </c>
      <c r="E38" s="171" t="s">
        <v>810</v>
      </c>
      <c r="F38" s="171" t="s">
        <v>54</v>
      </c>
      <c r="G38" s="170" t="s">
        <v>406</v>
      </c>
      <c r="H38" s="172">
        <v>0</v>
      </c>
      <c r="I38" s="172">
        <v>6</v>
      </c>
      <c r="J38" s="173"/>
      <c r="K38" s="172">
        <v>253917.75</v>
      </c>
      <c r="L38" s="172">
        <v>0</v>
      </c>
      <c r="M38" s="172">
        <v>253917.75</v>
      </c>
      <c r="N38" s="173"/>
      <c r="O38" s="172">
        <v>85695.85</v>
      </c>
      <c r="P38" s="172">
        <v>0</v>
      </c>
      <c r="Q38" s="172">
        <v>85695.85</v>
      </c>
      <c r="R38" s="173"/>
      <c r="S38" s="172">
        <v>339613.6</v>
      </c>
      <c r="T38" s="172">
        <v>0</v>
      </c>
      <c r="U38" s="172">
        <v>339613.6</v>
      </c>
      <c r="V38" s="162"/>
    </row>
    <row r="39" spans="1:22" x14ac:dyDescent="0.25">
      <c r="A39" s="169">
        <v>2024</v>
      </c>
      <c r="B39" s="169" t="s">
        <v>812</v>
      </c>
      <c r="C39" s="170" t="s">
        <v>110</v>
      </c>
      <c r="D39" s="171" t="s">
        <v>810</v>
      </c>
      <c r="E39" s="171" t="s">
        <v>810</v>
      </c>
      <c r="F39" s="171" t="s">
        <v>110</v>
      </c>
      <c r="G39" s="170" t="s">
        <v>460</v>
      </c>
      <c r="H39" s="172">
        <v>1</v>
      </c>
      <c r="I39" s="172">
        <v>5</v>
      </c>
      <c r="J39" s="173"/>
      <c r="K39" s="172">
        <v>124100.25</v>
      </c>
      <c r="L39" s="172">
        <v>20683.38</v>
      </c>
      <c r="M39" s="172">
        <v>103416.87</v>
      </c>
      <c r="N39" s="173"/>
      <c r="O39" s="172">
        <v>44384.02</v>
      </c>
      <c r="P39" s="172">
        <v>7397.34</v>
      </c>
      <c r="Q39" s="172">
        <v>36986.679999999993</v>
      </c>
      <c r="R39" s="173"/>
      <c r="S39" s="172">
        <v>168484.27</v>
      </c>
      <c r="T39" s="172">
        <v>28080.720000000001</v>
      </c>
      <c r="U39" s="172">
        <v>140403.54999999999</v>
      </c>
      <c r="V39" s="162"/>
    </row>
    <row r="40" spans="1:22" x14ac:dyDescent="0.25">
      <c r="A40" s="169">
        <v>2024</v>
      </c>
      <c r="B40" s="169" t="s">
        <v>811</v>
      </c>
      <c r="C40" s="170" t="s">
        <v>56</v>
      </c>
      <c r="D40" s="171" t="s">
        <v>810</v>
      </c>
      <c r="E40" s="171" t="s">
        <v>810</v>
      </c>
      <c r="F40" s="171" t="s">
        <v>56</v>
      </c>
      <c r="G40" s="170" t="s">
        <v>408</v>
      </c>
      <c r="H40" s="172">
        <v>1</v>
      </c>
      <c r="I40" s="172">
        <v>1</v>
      </c>
      <c r="J40" s="173"/>
      <c r="K40" s="172">
        <v>61320</v>
      </c>
      <c r="L40" s="172">
        <v>30660</v>
      </c>
      <c r="M40" s="172">
        <v>30660</v>
      </c>
      <c r="N40" s="173"/>
      <c r="O40" s="172">
        <v>21436.1</v>
      </c>
      <c r="P40" s="172">
        <v>10718.05</v>
      </c>
      <c r="Q40" s="172">
        <v>10718.05</v>
      </c>
      <c r="R40" s="173"/>
      <c r="S40" s="172">
        <v>82756.100000000006</v>
      </c>
      <c r="T40" s="172">
        <v>41378.050000000003</v>
      </c>
      <c r="U40" s="172">
        <v>41378.050000000003</v>
      </c>
      <c r="V40" s="162"/>
    </row>
    <row r="41" spans="1:22" x14ac:dyDescent="0.25">
      <c r="A41" s="169">
        <v>2024</v>
      </c>
      <c r="B41" s="169" t="s">
        <v>815</v>
      </c>
      <c r="C41" s="170" t="s">
        <v>58</v>
      </c>
      <c r="D41" s="171" t="s">
        <v>810</v>
      </c>
      <c r="E41" s="171" t="s">
        <v>810</v>
      </c>
      <c r="F41" s="171" t="s">
        <v>58</v>
      </c>
      <c r="G41" s="170" t="s">
        <v>410</v>
      </c>
      <c r="H41" s="172">
        <v>0</v>
      </c>
      <c r="I41" s="172">
        <v>0</v>
      </c>
      <c r="J41" s="173"/>
      <c r="K41" s="172">
        <v>0</v>
      </c>
      <c r="L41" s="172">
        <v>0</v>
      </c>
      <c r="M41" s="172">
        <v>0</v>
      </c>
      <c r="N41" s="173"/>
      <c r="O41" s="172">
        <v>0</v>
      </c>
      <c r="P41" s="172">
        <v>0</v>
      </c>
      <c r="Q41" s="172">
        <v>0</v>
      </c>
      <c r="R41" s="173"/>
      <c r="S41" s="172">
        <v>0</v>
      </c>
      <c r="T41" s="172">
        <v>0</v>
      </c>
      <c r="U41" s="172">
        <v>0</v>
      </c>
      <c r="V41" s="162"/>
    </row>
    <row r="42" spans="1:22" x14ac:dyDescent="0.25">
      <c r="A42" s="169">
        <v>2024</v>
      </c>
      <c r="B42" s="169" t="s">
        <v>811</v>
      </c>
      <c r="C42" s="170" t="s">
        <v>60</v>
      </c>
      <c r="D42" s="171" t="s">
        <v>810</v>
      </c>
      <c r="E42" s="171" t="s">
        <v>810</v>
      </c>
      <c r="F42" s="171" t="s">
        <v>60</v>
      </c>
      <c r="G42" s="170" t="s">
        <v>3</v>
      </c>
      <c r="H42" s="172">
        <v>3</v>
      </c>
      <c r="I42" s="172">
        <v>8</v>
      </c>
      <c r="J42" s="173"/>
      <c r="K42" s="172">
        <v>127537.5</v>
      </c>
      <c r="L42" s="172">
        <v>34782.949999999997</v>
      </c>
      <c r="M42" s="172">
        <v>92754.55</v>
      </c>
      <c r="N42" s="173"/>
      <c r="O42" s="172">
        <v>43315.27</v>
      </c>
      <c r="P42" s="172">
        <v>11813.26</v>
      </c>
      <c r="Q42" s="172">
        <v>31502.009999999995</v>
      </c>
      <c r="R42" s="173"/>
      <c r="S42" s="172">
        <v>170852.77</v>
      </c>
      <c r="T42" s="172">
        <v>46596.21</v>
      </c>
      <c r="U42" s="172">
        <v>124256.56</v>
      </c>
      <c r="V42" s="162"/>
    </row>
    <row r="43" spans="1:22" x14ac:dyDescent="0.25">
      <c r="A43" s="169">
        <v>2024</v>
      </c>
      <c r="B43" s="169" t="s">
        <v>819</v>
      </c>
      <c r="C43" s="170" t="s">
        <v>61</v>
      </c>
      <c r="D43" s="171" t="s">
        <v>810</v>
      </c>
      <c r="E43" s="171" t="s">
        <v>810</v>
      </c>
      <c r="F43" s="171" t="s">
        <v>61</v>
      </c>
      <c r="G43" s="170" t="s">
        <v>411</v>
      </c>
      <c r="H43" s="172">
        <v>0</v>
      </c>
      <c r="I43" s="172">
        <v>6</v>
      </c>
      <c r="J43" s="173"/>
      <c r="K43" s="172">
        <v>126135.75</v>
      </c>
      <c r="L43" s="172">
        <v>0</v>
      </c>
      <c r="M43" s="172">
        <v>126135.75</v>
      </c>
      <c r="N43" s="173"/>
      <c r="O43" s="172">
        <v>45229.67</v>
      </c>
      <c r="P43" s="172">
        <v>0</v>
      </c>
      <c r="Q43" s="172">
        <v>45229.67</v>
      </c>
      <c r="R43" s="173"/>
      <c r="S43" s="172">
        <v>171365.41999999998</v>
      </c>
      <c r="T43" s="172">
        <v>0</v>
      </c>
      <c r="U43" s="172">
        <v>171365.41999999998</v>
      </c>
      <c r="V43" s="162"/>
    </row>
    <row r="44" spans="1:22" x14ac:dyDescent="0.25">
      <c r="A44" s="169">
        <v>2024</v>
      </c>
      <c r="B44" s="169" t="s">
        <v>812</v>
      </c>
      <c r="C44" s="170" t="s">
        <v>59</v>
      </c>
      <c r="D44" s="171" t="s">
        <v>810</v>
      </c>
      <c r="E44" s="171" t="s">
        <v>810</v>
      </c>
      <c r="F44" s="171" t="s">
        <v>59</v>
      </c>
      <c r="G44" s="170" t="s">
        <v>2</v>
      </c>
      <c r="H44" s="172">
        <v>0</v>
      </c>
      <c r="I44" s="172">
        <v>10</v>
      </c>
      <c r="J44" s="173"/>
      <c r="K44" s="172">
        <v>265551.75</v>
      </c>
      <c r="L44" s="172">
        <v>0</v>
      </c>
      <c r="M44" s="172">
        <v>265551.75</v>
      </c>
      <c r="N44" s="173"/>
      <c r="O44" s="172">
        <v>95978.22</v>
      </c>
      <c r="P44" s="172">
        <v>0</v>
      </c>
      <c r="Q44" s="172">
        <v>95978.22</v>
      </c>
      <c r="R44" s="173"/>
      <c r="S44" s="172">
        <v>361529.97</v>
      </c>
      <c r="T44" s="172">
        <v>0</v>
      </c>
      <c r="U44" s="172">
        <v>361529.97</v>
      </c>
      <c r="V44" s="162"/>
    </row>
    <row r="45" spans="1:22" x14ac:dyDescent="0.25">
      <c r="A45" s="169">
        <v>2024</v>
      </c>
      <c r="B45" s="169" t="s">
        <v>819</v>
      </c>
      <c r="C45" s="170" t="s">
        <v>62</v>
      </c>
      <c r="D45" s="171" t="s">
        <v>810</v>
      </c>
      <c r="E45" s="171" t="s">
        <v>810</v>
      </c>
      <c r="F45" s="171" t="s">
        <v>62</v>
      </c>
      <c r="G45" s="170" t="s">
        <v>412</v>
      </c>
      <c r="H45" s="172">
        <v>0</v>
      </c>
      <c r="I45" s="172">
        <v>0</v>
      </c>
      <c r="J45" s="173"/>
      <c r="K45" s="172">
        <v>0</v>
      </c>
      <c r="L45" s="172">
        <v>0</v>
      </c>
      <c r="M45" s="172">
        <v>0</v>
      </c>
      <c r="N45" s="173"/>
      <c r="O45" s="172">
        <v>0</v>
      </c>
      <c r="P45" s="172">
        <v>0</v>
      </c>
      <c r="Q45" s="172">
        <v>0</v>
      </c>
      <c r="R45" s="173"/>
      <c r="S45" s="172">
        <v>0</v>
      </c>
      <c r="T45" s="172">
        <v>0</v>
      </c>
      <c r="U45" s="172">
        <v>0</v>
      </c>
      <c r="V45" s="162"/>
    </row>
    <row r="46" spans="1:22" x14ac:dyDescent="0.25">
      <c r="A46" s="169">
        <v>2024</v>
      </c>
      <c r="B46" s="169" t="s">
        <v>815</v>
      </c>
      <c r="C46" s="170" t="s">
        <v>63</v>
      </c>
      <c r="D46" s="171" t="s">
        <v>810</v>
      </c>
      <c r="E46" s="171" t="s">
        <v>810</v>
      </c>
      <c r="F46" s="171" t="s">
        <v>63</v>
      </c>
      <c r="G46" s="170" t="s">
        <v>413</v>
      </c>
      <c r="H46" s="172">
        <v>0</v>
      </c>
      <c r="I46" s="172">
        <v>8</v>
      </c>
      <c r="J46" s="173"/>
      <c r="K46" s="172">
        <v>244776.75</v>
      </c>
      <c r="L46" s="172">
        <v>0</v>
      </c>
      <c r="M46" s="172">
        <v>244776.75</v>
      </c>
      <c r="N46" s="173"/>
      <c r="O46" s="172">
        <v>88563.57</v>
      </c>
      <c r="P46" s="172">
        <v>0</v>
      </c>
      <c r="Q46" s="172">
        <v>88563.57</v>
      </c>
      <c r="R46" s="173"/>
      <c r="S46" s="172">
        <v>333340.32</v>
      </c>
      <c r="T46" s="172">
        <v>0</v>
      </c>
      <c r="U46" s="172">
        <v>333340.32</v>
      </c>
      <c r="V46" s="162"/>
    </row>
    <row r="47" spans="1:22" x14ac:dyDescent="0.25">
      <c r="A47" s="169">
        <v>2024</v>
      </c>
      <c r="B47" s="169" t="s">
        <v>809</v>
      </c>
      <c r="C47" s="170" t="s">
        <v>64</v>
      </c>
      <c r="D47" s="171" t="s">
        <v>810</v>
      </c>
      <c r="E47" s="171" t="s">
        <v>810</v>
      </c>
      <c r="F47" s="171" t="s">
        <v>64</v>
      </c>
      <c r="G47" s="170" t="s">
        <v>414</v>
      </c>
      <c r="H47" s="172">
        <v>0</v>
      </c>
      <c r="I47" s="172">
        <v>0</v>
      </c>
      <c r="J47" s="173"/>
      <c r="K47" s="172">
        <v>0</v>
      </c>
      <c r="L47" s="172">
        <v>0</v>
      </c>
      <c r="M47" s="172">
        <v>0</v>
      </c>
      <c r="N47" s="173"/>
      <c r="O47" s="172">
        <v>0</v>
      </c>
      <c r="P47" s="172">
        <v>0</v>
      </c>
      <c r="Q47" s="172">
        <v>0</v>
      </c>
      <c r="R47" s="173"/>
      <c r="S47" s="172">
        <v>0</v>
      </c>
      <c r="T47" s="172">
        <v>0</v>
      </c>
      <c r="U47" s="172">
        <v>0</v>
      </c>
      <c r="V47" s="162"/>
    </row>
    <row r="48" spans="1:22" x14ac:dyDescent="0.25">
      <c r="A48" s="169">
        <v>2024</v>
      </c>
      <c r="B48" s="169" t="s">
        <v>809</v>
      </c>
      <c r="C48" s="170" t="s">
        <v>65</v>
      </c>
      <c r="D48" s="171" t="s">
        <v>810</v>
      </c>
      <c r="E48" s="171" t="s">
        <v>810</v>
      </c>
      <c r="F48" s="171" t="s">
        <v>65</v>
      </c>
      <c r="G48" s="170" t="s">
        <v>415</v>
      </c>
      <c r="H48" s="172">
        <v>0</v>
      </c>
      <c r="I48" s="172">
        <v>3</v>
      </c>
      <c r="J48" s="173"/>
      <c r="K48" s="172">
        <v>477043.5</v>
      </c>
      <c r="L48" s="172">
        <v>0</v>
      </c>
      <c r="M48" s="172">
        <v>477043.5</v>
      </c>
      <c r="N48" s="173"/>
      <c r="O48" s="172">
        <v>164656.15</v>
      </c>
      <c r="P48" s="172">
        <v>0</v>
      </c>
      <c r="Q48" s="172">
        <v>164656.15</v>
      </c>
      <c r="R48" s="173"/>
      <c r="S48" s="172">
        <v>641699.65</v>
      </c>
      <c r="T48" s="172">
        <v>0</v>
      </c>
      <c r="U48" s="172">
        <v>641699.65</v>
      </c>
      <c r="V48" s="162"/>
    </row>
    <row r="49" spans="1:22" x14ac:dyDescent="0.25">
      <c r="A49" s="169">
        <v>2024</v>
      </c>
      <c r="B49" s="169" t="s">
        <v>811</v>
      </c>
      <c r="C49" s="170" t="s">
        <v>66</v>
      </c>
      <c r="D49" s="171" t="s">
        <v>810</v>
      </c>
      <c r="E49" s="171" t="s">
        <v>810</v>
      </c>
      <c r="F49" s="171" t="s">
        <v>66</v>
      </c>
      <c r="G49" s="170" t="s">
        <v>416</v>
      </c>
      <c r="H49" s="172">
        <v>0</v>
      </c>
      <c r="I49" s="172">
        <v>1</v>
      </c>
      <c r="J49" s="173"/>
      <c r="K49" s="172">
        <v>417358.5</v>
      </c>
      <c r="L49" s="172">
        <v>0</v>
      </c>
      <c r="M49" s="172">
        <v>417358.5</v>
      </c>
      <c r="N49" s="173"/>
      <c r="O49" s="172">
        <v>146899.20000000001</v>
      </c>
      <c r="P49" s="172">
        <v>0</v>
      </c>
      <c r="Q49" s="172">
        <v>146899.20000000001</v>
      </c>
      <c r="R49" s="173"/>
      <c r="S49" s="172">
        <v>564257.69999999995</v>
      </c>
      <c r="T49" s="172">
        <v>0</v>
      </c>
      <c r="U49" s="172">
        <v>564257.69999999995</v>
      </c>
      <c r="V49" s="162"/>
    </row>
    <row r="50" spans="1:22" x14ac:dyDescent="0.25">
      <c r="A50" s="169">
        <v>2024</v>
      </c>
      <c r="B50" s="169" t="s">
        <v>816</v>
      </c>
      <c r="C50" s="170" t="s">
        <v>67</v>
      </c>
      <c r="D50" s="171" t="s">
        <v>810</v>
      </c>
      <c r="E50" s="171" t="s">
        <v>810</v>
      </c>
      <c r="F50" s="171" t="s">
        <v>67</v>
      </c>
      <c r="G50" s="170" t="s">
        <v>417</v>
      </c>
      <c r="H50" s="172">
        <v>0</v>
      </c>
      <c r="I50" s="172">
        <v>5</v>
      </c>
      <c r="J50" s="173"/>
      <c r="K50" s="172">
        <v>7136295</v>
      </c>
      <c r="L50" s="172">
        <v>0</v>
      </c>
      <c r="M50" s="172">
        <v>7136295</v>
      </c>
      <c r="N50" s="173"/>
      <c r="O50" s="172">
        <v>2522206.0299999998</v>
      </c>
      <c r="P50" s="172">
        <v>0</v>
      </c>
      <c r="Q50" s="172">
        <v>2522206.0299999998</v>
      </c>
      <c r="R50" s="173"/>
      <c r="S50" s="172">
        <v>9658501.0299999993</v>
      </c>
      <c r="T50" s="172">
        <v>0</v>
      </c>
      <c r="U50" s="172">
        <v>9658501.0299999993</v>
      </c>
      <c r="V50" s="162"/>
    </row>
    <row r="51" spans="1:22" x14ac:dyDescent="0.25">
      <c r="A51" s="169">
        <v>2024</v>
      </c>
      <c r="B51" s="169" t="s">
        <v>816</v>
      </c>
      <c r="C51" s="170" t="s">
        <v>68</v>
      </c>
      <c r="D51" s="171" t="s">
        <v>810</v>
      </c>
      <c r="E51" s="171" t="s">
        <v>810</v>
      </c>
      <c r="F51" s="171" t="s">
        <v>68</v>
      </c>
      <c r="G51" s="170" t="s">
        <v>418</v>
      </c>
      <c r="H51" s="172">
        <v>0</v>
      </c>
      <c r="I51" s="172">
        <v>3</v>
      </c>
      <c r="J51" s="173"/>
      <c r="K51" s="172">
        <v>230748</v>
      </c>
      <c r="L51" s="172">
        <v>0</v>
      </c>
      <c r="M51" s="172">
        <v>230748</v>
      </c>
      <c r="N51" s="173"/>
      <c r="O51" s="172">
        <v>79825.070000000007</v>
      </c>
      <c r="P51" s="172">
        <v>0</v>
      </c>
      <c r="Q51" s="172">
        <v>79825.070000000007</v>
      </c>
      <c r="R51" s="173"/>
      <c r="S51" s="172">
        <v>310573.07</v>
      </c>
      <c r="T51" s="172">
        <v>0</v>
      </c>
      <c r="U51" s="172">
        <v>310573.07</v>
      </c>
      <c r="V51" s="162"/>
    </row>
    <row r="52" spans="1:22" x14ac:dyDescent="0.25">
      <c r="A52" s="169">
        <v>2024</v>
      </c>
      <c r="B52" s="169" t="s">
        <v>815</v>
      </c>
      <c r="C52" s="170" t="s">
        <v>69</v>
      </c>
      <c r="D52" s="171" t="s">
        <v>810</v>
      </c>
      <c r="E52" s="171" t="s">
        <v>810</v>
      </c>
      <c r="F52" s="171" t="s">
        <v>69</v>
      </c>
      <c r="G52" s="170" t="s">
        <v>419</v>
      </c>
      <c r="H52" s="172">
        <v>2</v>
      </c>
      <c r="I52" s="172">
        <v>3</v>
      </c>
      <c r="J52" s="173"/>
      <c r="K52" s="172">
        <v>291268.5</v>
      </c>
      <c r="L52" s="172">
        <v>116507.4</v>
      </c>
      <c r="M52" s="172">
        <v>174761.1</v>
      </c>
      <c r="N52" s="173"/>
      <c r="O52" s="172">
        <v>104052.21</v>
      </c>
      <c r="P52" s="172">
        <v>41620.879999999997</v>
      </c>
      <c r="Q52" s="172">
        <v>62431.330000000009</v>
      </c>
      <c r="R52" s="173"/>
      <c r="S52" s="172">
        <v>395320.71</v>
      </c>
      <c r="T52" s="172">
        <v>158128.28</v>
      </c>
      <c r="U52" s="172">
        <v>237192.43000000002</v>
      </c>
      <c r="V52" s="162"/>
    </row>
    <row r="53" spans="1:22" x14ac:dyDescent="0.25">
      <c r="A53" s="169">
        <v>2024</v>
      </c>
      <c r="B53" s="169" t="s">
        <v>816</v>
      </c>
      <c r="C53" s="170" t="s">
        <v>73</v>
      </c>
      <c r="D53" s="171" t="s">
        <v>810</v>
      </c>
      <c r="E53" s="171" t="s">
        <v>810</v>
      </c>
      <c r="F53" s="171" t="s">
        <v>73</v>
      </c>
      <c r="G53" s="170" t="s">
        <v>423</v>
      </c>
      <c r="H53" s="172">
        <v>0</v>
      </c>
      <c r="I53" s="172">
        <v>0</v>
      </c>
      <c r="J53" s="173"/>
      <c r="K53" s="172">
        <v>0</v>
      </c>
      <c r="L53" s="172">
        <v>0</v>
      </c>
      <c r="M53" s="172">
        <v>0</v>
      </c>
      <c r="N53" s="173"/>
      <c r="O53" s="172">
        <v>0</v>
      </c>
      <c r="P53" s="172">
        <v>0</v>
      </c>
      <c r="Q53" s="172">
        <v>0</v>
      </c>
      <c r="R53" s="173"/>
      <c r="S53" s="172">
        <v>0</v>
      </c>
      <c r="T53" s="172">
        <v>0</v>
      </c>
      <c r="U53" s="172">
        <v>0</v>
      </c>
      <c r="V53" s="162"/>
    </row>
    <row r="54" spans="1:22" x14ac:dyDescent="0.25">
      <c r="A54" s="169">
        <v>2024</v>
      </c>
      <c r="B54" s="169" t="s">
        <v>818</v>
      </c>
      <c r="C54" s="170" t="s">
        <v>71</v>
      </c>
      <c r="D54" s="171" t="s">
        <v>810</v>
      </c>
      <c r="E54" s="171" t="s">
        <v>810</v>
      </c>
      <c r="F54" s="171" t="s">
        <v>71</v>
      </c>
      <c r="G54" s="170" t="s">
        <v>421</v>
      </c>
      <c r="H54" s="172">
        <v>0</v>
      </c>
      <c r="I54" s="172">
        <v>1</v>
      </c>
      <c r="J54" s="173"/>
      <c r="K54" s="172">
        <v>29464.5</v>
      </c>
      <c r="L54" s="172">
        <v>0</v>
      </c>
      <c r="M54" s="172">
        <v>29464.5</v>
      </c>
      <c r="N54" s="173"/>
      <c r="O54" s="172">
        <v>9759.14</v>
      </c>
      <c r="P54" s="172">
        <v>0</v>
      </c>
      <c r="Q54" s="172">
        <v>9759.14</v>
      </c>
      <c r="R54" s="173"/>
      <c r="S54" s="172">
        <v>39223.64</v>
      </c>
      <c r="T54" s="172">
        <v>0</v>
      </c>
      <c r="U54" s="172">
        <v>39223.64</v>
      </c>
      <c r="V54" s="162"/>
    </row>
    <row r="55" spans="1:22" x14ac:dyDescent="0.25">
      <c r="A55" s="169">
        <v>2024</v>
      </c>
      <c r="B55" s="169" t="s">
        <v>819</v>
      </c>
      <c r="C55" s="170" t="s">
        <v>72</v>
      </c>
      <c r="D55" s="171" t="s">
        <v>810</v>
      </c>
      <c r="E55" s="171" t="s">
        <v>810</v>
      </c>
      <c r="F55" s="171" t="s">
        <v>72</v>
      </c>
      <c r="G55" s="170" t="s">
        <v>422</v>
      </c>
      <c r="H55" s="172">
        <v>0</v>
      </c>
      <c r="I55" s="172">
        <v>7</v>
      </c>
      <c r="J55" s="173"/>
      <c r="K55" s="172">
        <v>667462.5</v>
      </c>
      <c r="L55" s="172">
        <v>0</v>
      </c>
      <c r="M55" s="172">
        <v>667462.5</v>
      </c>
      <c r="N55" s="173"/>
      <c r="O55" s="172">
        <v>228434.53</v>
      </c>
      <c r="P55" s="172">
        <v>0</v>
      </c>
      <c r="Q55" s="172">
        <v>228434.53</v>
      </c>
      <c r="R55" s="173"/>
      <c r="S55" s="172">
        <v>895897.03</v>
      </c>
      <c r="T55" s="172">
        <v>0</v>
      </c>
      <c r="U55" s="172">
        <v>895897.03</v>
      </c>
      <c r="V55" s="162"/>
    </row>
    <row r="56" spans="1:22" x14ac:dyDescent="0.25">
      <c r="A56" s="169">
        <v>2024</v>
      </c>
      <c r="B56" s="169" t="s">
        <v>812</v>
      </c>
      <c r="C56" s="170" t="s">
        <v>74</v>
      </c>
      <c r="D56" s="171" t="s">
        <v>810</v>
      </c>
      <c r="E56" s="171" t="s">
        <v>810</v>
      </c>
      <c r="F56" s="171" t="s">
        <v>74</v>
      </c>
      <c r="G56" s="170" t="s">
        <v>424</v>
      </c>
      <c r="H56" s="172">
        <v>0</v>
      </c>
      <c r="I56" s="172">
        <v>1</v>
      </c>
      <c r="J56" s="173"/>
      <c r="K56" s="172">
        <v>24081.75</v>
      </c>
      <c r="L56" s="172">
        <v>0</v>
      </c>
      <c r="M56" s="172">
        <v>24081.75</v>
      </c>
      <c r="N56" s="173"/>
      <c r="O56" s="172">
        <v>8283.9500000000007</v>
      </c>
      <c r="P56" s="172">
        <v>0</v>
      </c>
      <c r="Q56" s="172">
        <v>8283.9500000000007</v>
      </c>
      <c r="R56" s="173"/>
      <c r="S56" s="172">
        <v>32365.7</v>
      </c>
      <c r="T56" s="172">
        <v>0</v>
      </c>
      <c r="U56" s="172">
        <v>32365.7</v>
      </c>
      <c r="V56" s="162"/>
    </row>
    <row r="57" spans="1:22" x14ac:dyDescent="0.25">
      <c r="A57" s="169">
        <v>2024</v>
      </c>
      <c r="B57" s="169" t="s">
        <v>815</v>
      </c>
      <c r="C57" s="170" t="s">
        <v>70</v>
      </c>
      <c r="D57" s="171" t="s">
        <v>810</v>
      </c>
      <c r="E57" s="171" t="s">
        <v>810</v>
      </c>
      <c r="F57" s="171" t="s">
        <v>70</v>
      </c>
      <c r="G57" s="170" t="s">
        <v>420</v>
      </c>
      <c r="H57" s="172">
        <v>0</v>
      </c>
      <c r="I57" s="172">
        <v>3</v>
      </c>
      <c r="J57" s="173"/>
      <c r="K57" s="172">
        <v>138070.5</v>
      </c>
      <c r="L57" s="172">
        <v>0</v>
      </c>
      <c r="M57" s="172">
        <v>138070.5</v>
      </c>
      <c r="N57" s="173"/>
      <c r="O57" s="172">
        <v>47710.15</v>
      </c>
      <c r="P57" s="172">
        <v>0</v>
      </c>
      <c r="Q57" s="172">
        <v>47710.15</v>
      </c>
      <c r="R57" s="173"/>
      <c r="S57" s="172">
        <v>185780.65</v>
      </c>
      <c r="T57" s="172">
        <v>0</v>
      </c>
      <c r="U57" s="172">
        <v>185780.65</v>
      </c>
      <c r="V57" s="162"/>
    </row>
    <row r="58" spans="1:22" x14ac:dyDescent="0.25">
      <c r="A58" s="169">
        <v>2024</v>
      </c>
      <c r="B58" s="169" t="s">
        <v>813</v>
      </c>
      <c r="C58" s="170" t="s">
        <v>75</v>
      </c>
      <c r="D58" s="171" t="s">
        <v>810</v>
      </c>
      <c r="E58" s="171" t="s">
        <v>810</v>
      </c>
      <c r="F58" s="171" t="s">
        <v>75</v>
      </c>
      <c r="G58" s="170" t="s">
        <v>425</v>
      </c>
      <c r="H58" s="172">
        <v>0</v>
      </c>
      <c r="I58" s="172">
        <v>5</v>
      </c>
      <c r="J58" s="173"/>
      <c r="K58" s="172">
        <v>258523.5</v>
      </c>
      <c r="L58" s="172">
        <v>0</v>
      </c>
      <c r="M58" s="172">
        <v>258523.5</v>
      </c>
      <c r="N58" s="173"/>
      <c r="O58" s="172">
        <v>90198.74</v>
      </c>
      <c r="P58" s="172">
        <v>0</v>
      </c>
      <c r="Q58" s="172">
        <v>90198.74</v>
      </c>
      <c r="R58" s="173"/>
      <c r="S58" s="172">
        <v>348722.24</v>
      </c>
      <c r="T58" s="172">
        <v>0</v>
      </c>
      <c r="U58" s="172">
        <v>348722.24</v>
      </c>
      <c r="V58" s="162"/>
    </row>
    <row r="59" spans="1:22" x14ac:dyDescent="0.25">
      <c r="A59" s="169">
        <v>2024</v>
      </c>
      <c r="B59" s="169" t="s">
        <v>811</v>
      </c>
      <c r="C59" s="170" t="s">
        <v>226</v>
      </c>
      <c r="D59" s="171" t="s">
        <v>810</v>
      </c>
      <c r="E59" s="171" t="s">
        <v>810</v>
      </c>
      <c r="F59" s="171" t="s">
        <v>226</v>
      </c>
      <c r="G59" s="170" t="s">
        <v>573</v>
      </c>
      <c r="H59" s="172">
        <v>0</v>
      </c>
      <c r="I59" s="172">
        <v>7</v>
      </c>
      <c r="J59" s="173"/>
      <c r="K59" s="172">
        <v>324650.25</v>
      </c>
      <c r="L59" s="172">
        <v>0</v>
      </c>
      <c r="M59" s="172">
        <v>324650.25</v>
      </c>
      <c r="N59" s="173"/>
      <c r="O59" s="172">
        <v>106851.84</v>
      </c>
      <c r="P59" s="172">
        <v>0</v>
      </c>
      <c r="Q59" s="172">
        <v>106851.84</v>
      </c>
      <c r="R59" s="173"/>
      <c r="S59" s="172">
        <v>431502.08999999997</v>
      </c>
      <c r="T59" s="172">
        <v>0</v>
      </c>
      <c r="U59" s="172">
        <v>431502.08999999997</v>
      </c>
      <c r="V59" s="162"/>
    </row>
    <row r="60" spans="1:22" x14ac:dyDescent="0.25">
      <c r="A60" s="169">
        <v>2024</v>
      </c>
      <c r="B60" s="169" t="s">
        <v>815</v>
      </c>
      <c r="C60" s="170" t="s">
        <v>76</v>
      </c>
      <c r="D60" s="171" t="s">
        <v>810</v>
      </c>
      <c r="E60" s="171" t="s">
        <v>810</v>
      </c>
      <c r="F60" s="171" t="s">
        <v>76</v>
      </c>
      <c r="G60" s="170" t="s">
        <v>426</v>
      </c>
      <c r="H60" s="172">
        <v>1</v>
      </c>
      <c r="I60" s="172">
        <v>1</v>
      </c>
      <c r="J60" s="173"/>
      <c r="K60" s="172">
        <v>115710</v>
      </c>
      <c r="L60" s="172">
        <v>57855</v>
      </c>
      <c r="M60" s="172">
        <v>57855</v>
      </c>
      <c r="N60" s="173"/>
      <c r="O60" s="172">
        <v>40389.47</v>
      </c>
      <c r="P60" s="172">
        <v>20194.740000000002</v>
      </c>
      <c r="Q60" s="172">
        <v>20194.73</v>
      </c>
      <c r="R60" s="173"/>
      <c r="S60" s="172">
        <v>156099.47</v>
      </c>
      <c r="T60" s="172">
        <v>78049.740000000005</v>
      </c>
      <c r="U60" s="172">
        <v>78049.73</v>
      </c>
      <c r="V60" s="162"/>
    </row>
    <row r="61" spans="1:22" x14ac:dyDescent="0.25">
      <c r="A61" s="169">
        <v>2024</v>
      </c>
      <c r="B61" s="169" t="s">
        <v>811</v>
      </c>
      <c r="C61" s="170" t="s">
        <v>77</v>
      </c>
      <c r="D61" s="171" t="s">
        <v>810</v>
      </c>
      <c r="E61" s="171" t="s">
        <v>810</v>
      </c>
      <c r="F61" s="171" t="s">
        <v>77</v>
      </c>
      <c r="G61" s="170" t="s">
        <v>427</v>
      </c>
      <c r="H61" s="172">
        <v>1</v>
      </c>
      <c r="I61" s="172">
        <v>6</v>
      </c>
      <c r="J61" s="173"/>
      <c r="K61" s="172">
        <v>690794.25</v>
      </c>
      <c r="L61" s="172">
        <v>98684.89</v>
      </c>
      <c r="M61" s="172">
        <v>592109.36</v>
      </c>
      <c r="N61" s="173"/>
      <c r="O61" s="172">
        <v>236730.42</v>
      </c>
      <c r="P61" s="172">
        <v>33818.629999999997</v>
      </c>
      <c r="Q61" s="172">
        <v>202911.79</v>
      </c>
      <c r="R61" s="173"/>
      <c r="S61" s="172">
        <v>927524.67</v>
      </c>
      <c r="T61" s="172">
        <v>132503.51999999999</v>
      </c>
      <c r="U61" s="172">
        <v>795021.15</v>
      </c>
      <c r="V61" s="162"/>
    </row>
    <row r="62" spans="1:22" x14ac:dyDescent="0.25">
      <c r="A62" s="169">
        <v>2024</v>
      </c>
      <c r="B62" s="169" t="s">
        <v>813</v>
      </c>
      <c r="C62" s="170" t="s">
        <v>78</v>
      </c>
      <c r="D62" s="171" t="s">
        <v>810</v>
      </c>
      <c r="E62" s="171" t="s">
        <v>810</v>
      </c>
      <c r="F62" s="171" t="s">
        <v>78</v>
      </c>
      <c r="G62" s="170" t="s">
        <v>428</v>
      </c>
      <c r="H62" s="172">
        <v>1</v>
      </c>
      <c r="I62" s="172">
        <v>1</v>
      </c>
      <c r="J62" s="173"/>
      <c r="K62" s="172">
        <v>28401.75</v>
      </c>
      <c r="L62" s="172">
        <v>14200.88</v>
      </c>
      <c r="M62" s="172">
        <v>14200.87</v>
      </c>
      <c r="N62" s="173"/>
      <c r="O62" s="172">
        <v>9649.73</v>
      </c>
      <c r="P62" s="172">
        <v>4824.87</v>
      </c>
      <c r="Q62" s="172">
        <v>4824.8599999999997</v>
      </c>
      <c r="R62" s="173"/>
      <c r="S62" s="172">
        <v>38051.479999999996</v>
      </c>
      <c r="T62" s="172">
        <v>19025.75</v>
      </c>
      <c r="U62" s="172">
        <v>19025.73</v>
      </c>
      <c r="V62" s="162"/>
    </row>
    <row r="63" spans="1:22" x14ac:dyDescent="0.25">
      <c r="A63" s="169">
        <v>2024</v>
      </c>
      <c r="B63" s="169" t="s">
        <v>813</v>
      </c>
      <c r="C63" s="170" t="s">
        <v>79</v>
      </c>
      <c r="D63" s="171" t="s">
        <v>810</v>
      </c>
      <c r="E63" s="171" t="s">
        <v>810</v>
      </c>
      <c r="F63" s="171" t="s">
        <v>79</v>
      </c>
      <c r="G63" s="170" t="s">
        <v>429</v>
      </c>
      <c r="H63" s="172">
        <v>0</v>
      </c>
      <c r="I63" s="172">
        <v>3</v>
      </c>
      <c r="J63" s="173"/>
      <c r="K63" s="172">
        <v>185473.5</v>
      </c>
      <c r="L63" s="172">
        <v>0</v>
      </c>
      <c r="M63" s="172">
        <v>185473.5</v>
      </c>
      <c r="N63" s="173"/>
      <c r="O63" s="172">
        <v>62800.38</v>
      </c>
      <c r="P63" s="172">
        <v>0</v>
      </c>
      <c r="Q63" s="172">
        <v>62800.38</v>
      </c>
      <c r="R63" s="173"/>
      <c r="S63" s="172">
        <v>248273.88</v>
      </c>
      <c r="T63" s="172">
        <v>0</v>
      </c>
      <c r="U63" s="172">
        <v>248273.88</v>
      </c>
      <c r="V63" s="162"/>
    </row>
    <row r="64" spans="1:22" x14ac:dyDescent="0.25">
      <c r="A64" s="169">
        <v>2024</v>
      </c>
      <c r="B64" s="169" t="s">
        <v>812</v>
      </c>
      <c r="C64" s="170" t="s">
        <v>80</v>
      </c>
      <c r="D64" s="171" t="s">
        <v>810</v>
      </c>
      <c r="E64" s="171" t="s">
        <v>810</v>
      </c>
      <c r="F64" s="171" t="s">
        <v>80</v>
      </c>
      <c r="G64" s="170" t="s">
        <v>430</v>
      </c>
      <c r="H64" s="172">
        <v>0</v>
      </c>
      <c r="I64" s="172">
        <v>2</v>
      </c>
      <c r="J64" s="173"/>
      <c r="K64" s="172">
        <v>157001.25</v>
      </c>
      <c r="L64" s="172">
        <v>0</v>
      </c>
      <c r="M64" s="172">
        <v>157001.25</v>
      </c>
      <c r="N64" s="173"/>
      <c r="O64" s="172">
        <v>54893.33</v>
      </c>
      <c r="P64" s="172">
        <v>0</v>
      </c>
      <c r="Q64" s="172">
        <v>54893.33</v>
      </c>
      <c r="R64" s="173"/>
      <c r="S64" s="172">
        <v>211894.58000000002</v>
      </c>
      <c r="T64" s="172">
        <v>0</v>
      </c>
      <c r="U64" s="172">
        <v>211894.58000000002</v>
      </c>
      <c r="V64" s="162"/>
    </row>
    <row r="65" spans="1:22" x14ac:dyDescent="0.25">
      <c r="A65" s="169">
        <v>2024</v>
      </c>
      <c r="B65" s="169" t="s">
        <v>814</v>
      </c>
      <c r="C65" s="170" t="s">
        <v>81</v>
      </c>
      <c r="D65" s="171" t="s">
        <v>820</v>
      </c>
      <c r="E65" s="171" t="s">
        <v>810</v>
      </c>
      <c r="F65" s="171" t="s">
        <v>81</v>
      </c>
      <c r="G65" s="170" t="s">
        <v>431</v>
      </c>
      <c r="H65" s="172">
        <v>0</v>
      </c>
      <c r="I65" s="172">
        <v>8</v>
      </c>
      <c r="J65" s="173"/>
      <c r="K65" s="172">
        <v>406623.75</v>
      </c>
      <c r="L65" s="172">
        <v>0</v>
      </c>
      <c r="M65" s="172">
        <v>406623.75</v>
      </c>
      <c r="N65" s="173"/>
      <c r="O65" s="172">
        <v>141715.47</v>
      </c>
      <c r="P65" s="172">
        <v>0</v>
      </c>
      <c r="Q65" s="172">
        <v>141715.47</v>
      </c>
      <c r="R65" s="173"/>
      <c r="S65" s="172">
        <v>548339.22</v>
      </c>
      <c r="T65" s="172">
        <v>0</v>
      </c>
      <c r="U65" s="172">
        <v>548339.22</v>
      </c>
      <c r="V65" s="162"/>
    </row>
    <row r="66" spans="1:22" x14ac:dyDescent="0.25">
      <c r="A66" s="169">
        <v>2024</v>
      </c>
      <c r="B66" s="169" t="s">
        <v>812</v>
      </c>
      <c r="C66" s="170" t="s">
        <v>82</v>
      </c>
      <c r="D66" s="171" t="s">
        <v>810</v>
      </c>
      <c r="E66" s="171" t="s">
        <v>810</v>
      </c>
      <c r="F66" s="171" t="s">
        <v>82</v>
      </c>
      <c r="G66" s="170" t="s">
        <v>432</v>
      </c>
      <c r="H66" s="172">
        <v>8</v>
      </c>
      <c r="I66" s="172">
        <v>10</v>
      </c>
      <c r="J66" s="173"/>
      <c r="K66" s="172">
        <v>930216</v>
      </c>
      <c r="L66" s="172">
        <v>413429.33</v>
      </c>
      <c r="M66" s="172">
        <v>516786.67</v>
      </c>
      <c r="N66" s="173"/>
      <c r="O66" s="172">
        <v>347957.71</v>
      </c>
      <c r="P66" s="172">
        <v>154647.87</v>
      </c>
      <c r="Q66" s="172">
        <v>193309.84000000003</v>
      </c>
      <c r="R66" s="173"/>
      <c r="S66" s="172">
        <v>1278173.71</v>
      </c>
      <c r="T66" s="172">
        <v>568077.19999999995</v>
      </c>
      <c r="U66" s="172">
        <v>710096.51</v>
      </c>
      <c r="V66" s="162"/>
    </row>
    <row r="67" spans="1:22" x14ac:dyDescent="0.25">
      <c r="A67" s="169">
        <v>2024</v>
      </c>
      <c r="B67" s="169" t="s">
        <v>811</v>
      </c>
      <c r="C67" s="170" t="s">
        <v>83</v>
      </c>
      <c r="D67" s="171" t="s">
        <v>810</v>
      </c>
      <c r="E67" s="171" t="s">
        <v>810</v>
      </c>
      <c r="F67" s="171" t="s">
        <v>83</v>
      </c>
      <c r="G67" s="170" t="s">
        <v>433</v>
      </c>
      <c r="H67" s="172">
        <v>1</v>
      </c>
      <c r="I67" s="172">
        <v>3</v>
      </c>
      <c r="J67" s="173"/>
      <c r="K67" s="172">
        <v>63131.25</v>
      </c>
      <c r="L67" s="172">
        <v>15782.81</v>
      </c>
      <c r="M67" s="172">
        <v>47348.44</v>
      </c>
      <c r="N67" s="173"/>
      <c r="O67" s="172">
        <v>21666.6</v>
      </c>
      <c r="P67" s="172">
        <v>5416.65</v>
      </c>
      <c r="Q67" s="172">
        <v>16249.949999999999</v>
      </c>
      <c r="R67" s="173"/>
      <c r="S67" s="172">
        <v>84797.85</v>
      </c>
      <c r="T67" s="172">
        <v>21199.46</v>
      </c>
      <c r="U67" s="172">
        <v>63598.39</v>
      </c>
      <c r="V67" s="162"/>
    </row>
    <row r="68" spans="1:22" x14ac:dyDescent="0.25">
      <c r="A68" s="169">
        <v>2024</v>
      </c>
      <c r="B68" s="169" t="s">
        <v>814</v>
      </c>
      <c r="C68" s="170" t="s">
        <v>84</v>
      </c>
      <c r="D68" s="171" t="s">
        <v>810</v>
      </c>
      <c r="E68" s="171" t="s">
        <v>810</v>
      </c>
      <c r="F68" s="171" t="s">
        <v>84</v>
      </c>
      <c r="G68" s="170" t="s">
        <v>434</v>
      </c>
      <c r="H68" s="172">
        <v>0</v>
      </c>
      <c r="I68" s="172">
        <v>1</v>
      </c>
      <c r="J68" s="173"/>
      <c r="K68" s="172">
        <v>21237.75</v>
      </c>
      <c r="L68" s="172">
        <v>0</v>
      </c>
      <c r="M68" s="172">
        <v>21237.75</v>
      </c>
      <c r="N68" s="173"/>
      <c r="O68" s="172">
        <v>7428.8</v>
      </c>
      <c r="P68" s="172">
        <v>0</v>
      </c>
      <c r="Q68" s="172">
        <v>7428.8</v>
      </c>
      <c r="R68" s="173"/>
      <c r="S68" s="172">
        <v>28666.55</v>
      </c>
      <c r="T68" s="172">
        <v>0</v>
      </c>
      <c r="U68" s="172">
        <v>28666.55</v>
      </c>
      <c r="V68" s="162"/>
    </row>
    <row r="69" spans="1:22" x14ac:dyDescent="0.25">
      <c r="A69" s="169">
        <v>2024</v>
      </c>
      <c r="B69" s="169" t="s">
        <v>818</v>
      </c>
      <c r="C69" s="170" t="s">
        <v>147</v>
      </c>
      <c r="D69" s="171" t="s">
        <v>810</v>
      </c>
      <c r="E69" s="171" t="s">
        <v>810</v>
      </c>
      <c r="F69" s="171" t="s">
        <v>147</v>
      </c>
      <c r="G69" s="170" t="s">
        <v>496</v>
      </c>
      <c r="H69" s="172">
        <v>0</v>
      </c>
      <c r="I69" s="172">
        <v>0</v>
      </c>
      <c r="J69" s="173"/>
      <c r="K69" s="172">
        <v>0</v>
      </c>
      <c r="L69" s="172">
        <v>0</v>
      </c>
      <c r="M69" s="172">
        <v>0</v>
      </c>
      <c r="N69" s="173"/>
      <c r="O69" s="172">
        <v>0</v>
      </c>
      <c r="P69" s="172">
        <v>0</v>
      </c>
      <c r="Q69" s="172">
        <v>0</v>
      </c>
      <c r="R69" s="173"/>
      <c r="S69" s="172">
        <v>0</v>
      </c>
      <c r="T69" s="172">
        <v>0</v>
      </c>
      <c r="U69" s="172">
        <v>0</v>
      </c>
      <c r="V69" s="162"/>
    </row>
    <row r="70" spans="1:22" x14ac:dyDescent="0.25">
      <c r="A70" s="169">
        <v>2024</v>
      </c>
      <c r="B70" s="169" t="s">
        <v>816</v>
      </c>
      <c r="C70" s="170" t="s">
        <v>85</v>
      </c>
      <c r="D70" s="171" t="s">
        <v>821</v>
      </c>
      <c r="E70" s="171" t="s">
        <v>810</v>
      </c>
      <c r="F70" s="171" t="s">
        <v>85</v>
      </c>
      <c r="G70" s="170" t="s">
        <v>435</v>
      </c>
      <c r="H70" s="172">
        <v>4</v>
      </c>
      <c r="I70" s="172">
        <v>7</v>
      </c>
      <c r="J70" s="173"/>
      <c r="K70" s="172">
        <v>2341770</v>
      </c>
      <c r="L70" s="172">
        <v>851552.73</v>
      </c>
      <c r="M70" s="172">
        <v>1490217.27</v>
      </c>
      <c r="N70" s="173"/>
      <c r="O70" s="172">
        <v>826337.6</v>
      </c>
      <c r="P70" s="172">
        <v>300486.40000000002</v>
      </c>
      <c r="Q70" s="172">
        <v>525851.19999999995</v>
      </c>
      <c r="R70" s="173"/>
      <c r="S70" s="172">
        <v>3168107.6</v>
      </c>
      <c r="T70" s="172">
        <v>1152039.1299999999</v>
      </c>
      <c r="U70" s="172">
        <v>2016068.47</v>
      </c>
      <c r="V70" s="162"/>
    </row>
    <row r="71" spans="1:22" x14ac:dyDescent="0.25">
      <c r="A71" s="169">
        <v>2024</v>
      </c>
      <c r="B71" s="169" t="s">
        <v>811</v>
      </c>
      <c r="C71" s="170" t="s">
        <v>86</v>
      </c>
      <c r="D71" s="171" t="s">
        <v>810</v>
      </c>
      <c r="E71" s="171" t="s">
        <v>810</v>
      </c>
      <c r="F71" s="171" t="s">
        <v>86</v>
      </c>
      <c r="G71" s="170" t="s">
        <v>436</v>
      </c>
      <c r="H71" s="172">
        <v>0</v>
      </c>
      <c r="I71" s="172">
        <v>5</v>
      </c>
      <c r="J71" s="173"/>
      <c r="K71" s="172">
        <v>607123.5</v>
      </c>
      <c r="L71" s="172">
        <v>0</v>
      </c>
      <c r="M71" s="172">
        <v>607123.5</v>
      </c>
      <c r="N71" s="173"/>
      <c r="O71" s="172">
        <v>222202.97</v>
      </c>
      <c r="P71" s="172">
        <v>0</v>
      </c>
      <c r="Q71" s="172">
        <v>222202.97</v>
      </c>
      <c r="R71" s="173"/>
      <c r="S71" s="172">
        <v>829326.47</v>
      </c>
      <c r="T71" s="172">
        <v>0</v>
      </c>
      <c r="U71" s="172">
        <v>829326.47</v>
      </c>
      <c r="V71" s="162"/>
    </row>
    <row r="72" spans="1:22" x14ac:dyDescent="0.25">
      <c r="A72" s="169">
        <v>2024</v>
      </c>
      <c r="B72" s="169" t="s">
        <v>819</v>
      </c>
      <c r="C72" s="170" t="s">
        <v>87</v>
      </c>
      <c r="D72" s="171" t="s">
        <v>810</v>
      </c>
      <c r="E72" s="171" t="s">
        <v>810</v>
      </c>
      <c r="F72" s="171" t="s">
        <v>87</v>
      </c>
      <c r="G72" s="170" t="s">
        <v>437</v>
      </c>
      <c r="H72" s="172">
        <v>0</v>
      </c>
      <c r="I72" s="172">
        <v>3</v>
      </c>
      <c r="J72" s="173"/>
      <c r="K72" s="172">
        <v>495238.5</v>
      </c>
      <c r="L72" s="172">
        <v>0</v>
      </c>
      <c r="M72" s="172">
        <v>495238.5</v>
      </c>
      <c r="N72" s="173"/>
      <c r="O72" s="172">
        <v>177056.21</v>
      </c>
      <c r="P72" s="172">
        <v>0</v>
      </c>
      <c r="Q72" s="172">
        <v>177056.21</v>
      </c>
      <c r="R72" s="173"/>
      <c r="S72" s="172">
        <v>672294.71</v>
      </c>
      <c r="T72" s="172">
        <v>0</v>
      </c>
      <c r="U72" s="172">
        <v>672294.71</v>
      </c>
      <c r="V72" s="162"/>
    </row>
    <row r="73" spans="1:22" x14ac:dyDescent="0.25">
      <c r="A73" s="169">
        <v>2024</v>
      </c>
      <c r="B73" s="169" t="s">
        <v>809</v>
      </c>
      <c r="C73" s="170" t="s">
        <v>88</v>
      </c>
      <c r="D73" s="171" t="s">
        <v>810</v>
      </c>
      <c r="E73" s="171" t="s">
        <v>810</v>
      </c>
      <c r="F73" s="171" t="s">
        <v>88</v>
      </c>
      <c r="G73" s="170" t="s">
        <v>438</v>
      </c>
      <c r="H73" s="172">
        <v>0</v>
      </c>
      <c r="I73" s="172">
        <v>1</v>
      </c>
      <c r="J73" s="173"/>
      <c r="K73" s="172">
        <v>42550.5</v>
      </c>
      <c r="L73" s="172">
        <v>0</v>
      </c>
      <c r="M73" s="172">
        <v>42550.5</v>
      </c>
      <c r="N73" s="173"/>
      <c r="O73" s="172">
        <v>15266.36</v>
      </c>
      <c r="P73" s="172">
        <v>0</v>
      </c>
      <c r="Q73" s="172">
        <v>15266.36</v>
      </c>
      <c r="R73" s="173"/>
      <c r="S73" s="172">
        <v>57816.86</v>
      </c>
      <c r="T73" s="172">
        <v>0</v>
      </c>
      <c r="U73" s="172">
        <v>57816.86</v>
      </c>
      <c r="V73" s="162"/>
    </row>
    <row r="74" spans="1:22" x14ac:dyDescent="0.25">
      <c r="A74" s="169">
        <v>2024</v>
      </c>
      <c r="B74" s="169" t="s">
        <v>816</v>
      </c>
      <c r="C74" s="170" t="s">
        <v>89</v>
      </c>
      <c r="D74" s="171" t="s">
        <v>810</v>
      </c>
      <c r="E74" s="171" t="s">
        <v>810</v>
      </c>
      <c r="F74" s="171" t="s">
        <v>89</v>
      </c>
      <c r="G74" s="170" t="s">
        <v>439</v>
      </c>
      <c r="H74" s="172">
        <v>0</v>
      </c>
      <c r="I74" s="172">
        <v>0</v>
      </c>
      <c r="J74" s="173"/>
      <c r="K74" s="172">
        <v>0</v>
      </c>
      <c r="L74" s="172">
        <v>0</v>
      </c>
      <c r="M74" s="172">
        <v>0</v>
      </c>
      <c r="N74" s="173"/>
      <c r="O74" s="172">
        <v>0</v>
      </c>
      <c r="P74" s="172">
        <v>0</v>
      </c>
      <c r="Q74" s="172">
        <v>0</v>
      </c>
      <c r="R74" s="173"/>
      <c r="S74" s="172">
        <v>0</v>
      </c>
      <c r="T74" s="172">
        <v>0</v>
      </c>
      <c r="U74" s="172">
        <v>0</v>
      </c>
      <c r="V74" s="162"/>
    </row>
    <row r="75" spans="1:22" x14ac:dyDescent="0.25">
      <c r="A75" s="169">
        <v>2024</v>
      </c>
      <c r="B75" s="169" t="s">
        <v>809</v>
      </c>
      <c r="C75" s="170" t="s">
        <v>90</v>
      </c>
      <c r="D75" s="171" t="s">
        <v>810</v>
      </c>
      <c r="E75" s="171" t="s">
        <v>810</v>
      </c>
      <c r="F75" s="171" t="s">
        <v>90</v>
      </c>
      <c r="G75" s="170" t="s">
        <v>440</v>
      </c>
      <c r="H75" s="172">
        <v>0</v>
      </c>
      <c r="I75" s="172">
        <v>7</v>
      </c>
      <c r="J75" s="173"/>
      <c r="K75" s="172">
        <v>208070.25</v>
      </c>
      <c r="L75" s="172">
        <v>0</v>
      </c>
      <c r="M75" s="172">
        <v>208070.25</v>
      </c>
      <c r="N75" s="173"/>
      <c r="O75" s="172">
        <v>72059.13</v>
      </c>
      <c r="P75" s="172">
        <v>0</v>
      </c>
      <c r="Q75" s="172">
        <v>72059.13</v>
      </c>
      <c r="R75" s="173"/>
      <c r="S75" s="172">
        <v>280129.38</v>
      </c>
      <c r="T75" s="172">
        <v>0</v>
      </c>
      <c r="U75" s="172">
        <v>280129.38</v>
      </c>
      <c r="V75" s="162"/>
    </row>
    <row r="76" spans="1:22" x14ac:dyDescent="0.25">
      <c r="A76" s="169">
        <v>2024</v>
      </c>
      <c r="B76" s="169" t="s">
        <v>809</v>
      </c>
      <c r="C76" s="170" t="s">
        <v>91</v>
      </c>
      <c r="D76" s="171" t="s">
        <v>810</v>
      </c>
      <c r="E76" s="171" t="s">
        <v>810</v>
      </c>
      <c r="F76" s="171" t="s">
        <v>91</v>
      </c>
      <c r="G76" s="170" t="s">
        <v>441</v>
      </c>
      <c r="H76" s="172">
        <v>0</v>
      </c>
      <c r="I76" s="172">
        <v>1</v>
      </c>
      <c r="J76" s="173"/>
      <c r="K76" s="172">
        <v>24671.25</v>
      </c>
      <c r="L76" s="172">
        <v>0</v>
      </c>
      <c r="M76" s="172">
        <v>24671.25</v>
      </c>
      <c r="N76" s="173"/>
      <c r="O76" s="172">
        <v>8490.9599999999991</v>
      </c>
      <c r="P76" s="172">
        <v>0</v>
      </c>
      <c r="Q76" s="172">
        <v>8490.9599999999991</v>
      </c>
      <c r="R76" s="173"/>
      <c r="S76" s="172">
        <v>33162.21</v>
      </c>
      <c r="T76" s="172">
        <v>0</v>
      </c>
      <c r="U76" s="172">
        <v>33162.21</v>
      </c>
      <c r="V76" s="162"/>
    </row>
    <row r="77" spans="1:22" x14ac:dyDescent="0.25">
      <c r="A77" s="169">
        <v>2024</v>
      </c>
      <c r="B77" s="169" t="s">
        <v>819</v>
      </c>
      <c r="C77" s="170" t="s">
        <v>92</v>
      </c>
      <c r="D77" s="171" t="s">
        <v>810</v>
      </c>
      <c r="E77" s="171" t="s">
        <v>810</v>
      </c>
      <c r="F77" s="171" t="s">
        <v>92</v>
      </c>
      <c r="G77" s="170" t="s">
        <v>442</v>
      </c>
      <c r="H77" s="172">
        <v>0</v>
      </c>
      <c r="I77" s="172">
        <v>9</v>
      </c>
      <c r="J77" s="173"/>
      <c r="K77" s="172">
        <v>286922.25</v>
      </c>
      <c r="L77" s="172">
        <v>0</v>
      </c>
      <c r="M77" s="172">
        <v>286922.25</v>
      </c>
      <c r="N77" s="173"/>
      <c r="O77" s="172">
        <v>99700.21</v>
      </c>
      <c r="P77" s="172">
        <v>0</v>
      </c>
      <c r="Q77" s="172">
        <v>99700.21</v>
      </c>
      <c r="R77" s="173"/>
      <c r="S77" s="172">
        <v>386622.46</v>
      </c>
      <c r="T77" s="172">
        <v>0</v>
      </c>
      <c r="U77" s="172">
        <v>386622.46</v>
      </c>
      <c r="V77" s="162"/>
    </row>
    <row r="78" spans="1:22" x14ac:dyDescent="0.25">
      <c r="A78" s="169">
        <v>2024</v>
      </c>
      <c r="B78" s="169" t="s">
        <v>809</v>
      </c>
      <c r="C78" s="170" t="s">
        <v>93</v>
      </c>
      <c r="D78" s="171" t="s">
        <v>810</v>
      </c>
      <c r="E78" s="171" t="s">
        <v>810</v>
      </c>
      <c r="F78" s="171" t="s">
        <v>93</v>
      </c>
      <c r="G78" s="170" t="s">
        <v>443</v>
      </c>
      <c r="H78" s="172">
        <v>0</v>
      </c>
      <c r="I78" s="172">
        <v>5</v>
      </c>
      <c r="J78" s="173"/>
      <c r="K78" s="172">
        <v>119010</v>
      </c>
      <c r="L78" s="172">
        <v>0</v>
      </c>
      <c r="M78" s="172">
        <v>119010</v>
      </c>
      <c r="N78" s="173"/>
      <c r="O78" s="172">
        <v>41068.17</v>
      </c>
      <c r="P78" s="172">
        <v>0</v>
      </c>
      <c r="Q78" s="172">
        <v>41068.17</v>
      </c>
      <c r="R78" s="173"/>
      <c r="S78" s="172">
        <v>160078.16999999998</v>
      </c>
      <c r="T78" s="172">
        <v>0</v>
      </c>
      <c r="U78" s="172">
        <v>160078.16999999998</v>
      </c>
      <c r="V78" s="162"/>
    </row>
    <row r="79" spans="1:22" x14ac:dyDescent="0.25">
      <c r="A79" s="169">
        <v>2024</v>
      </c>
      <c r="B79" s="169" t="s">
        <v>812</v>
      </c>
      <c r="C79" s="170" t="s">
        <v>94</v>
      </c>
      <c r="D79" s="171" t="s">
        <v>810</v>
      </c>
      <c r="E79" s="171" t="s">
        <v>810</v>
      </c>
      <c r="F79" s="171" t="s">
        <v>94</v>
      </c>
      <c r="G79" s="170" t="s">
        <v>444</v>
      </c>
      <c r="H79" s="172">
        <v>0</v>
      </c>
      <c r="I79" s="172">
        <v>1</v>
      </c>
      <c r="J79" s="173"/>
      <c r="K79" s="172">
        <v>60906.75</v>
      </c>
      <c r="L79" s="172">
        <v>0</v>
      </c>
      <c r="M79" s="172">
        <v>60906.75</v>
      </c>
      <c r="N79" s="173"/>
      <c r="O79" s="172">
        <v>20409.54</v>
      </c>
      <c r="P79" s="172">
        <v>0</v>
      </c>
      <c r="Q79" s="172">
        <v>20409.54</v>
      </c>
      <c r="R79" s="173"/>
      <c r="S79" s="172">
        <v>81316.290000000008</v>
      </c>
      <c r="T79" s="172">
        <v>0</v>
      </c>
      <c r="U79" s="172">
        <v>81316.290000000008</v>
      </c>
      <c r="V79" s="162"/>
    </row>
    <row r="80" spans="1:22" x14ac:dyDescent="0.25">
      <c r="A80" s="169">
        <v>2024</v>
      </c>
      <c r="B80" s="169" t="s">
        <v>812</v>
      </c>
      <c r="C80" s="170" t="s">
        <v>95</v>
      </c>
      <c r="D80" s="171" t="s">
        <v>810</v>
      </c>
      <c r="E80" s="171" t="s">
        <v>810</v>
      </c>
      <c r="F80" s="171" t="s">
        <v>95</v>
      </c>
      <c r="G80" s="170" t="s">
        <v>445</v>
      </c>
      <c r="H80" s="172">
        <v>0</v>
      </c>
      <c r="I80" s="172">
        <v>0</v>
      </c>
      <c r="J80" s="173"/>
      <c r="K80" s="172">
        <v>0</v>
      </c>
      <c r="L80" s="172">
        <v>0</v>
      </c>
      <c r="M80" s="172">
        <v>0</v>
      </c>
      <c r="N80" s="173"/>
      <c r="O80" s="172">
        <v>0</v>
      </c>
      <c r="P80" s="172">
        <v>0</v>
      </c>
      <c r="Q80" s="172">
        <v>0</v>
      </c>
      <c r="R80" s="173"/>
      <c r="S80" s="172">
        <v>0</v>
      </c>
      <c r="T80" s="172">
        <v>0</v>
      </c>
      <c r="U80" s="172">
        <v>0</v>
      </c>
      <c r="V80" s="162"/>
    </row>
    <row r="81" spans="1:22" x14ac:dyDescent="0.25">
      <c r="A81" s="169">
        <v>2024</v>
      </c>
      <c r="B81" s="169" t="s">
        <v>812</v>
      </c>
      <c r="C81" s="170" t="s">
        <v>96</v>
      </c>
      <c r="D81" s="171" t="s">
        <v>810</v>
      </c>
      <c r="E81" s="171" t="s">
        <v>810</v>
      </c>
      <c r="F81" s="171" t="s">
        <v>96</v>
      </c>
      <c r="G81" s="170" t="s">
        <v>446</v>
      </c>
      <c r="H81" s="172">
        <v>2</v>
      </c>
      <c r="I81" s="172">
        <v>6</v>
      </c>
      <c r="J81" s="173"/>
      <c r="K81" s="172">
        <v>558075</v>
      </c>
      <c r="L81" s="172">
        <v>139518.75</v>
      </c>
      <c r="M81" s="172">
        <v>418556.25</v>
      </c>
      <c r="N81" s="173"/>
      <c r="O81" s="172">
        <v>194760.34</v>
      </c>
      <c r="P81" s="172">
        <v>48690.09</v>
      </c>
      <c r="Q81" s="172">
        <v>146070.25</v>
      </c>
      <c r="R81" s="173"/>
      <c r="S81" s="172">
        <v>752835.34</v>
      </c>
      <c r="T81" s="172">
        <v>188208.84</v>
      </c>
      <c r="U81" s="172">
        <v>564626.5</v>
      </c>
      <c r="V81" s="162"/>
    </row>
    <row r="82" spans="1:22" x14ac:dyDescent="0.25">
      <c r="A82" s="169">
        <v>2024</v>
      </c>
      <c r="B82" s="169" t="s">
        <v>809</v>
      </c>
      <c r="C82" s="170" t="s">
        <v>97</v>
      </c>
      <c r="D82" s="171" t="s">
        <v>810</v>
      </c>
      <c r="E82" s="171" t="s">
        <v>810</v>
      </c>
      <c r="F82" s="171" t="s">
        <v>97</v>
      </c>
      <c r="G82" s="170" t="s">
        <v>447</v>
      </c>
      <c r="H82" s="172">
        <v>0</v>
      </c>
      <c r="I82" s="172">
        <v>0</v>
      </c>
      <c r="J82" s="173"/>
      <c r="K82" s="172">
        <v>0</v>
      </c>
      <c r="L82" s="172">
        <v>0</v>
      </c>
      <c r="M82" s="172">
        <v>0</v>
      </c>
      <c r="N82" s="173"/>
      <c r="O82" s="172">
        <v>0</v>
      </c>
      <c r="P82" s="172">
        <v>0</v>
      </c>
      <c r="Q82" s="172">
        <v>0</v>
      </c>
      <c r="R82" s="173"/>
      <c r="S82" s="172">
        <v>0</v>
      </c>
      <c r="T82" s="172">
        <v>0</v>
      </c>
      <c r="U82" s="172">
        <v>0</v>
      </c>
      <c r="V82" s="162"/>
    </row>
    <row r="83" spans="1:22" x14ac:dyDescent="0.25">
      <c r="A83" s="169">
        <v>2024</v>
      </c>
      <c r="B83" s="169" t="s">
        <v>815</v>
      </c>
      <c r="C83" s="170" t="s">
        <v>98</v>
      </c>
      <c r="D83" s="171" t="s">
        <v>810</v>
      </c>
      <c r="E83" s="171" t="s">
        <v>810</v>
      </c>
      <c r="F83" s="171" t="s">
        <v>98</v>
      </c>
      <c r="G83" s="170" t="s">
        <v>448</v>
      </c>
      <c r="H83" s="172">
        <v>0</v>
      </c>
      <c r="I83" s="172">
        <v>2</v>
      </c>
      <c r="J83" s="173"/>
      <c r="K83" s="172">
        <v>53477.25</v>
      </c>
      <c r="L83" s="172">
        <v>0</v>
      </c>
      <c r="M83" s="172">
        <v>53477.25</v>
      </c>
      <c r="N83" s="173"/>
      <c r="O83" s="172">
        <v>14500.82</v>
      </c>
      <c r="P83" s="172">
        <v>0</v>
      </c>
      <c r="Q83" s="172">
        <v>14500.82</v>
      </c>
      <c r="R83" s="173"/>
      <c r="S83" s="172">
        <v>67978.070000000007</v>
      </c>
      <c r="T83" s="172">
        <v>0</v>
      </c>
      <c r="U83" s="172">
        <v>67978.070000000007</v>
      </c>
      <c r="V83" s="162"/>
    </row>
    <row r="84" spans="1:22" x14ac:dyDescent="0.25">
      <c r="A84" s="169">
        <v>2024</v>
      </c>
      <c r="B84" s="169" t="s">
        <v>819</v>
      </c>
      <c r="C84" s="170" t="s">
        <v>99</v>
      </c>
      <c r="D84" s="171" t="s">
        <v>810</v>
      </c>
      <c r="E84" s="171" t="s">
        <v>810</v>
      </c>
      <c r="F84" s="171" t="s">
        <v>99</v>
      </c>
      <c r="G84" s="170" t="s">
        <v>449</v>
      </c>
      <c r="H84" s="172">
        <v>0</v>
      </c>
      <c r="I84" s="172">
        <v>0</v>
      </c>
      <c r="J84" s="173"/>
      <c r="K84" s="172">
        <v>0</v>
      </c>
      <c r="L84" s="172">
        <v>0</v>
      </c>
      <c r="M84" s="172">
        <v>0</v>
      </c>
      <c r="N84" s="173"/>
      <c r="O84" s="172">
        <v>0</v>
      </c>
      <c r="P84" s="172">
        <v>0</v>
      </c>
      <c r="Q84" s="172">
        <v>0</v>
      </c>
      <c r="R84" s="173"/>
      <c r="S84" s="172">
        <v>0</v>
      </c>
      <c r="T84" s="172">
        <v>0</v>
      </c>
      <c r="U84" s="172">
        <v>0</v>
      </c>
      <c r="V84" s="162"/>
    </row>
    <row r="85" spans="1:22" x14ac:dyDescent="0.25">
      <c r="A85" s="169">
        <v>2024</v>
      </c>
      <c r="B85" s="169" t="s">
        <v>815</v>
      </c>
      <c r="C85" s="170" t="s">
        <v>100</v>
      </c>
      <c r="D85" s="171" t="s">
        <v>810</v>
      </c>
      <c r="E85" s="171" t="s">
        <v>810</v>
      </c>
      <c r="F85" s="171" t="s">
        <v>100</v>
      </c>
      <c r="G85" s="170" t="s">
        <v>450</v>
      </c>
      <c r="H85" s="172">
        <v>0</v>
      </c>
      <c r="I85" s="172">
        <v>1</v>
      </c>
      <c r="J85" s="173"/>
      <c r="K85" s="172">
        <v>64444.5</v>
      </c>
      <c r="L85" s="172">
        <v>0</v>
      </c>
      <c r="M85" s="172">
        <v>64444.5</v>
      </c>
      <c r="N85" s="173"/>
      <c r="O85" s="172">
        <v>22303.200000000001</v>
      </c>
      <c r="P85" s="172">
        <v>0</v>
      </c>
      <c r="Q85" s="172">
        <v>22303.200000000001</v>
      </c>
      <c r="R85" s="173"/>
      <c r="S85" s="172">
        <v>86747.7</v>
      </c>
      <c r="T85" s="172">
        <v>0</v>
      </c>
      <c r="U85" s="172">
        <v>86747.7</v>
      </c>
      <c r="V85" s="162"/>
    </row>
    <row r="86" spans="1:22" x14ac:dyDescent="0.25">
      <c r="A86" s="169">
        <v>2024</v>
      </c>
      <c r="B86" s="169" t="s">
        <v>818</v>
      </c>
      <c r="C86" s="170" t="s">
        <v>101</v>
      </c>
      <c r="D86" s="171" t="s">
        <v>810</v>
      </c>
      <c r="E86" s="171" t="s">
        <v>810</v>
      </c>
      <c r="F86" s="171" t="s">
        <v>101</v>
      </c>
      <c r="G86" s="170" t="s">
        <v>451</v>
      </c>
      <c r="H86" s="172">
        <v>0</v>
      </c>
      <c r="I86" s="172">
        <v>6</v>
      </c>
      <c r="J86" s="173"/>
      <c r="K86" s="172">
        <v>752776.5</v>
      </c>
      <c r="L86" s="172">
        <v>0</v>
      </c>
      <c r="M86" s="172">
        <v>752776.5</v>
      </c>
      <c r="N86" s="173"/>
      <c r="O86" s="172">
        <v>263070.71999999997</v>
      </c>
      <c r="P86" s="172">
        <v>0</v>
      </c>
      <c r="Q86" s="172">
        <v>263070.71999999997</v>
      </c>
      <c r="R86" s="173"/>
      <c r="S86" s="172">
        <v>1015847.22</v>
      </c>
      <c r="T86" s="172">
        <v>0</v>
      </c>
      <c r="U86" s="172">
        <v>1015847.22</v>
      </c>
      <c r="V86" s="162"/>
    </row>
    <row r="87" spans="1:22" x14ac:dyDescent="0.25">
      <c r="A87" s="169">
        <v>2024</v>
      </c>
      <c r="B87" s="169" t="s">
        <v>819</v>
      </c>
      <c r="C87" s="170" t="s">
        <v>102</v>
      </c>
      <c r="D87" s="171" t="s">
        <v>810</v>
      </c>
      <c r="E87" s="171" t="s">
        <v>810</v>
      </c>
      <c r="F87" s="171" t="s">
        <v>102</v>
      </c>
      <c r="G87" s="170" t="s">
        <v>452</v>
      </c>
      <c r="H87" s="172">
        <v>0</v>
      </c>
      <c r="I87" s="172">
        <v>9</v>
      </c>
      <c r="J87" s="173"/>
      <c r="K87" s="172">
        <v>80236.5</v>
      </c>
      <c r="L87" s="172">
        <v>0</v>
      </c>
      <c r="M87" s="172">
        <v>80236.5</v>
      </c>
      <c r="N87" s="173"/>
      <c r="O87" s="172">
        <v>28045.35</v>
      </c>
      <c r="P87" s="172">
        <v>0</v>
      </c>
      <c r="Q87" s="172">
        <v>28045.35</v>
      </c>
      <c r="R87" s="173"/>
      <c r="S87" s="172">
        <v>108281.85</v>
      </c>
      <c r="T87" s="172">
        <v>0</v>
      </c>
      <c r="U87" s="172">
        <v>108281.85</v>
      </c>
      <c r="V87" s="162"/>
    </row>
    <row r="88" spans="1:22" x14ac:dyDescent="0.25">
      <c r="A88" s="169">
        <v>2024</v>
      </c>
      <c r="B88" s="169" t="s">
        <v>813</v>
      </c>
      <c r="C88" s="170" t="s">
        <v>103</v>
      </c>
      <c r="D88" s="171" t="s">
        <v>810</v>
      </c>
      <c r="E88" s="171" t="s">
        <v>810</v>
      </c>
      <c r="F88" s="171" t="s">
        <v>103</v>
      </c>
      <c r="G88" s="170" t="s">
        <v>453</v>
      </c>
      <c r="H88" s="172">
        <v>0</v>
      </c>
      <c r="I88" s="172">
        <v>1</v>
      </c>
      <c r="J88" s="173"/>
      <c r="K88" s="172">
        <v>148887</v>
      </c>
      <c r="L88" s="172">
        <v>0</v>
      </c>
      <c r="M88" s="172">
        <v>148887</v>
      </c>
      <c r="N88" s="173"/>
      <c r="O88" s="172">
        <v>48402.95</v>
      </c>
      <c r="P88" s="172">
        <v>0</v>
      </c>
      <c r="Q88" s="172">
        <v>48402.95</v>
      </c>
      <c r="R88" s="173"/>
      <c r="S88" s="172">
        <v>197289.95</v>
      </c>
      <c r="T88" s="172">
        <v>0</v>
      </c>
      <c r="U88" s="172">
        <v>197289.95</v>
      </c>
      <c r="V88" s="162"/>
    </row>
    <row r="89" spans="1:22" x14ac:dyDescent="0.25">
      <c r="A89" s="169">
        <v>2024</v>
      </c>
      <c r="B89" s="169" t="s">
        <v>811</v>
      </c>
      <c r="C89" s="170" t="s">
        <v>104</v>
      </c>
      <c r="D89" s="171" t="s">
        <v>810</v>
      </c>
      <c r="E89" s="171" t="s">
        <v>810</v>
      </c>
      <c r="F89" s="171" t="s">
        <v>104</v>
      </c>
      <c r="G89" s="170" t="s">
        <v>454</v>
      </c>
      <c r="H89" s="172">
        <v>0</v>
      </c>
      <c r="I89" s="172">
        <v>4</v>
      </c>
      <c r="J89" s="173"/>
      <c r="K89" s="172">
        <v>212619</v>
      </c>
      <c r="L89" s="172">
        <v>0</v>
      </c>
      <c r="M89" s="172">
        <v>212619</v>
      </c>
      <c r="N89" s="173"/>
      <c r="O89" s="172">
        <v>74118.48</v>
      </c>
      <c r="P89" s="172">
        <v>0</v>
      </c>
      <c r="Q89" s="172">
        <v>74118.48</v>
      </c>
      <c r="R89" s="173"/>
      <c r="S89" s="172">
        <v>286737.48</v>
      </c>
      <c r="T89" s="172">
        <v>0</v>
      </c>
      <c r="U89" s="172">
        <v>286737.48</v>
      </c>
      <c r="V89" s="162"/>
    </row>
    <row r="90" spans="1:22" x14ac:dyDescent="0.25">
      <c r="A90" s="169">
        <v>2024</v>
      </c>
      <c r="B90" s="169" t="s">
        <v>809</v>
      </c>
      <c r="C90" s="170" t="s">
        <v>105</v>
      </c>
      <c r="D90" s="171" t="s">
        <v>810</v>
      </c>
      <c r="E90" s="171" t="s">
        <v>810</v>
      </c>
      <c r="F90" s="171" t="s">
        <v>105</v>
      </c>
      <c r="G90" s="170" t="s">
        <v>455</v>
      </c>
      <c r="H90" s="172">
        <v>0</v>
      </c>
      <c r="I90" s="172">
        <v>0</v>
      </c>
      <c r="J90" s="173"/>
      <c r="K90" s="172">
        <v>0</v>
      </c>
      <c r="L90" s="172">
        <v>0</v>
      </c>
      <c r="M90" s="172">
        <v>0</v>
      </c>
      <c r="N90" s="173"/>
      <c r="O90" s="172">
        <v>0</v>
      </c>
      <c r="P90" s="172">
        <v>0</v>
      </c>
      <c r="Q90" s="172">
        <v>0</v>
      </c>
      <c r="R90" s="173"/>
      <c r="S90" s="172">
        <v>0</v>
      </c>
      <c r="T90" s="172">
        <v>0</v>
      </c>
      <c r="U90" s="172">
        <v>0</v>
      </c>
      <c r="V90" s="162"/>
    </row>
    <row r="91" spans="1:22" x14ac:dyDescent="0.25">
      <c r="A91" s="169">
        <v>2024</v>
      </c>
      <c r="B91" s="169" t="s">
        <v>812</v>
      </c>
      <c r="C91" s="170" t="s">
        <v>106</v>
      </c>
      <c r="D91" s="171" t="s">
        <v>810</v>
      </c>
      <c r="E91" s="171" t="s">
        <v>810</v>
      </c>
      <c r="F91" s="171" t="s">
        <v>106</v>
      </c>
      <c r="G91" s="170" t="s">
        <v>456</v>
      </c>
      <c r="H91" s="172">
        <v>0</v>
      </c>
      <c r="I91" s="172">
        <v>8</v>
      </c>
      <c r="J91" s="173"/>
      <c r="K91" s="172">
        <v>28786.5</v>
      </c>
      <c r="L91" s="172">
        <v>0</v>
      </c>
      <c r="M91" s="172">
        <v>28786.5</v>
      </c>
      <c r="N91" s="173"/>
      <c r="O91" s="172">
        <v>9930.3799999999992</v>
      </c>
      <c r="P91" s="172">
        <v>0</v>
      </c>
      <c r="Q91" s="172">
        <v>9930.3799999999992</v>
      </c>
      <c r="R91" s="173"/>
      <c r="S91" s="172">
        <v>38716.879999999997</v>
      </c>
      <c r="T91" s="172">
        <v>0</v>
      </c>
      <c r="U91" s="172">
        <v>38716.879999999997</v>
      </c>
      <c r="V91" s="162"/>
    </row>
    <row r="92" spans="1:22" x14ac:dyDescent="0.25">
      <c r="A92" s="169">
        <v>2024</v>
      </c>
      <c r="B92" s="169" t="s">
        <v>811</v>
      </c>
      <c r="C92" s="170" t="s">
        <v>107</v>
      </c>
      <c r="D92" s="171" t="s">
        <v>810</v>
      </c>
      <c r="E92" s="171" t="s">
        <v>810</v>
      </c>
      <c r="F92" s="171" t="s">
        <v>107</v>
      </c>
      <c r="G92" s="170" t="s">
        <v>457</v>
      </c>
      <c r="H92" s="172">
        <v>0</v>
      </c>
      <c r="I92" s="172">
        <v>7</v>
      </c>
      <c r="J92" s="173"/>
      <c r="K92" s="172">
        <v>368565.75</v>
      </c>
      <c r="L92" s="172">
        <v>0</v>
      </c>
      <c r="M92" s="172">
        <v>368565.75</v>
      </c>
      <c r="N92" s="173"/>
      <c r="O92" s="172">
        <v>132547.34</v>
      </c>
      <c r="P92" s="172">
        <v>0</v>
      </c>
      <c r="Q92" s="172">
        <v>132547.34</v>
      </c>
      <c r="R92" s="173"/>
      <c r="S92" s="172">
        <v>501113.08999999997</v>
      </c>
      <c r="T92" s="172">
        <v>0</v>
      </c>
      <c r="U92" s="172">
        <v>501113.08999999997</v>
      </c>
      <c r="V92" s="162"/>
    </row>
    <row r="93" spans="1:22" x14ac:dyDescent="0.25">
      <c r="A93" s="169">
        <v>2024</v>
      </c>
      <c r="B93" s="169" t="s">
        <v>818</v>
      </c>
      <c r="C93" s="170" t="s">
        <v>108</v>
      </c>
      <c r="D93" s="171" t="s">
        <v>810</v>
      </c>
      <c r="E93" s="171" t="s">
        <v>810</v>
      </c>
      <c r="F93" s="171" t="s">
        <v>108</v>
      </c>
      <c r="G93" s="170" t="s">
        <v>458</v>
      </c>
      <c r="H93" s="172">
        <v>0</v>
      </c>
      <c r="I93" s="172">
        <v>0</v>
      </c>
      <c r="J93" s="173"/>
      <c r="K93" s="172">
        <v>0</v>
      </c>
      <c r="L93" s="172">
        <v>0</v>
      </c>
      <c r="M93" s="172">
        <v>0</v>
      </c>
      <c r="N93" s="173"/>
      <c r="O93" s="172">
        <v>0</v>
      </c>
      <c r="P93" s="172">
        <v>0</v>
      </c>
      <c r="Q93" s="172">
        <v>0</v>
      </c>
      <c r="R93" s="173"/>
      <c r="S93" s="172">
        <v>0</v>
      </c>
      <c r="T93" s="172">
        <v>0</v>
      </c>
      <c r="U93" s="172">
        <v>0</v>
      </c>
      <c r="V93" s="162"/>
    </row>
    <row r="94" spans="1:22" x14ac:dyDescent="0.25">
      <c r="A94" s="169">
        <v>2024</v>
      </c>
      <c r="B94" s="169" t="s">
        <v>811</v>
      </c>
      <c r="C94" s="170" t="s">
        <v>109</v>
      </c>
      <c r="D94" s="171" t="s">
        <v>810</v>
      </c>
      <c r="E94" s="171" t="s">
        <v>810</v>
      </c>
      <c r="F94" s="171" t="s">
        <v>109</v>
      </c>
      <c r="G94" s="170" t="s">
        <v>459</v>
      </c>
      <c r="H94" s="172">
        <v>0</v>
      </c>
      <c r="I94" s="172">
        <v>5</v>
      </c>
      <c r="J94" s="173"/>
      <c r="K94" s="172">
        <v>124508.25</v>
      </c>
      <c r="L94" s="172">
        <v>0</v>
      </c>
      <c r="M94" s="172">
        <v>124508.25</v>
      </c>
      <c r="N94" s="173"/>
      <c r="O94" s="172">
        <v>44611.16</v>
      </c>
      <c r="P94" s="172">
        <v>0</v>
      </c>
      <c r="Q94" s="172">
        <v>44611.16</v>
      </c>
      <c r="R94" s="173"/>
      <c r="S94" s="172">
        <v>169119.41</v>
      </c>
      <c r="T94" s="172">
        <v>0</v>
      </c>
      <c r="U94" s="172">
        <v>169119.41</v>
      </c>
      <c r="V94" s="162"/>
    </row>
    <row r="95" spans="1:22" x14ac:dyDescent="0.25">
      <c r="A95" s="169">
        <v>2024</v>
      </c>
      <c r="B95" s="169" t="s">
        <v>819</v>
      </c>
      <c r="C95" s="170" t="s">
        <v>111</v>
      </c>
      <c r="D95" s="171" t="s">
        <v>810</v>
      </c>
      <c r="E95" s="171" t="s">
        <v>810</v>
      </c>
      <c r="F95" s="171" t="s">
        <v>111</v>
      </c>
      <c r="G95" s="170" t="s">
        <v>461</v>
      </c>
      <c r="H95" s="172">
        <v>0</v>
      </c>
      <c r="I95" s="172">
        <v>8</v>
      </c>
      <c r="J95" s="173"/>
      <c r="K95" s="172">
        <v>249906.75</v>
      </c>
      <c r="L95" s="172">
        <v>0</v>
      </c>
      <c r="M95" s="172">
        <v>249906.75</v>
      </c>
      <c r="N95" s="173"/>
      <c r="O95" s="172">
        <v>84991.93</v>
      </c>
      <c r="P95" s="172">
        <v>0</v>
      </c>
      <c r="Q95" s="172">
        <v>84991.93</v>
      </c>
      <c r="R95" s="173"/>
      <c r="S95" s="172">
        <v>334898.68</v>
      </c>
      <c r="T95" s="172">
        <v>0</v>
      </c>
      <c r="U95" s="172">
        <v>334898.68</v>
      </c>
      <c r="V95" s="162"/>
    </row>
    <row r="96" spans="1:22" x14ac:dyDescent="0.25">
      <c r="A96" s="169">
        <v>2024</v>
      </c>
      <c r="B96" s="169" t="s">
        <v>814</v>
      </c>
      <c r="C96" s="170" t="s">
        <v>113</v>
      </c>
      <c r="D96" s="171" t="s">
        <v>810</v>
      </c>
      <c r="E96" s="171" t="s">
        <v>810</v>
      </c>
      <c r="F96" s="171" t="s">
        <v>113</v>
      </c>
      <c r="G96" s="170" t="s">
        <v>463</v>
      </c>
      <c r="H96" s="172">
        <v>0</v>
      </c>
      <c r="I96" s="172">
        <v>1</v>
      </c>
      <c r="J96" s="173"/>
      <c r="K96" s="172">
        <v>34770.75</v>
      </c>
      <c r="L96" s="172">
        <v>0</v>
      </c>
      <c r="M96" s="172">
        <v>34770.75</v>
      </c>
      <c r="N96" s="173"/>
      <c r="O96" s="172">
        <v>12650.39</v>
      </c>
      <c r="P96" s="172">
        <v>0</v>
      </c>
      <c r="Q96" s="172">
        <v>12650.39</v>
      </c>
      <c r="R96" s="173"/>
      <c r="S96" s="172">
        <v>47421.14</v>
      </c>
      <c r="T96" s="172">
        <v>0</v>
      </c>
      <c r="U96" s="172">
        <v>47421.14</v>
      </c>
      <c r="V96" s="162"/>
    </row>
    <row r="97" spans="1:22" x14ac:dyDescent="0.25">
      <c r="A97" s="169">
        <v>2024</v>
      </c>
      <c r="B97" s="169" t="s">
        <v>809</v>
      </c>
      <c r="C97" s="170" t="s">
        <v>114</v>
      </c>
      <c r="D97" s="171" t="s">
        <v>810</v>
      </c>
      <c r="E97" s="171" t="s">
        <v>810</v>
      </c>
      <c r="F97" s="171" t="s">
        <v>114</v>
      </c>
      <c r="G97" s="170" t="s">
        <v>464</v>
      </c>
      <c r="H97" s="172">
        <v>0</v>
      </c>
      <c r="I97" s="172">
        <v>0</v>
      </c>
      <c r="J97" s="173"/>
      <c r="K97" s="172">
        <v>0</v>
      </c>
      <c r="L97" s="172">
        <v>0</v>
      </c>
      <c r="M97" s="172">
        <v>0</v>
      </c>
      <c r="N97" s="173"/>
      <c r="O97" s="172">
        <v>0</v>
      </c>
      <c r="P97" s="172">
        <v>0</v>
      </c>
      <c r="Q97" s="172">
        <v>0</v>
      </c>
      <c r="R97" s="173"/>
      <c r="S97" s="172">
        <v>0</v>
      </c>
      <c r="T97" s="172">
        <v>0</v>
      </c>
      <c r="U97" s="172">
        <v>0</v>
      </c>
      <c r="V97" s="162"/>
    </row>
    <row r="98" spans="1:22" x14ac:dyDescent="0.25">
      <c r="A98" s="169">
        <v>2024</v>
      </c>
      <c r="B98" s="169" t="s">
        <v>811</v>
      </c>
      <c r="C98" s="170" t="s">
        <v>115</v>
      </c>
      <c r="D98" s="171" t="s">
        <v>810</v>
      </c>
      <c r="E98" s="171" t="s">
        <v>810</v>
      </c>
      <c r="F98" s="171" t="s">
        <v>115</v>
      </c>
      <c r="G98" s="170" t="s">
        <v>465</v>
      </c>
      <c r="H98" s="172">
        <v>0</v>
      </c>
      <c r="I98" s="172">
        <v>5</v>
      </c>
      <c r="J98" s="173"/>
      <c r="K98" s="172">
        <v>144190.5</v>
      </c>
      <c r="L98" s="172">
        <v>0</v>
      </c>
      <c r="M98" s="172">
        <v>144190.5</v>
      </c>
      <c r="N98" s="173"/>
      <c r="O98" s="172">
        <v>50409.54</v>
      </c>
      <c r="P98" s="172">
        <v>0</v>
      </c>
      <c r="Q98" s="172">
        <v>50409.54</v>
      </c>
      <c r="R98" s="173"/>
      <c r="S98" s="172">
        <v>194600.04</v>
      </c>
      <c r="T98" s="172">
        <v>0</v>
      </c>
      <c r="U98" s="172">
        <v>194600.04</v>
      </c>
      <c r="V98" s="162"/>
    </row>
    <row r="99" spans="1:22" x14ac:dyDescent="0.25">
      <c r="A99" s="169">
        <v>2024</v>
      </c>
      <c r="B99" s="169" t="s">
        <v>811</v>
      </c>
      <c r="C99" s="170" t="s">
        <v>179</v>
      </c>
      <c r="D99" s="171" t="s">
        <v>810</v>
      </c>
      <c r="E99" s="171" t="s">
        <v>810</v>
      </c>
      <c r="F99" s="171" t="s">
        <v>688</v>
      </c>
      <c r="G99" s="170" t="s">
        <v>527</v>
      </c>
      <c r="H99" s="172">
        <v>0</v>
      </c>
      <c r="I99" s="172">
        <v>9</v>
      </c>
      <c r="J99" s="173"/>
      <c r="K99" s="172">
        <v>285807</v>
      </c>
      <c r="L99" s="172">
        <v>0</v>
      </c>
      <c r="M99" s="172">
        <v>285807</v>
      </c>
      <c r="N99" s="173"/>
      <c r="O99" s="172">
        <v>97198.55</v>
      </c>
      <c r="P99" s="172">
        <v>0</v>
      </c>
      <c r="Q99" s="172">
        <v>97198.55</v>
      </c>
      <c r="R99" s="173"/>
      <c r="S99" s="172">
        <v>383005.55</v>
      </c>
      <c r="T99" s="172">
        <v>0</v>
      </c>
      <c r="U99" s="172">
        <v>383005.55</v>
      </c>
      <c r="V99" s="162"/>
    </row>
    <row r="100" spans="1:22" x14ac:dyDescent="0.25">
      <c r="A100" s="169">
        <v>2024</v>
      </c>
      <c r="B100" s="169" t="s">
        <v>812</v>
      </c>
      <c r="C100" s="170" t="s">
        <v>192</v>
      </c>
      <c r="D100" s="171" t="s">
        <v>810</v>
      </c>
      <c r="E100" s="171" t="s">
        <v>810</v>
      </c>
      <c r="F100" s="171" t="s">
        <v>192</v>
      </c>
      <c r="G100" s="170" t="s">
        <v>539</v>
      </c>
      <c r="H100" s="172">
        <v>9</v>
      </c>
      <c r="I100" s="172">
        <v>9</v>
      </c>
      <c r="J100" s="173"/>
      <c r="K100" s="172">
        <v>435287.25</v>
      </c>
      <c r="L100" s="172">
        <v>217643.63</v>
      </c>
      <c r="M100" s="172">
        <v>217643.62</v>
      </c>
      <c r="N100" s="173"/>
      <c r="O100" s="172">
        <v>152798.15</v>
      </c>
      <c r="P100" s="172">
        <v>76399.08</v>
      </c>
      <c r="Q100" s="172">
        <v>76399.069999999992</v>
      </c>
      <c r="R100" s="173"/>
      <c r="S100" s="172">
        <v>588085.4</v>
      </c>
      <c r="T100" s="172">
        <v>294042.71000000002</v>
      </c>
      <c r="U100" s="172">
        <v>294042.69</v>
      </c>
      <c r="V100" s="162"/>
    </row>
    <row r="101" spans="1:22" x14ac:dyDescent="0.25">
      <c r="A101" s="169">
        <v>2024</v>
      </c>
      <c r="B101" s="169" t="s">
        <v>814</v>
      </c>
      <c r="C101" s="170" t="s">
        <v>316</v>
      </c>
      <c r="D101" s="171" t="s">
        <v>810</v>
      </c>
      <c r="E101" s="171" t="s">
        <v>810</v>
      </c>
      <c r="F101" s="171" t="s">
        <v>316</v>
      </c>
      <c r="G101" s="170" t="s">
        <v>656</v>
      </c>
      <c r="H101" s="172">
        <v>0</v>
      </c>
      <c r="I101" s="172">
        <v>1</v>
      </c>
      <c r="J101" s="173"/>
      <c r="K101" s="172">
        <v>60619.5</v>
      </c>
      <c r="L101" s="172">
        <v>0</v>
      </c>
      <c r="M101" s="172">
        <v>60619.5</v>
      </c>
      <c r="N101" s="173"/>
      <c r="O101" s="172">
        <v>20768.599999999999</v>
      </c>
      <c r="P101" s="172">
        <v>0</v>
      </c>
      <c r="Q101" s="172">
        <v>20768.599999999999</v>
      </c>
      <c r="R101" s="173"/>
      <c r="S101" s="172">
        <v>81388.100000000006</v>
      </c>
      <c r="T101" s="172">
        <v>0</v>
      </c>
      <c r="U101" s="172">
        <v>81388.100000000006</v>
      </c>
      <c r="V101" s="162"/>
    </row>
    <row r="102" spans="1:22" x14ac:dyDescent="0.25">
      <c r="A102" s="169">
        <v>2024</v>
      </c>
      <c r="B102" s="169" t="s">
        <v>812</v>
      </c>
      <c r="C102" s="170" t="s">
        <v>117</v>
      </c>
      <c r="D102" s="171" t="s">
        <v>810</v>
      </c>
      <c r="E102" s="171" t="s">
        <v>810</v>
      </c>
      <c r="F102" s="171" t="s">
        <v>117</v>
      </c>
      <c r="G102" s="170" t="s">
        <v>467</v>
      </c>
      <c r="H102" s="172">
        <v>0</v>
      </c>
      <c r="I102" s="172">
        <v>11</v>
      </c>
      <c r="J102" s="173"/>
      <c r="K102" s="172">
        <v>211923</v>
      </c>
      <c r="L102" s="172">
        <v>0</v>
      </c>
      <c r="M102" s="172">
        <v>211923</v>
      </c>
      <c r="N102" s="173"/>
      <c r="O102" s="172">
        <v>78769.929999999993</v>
      </c>
      <c r="P102" s="172">
        <v>0</v>
      </c>
      <c r="Q102" s="172">
        <v>78769.929999999993</v>
      </c>
      <c r="R102" s="173"/>
      <c r="S102" s="172">
        <v>290692.93</v>
      </c>
      <c r="T102" s="172">
        <v>0</v>
      </c>
      <c r="U102" s="172">
        <v>290692.93</v>
      </c>
      <c r="V102" s="162"/>
    </row>
    <row r="103" spans="1:22" x14ac:dyDescent="0.25">
      <c r="A103" s="169">
        <v>2024</v>
      </c>
      <c r="B103" s="169" t="s">
        <v>818</v>
      </c>
      <c r="C103" s="170" t="s">
        <v>118</v>
      </c>
      <c r="D103" s="171" t="s">
        <v>810</v>
      </c>
      <c r="E103" s="171" t="s">
        <v>810</v>
      </c>
      <c r="F103" s="171" t="s">
        <v>118</v>
      </c>
      <c r="G103" s="170" t="s">
        <v>468</v>
      </c>
      <c r="H103" s="172">
        <v>0</v>
      </c>
      <c r="I103" s="172">
        <v>6</v>
      </c>
      <c r="J103" s="173"/>
      <c r="K103" s="172">
        <v>102199.5</v>
      </c>
      <c r="L103" s="172">
        <v>0</v>
      </c>
      <c r="M103" s="172">
        <v>102199.5</v>
      </c>
      <c r="N103" s="173"/>
      <c r="O103" s="172">
        <v>35645.199999999997</v>
      </c>
      <c r="P103" s="172">
        <v>0</v>
      </c>
      <c r="Q103" s="172">
        <v>35645.199999999997</v>
      </c>
      <c r="R103" s="173"/>
      <c r="S103" s="172">
        <v>137844.70000000001</v>
      </c>
      <c r="T103" s="172">
        <v>0</v>
      </c>
      <c r="U103" s="172">
        <v>137844.70000000001</v>
      </c>
      <c r="V103" s="162"/>
    </row>
    <row r="104" spans="1:22" x14ac:dyDescent="0.25">
      <c r="A104" s="169">
        <v>2024</v>
      </c>
      <c r="B104" s="169" t="s">
        <v>819</v>
      </c>
      <c r="C104" s="170" t="s">
        <v>116</v>
      </c>
      <c r="D104" s="171" t="s">
        <v>810</v>
      </c>
      <c r="E104" s="171" t="s">
        <v>810</v>
      </c>
      <c r="F104" s="171" t="s">
        <v>116</v>
      </c>
      <c r="G104" s="170" t="s">
        <v>466</v>
      </c>
      <c r="H104" s="172">
        <v>0</v>
      </c>
      <c r="I104" s="172">
        <v>4</v>
      </c>
      <c r="J104" s="173"/>
      <c r="K104" s="172">
        <v>120428.25</v>
      </c>
      <c r="L104" s="172">
        <v>0</v>
      </c>
      <c r="M104" s="172">
        <v>120428.25</v>
      </c>
      <c r="N104" s="173"/>
      <c r="O104" s="172">
        <v>42301.67</v>
      </c>
      <c r="P104" s="172">
        <v>0</v>
      </c>
      <c r="Q104" s="172">
        <v>42301.67</v>
      </c>
      <c r="R104" s="173"/>
      <c r="S104" s="172">
        <v>162729.91999999998</v>
      </c>
      <c r="T104" s="172">
        <v>0</v>
      </c>
      <c r="U104" s="172">
        <v>162729.91999999998</v>
      </c>
      <c r="V104" s="162"/>
    </row>
    <row r="105" spans="1:22" x14ac:dyDescent="0.25">
      <c r="A105" s="169">
        <v>2024</v>
      </c>
      <c r="B105" s="169" t="s">
        <v>815</v>
      </c>
      <c r="C105" s="170" t="s">
        <v>51</v>
      </c>
      <c r="D105" s="171" t="s">
        <v>810</v>
      </c>
      <c r="E105" s="171" t="s">
        <v>810</v>
      </c>
      <c r="F105" s="171" t="s">
        <v>51</v>
      </c>
      <c r="G105" s="170" t="s">
        <v>403</v>
      </c>
      <c r="H105" s="172">
        <v>0</v>
      </c>
      <c r="I105" s="172">
        <v>5</v>
      </c>
      <c r="J105" s="173"/>
      <c r="K105" s="172">
        <v>197961</v>
      </c>
      <c r="L105" s="172">
        <v>0</v>
      </c>
      <c r="M105" s="172">
        <v>197961</v>
      </c>
      <c r="N105" s="173"/>
      <c r="O105" s="172">
        <v>70104.23</v>
      </c>
      <c r="P105" s="172">
        <v>0</v>
      </c>
      <c r="Q105" s="172">
        <v>70104.23</v>
      </c>
      <c r="R105" s="173"/>
      <c r="S105" s="172">
        <v>268065.23</v>
      </c>
      <c r="T105" s="172">
        <v>0</v>
      </c>
      <c r="U105" s="172">
        <v>268065.23</v>
      </c>
      <c r="V105" s="162"/>
    </row>
    <row r="106" spans="1:22" x14ac:dyDescent="0.25">
      <c r="A106" s="169">
        <v>2024</v>
      </c>
      <c r="B106" s="169" t="s">
        <v>818</v>
      </c>
      <c r="C106" s="170" t="s">
        <v>120</v>
      </c>
      <c r="D106" s="171" t="s">
        <v>810</v>
      </c>
      <c r="E106" s="171" t="s">
        <v>810</v>
      </c>
      <c r="F106" s="171" t="s">
        <v>120</v>
      </c>
      <c r="G106" s="170" t="s">
        <v>470</v>
      </c>
      <c r="H106" s="172">
        <v>3</v>
      </c>
      <c r="I106" s="172">
        <v>1</v>
      </c>
      <c r="J106" s="173"/>
      <c r="K106" s="172">
        <v>85463.25</v>
      </c>
      <c r="L106" s="172">
        <v>64097.440000000002</v>
      </c>
      <c r="M106" s="172">
        <v>21365.809999999998</v>
      </c>
      <c r="N106" s="173"/>
      <c r="O106" s="172">
        <v>29410.49</v>
      </c>
      <c r="P106" s="172">
        <v>22057.87</v>
      </c>
      <c r="Q106" s="172">
        <v>7352.6200000000026</v>
      </c>
      <c r="R106" s="173"/>
      <c r="S106" s="172">
        <v>114873.74</v>
      </c>
      <c r="T106" s="172">
        <v>86155.31</v>
      </c>
      <c r="U106" s="172">
        <v>28718.43</v>
      </c>
      <c r="V106" s="162"/>
    </row>
    <row r="107" spans="1:22" x14ac:dyDescent="0.25">
      <c r="A107" s="169">
        <v>2024</v>
      </c>
      <c r="B107" s="169" t="s">
        <v>811</v>
      </c>
      <c r="C107" s="170" t="s">
        <v>121</v>
      </c>
      <c r="D107" s="171" t="s">
        <v>810</v>
      </c>
      <c r="E107" s="171" t="s">
        <v>810</v>
      </c>
      <c r="F107" s="171" t="s">
        <v>121</v>
      </c>
      <c r="G107" s="170" t="s">
        <v>471</v>
      </c>
      <c r="H107" s="172">
        <v>0</v>
      </c>
      <c r="I107" s="172">
        <v>5</v>
      </c>
      <c r="J107" s="173"/>
      <c r="K107" s="172">
        <v>140839.5</v>
      </c>
      <c r="L107" s="172">
        <v>0</v>
      </c>
      <c r="M107" s="172">
        <v>140839.5</v>
      </c>
      <c r="N107" s="173"/>
      <c r="O107" s="172">
        <v>49110.7</v>
      </c>
      <c r="P107" s="172">
        <v>0</v>
      </c>
      <c r="Q107" s="172">
        <v>49110.7</v>
      </c>
      <c r="R107" s="173"/>
      <c r="S107" s="172">
        <v>189950.2</v>
      </c>
      <c r="T107" s="172">
        <v>0</v>
      </c>
      <c r="U107" s="172">
        <v>189950.2</v>
      </c>
      <c r="V107" s="162"/>
    </row>
    <row r="108" spans="1:22" x14ac:dyDescent="0.25">
      <c r="A108" s="169">
        <v>2024</v>
      </c>
      <c r="B108" s="169" t="s">
        <v>814</v>
      </c>
      <c r="C108" s="170" t="s">
        <v>122</v>
      </c>
      <c r="D108" s="171" t="s">
        <v>810</v>
      </c>
      <c r="E108" s="171" t="s">
        <v>810</v>
      </c>
      <c r="F108" s="171" t="s">
        <v>122</v>
      </c>
      <c r="G108" s="170" t="s">
        <v>472</v>
      </c>
      <c r="H108" s="172">
        <v>3</v>
      </c>
      <c r="I108" s="172">
        <v>4</v>
      </c>
      <c r="J108" s="173"/>
      <c r="K108" s="172">
        <v>325393.5</v>
      </c>
      <c r="L108" s="172">
        <v>139454.35999999999</v>
      </c>
      <c r="M108" s="172">
        <v>185939.14</v>
      </c>
      <c r="N108" s="173"/>
      <c r="O108" s="172">
        <v>114936.21</v>
      </c>
      <c r="P108" s="172">
        <v>49258.38</v>
      </c>
      <c r="Q108" s="172">
        <v>65677.830000000016</v>
      </c>
      <c r="R108" s="173"/>
      <c r="S108" s="172">
        <v>440329.71</v>
      </c>
      <c r="T108" s="172">
        <v>188712.74</v>
      </c>
      <c r="U108" s="172">
        <v>251616.97000000003</v>
      </c>
      <c r="V108" s="162"/>
    </row>
    <row r="109" spans="1:22" x14ac:dyDescent="0.25">
      <c r="A109" s="169">
        <v>2024</v>
      </c>
      <c r="B109" s="169" t="s">
        <v>816</v>
      </c>
      <c r="C109" s="170" t="s">
        <v>123</v>
      </c>
      <c r="D109" s="171" t="s">
        <v>810</v>
      </c>
      <c r="E109" s="171" t="s">
        <v>810</v>
      </c>
      <c r="F109" s="171" t="s">
        <v>123</v>
      </c>
      <c r="G109" s="170" t="s">
        <v>473</v>
      </c>
      <c r="H109" s="172">
        <v>4</v>
      </c>
      <c r="I109" s="172">
        <v>4</v>
      </c>
      <c r="J109" s="173"/>
      <c r="K109" s="172">
        <v>169509</v>
      </c>
      <c r="L109" s="172">
        <v>84754.5</v>
      </c>
      <c r="M109" s="172">
        <v>84754.5</v>
      </c>
      <c r="N109" s="173"/>
      <c r="O109" s="172">
        <v>59778.05</v>
      </c>
      <c r="P109" s="172">
        <v>29889.03</v>
      </c>
      <c r="Q109" s="172">
        <v>29889.020000000004</v>
      </c>
      <c r="R109" s="173"/>
      <c r="S109" s="172">
        <v>229287.05</v>
      </c>
      <c r="T109" s="172">
        <v>114643.53</v>
      </c>
      <c r="U109" s="172">
        <v>114643.52</v>
      </c>
      <c r="V109" s="162"/>
    </row>
    <row r="110" spans="1:22" x14ac:dyDescent="0.25">
      <c r="A110" s="169">
        <v>2024</v>
      </c>
      <c r="B110" s="169" t="s">
        <v>812</v>
      </c>
      <c r="C110" s="170" t="s">
        <v>124</v>
      </c>
      <c r="D110" s="171" t="s">
        <v>810</v>
      </c>
      <c r="E110" s="171" t="s">
        <v>810</v>
      </c>
      <c r="F110" s="171" t="s">
        <v>124</v>
      </c>
      <c r="G110" s="170" t="s">
        <v>474</v>
      </c>
      <c r="H110" s="172">
        <v>0</v>
      </c>
      <c r="I110" s="172">
        <v>9</v>
      </c>
      <c r="J110" s="173"/>
      <c r="K110" s="172">
        <v>105108.75</v>
      </c>
      <c r="L110" s="172">
        <v>0</v>
      </c>
      <c r="M110" s="172">
        <v>105108.75</v>
      </c>
      <c r="N110" s="173"/>
      <c r="O110" s="172">
        <v>35613.42</v>
      </c>
      <c r="P110" s="172">
        <v>0</v>
      </c>
      <c r="Q110" s="172">
        <v>35613.42</v>
      </c>
      <c r="R110" s="173"/>
      <c r="S110" s="172">
        <v>140722.16999999998</v>
      </c>
      <c r="T110" s="172">
        <v>0</v>
      </c>
      <c r="U110" s="172">
        <v>140722.16999999998</v>
      </c>
      <c r="V110" s="162"/>
    </row>
    <row r="111" spans="1:22" x14ac:dyDescent="0.25">
      <c r="A111" s="169">
        <v>2024</v>
      </c>
      <c r="B111" s="169" t="s">
        <v>814</v>
      </c>
      <c r="C111" s="170" t="s">
        <v>125</v>
      </c>
      <c r="D111" s="171" t="s">
        <v>810</v>
      </c>
      <c r="E111" s="171" t="s">
        <v>810</v>
      </c>
      <c r="F111" s="171" t="s">
        <v>125</v>
      </c>
      <c r="G111" s="170" t="s">
        <v>475</v>
      </c>
      <c r="H111" s="172">
        <v>0</v>
      </c>
      <c r="I111" s="172">
        <v>7</v>
      </c>
      <c r="J111" s="173"/>
      <c r="K111" s="172">
        <v>410991.75</v>
      </c>
      <c r="L111" s="172">
        <v>0</v>
      </c>
      <c r="M111" s="172">
        <v>410991.75</v>
      </c>
      <c r="N111" s="173"/>
      <c r="O111" s="172">
        <v>145513.81</v>
      </c>
      <c r="P111" s="172">
        <v>0</v>
      </c>
      <c r="Q111" s="172">
        <v>145513.81</v>
      </c>
      <c r="R111" s="173"/>
      <c r="S111" s="172">
        <v>556505.56000000006</v>
      </c>
      <c r="T111" s="172">
        <v>0</v>
      </c>
      <c r="U111" s="172">
        <v>556505.56000000006</v>
      </c>
      <c r="V111" s="162"/>
    </row>
    <row r="112" spans="1:22" x14ac:dyDescent="0.25">
      <c r="A112" s="169">
        <v>2024</v>
      </c>
      <c r="B112" s="169" t="s">
        <v>809</v>
      </c>
      <c r="C112" s="170" t="s">
        <v>126</v>
      </c>
      <c r="D112" s="171" t="s">
        <v>810</v>
      </c>
      <c r="E112" s="171" t="s">
        <v>810</v>
      </c>
      <c r="F112" s="171" t="s">
        <v>126</v>
      </c>
      <c r="G112" s="170" t="s">
        <v>476</v>
      </c>
      <c r="H112" s="172">
        <v>0</v>
      </c>
      <c r="I112" s="172">
        <v>6</v>
      </c>
      <c r="J112" s="173"/>
      <c r="K112" s="172">
        <v>141508.5</v>
      </c>
      <c r="L112" s="172">
        <v>0</v>
      </c>
      <c r="M112" s="172">
        <v>141508.5</v>
      </c>
      <c r="N112" s="173"/>
      <c r="O112" s="172">
        <v>49066.76</v>
      </c>
      <c r="P112" s="172">
        <v>0</v>
      </c>
      <c r="Q112" s="172">
        <v>49066.76</v>
      </c>
      <c r="R112" s="173"/>
      <c r="S112" s="172">
        <v>190575.26</v>
      </c>
      <c r="T112" s="172">
        <v>0</v>
      </c>
      <c r="U112" s="172">
        <v>190575.26</v>
      </c>
      <c r="V112" s="162"/>
    </row>
    <row r="113" spans="1:22" x14ac:dyDescent="0.25">
      <c r="A113" s="169">
        <v>2024</v>
      </c>
      <c r="B113" s="169" t="s">
        <v>815</v>
      </c>
      <c r="C113" s="170" t="s">
        <v>127</v>
      </c>
      <c r="D113" s="171" t="s">
        <v>810</v>
      </c>
      <c r="E113" s="171" t="s">
        <v>810</v>
      </c>
      <c r="F113" s="171" t="s">
        <v>127</v>
      </c>
      <c r="G113" s="170" t="s">
        <v>477</v>
      </c>
      <c r="H113" s="172">
        <v>0</v>
      </c>
      <c r="I113" s="172">
        <v>1</v>
      </c>
      <c r="J113" s="173"/>
      <c r="K113" s="172">
        <v>118310.25</v>
      </c>
      <c r="L113" s="172">
        <v>0</v>
      </c>
      <c r="M113" s="172">
        <v>118310.25</v>
      </c>
      <c r="N113" s="173"/>
      <c r="O113" s="172">
        <v>42521.94</v>
      </c>
      <c r="P113" s="172">
        <v>0</v>
      </c>
      <c r="Q113" s="172">
        <v>42521.94</v>
      </c>
      <c r="R113" s="173"/>
      <c r="S113" s="172">
        <v>160832.19</v>
      </c>
      <c r="T113" s="172">
        <v>0</v>
      </c>
      <c r="U113" s="172">
        <v>160832.19</v>
      </c>
      <c r="V113" s="162"/>
    </row>
    <row r="114" spans="1:22" x14ac:dyDescent="0.25">
      <c r="A114" s="169">
        <v>2024</v>
      </c>
      <c r="B114" s="169" t="s">
        <v>811</v>
      </c>
      <c r="C114" s="170" t="s">
        <v>128</v>
      </c>
      <c r="D114" s="171" t="s">
        <v>810</v>
      </c>
      <c r="E114" s="171" t="s">
        <v>810</v>
      </c>
      <c r="F114" s="171" t="s">
        <v>128</v>
      </c>
      <c r="G114" s="170" t="s">
        <v>478</v>
      </c>
      <c r="H114" s="172">
        <v>2</v>
      </c>
      <c r="I114" s="172">
        <v>7</v>
      </c>
      <c r="J114" s="173"/>
      <c r="K114" s="172">
        <v>667309.5</v>
      </c>
      <c r="L114" s="172">
        <v>148291</v>
      </c>
      <c r="M114" s="172">
        <v>519018.5</v>
      </c>
      <c r="N114" s="173"/>
      <c r="O114" s="172">
        <v>230922.4</v>
      </c>
      <c r="P114" s="172">
        <v>51316.09</v>
      </c>
      <c r="Q114" s="172">
        <v>179606.31</v>
      </c>
      <c r="R114" s="173"/>
      <c r="S114" s="172">
        <v>898231.9</v>
      </c>
      <c r="T114" s="172">
        <v>199607.09</v>
      </c>
      <c r="U114" s="172">
        <v>698624.81</v>
      </c>
      <c r="V114" s="162"/>
    </row>
    <row r="115" spans="1:22" x14ac:dyDescent="0.25">
      <c r="A115" s="169">
        <v>2024</v>
      </c>
      <c r="B115" s="169" t="s">
        <v>814</v>
      </c>
      <c r="C115" s="170" t="s">
        <v>129</v>
      </c>
      <c r="D115" s="171" t="s">
        <v>810</v>
      </c>
      <c r="E115" s="171" t="s">
        <v>810</v>
      </c>
      <c r="F115" s="171" t="s">
        <v>129</v>
      </c>
      <c r="G115" s="170" t="s">
        <v>479</v>
      </c>
      <c r="H115" s="172">
        <v>1</v>
      </c>
      <c r="I115" s="172">
        <v>1</v>
      </c>
      <c r="J115" s="173"/>
      <c r="K115" s="172">
        <v>433461.75</v>
      </c>
      <c r="L115" s="172">
        <v>216730.88</v>
      </c>
      <c r="M115" s="172">
        <v>216730.87</v>
      </c>
      <c r="N115" s="173"/>
      <c r="O115" s="172">
        <v>153901.51</v>
      </c>
      <c r="P115" s="172">
        <v>76950.759999999995</v>
      </c>
      <c r="Q115" s="172">
        <v>76950.750000000015</v>
      </c>
      <c r="R115" s="173"/>
      <c r="S115" s="172">
        <v>587363.26</v>
      </c>
      <c r="T115" s="172">
        <v>293681.64</v>
      </c>
      <c r="U115" s="172">
        <v>293681.62</v>
      </c>
      <c r="V115" s="162"/>
    </row>
    <row r="116" spans="1:22" x14ac:dyDescent="0.25">
      <c r="A116" s="169">
        <v>2024</v>
      </c>
      <c r="B116" s="169" t="s">
        <v>815</v>
      </c>
      <c r="C116" s="170" t="s">
        <v>130</v>
      </c>
      <c r="D116" s="171" t="s">
        <v>810</v>
      </c>
      <c r="E116" s="171" t="s">
        <v>810</v>
      </c>
      <c r="F116" s="171" t="s">
        <v>130</v>
      </c>
      <c r="G116" s="170" t="s">
        <v>480</v>
      </c>
      <c r="H116" s="172">
        <v>0</v>
      </c>
      <c r="I116" s="172">
        <v>3</v>
      </c>
      <c r="J116" s="173"/>
      <c r="K116" s="172">
        <v>426303</v>
      </c>
      <c r="L116" s="172">
        <v>0</v>
      </c>
      <c r="M116" s="172">
        <v>426303</v>
      </c>
      <c r="N116" s="173"/>
      <c r="O116" s="172">
        <v>148926.03</v>
      </c>
      <c r="P116" s="172">
        <v>0</v>
      </c>
      <c r="Q116" s="172">
        <v>148926.03</v>
      </c>
      <c r="R116" s="173"/>
      <c r="S116" s="172">
        <v>575229.03</v>
      </c>
      <c r="T116" s="172">
        <v>0</v>
      </c>
      <c r="U116" s="172">
        <v>575229.03</v>
      </c>
      <c r="V116" s="162"/>
    </row>
    <row r="117" spans="1:22" x14ac:dyDescent="0.25">
      <c r="A117" s="169">
        <v>2024</v>
      </c>
      <c r="B117" s="169" t="s">
        <v>812</v>
      </c>
      <c r="C117" s="170" t="s">
        <v>131</v>
      </c>
      <c r="D117" s="171" t="s">
        <v>810</v>
      </c>
      <c r="E117" s="171" t="s">
        <v>810</v>
      </c>
      <c r="F117" s="171" t="s">
        <v>131</v>
      </c>
      <c r="G117" s="170" t="s">
        <v>481</v>
      </c>
      <c r="H117" s="172">
        <v>8</v>
      </c>
      <c r="I117" s="172">
        <v>10</v>
      </c>
      <c r="J117" s="173"/>
      <c r="K117" s="172">
        <v>353829.75</v>
      </c>
      <c r="L117" s="172">
        <v>157257.67000000001</v>
      </c>
      <c r="M117" s="172">
        <v>196572.08</v>
      </c>
      <c r="N117" s="173"/>
      <c r="O117" s="172">
        <v>129874.73</v>
      </c>
      <c r="P117" s="172">
        <v>57722.1</v>
      </c>
      <c r="Q117" s="172">
        <v>72152.63</v>
      </c>
      <c r="R117" s="173"/>
      <c r="S117" s="172">
        <v>483704.48</v>
      </c>
      <c r="T117" s="172">
        <v>214979.77000000002</v>
      </c>
      <c r="U117" s="172">
        <v>268724.70999999996</v>
      </c>
      <c r="V117" s="162"/>
    </row>
    <row r="118" spans="1:22" x14ac:dyDescent="0.25">
      <c r="A118" s="169">
        <v>2024</v>
      </c>
      <c r="B118" s="169" t="s">
        <v>813</v>
      </c>
      <c r="C118" s="170" t="s">
        <v>132</v>
      </c>
      <c r="D118" s="171" t="s">
        <v>810</v>
      </c>
      <c r="E118" s="171" t="s">
        <v>810</v>
      </c>
      <c r="F118" s="171" t="s">
        <v>132</v>
      </c>
      <c r="G118" s="170" t="s">
        <v>482</v>
      </c>
      <c r="H118" s="172">
        <v>5</v>
      </c>
      <c r="I118" s="172">
        <v>5</v>
      </c>
      <c r="J118" s="173"/>
      <c r="K118" s="172">
        <v>292854.75</v>
      </c>
      <c r="L118" s="172">
        <v>146427.38</v>
      </c>
      <c r="M118" s="172">
        <v>146427.37</v>
      </c>
      <c r="N118" s="173"/>
      <c r="O118" s="172">
        <v>104608.13</v>
      </c>
      <c r="P118" s="172">
        <v>52304.07</v>
      </c>
      <c r="Q118" s="172">
        <v>52304.060000000005</v>
      </c>
      <c r="R118" s="173"/>
      <c r="S118" s="172">
        <v>397462.88</v>
      </c>
      <c r="T118" s="172">
        <v>198731.45</v>
      </c>
      <c r="U118" s="172">
        <v>198731.43</v>
      </c>
      <c r="V118" s="162"/>
    </row>
    <row r="119" spans="1:22" x14ac:dyDescent="0.25">
      <c r="A119" s="169">
        <v>2024</v>
      </c>
      <c r="B119" s="169" t="s">
        <v>811</v>
      </c>
      <c r="C119" s="170" t="s">
        <v>133</v>
      </c>
      <c r="D119" s="171" t="s">
        <v>810</v>
      </c>
      <c r="E119" s="171" t="s">
        <v>810</v>
      </c>
      <c r="F119" s="171" t="s">
        <v>133</v>
      </c>
      <c r="G119" s="170" t="s">
        <v>483</v>
      </c>
      <c r="H119" s="172">
        <v>3</v>
      </c>
      <c r="I119" s="172">
        <v>3</v>
      </c>
      <c r="J119" s="173"/>
      <c r="K119" s="172">
        <v>354035.25</v>
      </c>
      <c r="L119" s="172">
        <v>177017.63</v>
      </c>
      <c r="M119" s="172">
        <v>177017.62</v>
      </c>
      <c r="N119" s="173"/>
      <c r="O119" s="172">
        <v>123651.03</v>
      </c>
      <c r="P119" s="172">
        <v>61825.52</v>
      </c>
      <c r="Q119" s="172">
        <v>61825.51</v>
      </c>
      <c r="R119" s="173"/>
      <c r="S119" s="172">
        <v>477686.28</v>
      </c>
      <c r="T119" s="172">
        <v>238843.15</v>
      </c>
      <c r="U119" s="172">
        <v>238843.13</v>
      </c>
      <c r="V119" s="162"/>
    </row>
    <row r="120" spans="1:22" x14ac:dyDescent="0.25">
      <c r="A120" s="169">
        <v>2024</v>
      </c>
      <c r="B120" s="169" t="s">
        <v>813</v>
      </c>
      <c r="C120" s="170" t="s">
        <v>134</v>
      </c>
      <c r="D120" s="171" t="s">
        <v>810</v>
      </c>
      <c r="E120" s="171" t="s">
        <v>810</v>
      </c>
      <c r="F120" s="171" t="s">
        <v>134</v>
      </c>
      <c r="G120" s="170" t="s">
        <v>484</v>
      </c>
      <c r="H120" s="172">
        <v>6</v>
      </c>
      <c r="I120" s="172">
        <v>10</v>
      </c>
      <c r="J120" s="173"/>
      <c r="K120" s="172">
        <v>354398.25</v>
      </c>
      <c r="L120" s="172">
        <v>132899.34</v>
      </c>
      <c r="M120" s="172">
        <v>221498.91</v>
      </c>
      <c r="N120" s="173"/>
      <c r="O120" s="172">
        <v>120357.28</v>
      </c>
      <c r="P120" s="172">
        <v>45133.98</v>
      </c>
      <c r="Q120" s="172">
        <v>75223.299999999988</v>
      </c>
      <c r="R120" s="173"/>
      <c r="S120" s="172">
        <v>474755.53</v>
      </c>
      <c r="T120" s="172">
        <v>178033.32</v>
      </c>
      <c r="U120" s="172">
        <v>296722.20999999996</v>
      </c>
      <c r="V120" s="162"/>
    </row>
    <row r="121" spans="1:22" x14ac:dyDescent="0.25">
      <c r="A121" s="169">
        <v>2024</v>
      </c>
      <c r="B121" s="169" t="s">
        <v>809</v>
      </c>
      <c r="C121" s="170" t="s">
        <v>135</v>
      </c>
      <c r="D121" s="171" t="s">
        <v>810</v>
      </c>
      <c r="E121" s="171" t="s">
        <v>810</v>
      </c>
      <c r="F121" s="171" t="s">
        <v>135</v>
      </c>
      <c r="G121" s="170" t="s">
        <v>485</v>
      </c>
      <c r="H121" s="172">
        <v>0</v>
      </c>
      <c r="I121" s="172">
        <v>0</v>
      </c>
      <c r="J121" s="173"/>
      <c r="K121" s="172">
        <v>0</v>
      </c>
      <c r="L121" s="172">
        <v>0</v>
      </c>
      <c r="M121" s="172">
        <v>0</v>
      </c>
      <c r="N121" s="173"/>
      <c r="O121" s="172">
        <v>0</v>
      </c>
      <c r="P121" s="172">
        <v>0</v>
      </c>
      <c r="Q121" s="172">
        <v>0</v>
      </c>
      <c r="R121" s="173"/>
      <c r="S121" s="172">
        <v>0</v>
      </c>
      <c r="T121" s="172">
        <v>0</v>
      </c>
      <c r="U121" s="172">
        <v>0</v>
      </c>
      <c r="V121" s="162"/>
    </row>
    <row r="122" spans="1:22" x14ac:dyDescent="0.25">
      <c r="A122" s="169">
        <v>2024</v>
      </c>
      <c r="B122" s="169" t="s">
        <v>814</v>
      </c>
      <c r="C122" s="170" t="s">
        <v>136</v>
      </c>
      <c r="D122" s="171" t="s">
        <v>810</v>
      </c>
      <c r="E122" s="171" t="s">
        <v>810</v>
      </c>
      <c r="F122" s="171" t="s">
        <v>136</v>
      </c>
      <c r="G122" s="170" t="s">
        <v>486</v>
      </c>
      <c r="H122" s="172">
        <v>0</v>
      </c>
      <c r="I122" s="172">
        <v>5</v>
      </c>
      <c r="J122" s="173"/>
      <c r="K122" s="172">
        <v>33424.5</v>
      </c>
      <c r="L122" s="172">
        <v>0</v>
      </c>
      <c r="M122" s="172">
        <v>33424.5</v>
      </c>
      <c r="N122" s="173"/>
      <c r="O122" s="172">
        <v>11928.55</v>
      </c>
      <c r="P122" s="172">
        <v>0</v>
      </c>
      <c r="Q122" s="172">
        <v>11928.55</v>
      </c>
      <c r="R122" s="173"/>
      <c r="S122" s="172">
        <v>45353.05</v>
      </c>
      <c r="T122" s="172">
        <v>0</v>
      </c>
      <c r="U122" s="172">
        <v>45353.05</v>
      </c>
      <c r="V122" s="162"/>
    </row>
    <row r="123" spans="1:22" x14ac:dyDescent="0.25">
      <c r="A123" s="169">
        <v>2024</v>
      </c>
      <c r="B123" s="169" t="s">
        <v>811</v>
      </c>
      <c r="C123" s="170" t="s">
        <v>137</v>
      </c>
      <c r="D123" s="171" t="s">
        <v>810</v>
      </c>
      <c r="E123" s="171" t="s">
        <v>810</v>
      </c>
      <c r="F123" s="171" t="s">
        <v>137</v>
      </c>
      <c r="G123" s="170" t="s">
        <v>487</v>
      </c>
      <c r="H123" s="172">
        <v>1</v>
      </c>
      <c r="I123" s="172">
        <v>1</v>
      </c>
      <c r="J123" s="173"/>
      <c r="K123" s="172">
        <v>87998.25</v>
      </c>
      <c r="L123" s="172">
        <v>43999.13</v>
      </c>
      <c r="M123" s="172">
        <v>43999.12</v>
      </c>
      <c r="N123" s="173"/>
      <c r="O123" s="172">
        <v>30118.19</v>
      </c>
      <c r="P123" s="172">
        <v>15059.1</v>
      </c>
      <c r="Q123" s="172">
        <v>15059.089999999998</v>
      </c>
      <c r="R123" s="173"/>
      <c r="S123" s="172">
        <v>118116.44</v>
      </c>
      <c r="T123" s="172">
        <v>59058.229999999996</v>
      </c>
      <c r="U123" s="172">
        <v>59058.21</v>
      </c>
      <c r="V123" s="162"/>
    </row>
    <row r="124" spans="1:22" x14ac:dyDescent="0.25">
      <c r="A124" s="169">
        <v>2024</v>
      </c>
      <c r="B124" s="169" t="s">
        <v>812</v>
      </c>
      <c r="C124" s="170" t="s">
        <v>138</v>
      </c>
      <c r="D124" s="171" t="s">
        <v>810</v>
      </c>
      <c r="E124" s="171" t="s">
        <v>810</v>
      </c>
      <c r="F124" s="171" t="s">
        <v>138</v>
      </c>
      <c r="G124" s="170" t="s">
        <v>488</v>
      </c>
      <c r="H124" s="172">
        <v>0</v>
      </c>
      <c r="I124" s="172">
        <v>9</v>
      </c>
      <c r="J124" s="173"/>
      <c r="K124" s="172">
        <v>735614.25</v>
      </c>
      <c r="L124" s="172">
        <v>0</v>
      </c>
      <c r="M124" s="172">
        <v>735614.25</v>
      </c>
      <c r="N124" s="173"/>
      <c r="O124" s="172">
        <v>275362.11</v>
      </c>
      <c r="P124" s="172">
        <v>0</v>
      </c>
      <c r="Q124" s="172">
        <v>275362.11</v>
      </c>
      <c r="R124" s="173"/>
      <c r="S124" s="172">
        <v>1010976.36</v>
      </c>
      <c r="T124" s="172">
        <v>0</v>
      </c>
      <c r="U124" s="172">
        <v>1010976.36</v>
      </c>
      <c r="V124" s="162"/>
    </row>
    <row r="125" spans="1:22" x14ac:dyDescent="0.25">
      <c r="A125" s="169">
        <v>2024</v>
      </c>
      <c r="B125" s="169" t="s">
        <v>809</v>
      </c>
      <c r="C125" s="170" t="s">
        <v>139</v>
      </c>
      <c r="D125" s="171" t="s">
        <v>810</v>
      </c>
      <c r="E125" s="171" t="s">
        <v>810</v>
      </c>
      <c r="F125" s="171" t="s">
        <v>139</v>
      </c>
      <c r="G125" s="170" t="s">
        <v>489</v>
      </c>
      <c r="H125" s="172">
        <v>0</v>
      </c>
      <c r="I125" s="172">
        <v>1</v>
      </c>
      <c r="J125" s="173"/>
      <c r="K125" s="172">
        <v>30475.5</v>
      </c>
      <c r="L125" s="172">
        <v>0</v>
      </c>
      <c r="M125" s="172">
        <v>30475.5</v>
      </c>
      <c r="N125" s="173"/>
      <c r="O125" s="172">
        <v>10305.81</v>
      </c>
      <c r="P125" s="172">
        <v>0</v>
      </c>
      <c r="Q125" s="172">
        <v>10305.81</v>
      </c>
      <c r="R125" s="173"/>
      <c r="S125" s="172">
        <v>40781.31</v>
      </c>
      <c r="T125" s="172">
        <v>0</v>
      </c>
      <c r="U125" s="172">
        <v>40781.31</v>
      </c>
      <c r="V125" s="162"/>
    </row>
    <row r="126" spans="1:22" x14ac:dyDescent="0.25">
      <c r="A126" s="169">
        <v>2024</v>
      </c>
      <c r="B126" s="169" t="s">
        <v>811</v>
      </c>
      <c r="C126" s="170" t="s">
        <v>142</v>
      </c>
      <c r="D126" s="171" t="s">
        <v>810</v>
      </c>
      <c r="E126" s="171" t="s">
        <v>810</v>
      </c>
      <c r="F126" s="171" t="s">
        <v>142</v>
      </c>
      <c r="G126" s="170" t="s">
        <v>4</v>
      </c>
      <c r="H126" s="172">
        <v>0</v>
      </c>
      <c r="I126" s="172">
        <v>6</v>
      </c>
      <c r="J126" s="173"/>
      <c r="K126" s="172">
        <v>106784.25</v>
      </c>
      <c r="L126" s="172">
        <v>0</v>
      </c>
      <c r="M126" s="172">
        <v>106784.25</v>
      </c>
      <c r="N126" s="173"/>
      <c r="O126" s="172">
        <v>37220.44</v>
      </c>
      <c r="P126" s="172">
        <v>0</v>
      </c>
      <c r="Q126" s="172">
        <v>37220.44</v>
      </c>
      <c r="R126" s="173"/>
      <c r="S126" s="172">
        <v>144004.69</v>
      </c>
      <c r="T126" s="172">
        <v>0</v>
      </c>
      <c r="U126" s="172">
        <v>144004.69</v>
      </c>
      <c r="V126" s="162"/>
    </row>
    <row r="127" spans="1:22" x14ac:dyDescent="0.25">
      <c r="A127" s="169">
        <v>2024</v>
      </c>
      <c r="B127" s="169" t="s">
        <v>814</v>
      </c>
      <c r="C127" s="170" t="s">
        <v>140</v>
      </c>
      <c r="D127" s="171" t="s">
        <v>810</v>
      </c>
      <c r="E127" s="171" t="s">
        <v>810</v>
      </c>
      <c r="F127" s="171" t="s">
        <v>140</v>
      </c>
      <c r="G127" s="170" t="s">
        <v>490</v>
      </c>
      <c r="H127" s="172">
        <v>1</v>
      </c>
      <c r="I127" s="172">
        <v>3</v>
      </c>
      <c r="J127" s="173"/>
      <c r="K127" s="172">
        <v>71083.5</v>
      </c>
      <c r="L127" s="172">
        <v>17770.88</v>
      </c>
      <c r="M127" s="172">
        <v>53312.619999999995</v>
      </c>
      <c r="N127" s="173"/>
      <c r="O127" s="172">
        <v>20337.990000000002</v>
      </c>
      <c r="P127" s="172">
        <v>5084.5</v>
      </c>
      <c r="Q127" s="172">
        <v>15253.490000000002</v>
      </c>
      <c r="R127" s="173"/>
      <c r="S127" s="172">
        <v>91421.49</v>
      </c>
      <c r="T127" s="172">
        <v>22855.38</v>
      </c>
      <c r="U127" s="172">
        <v>68566.11</v>
      </c>
      <c r="V127" s="162"/>
    </row>
    <row r="128" spans="1:22" x14ac:dyDescent="0.25">
      <c r="A128" s="169">
        <v>2024</v>
      </c>
      <c r="B128" s="169" t="s">
        <v>814</v>
      </c>
      <c r="C128" s="170" t="s">
        <v>168</v>
      </c>
      <c r="D128" s="171" t="s">
        <v>810</v>
      </c>
      <c r="E128" s="171" t="s">
        <v>810</v>
      </c>
      <c r="F128" s="171" t="s">
        <v>168</v>
      </c>
      <c r="G128" s="170" t="s">
        <v>516</v>
      </c>
      <c r="H128" s="172">
        <v>3</v>
      </c>
      <c r="I128" s="172">
        <v>6</v>
      </c>
      <c r="J128" s="173"/>
      <c r="K128" s="172">
        <v>637683</v>
      </c>
      <c r="L128" s="172">
        <v>212561</v>
      </c>
      <c r="M128" s="172">
        <v>425122</v>
      </c>
      <c r="N128" s="173"/>
      <c r="O128" s="172">
        <v>222373.23</v>
      </c>
      <c r="P128" s="172">
        <v>74124.41</v>
      </c>
      <c r="Q128" s="172">
        <v>148248.82</v>
      </c>
      <c r="R128" s="173"/>
      <c r="S128" s="172">
        <v>860056.23</v>
      </c>
      <c r="T128" s="172">
        <v>286685.41000000003</v>
      </c>
      <c r="U128" s="172">
        <v>573370.82000000007</v>
      </c>
      <c r="V128" s="162"/>
    </row>
    <row r="129" spans="1:22" x14ac:dyDescent="0.25">
      <c r="A129" s="169">
        <v>2024</v>
      </c>
      <c r="B129" s="169" t="s">
        <v>811</v>
      </c>
      <c r="C129" s="170" t="s">
        <v>143</v>
      </c>
      <c r="D129" s="171" t="s">
        <v>810</v>
      </c>
      <c r="E129" s="171" t="s">
        <v>810</v>
      </c>
      <c r="F129" s="171" t="s">
        <v>143</v>
      </c>
      <c r="G129" s="170" t="s">
        <v>492</v>
      </c>
      <c r="H129" s="172">
        <v>1</v>
      </c>
      <c r="I129" s="172">
        <v>1</v>
      </c>
      <c r="J129" s="173"/>
      <c r="K129" s="172">
        <v>206598</v>
      </c>
      <c r="L129" s="172">
        <v>103299</v>
      </c>
      <c r="M129" s="172">
        <v>103299</v>
      </c>
      <c r="N129" s="173"/>
      <c r="O129" s="172">
        <v>70785.820000000007</v>
      </c>
      <c r="P129" s="172">
        <v>35392.910000000003</v>
      </c>
      <c r="Q129" s="172">
        <v>35392.910000000003</v>
      </c>
      <c r="R129" s="173"/>
      <c r="S129" s="172">
        <v>277383.82</v>
      </c>
      <c r="T129" s="172">
        <v>138691.91</v>
      </c>
      <c r="U129" s="172">
        <v>138691.91</v>
      </c>
      <c r="V129" s="162"/>
    </row>
    <row r="130" spans="1:22" x14ac:dyDescent="0.25">
      <c r="A130" s="169">
        <v>2024</v>
      </c>
      <c r="B130" s="169" t="s">
        <v>812</v>
      </c>
      <c r="C130" s="170" t="s">
        <v>144</v>
      </c>
      <c r="D130" s="171" t="s">
        <v>810</v>
      </c>
      <c r="E130" s="171" t="s">
        <v>810</v>
      </c>
      <c r="F130" s="171" t="s">
        <v>144</v>
      </c>
      <c r="G130" s="170" t="s">
        <v>493</v>
      </c>
      <c r="H130" s="172">
        <v>0</v>
      </c>
      <c r="I130" s="172">
        <v>1</v>
      </c>
      <c r="J130" s="173"/>
      <c r="K130" s="172">
        <v>26352</v>
      </c>
      <c r="L130" s="172">
        <v>0</v>
      </c>
      <c r="M130" s="172">
        <v>26352</v>
      </c>
      <c r="N130" s="173"/>
      <c r="O130" s="172">
        <v>9929.25</v>
      </c>
      <c r="P130" s="172">
        <v>0</v>
      </c>
      <c r="Q130" s="172">
        <v>9929.25</v>
      </c>
      <c r="R130" s="173"/>
      <c r="S130" s="172">
        <v>36281.25</v>
      </c>
      <c r="T130" s="172">
        <v>0</v>
      </c>
      <c r="U130" s="172">
        <v>36281.25</v>
      </c>
      <c r="V130" s="162"/>
    </row>
    <row r="131" spans="1:22" x14ac:dyDescent="0.25">
      <c r="A131" s="169">
        <v>2024</v>
      </c>
      <c r="B131" s="169" t="s">
        <v>811</v>
      </c>
      <c r="C131" s="170" t="s">
        <v>145</v>
      </c>
      <c r="D131" s="171" t="s">
        <v>810</v>
      </c>
      <c r="E131" s="171" t="s">
        <v>810</v>
      </c>
      <c r="F131" s="171" t="s">
        <v>145</v>
      </c>
      <c r="G131" s="170" t="s">
        <v>494</v>
      </c>
      <c r="H131" s="172">
        <v>0</v>
      </c>
      <c r="I131" s="172">
        <v>8</v>
      </c>
      <c r="J131" s="173"/>
      <c r="K131" s="172">
        <v>323414.25</v>
      </c>
      <c r="L131" s="172">
        <v>0</v>
      </c>
      <c r="M131" s="172">
        <v>323414.25</v>
      </c>
      <c r="N131" s="173"/>
      <c r="O131" s="172">
        <v>112467.72</v>
      </c>
      <c r="P131" s="172">
        <v>0</v>
      </c>
      <c r="Q131" s="172">
        <v>112467.72</v>
      </c>
      <c r="R131" s="173"/>
      <c r="S131" s="172">
        <v>435881.97</v>
      </c>
      <c r="T131" s="172">
        <v>0</v>
      </c>
      <c r="U131" s="172">
        <v>435881.97</v>
      </c>
      <c r="V131" s="162"/>
    </row>
    <row r="132" spans="1:22" x14ac:dyDescent="0.25">
      <c r="A132" s="169">
        <v>2024</v>
      </c>
      <c r="B132" s="169" t="s">
        <v>809</v>
      </c>
      <c r="C132" s="170" t="s">
        <v>146</v>
      </c>
      <c r="D132" s="171" t="s">
        <v>810</v>
      </c>
      <c r="E132" s="171" t="s">
        <v>810</v>
      </c>
      <c r="F132" s="171" t="s">
        <v>146</v>
      </c>
      <c r="G132" s="170" t="s">
        <v>495</v>
      </c>
      <c r="H132" s="172">
        <v>0</v>
      </c>
      <c r="I132" s="172">
        <v>7</v>
      </c>
      <c r="J132" s="173"/>
      <c r="K132" s="172">
        <v>177135</v>
      </c>
      <c r="L132" s="172">
        <v>0</v>
      </c>
      <c r="M132" s="172">
        <v>177135</v>
      </c>
      <c r="N132" s="173"/>
      <c r="O132" s="172">
        <v>62276.23</v>
      </c>
      <c r="P132" s="172">
        <v>0</v>
      </c>
      <c r="Q132" s="172">
        <v>62276.23</v>
      </c>
      <c r="R132" s="173"/>
      <c r="S132" s="172">
        <v>239411.23</v>
      </c>
      <c r="T132" s="172">
        <v>0</v>
      </c>
      <c r="U132" s="172">
        <v>239411.23</v>
      </c>
      <c r="V132" s="162"/>
    </row>
    <row r="133" spans="1:22" x14ac:dyDescent="0.25">
      <c r="A133" s="169">
        <v>2024</v>
      </c>
      <c r="B133" s="169" t="s">
        <v>812</v>
      </c>
      <c r="C133" s="170" t="s">
        <v>149</v>
      </c>
      <c r="D133" s="171" t="s">
        <v>810</v>
      </c>
      <c r="E133" s="171" t="s">
        <v>810</v>
      </c>
      <c r="F133" s="171" t="s">
        <v>149</v>
      </c>
      <c r="G133" s="170" t="s">
        <v>497</v>
      </c>
      <c r="H133" s="172">
        <v>3</v>
      </c>
      <c r="I133" s="172">
        <v>1</v>
      </c>
      <c r="J133" s="173"/>
      <c r="K133" s="172">
        <v>73491</v>
      </c>
      <c r="L133" s="172">
        <v>55118.25</v>
      </c>
      <c r="M133" s="172">
        <v>18372.75</v>
      </c>
      <c r="N133" s="173"/>
      <c r="O133" s="172">
        <v>24886.82</v>
      </c>
      <c r="P133" s="172">
        <v>18665.12</v>
      </c>
      <c r="Q133" s="172">
        <v>6221.7000000000007</v>
      </c>
      <c r="R133" s="173"/>
      <c r="S133" s="172">
        <v>98377.82</v>
      </c>
      <c r="T133" s="172">
        <v>73783.37</v>
      </c>
      <c r="U133" s="172">
        <v>24594.45</v>
      </c>
      <c r="V133" s="162"/>
    </row>
    <row r="134" spans="1:22" x14ac:dyDescent="0.25">
      <c r="A134" s="169">
        <v>2024</v>
      </c>
      <c r="B134" s="169" t="s">
        <v>811</v>
      </c>
      <c r="C134" s="170" t="s">
        <v>150</v>
      </c>
      <c r="D134" s="171" t="s">
        <v>810</v>
      </c>
      <c r="E134" s="171" t="s">
        <v>810</v>
      </c>
      <c r="F134" s="171" t="s">
        <v>150</v>
      </c>
      <c r="G134" s="170" t="s">
        <v>498</v>
      </c>
      <c r="H134" s="172">
        <v>0</v>
      </c>
      <c r="I134" s="172">
        <v>3</v>
      </c>
      <c r="J134" s="173"/>
      <c r="K134" s="172">
        <v>145961.25</v>
      </c>
      <c r="L134" s="172">
        <v>0</v>
      </c>
      <c r="M134" s="172">
        <v>145961.25</v>
      </c>
      <c r="N134" s="173"/>
      <c r="O134" s="172">
        <v>52958.65</v>
      </c>
      <c r="P134" s="172">
        <v>0</v>
      </c>
      <c r="Q134" s="172">
        <v>52958.65</v>
      </c>
      <c r="R134" s="173"/>
      <c r="S134" s="172">
        <v>198919.9</v>
      </c>
      <c r="T134" s="172">
        <v>0</v>
      </c>
      <c r="U134" s="172">
        <v>198919.9</v>
      </c>
      <c r="V134" s="162"/>
    </row>
    <row r="135" spans="1:22" x14ac:dyDescent="0.25">
      <c r="A135" s="169">
        <v>2024</v>
      </c>
      <c r="B135" s="169" t="s">
        <v>812</v>
      </c>
      <c r="C135" s="170" t="s">
        <v>151</v>
      </c>
      <c r="D135" s="171" t="s">
        <v>810</v>
      </c>
      <c r="E135" s="171" t="s">
        <v>810</v>
      </c>
      <c r="F135" s="171" t="s">
        <v>151</v>
      </c>
      <c r="G135" s="170" t="s">
        <v>499</v>
      </c>
      <c r="H135" s="172">
        <v>0</v>
      </c>
      <c r="I135" s="172">
        <v>7</v>
      </c>
      <c r="J135" s="173"/>
      <c r="K135" s="172">
        <v>604683.75</v>
      </c>
      <c r="L135" s="172">
        <v>0</v>
      </c>
      <c r="M135" s="172">
        <v>604683.75</v>
      </c>
      <c r="N135" s="173"/>
      <c r="O135" s="172">
        <v>221601.74</v>
      </c>
      <c r="P135" s="172">
        <v>0</v>
      </c>
      <c r="Q135" s="172">
        <v>221601.74</v>
      </c>
      <c r="R135" s="173"/>
      <c r="S135" s="172">
        <v>826285.49</v>
      </c>
      <c r="T135" s="172">
        <v>0</v>
      </c>
      <c r="U135" s="172">
        <v>826285.49</v>
      </c>
      <c r="V135" s="162"/>
    </row>
    <row r="136" spans="1:22" x14ac:dyDescent="0.25">
      <c r="A136" s="169">
        <v>2024</v>
      </c>
      <c r="B136" s="169" t="s">
        <v>814</v>
      </c>
      <c r="C136" s="170" t="s">
        <v>152</v>
      </c>
      <c r="D136" s="171" t="s">
        <v>810</v>
      </c>
      <c r="E136" s="171" t="s">
        <v>810</v>
      </c>
      <c r="F136" s="171" t="s">
        <v>152</v>
      </c>
      <c r="G136" s="170" t="s">
        <v>500</v>
      </c>
      <c r="H136" s="172">
        <v>0</v>
      </c>
      <c r="I136" s="172">
        <v>0</v>
      </c>
      <c r="J136" s="173"/>
      <c r="K136" s="172">
        <v>0</v>
      </c>
      <c r="L136" s="172">
        <v>0</v>
      </c>
      <c r="M136" s="172">
        <v>0</v>
      </c>
      <c r="N136" s="173"/>
      <c r="O136" s="172">
        <v>0</v>
      </c>
      <c r="P136" s="172">
        <v>0</v>
      </c>
      <c r="Q136" s="172">
        <v>0</v>
      </c>
      <c r="R136" s="173"/>
      <c r="S136" s="172">
        <v>0</v>
      </c>
      <c r="T136" s="172">
        <v>0</v>
      </c>
      <c r="U136" s="172">
        <v>0</v>
      </c>
      <c r="V136" s="162"/>
    </row>
    <row r="137" spans="1:22" x14ac:dyDescent="0.25">
      <c r="A137" s="169">
        <v>2024</v>
      </c>
      <c r="B137" s="169" t="s">
        <v>813</v>
      </c>
      <c r="C137" s="170" t="s">
        <v>153</v>
      </c>
      <c r="D137" s="171" t="s">
        <v>810</v>
      </c>
      <c r="E137" s="171" t="s">
        <v>810</v>
      </c>
      <c r="F137" s="171" t="s">
        <v>153</v>
      </c>
      <c r="G137" s="170" t="s">
        <v>501</v>
      </c>
      <c r="H137" s="172">
        <v>1</v>
      </c>
      <c r="I137" s="172">
        <v>5</v>
      </c>
      <c r="J137" s="173"/>
      <c r="K137" s="172">
        <v>251130</v>
      </c>
      <c r="L137" s="172">
        <v>41855</v>
      </c>
      <c r="M137" s="172">
        <v>209275</v>
      </c>
      <c r="N137" s="173"/>
      <c r="O137" s="172">
        <v>87844.75</v>
      </c>
      <c r="P137" s="172">
        <v>14640.79</v>
      </c>
      <c r="Q137" s="172">
        <v>73203.959999999992</v>
      </c>
      <c r="R137" s="173"/>
      <c r="S137" s="172">
        <v>338974.75</v>
      </c>
      <c r="T137" s="172">
        <v>56495.79</v>
      </c>
      <c r="U137" s="172">
        <v>282478.95999999996</v>
      </c>
      <c r="V137" s="162"/>
    </row>
    <row r="138" spans="1:22" x14ac:dyDescent="0.25">
      <c r="A138" s="169">
        <v>2024</v>
      </c>
      <c r="B138" s="169" t="s">
        <v>816</v>
      </c>
      <c r="C138" s="170" t="s">
        <v>154</v>
      </c>
      <c r="D138" s="171" t="s">
        <v>810</v>
      </c>
      <c r="E138" s="171" t="s">
        <v>810</v>
      </c>
      <c r="F138" s="171" t="s">
        <v>154</v>
      </c>
      <c r="G138" s="170" t="s">
        <v>502</v>
      </c>
      <c r="H138" s="172">
        <v>0</v>
      </c>
      <c r="I138" s="172">
        <v>2</v>
      </c>
      <c r="J138" s="173"/>
      <c r="K138" s="172">
        <v>96471.75</v>
      </c>
      <c r="L138" s="172">
        <v>0</v>
      </c>
      <c r="M138" s="172">
        <v>96471.75</v>
      </c>
      <c r="N138" s="173"/>
      <c r="O138" s="172">
        <v>34751.43</v>
      </c>
      <c r="P138" s="172">
        <v>0</v>
      </c>
      <c r="Q138" s="172">
        <v>34751.43</v>
      </c>
      <c r="R138" s="173"/>
      <c r="S138" s="172">
        <v>131223.18</v>
      </c>
      <c r="T138" s="172">
        <v>0</v>
      </c>
      <c r="U138" s="172">
        <v>131223.18</v>
      </c>
      <c r="V138" s="162"/>
    </row>
    <row r="139" spans="1:22" x14ac:dyDescent="0.25">
      <c r="A139" s="169">
        <v>2024</v>
      </c>
      <c r="B139" s="169" t="s">
        <v>813</v>
      </c>
      <c r="C139" s="170" t="s">
        <v>155</v>
      </c>
      <c r="D139" s="171" t="s">
        <v>810</v>
      </c>
      <c r="E139" s="171" t="s">
        <v>810</v>
      </c>
      <c r="F139" s="171" t="s">
        <v>155</v>
      </c>
      <c r="G139" s="170" t="s">
        <v>503</v>
      </c>
      <c r="H139" s="172">
        <v>0</v>
      </c>
      <c r="I139" s="172">
        <v>7</v>
      </c>
      <c r="J139" s="173"/>
      <c r="K139" s="172">
        <v>264774.75</v>
      </c>
      <c r="L139" s="172">
        <v>0</v>
      </c>
      <c r="M139" s="172">
        <v>264774.75</v>
      </c>
      <c r="N139" s="173"/>
      <c r="O139" s="172">
        <v>105157.55</v>
      </c>
      <c r="P139" s="172">
        <v>0</v>
      </c>
      <c r="Q139" s="172">
        <v>105157.55</v>
      </c>
      <c r="R139" s="173"/>
      <c r="S139" s="172">
        <v>369932.3</v>
      </c>
      <c r="T139" s="172">
        <v>0</v>
      </c>
      <c r="U139" s="172">
        <v>369932.3</v>
      </c>
      <c r="V139" s="162"/>
    </row>
    <row r="140" spans="1:22" x14ac:dyDescent="0.25">
      <c r="A140" s="169">
        <v>2024</v>
      </c>
      <c r="B140" s="169" t="s">
        <v>816</v>
      </c>
      <c r="C140" s="170" t="s">
        <v>148</v>
      </c>
      <c r="D140" s="171" t="s">
        <v>810</v>
      </c>
      <c r="E140" s="171" t="s">
        <v>810</v>
      </c>
      <c r="F140" s="171" t="s">
        <v>148</v>
      </c>
      <c r="G140" s="170" t="s">
        <v>5</v>
      </c>
      <c r="H140" s="172">
        <v>1</v>
      </c>
      <c r="I140" s="172">
        <v>1</v>
      </c>
      <c r="J140" s="173"/>
      <c r="K140" s="172">
        <v>38100</v>
      </c>
      <c r="L140" s="172">
        <v>19050</v>
      </c>
      <c r="M140" s="172">
        <v>19050</v>
      </c>
      <c r="N140" s="173"/>
      <c r="O140" s="172">
        <v>13042.67</v>
      </c>
      <c r="P140" s="172">
        <v>6521.34</v>
      </c>
      <c r="Q140" s="172">
        <v>6521.33</v>
      </c>
      <c r="R140" s="173"/>
      <c r="S140" s="172">
        <v>51142.67</v>
      </c>
      <c r="T140" s="172">
        <v>25571.34</v>
      </c>
      <c r="U140" s="172">
        <v>25571.33</v>
      </c>
      <c r="V140" s="162"/>
    </row>
    <row r="141" spans="1:22" x14ac:dyDescent="0.25">
      <c r="A141" s="169">
        <v>2024</v>
      </c>
      <c r="B141" s="169" t="s">
        <v>818</v>
      </c>
      <c r="C141" s="170" t="s">
        <v>156</v>
      </c>
      <c r="D141" s="171" t="s">
        <v>810</v>
      </c>
      <c r="E141" s="171" t="s">
        <v>810</v>
      </c>
      <c r="F141" s="171" t="s">
        <v>156</v>
      </c>
      <c r="G141" s="170" t="s">
        <v>504</v>
      </c>
      <c r="H141" s="172">
        <v>3</v>
      </c>
      <c r="I141" s="172">
        <v>3</v>
      </c>
      <c r="J141" s="173"/>
      <c r="K141" s="172">
        <v>402913.5</v>
      </c>
      <c r="L141" s="172">
        <v>201456.75</v>
      </c>
      <c r="M141" s="172">
        <v>201456.75</v>
      </c>
      <c r="N141" s="173"/>
      <c r="O141" s="172">
        <v>140168.41</v>
      </c>
      <c r="P141" s="172">
        <v>70084.210000000006</v>
      </c>
      <c r="Q141" s="172">
        <v>70084.2</v>
      </c>
      <c r="R141" s="173"/>
      <c r="S141" s="172">
        <v>543081.91</v>
      </c>
      <c r="T141" s="172">
        <v>271540.96000000002</v>
      </c>
      <c r="U141" s="172">
        <v>271540.95</v>
      </c>
      <c r="V141" s="162"/>
    </row>
    <row r="142" spans="1:22" x14ac:dyDescent="0.25">
      <c r="A142" s="169">
        <v>2024</v>
      </c>
      <c r="B142" s="169" t="s">
        <v>811</v>
      </c>
      <c r="C142" s="170" t="s">
        <v>157</v>
      </c>
      <c r="D142" s="171" t="s">
        <v>810</v>
      </c>
      <c r="E142" s="171" t="s">
        <v>810</v>
      </c>
      <c r="F142" s="171" t="s">
        <v>157</v>
      </c>
      <c r="G142" s="170" t="s">
        <v>505</v>
      </c>
      <c r="H142" s="172">
        <v>0</v>
      </c>
      <c r="I142" s="172">
        <v>0</v>
      </c>
      <c r="J142" s="173"/>
      <c r="K142" s="172">
        <v>0</v>
      </c>
      <c r="L142" s="172">
        <v>0</v>
      </c>
      <c r="M142" s="172">
        <v>0</v>
      </c>
      <c r="N142" s="173"/>
      <c r="O142" s="172">
        <v>0</v>
      </c>
      <c r="P142" s="172">
        <v>0</v>
      </c>
      <c r="Q142" s="172">
        <v>0</v>
      </c>
      <c r="R142" s="173"/>
      <c r="S142" s="172">
        <v>0</v>
      </c>
      <c r="T142" s="172">
        <v>0</v>
      </c>
      <c r="U142" s="172">
        <v>0</v>
      </c>
      <c r="V142" s="162"/>
    </row>
    <row r="143" spans="1:22" x14ac:dyDescent="0.25">
      <c r="A143" s="169">
        <v>2024</v>
      </c>
      <c r="B143" s="169" t="s">
        <v>811</v>
      </c>
      <c r="C143" s="170" t="s">
        <v>158</v>
      </c>
      <c r="D143" s="171" t="s">
        <v>810</v>
      </c>
      <c r="E143" s="171" t="s">
        <v>810</v>
      </c>
      <c r="F143" s="171" t="s">
        <v>158</v>
      </c>
      <c r="G143" s="170" t="s">
        <v>506</v>
      </c>
      <c r="H143" s="172">
        <v>0</v>
      </c>
      <c r="I143" s="172">
        <v>2</v>
      </c>
      <c r="J143" s="173"/>
      <c r="K143" s="172">
        <v>87517.5</v>
      </c>
      <c r="L143" s="172">
        <v>0</v>
      </c>
      <c r="M143" s="172">
        <v>87517.5</v>
      </c>
      <c r="N143" s="173"/>
      <c r="O143" s="172">
        <v>30787.72</v>
      </c>
      <c r="P143" s="172">
        <v>0</v>
      </c>
      <c r="Q143" s="172">
        <v>30787.72</v>
      </c>
      <c r="R143" s="173"/>
      <c r="S143" s="172">
        <v>118305.22</v>
      </c>
      <c r="T143" s="172">
        <v>0</v>
      </c>
      <c r="U143" s="172">
        <v>118305.22</v>
      </c>
      <c r="V143" s="162"/>
    </row>
    <row r="144" spans="1:22" x14ac:dyDescent="0.25">
      <c r="A144" s="169">
        <v>2024</v>
      </c>
      <c r="B144" s="169" t="s">
        <v>814</v>
      </c>
      <c r="C144" s="170" t="s">
        <v>159</v>
      </c>
      <c r="D144" s="171" t="s">
        <v>810</v>
      </c>
      <c r="E144" s="171" t="s">
        <v>810</v>
      </c>
      <c r="F144" s="171" t="s">
        <v>159</v>
      </c>
      <c r="G144" s="170" t="s">
        <v>507</v>
      </c>
      <c r="H144" s="172">
        <v>0</v>
      </c>
      <c r="I144" s="172">
        <v>2</v>
      </c>
      <c r="J144" s="173"/>
      <c r="K144" s="172">
        <v>239702.25</v>
      </c>
      <c r="L144" s="172">
        <v>0</v>
      </c>
      <c r="M144" s="172">
        <v>239702.25</v>
      </c>
      <c r="N144" s="173"/>
      <c r="O144" s="172">
        <v>82629.77</v>
      </c>
      <c r="P144" s="172">
        <v>0</v>
      </c>
      <c r="Q144" s="172">
        <v>82629.77</v>
      </c>
      <c r="R144" s="173"/>
      <c r="S144" s="172">
        <v>322332.02</v>
      </c>
      <c r="T144" s="172">
        <v>0</v>
      </c>
      <c r="U144" s="172">
        <v>322332.02</v>
      </c>
      <c r="V144" s="162"/>
    </row>
    <row r="145" spans="1:22" x14ac:dyDescent="0.25">
      <c r="A145" s="169">
        <v>2024</v>
      </c>
      <c r="B145" s="169" t="s">
        <v>812</v>
      </c>
      <c r="C145" s="170" t="s">
        <v>166</v>
      </c>
      <c r="D145" s="171" t="s">
        <v>810</v>
      </c>
      <c r="E145" s="171" t="s">
        <v>810</v>
      </c>
      <c r="F145" s="171" t="s">
        <v>166</v>
      </c>
      <c r="G145" s="170" t="s">
        <v>514</v>
      </c>
      <c r="H145" s="172">
        <v>1</v>
      </c>
      <c r="I145" s="172">
        <v>5</v>
      </c>
      <c r="J145" s="173"/>
      <c r="K145" s="172">
        <v>234260.25</v>
      </c>
      <c r="L145" s="172">
        <v>39043.379999999997</v>
      </c>
      <c r="M145" s="172">
        <v>195216.87</v>
      </c>
      <c r="N145" s="173"/>
      <c r="O145" s="172">
        <v>79621.55</v>
      </c>
      <c r="P145" s="172">
        <v>13270.26</v>
      </c>
      <c r="Q145" s="172">
        <v>66351.290000000008</v>
      </c>
      <c r="R145" s="173"/>
      <c r="S145" s="172">
        <v>313881.8</v>
      </c>
      <c r="T145" s="172">
        <v>52313.64</v>
      </c>
      <c r="U145" s="172">
        <v>261568.16</v>
      </c>
      <c r="V145" s="162"/>
    </row>
    <row r="146" spans="1:22" x14ac:dyDescent="0.25">
      <c r="A146" s="169">
        <v>2024</v>
      </c>
      <c r="B146" s="169" t="s">
        <v>811</v>
      </c>
      <c r="C146" s="170" t="s">
        <v>160</v>
      </c>
      <c r="D146" s="171" t="s">
        <v>810</v>
      </c>
      <c r="E146" s="171" t="s">
        <v>810</v>
      </c>
      <c r="F146" s="171" t="s">
        <v>160</v>
      </c>
      <c r="G146" s="170" t="s">
        <v>508</v>
      </c>
      <c r="H146" s="172">
        <v>0</v>
      </c>
      <c r="I146" s="172">
        <v>6</v>
      </c>
      <c r="J146" s="173"/>
      <c r="K146" s="172">
        <v>586629</v>
      </c>
      <c r="L146" s="172">
        <v>0</v>
      </c>
      <c r="M146" s="172">
        <v>586629</v>
      </c>
      <c r="N146" s="173"/>
      <c r="O146" s="172">
        <v>211845.86</v>
      </c>
      <c r="P146" s="172">
        <v>0</v>
      </c>
      <c r="Q146" s="172">
        <v>211845.86</v>
      </c>
      <c r="R146" s="173"/>
      <c r="S146" s="172">
        <v>798474.86</v>
      </c>
      <c r="T146" s="172">
        <v>0</v>
      </c>
      <c r="U146" s="172">
        <v>798474.86</v>
      </c>
      <c r="V146" s="162"/>
    </row>
    <row r="147" spans="1:22" x14ac:dyDescent="0.25">
      <c r="A147" s="169">
        <v>2024</v>
      </c>
      <c r="B147" s="169" t="s">
        <v>809</v>
      </c>
      <c r="C147" s="170" t="s">
        <v>161</v>
      </c>
      <c r="D147" s="171" t="s">
        <v>810</v>
      </c>
      <c r="E147" s="171" t="s">
        <v>810</v>
      </c>
      <c r="F147" s="171" t="s">
        <v>161</v>
      </c>
      <c r="G147" s="170" t="s">
        <v>509</v>
      </c>
      <c r="H147" s="172">
        <v>0</v>
      </c>
      <c r="I147" s="172">
        <v>5</v>
      </c>
      <c r="J147" s="173"/>
      <c r="K147" s="172">
        <v>1185387.75</v>
      </c>
      <c r="L147" s="172">
        <v>0</v>
      </c>
      <c r="M147" s="172">
        <v>1185387.75</v>
      </c>
      <c r="N147" s="173"/>
      <c r="O147" s="172">
        <v>411857.58</v>
      </c>
      <c r="P147" s="172">
        <v>0</v>
      </c>
      <c r="Q147" s="172">
        <v>411857.58</v>
      </c>
      <c r="R147" s="173"/>
      <c r="S147" s="172">
        <v>1597245.33</v>
      </c>
      <c r="T147" s="172">
        <v>0</v>
      </c>
      <c r="U147" s="172">
        <v>1597245.33</v>
      </c>
      <c r="V147" s="162"/>
    </row>
    <row r="148" spans="1:22" x14ac:dyDescent="0.25">
      <c r="A148" s="169">
        <v>2024</v>
      </c>
      <c r="B148" s="169" t="s">
        <v>809</v>
      </c>
      <c r="C148" s="170" t="s">
        <v>162</v>
      </c>
      <c r="D148" s="171" t="s">
        <v>810</v>
      </c>
      <c r="E148" s="171" t="s">
        <v>810</v>
      </c>
      <c r="F148" s="171" t="s">
        <v>162</v>
      </c>
      <c r="G148" s="170" t="s">
        <v>510</v>
      </c>
      <c r="H148" s="172">
        <v>0</v>
      </c>
      <c r="I148" s="172">
        <v>0</v>
      </c>
      <c r="J148" s="173"/>
      <c r="K148" s="172">
        <v>0</v>
      </c>
      <c r="L148" s="172">
        <v>0</v>
      </c>
      <c r="M148" s="172">
        <v>0</v>
      </c>
      <c r="N148" s="173"/>
      <c r="O148" s="172">
        <v>0</v>
      </c>
      <c r="P148" s="172">
        <v>0</v>
      </c>
      <c r="Q148" s="172">
        <v>0</v>
      </c>
      <c r="R148" s="173"/>
      <c r="S148" s="172">
        <v>0</v>
      </c>
      <c r="T148" s="172">
        <v>0</v>
      </c>
      <c r="U148" s="172">
        <v>0</v>
      </c>
      <c r="V148" s="162"/>
    </row>
    <row r="149" spans="1:22" x14ac:dyDescent="0.25">
      <c r="A149" s="169">
        <v>2024</v>
      </c>
      <c r="B149" s="169" t="s">
        <v>816</v>
      </c>
      <c r="C149" s="170" t="s">
        <v>163</v>
      </c>
      <c r="D149" s="171" t="s">
        <v>810</v>
      </c>
      <c r="E149" s="171" t="s">
        <v>810</v>
      </c>
      <c r="F149" s="171" t="s">
        <v>163</v>
      </c>
      <c r="G149" s="170" t="s">
        <v>511</v>
      </c>
      <c r="H149" s="172">
        <v>0</v>
      </c>
      <c r="I149" s="172">
        <v>5</v>
      </c>
      <c r="J149" s="173"/>
      <c r="K149" s="172">
        <v>7161239.25</v>
      </c>
      <c r="L149" s="172">
        <v>0</v>
      </c>
      <c r="M149" s="172">
        <v>7161239.25</v>
      </c>
      <c r="N149" s="173"/>
      <c r="O149" s="172">
        <v>2577110.7599999998</v>
      </c>
      <c r="P149" s="172">
        <v>0</v>
      </c>
      <c r="Q149" s="172">
        <v>2577110.7599999998</v>
      </c>
      <c r="R149" s="173"/>
      <c r="S149" s="172">
        <v>9738350.0099999998</v>
      </c>
      <c r="T149" s="172">
        <v>0</v>
      </c>
      <c r="U149" s="172">
        <v>9738350.0099999998</v>
      </c>
      <c r="V149" s="162"/>
    </row>
    <row r="150" spans="1:22" x14ac:dyDescent="0.25">
      <c r="A150" s="169">
        <v>2024</v>
      </c>
      <c r="B150" s="169" t="s">
        <v>811</v>
      </c>
      <c r="C150" s="170" t="s">
        <v>164</v>
      </c>
      <c r="D150" s="171" t="s">
        <v>810</v>
      </c>
      <c r="E150" s="171" t="s">
        <v>810</v>
      </c>
      <c r="F150" s="171" t="s">
        <v>164</v>
      </c>
      <c r="G150" s="170" t="s">
        <v>512</v>
      </c>
      <c r="H150" s="172">
        <v>0</v>
      </c>
      <c r="I150" s="172">
        <v>2</v>
      </c>
      <c r="J150" s="173"/>
      <c r="K150" s="172">
        <v>176794.5</v>
      </c>
      <c r="L150" s="172">
        <v>0</v>
      </c>
      <c r="M150" s="172">
        <v>176794.5</v>
      </c>
      <c r="N150" s="173"/>
      <c r="O150" s="172">
        <v>60882.94</v>
      </c>
      <c r="P150" s="172">
        <v>0</v>
      </c>
      <c r="Q150" s="172">
        <v>60882.94</v>
      </c>
      <c r="R150" s="173"/>
      <c r="S150" s="172">
        <v>237677.44</v>
      </c>
      <c r="T150" s="172">
        <v>0</v>
      </c>
      <c r="U150" s="172">
        <v>237677.44</v>
      </c>
      <c r="V150" s="162"/>
    </row>
    <row r="151" spans="1:22" x14ac:dyDescent="0.25">
      <c r="A151" s="169">
        <v>2024</v>
      </c>
      <c r="B151" s="169" t="s">
        <v>816</v>
      </c>
      <c r="C151" s="170" t="s">
        <v>165</v>
      </c>
      <c r="D151" s="171" t="s">
        <v>810</v>
      </c>
      <c r="E151" s="171" t="s">
        <v>810</v>
      </c>
      <c r="F151" s="171" t="s">
        <v>165</v>
      </c>
      <c r="G151" s="170" t="s">
        <v>513</v>
      </c>
      <c r="H151" s="172">
        <v>4</v>
      </c>
      <c r="I151" s="172">
        <v>4</v>
      </c>
      <c r="J151" s="173"/>
      <c r="K151" s="172">
        <v>284112.75</v>
      </c>
      <c r="L151" s="172">
        <v>142056.38</v>
      </c>
      <c r="M151" s="172">
        <v>142056.37</v>
      </c>
      <c r="N151" s="173"/>
      <c r="O151" s="172">
        <v>98699.17</v>
      </c>
      <c r="P151" s="172">
        <v>49349.59</v>
      </c>
      <c r="Q151" s="172">
        <v>49349.58</v>
      </c>
      <c r="R151" s="173"/>
      <c r="S151" s="172">
        <v>382811.92</v>
      </c>
      <c r="T151" s="172">
        <v>191405.97</v>
      </c>
      <c r="U151" s="172">
        <v>191405.95</v>
      </c>
      <c r="V151" s="162"/>
    </row>
    <row r="152" spans="1:22" x14ac:dyDescent="0.25">
      <c r="A152" s="169">
        <v>2024</v>
      </c>
      <c r="B152" s="169" t="s">
        <v>811</v>
      </c>
      <c r="C152" s="170" t="s">
        <v>167</v>
      </c>
      <c r="D152" s="171" t="s">
        <v>810</v>
      </c>
      <c r="E152" s="171" t="s">
        <v>810</v>
      </c>
      <c r="F152" s="171" t="s">
        <v>167</v>
      </c>
      <c r="G152" s="170" t="s">
        <v>515</v>
      </c>
      <c r="H152" s="172">
        <v>0</v>
      </c>
      <c r="I152" s="172">
        <v>7</v>
      </c>
      <c r="J152" s="173"/>
      <c r="K152" s="172">
        <v>212004</v>
      </c>
      <c r="L152" s="172">
        <v>0</v>
      </c>
      <c r="M152" s="172">
        <v>212004</v>
      </c>
      <c r="N152" s="173"/>
      <c r="O152" s="172">
        <v>78551.820000000007</v>
      </c>
      <c r="P152" s="172">
        <v>0</v>
      </c>
      <c r="Q152" s="172">
        <v>78551.820000000007</v>
      </c>
      <c r="R152" s="173"/>
      <c r="S152" s="172">
        <v>290555.82</v>
      </c>
      <c r="T152" s="172">
        <v>0</v>
      </c>
      <c r="U152" s="172">
        <v>290555.82</v>
      </c>
      <c r="V152" s="162"/>
    </row>
    <row r="153" spans="1:22" x14ac:dyDescent="0.25">
      <c r="A153" s="169">
        <v>2024</v>
      </c>
      <c r="B153" s="169" t="s">
        <v>811</v>
      </c>
      <c r="C153" s="170" t="s">
        <v>169</v>
      </c>
      <c r="D153" s="171" t="s">
        <v>810</v>
      </c>
      <c r="E153" s="171" t="s">
        <v>810</v>
      </c>
      <c r="F153" s="171" t="s">
        <v>169</v>
      </c>
      <c r="G153" s="170" t="s">
        <v>517</v>
      </c>
      <c r="H153" s="172">
        <v>0</v>
      </c>
      <c r="I153" s="172">
        <v>0</v>
      </c>
      <c r="J153" s="173"/>
      <c r="K153" s="172">
        <v>0</v>
      </c>
      <c r="L153" s="172">
        <v>0</v>
      </c>
      <c r="M153" s="172">
        <v>0</v>
      </c>
      <c r="N153" s="173"/>
      <c r="O153" s="172">
        <v>0</v>
      </c>
      <c r="P153" s="172">
        <v>0</v>
      </c>
      <c r="Q153" s="172">
        <v>0</v>
      </c>
      <c r="R153" s="173"/>
      <c r="S153" s="172">
        <v>0</v>
      </c>
      <c r="T153" s="172">
        <v>0</v>
      </c>
      <c r="U153" s="172">
        <v>0</v>
      </c>
      <c r="V153" s="162"/>
    </row>
    <row r="154" spans="1:22" x14ac:dyDescent="0.25">
      <c r="A154" s="169">
        <v>2024</v>
      </c>
      <c r="B154" s="169" t="s">
        <v>809</v>
      </c>
      <c r="C154" s="170" t="s">
        <v>170</v>
      </c>
      <c r="D154" s="171" t="s">
        <v>810</v>
      </c>
      <c r="E154" s="171" t="s">
        <v>810</v>
      </c>
      <c r="F154" s="171" t="s">
        <v>170</v>
      </c>
      <c r="G154" s="170" t="s">
        <v>518</v>
      </c>
      <c r="H154" s="172">
        <v>0</v>
      </c>
      <c r="I154" s="172">
        <v>0</v>
      </c>
      <c r="J154" s="173"/>
      <c r="K154" s="172">
        <v>0</v>
      </c>
      <c r="L154" s="172">
        <v>0</v>
      </c>
      <c r="M154" s="172">
        <v>0</v>
      </c>
      <c r="N154" s="173"/>
      <c r="O154" s="172">
        <v>0</v>
      </c>
      <c r="P154" s="172">
        <v>0</v>
      </c>
      <c r="Q154" s="172">
        <v>0</v>
      </c>
      <c r="R154" s="173"/>
      <c r="S154" s="172">
        <v>0</v>
      </c>
      <c r="T154" s="172">
        <v>0</v>
      </c>
      <c r="U154" s="172">
        <v>0</v>
      </c>
      <c r="V154" s="162"/>
    </row>
    <row r="155" spans="1:22" x14ac:dyDescent="0.25">
      <c r="A155" s="169">
        <v>2024</v>
      </c>
      <c r="B155" s="169" t="s">
        <v>815</v>
      </c>
      <c r="C155" s="170" t="s">
        <v>171</v>
      </c>
      <c r="D155" s="171" t="s">
        <v>810</v>
      </c>
      <c r="E155" s="171" t="s">
        <v>810</v>
      </c>
      <c r="F155" s="171" t="s">
        <v>171</v>
      </c>
      <c r="G155" s="170" t="s">
        <v>519</v>
      </c>
      <c r="H155" s="172">
        <v>0</v>
      </c>
      <c r="I155" s="172">
        <v>0</v>
      </c>
      <c r="J155" s="173"/>
      <c r="K155" s="172">
        <v>0</v>
      </c>
      <c r="L155" s="172">
        <v>0</v>
      </c>
      <c r="M155" s="172">
        <v>0</v>
      </c>
      <c r="N155" s="173"/>
      <c r="O155" s="172">
        <v>0</v>
      </c>
      <c r="P155" s="172">
        <v>0</v>
      </c>
      <c r="Q155" s="172">
        <v>0</v>
      </c>
      <c r="R155" s="173"/>
      <c r="S155" s="172">
        <v>0</v>
      </c>
      <c r="T155" s="172">
        <v>0</v>
      </c>
      <c r="U155" s="172">
        <v>0</v>
      </c>
      <c r="V155" s="162"/>
    </row>
    <row r="156" spans="1:22" x14ac:dyDescent="0.25">
      <c r="A156" s="169">
        <v>2024</v>
      </c>
      <c r="B156" s="169" t="s">
        <v>815</v>
      </c>
      <c r="C156" s="170" t="s">
        <v>172</v>
      </c>
      <c r="D156" s="171" t="s">
        <v>810</v>
      </c>
      <c r="E156" s="171" t="s">
        <v>810</v>
      </c>
      <c r="F156" s="171" t="s">
        <v>172</v>
      </c>
      <c r="G156" s="170" t="s">
        <v>520</v>
      </c>
      <c r="H156" s="172">
        <v>0</v>
      </c>
      <c r="I156" s="172">
        <v>9</v>
      </c>
      <c r="J156" s="173"/>
      <c r="K156" s="172">
        <v>179934</v>
      </c>
      <c r="L156" s="172">
        <v>0</v>
      </c>
      <c r="M156" s="172">
        <v>179934</v>
      </c>
      <c r="N156" s="173"/>
      <c r="O156" s="172">
        <v>63990.12</v>
      </c>
      <c r="P156" s="172">
        <v>0</v>
      </c>
      <c r="Q156" s="172">
        <v>63990.12</v>
      </c>
      <c r="R156" s="173"/>
      <c r="S156" s="172">
        <v>243924.12</v>
      </c>
      <c r="T156" s="172">
        <v>0</v>
      </c>
      <c r="U156" s="172">
        <v>243924.12</v>
      </c>
      <c r="V156" s="162"/>
    </row>
    <row r="157" spans="1:22" x14ac:dyDescent="0.25">
      <c r="A157" s="169">
        <v>2024</v>
      </c>
      <c r="B157" s="169" t="s">
        <v>813</v>
      </c>
      <c r="C157" s="170" t="s">
        <v>173</v>
      </c>
      <c r="D157" s="171" t="s">
        <v>810</v>
      </c>
      <c r="E157" s="171" t="s">
        <v>810</v>
      </c>
      <c r="F157" s="171" t="s">
        <v>173</v>
      </c>
      <c r="G157" s="170" t="s">
        <v>521</v>
      </c>
      <c r="H157" s="172">
        <v>3</v>
      </c>
      <c r="I157" s="172">
        <v>1</v>
      </c>
      <c r="J157" s="173"/>
      <c r="K157" s="172">
        <v>108321.75</v>
      </c>
      <c r="L157" s="172">
        <v>81241.31</v>
      </c>
      <c r="M157" s="172">
        <v>27080.440000000002</v>
      </c>
      <c r="N157" s="173"/>
      <c r="O157" s="172">
        <v>37862.629999999997</v>
      </c>
      <c r="P157" s="172">
        <v>28396.97</v>
      </c>
      <c r="Q157" s="172">
        <v>9465.6599999999962</v>
      </c>
      <c r="R157" s="173"/>
      <c r="S157" s="172">
        <v>146184.38</v>
      </c>
      <c r="T157" s="172">
        <v>109638.28</v>
      </c>
      <c r="U157" s="172">
        <v>36546.1</v>
      </c>
      <c r="V157" s="162"/>
    </row>
    <row r="158" spans="1:22" x14ac:dyDescent="0.25">
      <c r="A158" s="169">
        <v>2024</v>
      </c>
      <c r="B158" s="169" t="s">
        <v>809</v>
      </c>
      <c r="C158" s="170" t="s">
        <v>174</v>
      </c>
      <c r="D158" s="171" t="s">
        <v>810</v>
      </c>
      <c r="E158" s="171" t="s">
        <v>810</v>
      </c>
      <c r="F158" s="171" t="s">
        <v>174</v>
      </c>
      <c r="G158" s="170" t="s">
        <v>522</v>
      </c>
      <c r="H158" s="172">
        <v>0</v>
      </c>
      <c r="I158" s="172">
        <v>7</v>
      </c>
      <c r="J158" s="173"/>
      <c r="K158" s="172">
        <v>660003.75</v>
      </c>
      <c r="L158" s="172">
        <v>0</v>
      </c>
      <c r="M158" s="172">
        <v>660003.75</v>
      </c>
      <c r="N158" s="173"/>
      <c r="O158" s="172">
        <v>227205.96</v>
      </c>
      <c r="P158" s="172">
        <v>0</v>
      </c>
      <c r="Q158" s="172">
        <v>227205.96</v>
      </c>
      <c r="R158" s="173"/>
      <c r="S158" s="172">
        <v>887209.71</v>
      </c>
      <c r="T158" s="172">
        <v>0</v>
      </c>
      <c r="U158" s="172">
        <v>887209.71</v>
      </c>
      <c r="V158" s="162"/>
    </row>
    <row r="159" spans="1:22" x14ac:dyDescent="0.25">
      <c r="A159" s="169">
        <v>2024</v>
      </c>
      <c r="B159" s="169" t="s">
        <v>811</v>
      </c>
      <c r="C159" s="170" t="s">
        <v>175</v>
      </c>
      <c r="D159" s="171" t="s">
        <v>810</v>
      </c>
      <c r="E159" s="171" t="s">
        <v>810</v>
      </c>
      <c r="F159" s="171" t="s">
        <v>175</v>
      </c>
      <c r="G159" s="170" t="s">
        <v>523</v>
      </c>
      <c r="H159" s="172">
        <v>0</v>
      </c>
      <c r="I159" s="172">
        <v>1</v>
      </c>
      <c r="J159" s="173"/>
      <c r="K159" s="172">
        <v>78636.75</v>
      </c>
      <c r="L159" s="172">
        <v>0</v>
      </c>
      <c r="M159" s="172">
        <v>78636.75</v>
      </c>
      <c r="N159" s="173"/>
      <c r="O159" s="172">
        <v>26654.11</v>
      </c>
      <c r="P159" s="172">
        <v>0</v>
      </c>
      <c r="Q159" s="172">
        <v>26654.11</v>
      </c>
      <c r="R159" s="173"/>
      <c r="S159" s="172">
        <v>105290.86</v>
      </c>
      <c r="T159" s="172">
        <v>0</v>
      </c>
      <c r="U159" s="172">
        <v>105290.86</v>
      </c>
      <c r="V159" s="162"/>
    </row>
    <row r="160" spans="1:22" x14ac:dyDescent="0.25">
      <c r="A160" s="169">
        <v>2024</v>
      </c>
      <c r="B160" s="169" t="s">
        <v>812</v>
      </c>
      <c r="C160" s="170" t="s">
        <v>176</v>
      </c>
      <c r="D160" s="171" t="s">
        <v>810</v>
      </c>
      <c r="E160" s="171" t="s">
        <v>810</v>
      </c>
      <c r="F160" s="171" t="s">
        <v>176</v>
      </c>
      <c r="G160" s="170" t="s">
        <v>524</v>
      </c>
      <c r="H160" s="172">
        <v>1</v>
      </c>
      <c r="I160" s="172">
        <v>4</v>
      </c>
      <c r="J160" s="173"/>
      <c r="K160" s="172">
        <v>58096.5</v>
      </c>
      <c r="L160" s="172">
        <v>11619.3</v>
      </c>
      <c r="M160" s="172">
        <v>46477.2</v>
      </c>
      <c r="N160" s="173"/>
      <c r="O160" s="172">
        <v>21018.6</v>
      </c>
      <c r="P160" s="172">
        <v>4203.72</v>
      </c>
      <c r="Q160" s="172">
        <v>16814.879999999997</v>
      </c>
      <c r="R160" s="173"/>
      <c r="S160" s="172">
        <v>79115.100000000006</v>
      </c>
      <c r="T160" s="172">
        <v>15823.02</v>
      </c>
      <c r="U160" s="172">
        <v>63292.079999999994</v>
      </c>
      <c r="V160" s="162"/>
    </row>
    <row r="161" spans="1:22" x14ac:dyDescent="0.25">
      <c r="A161" s="169">
        <v>2024</v>
      </c>
      <c r="B161" s="169" t="s">
        <v>814</v>
      </c>
      <c r="C161" s="170" t="s">
        <v>177</v>
      </c>
      <c r="D161" s="171" t="s">
        <v>810</v>
      </c>
      <c r="E161" s="171" t="s">
        <v>810</v>
      </c>
      <c r="F161" s="171" t="s">
        <v>177</v>
      </c>
      <c r="G161" s="170" t="s">
        <v>525</v>
      </c>
      <c r="H161" s="172">
        <v>5</v>
      </c>
      <c r="I161" s="172">
        <v>4</v>
      </c>
      <c r="J161" s="173"/>
      <c r="K161" s="172">
        <v>128130.75</v>
      </c>
      <c r="L161" s="172">
        <v>71183.75</v>
      </c>
      <c r="M161" s="172">
        <v>56947</v>
      </c>
      <c r="N161" s="173"/>
      <c r="O161" s="172">
        <v>48559.03</v>
      </c>
      <c r="P161" s="172">
        <v>26977.24</v>
      </c>
      <c r="Q161" s="172">
        <v>21581.789999999997</v>
      </c>
      <c r="R161" s="173"/>
      <c r="S161" s="172">
        <v>176689.78</v>
      </c>
      <c r="T161" s="172">
        <v>98160.99</v>
      </c>
      <c r="U161" s="172">
        <v>78528.789999999994</v>
      </c>
      <c r="V161" s="162"/>
    </row>
    <row r="162" spans="1:22" x14ac:dyDescent="0.25">
      <c r="A162" s="169">
        <v>2024</v>
      </c>
      <c r="B162" s="169" t="s">
        <v>813</v>
      </c>
      <c r="C162" s="170" t="s">
        <v>178</v>
      </c>
      <c r="D162" s="171" t="s">
        <v>810</v>
      </c>
      <c r="E162" s="171" t="s">
        <v>810</v>
      </c>
      <c r="F162" s="171" t="s">
        <v>178</v>
      </c>
      <c r="G162" s="170" t="s">
        <v>526</v>
      </c>
      <c r="H162" s="172">
        <v>0</v>
      </c>
      <c r="I162" s="172">
        <v>1</v>
      </c>
      <c r="J162" s="173"/>
      <c r="K162" s="172">
        <v>45518.25</v>
      </c>
      <c r="L162" s="172">
        <v>0</v>
      </c>
      <c r="M162" s="172">
        <v>45518.25</v>
      </c>
      <c r="N162" s="173"/>
      <c r="O162" s="172">
        <v>15742.08</v>
      </c>
      <c r="P162" s="172">
        <v>0</v>
      </c>
      <c r="Q162" s="172">
        <v>15742.08</v>
      </c>
      <c r="R162" s="173"/>
      <c r="S162" s="172">
        <v>61260.33</v>
      </c>
      <c r="T162" s="172">
        <v>0</v>
      </c>
      <c r="U162" s="172">
        <v>61260.33</v>
      </c>
      <c r="V162" s="162"/>
    </row>
    <row r="163" spans="1:22" x14ac:dyDescent="0.25">
      <c r="A163" s="169">
        <v>2024</v>
      </c>
      <c r="B163" s="169" t="s">
        <v>813</v>
      </c>
      <c r="C163" s="170" t="s">
        <v>180</v>
      </c>
      <c r="D163" s="171" t="s">
        <v>810</v>
      </c>
      <c r="E163" s="171" t="s">
        <v>810</v>
      </c>
      <c r="F163" s="171" t="s">
        <v>180</v>
      </c>
      <c r="G163" s="170" t="s">
        <v>528</v>
      </c>
      <c r="H163" s="172">
        <v>0</v>
      </c>
      <c r="I163" s="172">
        <v>0</v>
      </c>
      <c r="J163" s="173"/>
      <c r="K163" s="172">
        <v>0</v>
      </c>
      <c r="L163" s="172">
        <v>0</v>
      </c>
      <c r="M163" s="172">
        <v>0</v>
      </c>
      <c r="N163" s="173"/>
      <c r="O163" s="172">
        <v>0</v>
      </c>
      <c r="P163" s="172">
        <v>0</v>
      </c>
      <c r="Q163" s="172">
        <v>0</v>
      </c>
      <c r="R163" s="173"/>
      <c r="S163" s="172">
        <v>0</v>
      </c>
      <c r="T163" s="172">
        <v>0</v>
      </c>
      <c r="U163" s="172">
        <v>0</v>
      </c>
      <c r="V163" s="162"/>
    </row>
    <row r="164" spans="1:22" x14ac:dyDescent="0.25">
      <c r="A164" s="169">
        <v>2024</v>
      </c>
      <c r="B164" s="169" t="s">
        <v>812</v>
      </c>
      <c r="C164" s="170" t="s">
        <v>181</v>
      </c>
      <c r="D164" s="171" t="s">
        <v>810</v>
      </c>
      <c r="E164" s="171" t="s">
        <v>810</v>
      </c>
      <c r="F164" s="171" t="s">
        <v>181</v>
      </c>
      <c r="G164" s="170" t="s">
        <v>529</v>
      </c>
      <c r="H164" s="172">
        <v>1</v>
      </c>
      <c r="I164" s="172">
        <v>1</v>
      </c>
      <c r="J164" s="173"/>
      <c r="K164" s="172">
        <v>43018.5</v>
      </c>
      <c r="L164" s="172">
        <v>21509.25</v>
      </c>
      <c r="M164" s="172">
        <v>21509.25</v>
      </c>
      <c r="N164" s="173"/>
      <c r="O164" s="172">
        <v>14740.89</v>
      </c>
      <c r="P164" s="172">
        <v>7370.45</v>
      </c>
      <c r="Q164" s="172">
        <v>7370.44</v>
      </c>
      <c r="R164" s="173"/>
      <c r="S164" s="172">
        <v>57759.39</v>
      </c>
      <c r="T164" s="172">
        <v>28879.7</v>
      </c>
      <c r="U164" s="172">
        <v>28879.69</v>
      </c>
      <c r="V164" s="162"/>
    </row>
    <row r="165" spans="1:22" x14ac:dyDescent="0.25">
      <c r="A165" s="169">
        <v>2024</v>
      </c>
      <c r="B165" s="169" t="s">
        <v>812</v>
      </c>
      <c r="C165" s="170" t="s">
        <v>182</v>
      </c>
      <c r="D165" s="171" t="s">
        <v>810</v>
      </c>
      <c r="E165" s="171" t="s">
        <v>810</v>
      </c>
      <c r="F165" s="171" t="s">
        <v>182</v>
      </c>
      <c r="G165" s="170" t="s">
        <v>530</v>
      </c>
      <c r="H165" s="172">
        <v>0</v>
      </c>
      <c r="I165" s="172">
        <v>1</v>
      </c>
      <c r="J165" s="173"/>
      <c r="K165" s="172">
        <v>124355.25</v>
      </c>
      <c r="L165" s="172">
        <v>0</v>
      </c>
      <c r="M165" s="172">
        <v>124355.25</v>
      </c>
      <c r="N165" s="173"/>
      <c r="O165" s="172">
        <v>43205.81</v>
      </c>
      <c r="P165" s="172">
        <v>0</v>
      </c>
      <c r="Q165" s="172">
        <v>43205.81</v>
      </c>
      <c r="R165" s="173"/>
      <c r="S165" s="172">
        <v>167561.06</v>
      </c>
      <c r="T165" s="172">
        <v>0</v>
      </c>
      <c r="U165" s="172">
        <v>167561.06</v>
      </c>
      <c r="V165" s="162"/>
    </row>
    <row r="166" spans="1:22" x14ac:dyDescent="0.25">
      <c r="A166" s="169">
        <v>2024</v>
      </c>
      <c r="B166" s="169" t="s">
        <v>816</v>
      </c>
      <c r="C166" s="170" t="s">
        <v>184</v>
      </c>
      <c r="D166" s="171" t="s">
        <v>810</v>
      </c>
      <c r="E166" s="171" t="s">
        <v>810</v>
      </c>
      <c r="F166" s="171" t="s">
        <v>184</v>
      </c>
      <c r="G166" s="170" t="s">
        <v>532</v>
      </c>
      <c r="H166" s="172">
        <v>0</v>
      </c>
      <c r="I166" s="172">
        <v>0</v>
      </c>
      <c r="J166" s="173"/>
      <c r="K166" s="172">
        <v>0</v>
      </c>
      <c r="L166" s="172">
        <v>0</v>
      </c>
      <c r="M166" s="172">
        <v>0</v>
      </c>
      <c r="N166" s="173"/>
      <c r="O166" s="172">
        <v>0</v>
      </c>
      <c r="P166" s="172">
        <v>0</v>
      </c>
      <c r="Q166" s="172">
        <v>0</v>
      </c>
      <c r="R166" s="173"/>
      <c r="S166" s="172">
        <v>0</v>
      </c>
      <c r="T166" s="172">
        <v>0</v>
      </c>
      <c r="U166" s="172">
        <v>0</v>
      </c>
      <c r="V166" s="162"/>
    </row>
    <row r="167" spans="1:22" x14ac:dyDescent="0.25">
      <c r="A167" s="169">
        <v>2024</v>
      </c>
      <c r="B167" s="169" t="s">
        <v>816</v>
      </c>
      <c r="C167" s="170" t="s">
        <v>185</v>
      </c>
      <c r="D167" s="171" t="s">
        <v>810</v>
      </c>
      <c r="E167" s="171" t="s">
        <v>810</v>
      </c>
      <c r="F167" s="171" t="s">
        <v>185</v>
      </c>
      <c r="G167" s="170" t="s">
        <v>533</v>
      </c>
      <c r="H167" s="172">
        <v>0</v>
      </c>
      <c r="I167" s="172">
        <v>1</v>
      </c>
      <c r="J167" s="173"/>
      <c r="K167" s="172">
        <v>36223.5</v>
      </c>
      <c r="L167" s="172">
        <v>0</v>
      </c>
      <c r="M167" s="172">
        <v>36223.5</v>
      </c>
      <c r="N167" s="173"/>
      <c r="O167" s="172">
        <v>12702.06</v>
      </c>
      <c r="P167" s="172">
        <v>0</v>
      </c>
      <c r="Q167" s="172">
        <v>12702.06</v>
      </c>
      <c r="R167" s="173"/>
      <c r="S167" s="172">
        <v>48925.56</v>
      </c>
      <c r="T167" s="172">
        <v>0</v>
      </c>
      <c r="U167" s="172">
        <v>48925.56</v>
      </c>
      <c r="V167" s="162"/>
    </row>
    <row r="168" spans="1:22" x14ac:dyDescent="0.25">
      <c r="A168" s="169">
        <v>2024</v>
      </c>
      <c r="B168" s="169" t="s">
        <v>812</v>
      </c>
      <c r="C168" s="170" t="s">
        <v>186</v>
      </c>
      <c r="D168" s="171" t="s">
        <v>810</v>
      </c>
      <c r="E168" s="171" t="s">
        <v>810</v>
      </c>
      <c r="F168" s="171" t="s">
        <v>186</v>
      </c>
      <c r="G168" s="170" t="s">
        <v>534</v>
      </c>
      <c r="H168" s="172">
        <v>0</v>
      </c>
      <c r="I168" s="172">
        <v>7</v>
      </c>
      <c r="J168" s="173"/>
      <c r="K168" s="172">
        <v>183556.5</v>
      </c>
      <c r="L168" s="172">
        <v>0</v>
      </c>
      <c r="M168" s="172">
        <v>183556.5</v>
      </c>
      <c r="N168" s="173"/>
      <c r="O168" s="172">
        <v>63249.25</v>
      </c>
      <c r="P168" s="172">
        <v>0</v>
      </c>
      <c r="Q168" s="172">
        <v>63249.25</v>
      </c>
      <c r="R168" s="173"/>
      <c r="S168" s="172">
        <v>246805.75</v>
      </c>
      <c r="T168" s="172">
        <v>0</v>
      </c>
      <c r="U168" s="172">
        <v>246805.75</v>
      </c>
      <c r="V168" s="162"/>
    </row>
    <row r="169" spans="1:22" x14ac:dyDescent="0.25">
      <c r="A169" s="169">
        <v>2024</v>
      </c>
      <c r="B169" s="169" t="s">
        <v>816</v>
      </c>
      <c r="C169" s="170" t="s">
        <v>187</v>
      </c>
      <c r="D169" s="171" t="s">
        <v>810</v>
      </c>
      <c r="E169" s="171" t="s">
        <v>810</v>
      </c>
      <c r="F169" s="171" t="s">
        <v>187</v>
      </c>
      <c r="G169" s="170" t="s">
        <v>535</v>
      </c>
      <c r="H169" s="172">
        <v>1</v>
      </c>
      <c r="I169" s="172">
        <v>9</v>
      </c>
      <c r="J169" s="173"/>
      <c r="K169" s="172">
        <v>225577.5</v>
      </c>
      <c r="L169" s="172">
        <v>22557.75</v>
      </c>
      <c r="M169" s="172">
        <v>203019.75</v>
      </c>
      <c r="N169" s="173"/>
      <c r="O169" s="172">
        <v>81520.800000000003</v>
      </c>
      <c r="P169" s="172">
        <v>8152.08</v>
      </c>
      <c r="Q169" s="172">
        <v>73368.72</v>
      </c>
      <c r="R169" s="173"/>
      <c r="S169" s="172">
        <v>307098.3</v>
      </c>
      <c r="T169" s="172">
        <v>30709.83</v>
      </c>
      <c r="U169" s="172">
        <v>276388.46999999997</v>
      </c>
      <c r="V169" s="162"/>
    </row>
    <row r="170" spans="1:22" x14ac:dyDescent="0.25">
      <c r="A170" s="169">
        <v>2024</v>
      </c>
      <c r="B170" s="169" t="s">
        <v>819</v>
      </c>
      <c r="C170" s="170" t="s">
        <v>188</v>
      </c>
      <c r="D170" s="171" t="s">
        <v>810</v>
      </c>
      <c r="E170" s="171" t="s">
        <v>810</v>
      </c>
      <c r="F170" s="171" t="s">
        <v>188</v>
      </c>
      <c r="G170" s="170" t="s">
        <v>536</v>
      </c>
      <c r="H170" s="172">
        <v>0</v>
      </c>
      <c r="I170" s="172">
        <v>9</v>
      </c>
      <c r="J170" s="173"/>
      <c r="K170" s="172">
        <v>360691.5</v>
      </c>
      <c r="L170" s="172">
        <v>0</v>
      </c>
      <c r="M170" s="172">
        <v>360691.5</v>
      </c>
      <c r="N170" s="173"/>
      <c r="O170" s="172">
        <v>129507.88</v>
      </c>
      <c r="P170" s="172">
        <v>0</v>
      </c>
      <c r="Q170" s="172">
        <v>129507.88</v>
      </c>
      <c r="R170" s="173"/>
      <c r="S170" s="172">
        <v>490199.38</v>
      </c>
      <c r="T170" s="172">
        <v>0</v>
      </c>
      <c r="U170" s="172">
        <v>490199.38</v>
      </c>
      <c r="V170" s="162"/>
    </row>
    <row r="171" spans="1:22" x14ac:dyDescent="0.25">
      <c r="A171" s="169">
        <v>2024</v>
      </c>
      <c r="B171" s="169" t="s">
        <v>809</v>
      </c>
      <c r="C171" s="170" t="s">
        <v>190</v>
      </c>
      <c r="D171" s="171" t="s">
        <v>810</v>
      </c>
      <c r="E171" s="171" t="s">
        <v>810</v>
      </c>
      <c r="F171" s="171" t="s">
        <v>190</v>
      </c>
      <c r="G171" s="170" t="s">
        <v>537</v>
      </c>
      <c r="H171" s="172">
        <v>1</v>
      </c>
      <c r="I171" s="172">
        <v>5</v>
      </c>
      <c r="J171" s="173"/>
      <c r="K171" s="172">
        <v>236943.75</v>
      </c>
      <c r="L171" s="172">
        <v>39490.629999999997</v>
      </c>
      <c r="M171" s="172">
        <v>197453.12</v>
      </c>
      <c r="N171" s="173"/>
      <c r="O171" s="172">
        <v>80691.69</v>
      </c>
      <c r="P171" s="172">
        <v>13448.62</v>
      </c>
      <c r="Q171" s="172">
        <v>67243.070000000007</v>
      </c>
      <c r="R171" s="173"/>
      <c r="S171" s="172">
        <v>317635.44</v>
      </c>
      <c r="T171" s="172">
        <v>52939.25</v>
      </c>
      <c r="U171" s="172">
        <v>264696.19</v>
      </c>
      <c r="V171" s="162"/>
    </row>
    <row r="172" spans="1:22" x14ac:dyDescent="0.25">
      <c r="A172" s="169">
        <v>2024</v>
      </c>
      <c r="B172" s="169" t="s">
        <v>809</v>
      </c>
      <c r="C172" s="170" t="s">
        <v>191</v>
      </c>
      <c r="D172" s="171" t="s">
        <v>810</v>
      </c>
      <c r="E172" s="171" t="s">
        <v>810</v>
      </c>
      <c r="F172" s="171" t="s">
        <v>191</v>
      </c>
      <c r="G172" s="170" t="s">
        <v>538</v>
      </c>
      <c r="H172" s="172">
        <v>0</v>
      </c>
      <c r="I172" s="172">
        <v>3</v>
      </c>
      <c r="J172" s="173"/>
      <c r="K172" s="172">
        <v>117707.25</v>
      </c>
      <c r="L172" s="172">
        <v>0</v>
      </c>
      <c r="M172" s="172">
        <v>117707.25</v>
      </c>
      <c r="N172" s="173"/>
      <c r="O172" s="172">
        <v>41390.410000000003</v>
      </c>
      <c r="P172" s="172">
        <v>0</v>
      </c>
      <c r="Q172" s="172">
        <v>41390.410000000003</v>
      </c>
      <c r="R172" s="173"/>
      <c r="S172" s="172">
        <v>159097.66</v>
      </c>
      <c r="T172" s="172">
        <v>0</v>
      </c>
      <c r="U172" s="172">
        <v>159097.66</v>
      </c>
      <c r="V172" s="162"/>
    </row>
    <row r="173" spans="1:22" x14ac:dyDescent="0.25">
      <c r="A173" s="169">
        <v>2024</v>
      </c>
      <c r="B173" s="169" t="s">
        <v>814</v>
      </c>
      <c r="C173" s="170" t="s">
        <v>193</v>
      </c>
      <c r="D173" s="171" t="s">
        <v>810</v>
      </c>
      <c r="E173" s="171" t="s">
        <v>810</v>
      </c>
      <c r="F173" s="171" t="s">
        <v>193</v>
      </c>
      <c r="G173" s="170" t="s">
        <v>540</v>
      </c>
      <c r="H173" s="172">
        <v>0</v>
      </c>
      <c r="I173" s="172">
        <v>4</v>
      </c>
      <c r="J173" s="173"/>
      <c r="K173" s="172">
        <v>218098.5</v>
      </c>
      <c r="L173" s="172">
        <v>0</v>
      </c>
      <c r="M173" s="172">
        <v>218098.5</v>
      </c>
      <c r="N173" s="173"/>
      <c r="O173" s="172">
        <v>74061.56</v>
      </c>
      <c r="P173" s="172">
        <v>0</v>
      </c>
      <c r="Q173" s="172">
        <v>74061.56</v>
      </c>
      <c r="R173" s="173"/>
      <c r="S173" s="172">
        <v>292160.06</v>
      </c>
      <c r="T173" s="172">
        <v>0</v>
      </c>
      <c r="U173" s="172">
        <v>292160.06</v>
      </c>
      <c r="V173" s="162"/>
    </row>
    <row r="174" spans="1:22" x14ac:dyDescent="0.25">
      <c r="A174" s="169">
        <v>2024</v>
      </c>
      <c r="B174" s="169" t="s">
        <v>813</v>
      </c>
      <c r="C174" s="170" t="s">
        <v>194</v>
      </c>
      <c r="D174" s="171" t="s">
        <v>810</v>
      </c>
      <c r="E174" s="171" t="s">
        <v>810</v>
      </c>
      <c r="F174" s="171" t="s">
        <v>194</v>
      </c>
      <c r="G174" s="170" t="s">
        <v>541</v>
      </c>
      <c r="H174" s="172">
        <v>0</v>
      </c>
      <c r="I174" s="172">
        <v>1</v>
      </c>
      <c r="J174" s="173"/>
      <c r="K174" s="172">
        <v>37736.25</v>
      </c>
      <c r="L174" s="172">
        <v>0</v>
      </c>
      <c r="M174" s="172">
        <v>37736.25</v>
      </c>
      <c r="N174" s="173"/>
      <c r="O174" s="172">
        <v>13833.04</v>
      </c>
      <c r="P174" s="172">
        <v>0</v>
      </c>
      <c r="Q174" s="172">
        <v>13833.04</v>
      </c>
      <c r="R174" s="173"/>
      <c r="S174" s="172">
        <v>51569.29</v>
      </c>
      <c r="T174" s="172">
        <v>0</v>
      </c>
      <c r="U174" s="172">
        <v>51569.29</v>
      </c>
      <c r="V174" s="162"/>
    </row>
    <row r="175" spans="1:22" x14ac:dyDescent="0.25">
      <c r="A175" s="169">
        <v>2024</v>
      </c>
      <c r="B175" s="169" t="s">
        <v>819</v>
      </c>
      <c r="C175" s="170" t="s">
        <v>195</v>
      </c>
      <c r="D175" s="171" t="s">
        <v>810</v>
      </c>
      <c r="E175" s="171" t="s">
        <v>810</v>
      </c>
      <c r="F175" s="171" t="s">
        <v>195</v>
      </c>
      <c r="G175" s="170" t="s">
        <v>542</v>
      </c>
      <c r="H175" s="172">
        <v>0</v>
      </c>
      <c r="I175" s="172">
        <v>8</v>
      </c>
      <c r="J175" s="173"/>
      <c r="K175" s="172">
        <v>539142.75</v>
      </c>
      <c r="L175" s="172">
        <v>0</v>
      </c>
      <c r="M175" s="172">
        <v>539142.75</v>
      </c>
      <c r="N175" s="173"/>
      <c r="O175" s="172">
        <v>187102.25</v>
      </c>
      <c r="P175" s="172">
        <v>0</v>
      </c>
      <c r="Q175" s="172">
        <v>187102.25</v>
      </c>
      <c r="R175" s="173"/>
      <c r="S175" s="172">
        <v>726245</v>
      </c>
      <c r="T175" s="172">
        <v>0</v>
      </c>
      <c r="U175" s="172">
        <v>726245</v>
      </c>
      <c r="V175" s="162"/>
    </row>
    <row r="176" spans="1:22" x14ac:dyDescent="0.25">
      <c r="A176" s="169">
        <v>2024</v>
      </c>
      <c r="B176" s="169" t="s">
        <v>818</v>
      </c>
      <c r="C176" s="170" t="s">
        <v>196</v>
      </c>
      <c r="D176" s="171" t="s">
        <v>810</v>
      </c>
      <c r="E176" s="171" t="s">
        <v>810</v>
      </c>
      <c r="F176" s="171" t="s">
        <v>196</v>
      </c>
      <c r="G176" s="170" t="s">
        <v>543</v>
      </c>
      <c r="H176" s="172">
        <v>0</v>
      </c>
      <c r="I176" s="172">
        <v>0</v>
      </c>
      <c r="J176" s="173"/>
      <c r="K176" s="172">
        <v>0</v>
      </c>
      <c r="L176" s="172">
        <v>0</v>
      </c>
      <c r="M176" s="172">
        <v>0</v>
      </c>
      <c r="N176" s="173"/>
      <c r="O176" s="172">
        <v>0</v>
      </c>
      <c r="P176" s="172">
        <v>0</v>
      </c>
      <c r="Q176" s="172">
        <v>0</v>
      </c>
      <c r="R176" s="173"/>
      <c r="S176" s="172">
        <v>0</v>
      </c>
      <c r="T176" s="172">
        <v>0</v>
      </c>
      <c r="U176" s="172">
        <v>0</v>
      </c>
      <c r="V176" s="162"/>
    </row>
    <row r="177" spans="1:22" x14ac:dyDescent="0.25">
      <c r="A177" s="169">
        <v>2024</v>
      </c>
      <c r="B177" s="169" t="s">
        <v>813</v>
      </c>
      <c r="C177" s="170" t="s">
        <v>197</v>
      </c>
      <c r="D177" s="171" t="s">
        <v>810</v>
      </c>
      <c r="E177" s="171" t="s">
        <v>810</v>
      </c>
      <c r="F177" s="171" t="s">
        <v>197</v>
      </c>
      <c r="G177" s="170" t="s">
        <v>544</v>
      </c>
      <c r="H177" s="172">
        <v>0</v>
      </c>
      <c r="I177" s="172">
        <v>8</v>
      </c>
      <c r="J177" s="173"/>
      <c r="K177" s="172">
        <v>277362</v>
      </c>
      <c r="L177" s="172">
        <v>0</v>
      </c>
      <c r="M177" s="172">
        <v>277362</v>
      </c>
      <c r="N177" s="173"/>
      <c r="O177" s="172">
        <v>94932.83</v>
      </c>
      <c r="P177" s="172">
        <v>0</v>
      </c>
      <c r="Q177" s="172">
        <v>94932.83</v>
      </c>
      <c r="R177" s="173"/>
      <c r="S177" s="172">
        <v>372294.83</v>
      </c>
      <c r="T177" s="172">
        <v>0</v>
      </c>
      <c r="U177" s="172">
        <v>372294.83</v>
      </c>
      <c r="V177" s="162"/>
    </row>
    <row r="178" spans="1:22" x14ac:dyDescent="0.25">
      <c r="A178" s="169">
        <v>2024</v>
      </c>
      <c r="B178" s="169" t="s">
        <v>816</v>
      </c>
      <c r="C178" s="170" t="s">
        <v>198</v>
      </c>
      <c r="D178" s="171" t="s">
        <v>810</v>
      </c>
      <c r="E178" s="171" t="s">
        <v>810</v>
      </c>
      <c r="F178" s="171" t="s">
        <v>198</v>
      </c>
      <c r="G178" s="170" t="s">
        <v>545</v>
      </c>
      <c r="H178" s="172">
        <v>1</v>
      </c>
      <c r="I178" s="172">
        <v>1</v>
      </c>
      <c r="J178" s="173"/>
      <c r="K178" s="172">
        <v>271266.75</v>
      </c>
      <c r="L178" s="172">
        <v>135633.38</v>
      </c>
      <c r="M178" s="172">
        <v>135633.37</v>
      </c>
      <c r="N178" s="173"/>
      <c r="O178" s="172">
        <v>97274.67</v>
      </c>
      <c r="P178" s="172">
        <v>48637.34</v>
      </c>
      <c r="Q178" s="172">
        <v>48637.33</v>
      </c>
      <c r="R178" s="173"/>
      <c r="S178" s="172">
        <v>368541.42</v>
      </c>
      <c r="T178" s="172">
        <v>184270.72</v>
      </c>
      <c r="U178" s="172">
        <v>184270.7</v>
      </c>
      <c r="V178" s="162"/>
    </row>
    <row r="179" spans="1:22" x14ac:dyDescent="0.25">
      <c r="A179" s="169">
        <v>2024</v>
      </c>
      <c r="B179" s="169" t="s">
        <v>811</v>
      </c>
      <c r="C179" s="170" t="s">
        <v>199</v>
      </c>
      <c r="D179" s="171" t="s">
        <v>810</v>
      </c>
      <c r="E179" s="171" t="s">
        <v>810</v>
      </c>
      <c r="F179" s="171" t="s">
        <v>199</v>
      </c>
      <c r="G179" s="170" t="s">
        <v>546</v>
      </c>
      <c r="H179" s="172">
        <v>0</v>
      </c>
      <c r="I179" s="172">
        <v>1</v>
      </c>
      <c r="J179" s="173"/>
      <c r="K179" s="172">
        <v>274749</v>
      </c>
      <c r="L179" s="172">
        <v>0</v>
      </c>
      <c r="M179" s="172">
        <v>274749</v>
      </c>
      <c r="N179" s="173"/>
      <c r="O179" s="172">
        <v>96321.7</v>
      </c>
      <c r="P179" s="172">
        <v>0</v>
      </c>
      <c r="Q179" s="172">
        <v>96321.7</v>
      </c>
      <c r="R179" s="173"/>
      <c r="S179" s="172">
        <v>371070.7</v>
      </c>
      <c r="T179" s="172">
        <v>0</v>
      </c>
      <c r="U179" s="172">
        <v>371070.7</v>
      </c>
      <c r="V179" s="162"/>
    </row>
    <row r="180" spans="1:22" x14ac:dyDescent="0.25">
      <c r="A180" s="169">
        <v>2024</v>
      </c>
      <c r="B180" s="169" t="s">
        <v>809</v>
      </c>
      <c r="C180" s="170" t="s">
        <v>200</v>
      </c>
      <c r="D180" s="171" t="s">
        <v>810</v>
      </c>
      <c r="E180" s="171" t="s">
        <v>810</v>
      </c>
      <c r="F180" s="171" t="s">
        <v>200</v>
      </c>
      <c r="G180" s="170" t="s">
        <v>547</v>
      </c>
      <c r="H180" s="172">
        <v>0</v>
      </c>
      <c r="I180" s="172">
        <v>1</v>
      </c>
      <c r="J180" s="173"/>
      <c r="K180" s="172">
        <v>41098.5</v>
      </c>
      <c r="L180" s="172">
        <v>0</v>
      </c>
      <c r="M180" s="172">
        <v>41098.5</v>
      </c>
      <c r="N180" s="173"/>
      <c r="O180" s="172">
        <v>14074.24</v>
      </c>
      <c r="P180" s="172">
        <v>0</v>
      </c>
      <c r="Q180" s="172">
        <v>14074.24</v>
      </c>
      <c r="R180" s="173"/>
      <c r="S180" s="172">
        <v>55172.74</v>
      </c>
      <c r="T180" s="172">
        <v>0</v>
      </c>
      <c r="U180" s="172">
        <v>55172.74</v>
      </c>
      <c r="V180" s="162"/>
    </row>
    <row r="181" spans="1:22" x14ac:dyDescent="0.25">
      <c r="A181" s="169">
        <v>2024</v>
      </c>
      <c r="B181" s="169" t="s">
        <v>811</v>
      </c>
      <c r="C181" s="170" t="s">
        <v>201</v>
      </c>
      <c r="D181" s="171" t="s">
        <v>810</v>
      </c>
      <c r="E181" s="171" t="s">
        <v>810</v>
      </c>
      <c r="F181" s="171" t="s">
        <v>201</v>
      </c>
      <c r="G181" s="170" t="s">
        <v>548</v>
      </c>
      <c r="H181" s="172">
        <v>0</v>
      </c>
      <c r="I181" s="172">
        <v>6</v>
      </c>
      <c r="J181" s="173"/>
      <c r="K181" s="172">
        <v>1514901</v>
      </c>
      <c r="L181" s="172">
        <v>0</v>
      </c>
      <c r="M181" s="172">
        <v>1514901</v>
      </c>
      <c r="N181" s="173"/>
      <c r="O181" s="172">
        <v>511807.44</v>
      </c>
      <c r="P181" s="172">
        <v>0</v>
      </c>
      <c r="Q181" s="172">
        <v>511807.44</v>
      </c>
      <c r="R181" s="173"/>
      <c r="S181" s="172">
        <v>2026708.44</v>
      </c>
      <c r="T181" s="172">
        <v>0</v>
      </c>
      <c r="U181" s="172">
        <v>2026708.44</v>
      </c>
      <c r="V181" s="162"/>
    </row>
    <row r="182" spans="1:22" x14ac:dyDescent="0.25">
      <c r="A182" s="169">
        <v>2024</v>
      </c>
      <c r="B182" s="169" t="s">
        <v>815</v>
      </c>
      <c r="C182" s="170" t="s">
        <v>203</v>
      </c>
      <c r="D182" s="171" t="s">
        <v>810</v>
      </c>
      <c r="E182" s="171" t="s">
        <v>810</v>
      </c>
      <c r="F182" s="171" t="s">
        <v>203</v>
      </c>
      <c r="G182" s="170" t="s">
        <v>550</v>
      </c>
      <c r="H182" s="172">
        <v>3</v>
      </c>
      <c r="I182" s="172">
        <v>4</v>
      </c>
      <c r="J182" s="173"/>
      <c r="K182" s="172">
        <v>453732</v>
      </c>
      <c r="L182" s="172">
        <v>194456.57</v>
      </c>
      <c r="M182" s="172">
        <v>259275.43</v>
      </c>
      <c r="N182" s="173"/>
      <c r="O182" s="172">
        <v>159801.82</v>
      </c>
      <c r="P182" s="172">
        <v>68486.490000000005</v>
      </c>
      <c r="Q182" s="172">
        <v>91315.33</v>
      </c>
      <c r="R182" s="173"/>
      <c r="S182" s="172">
        <v>613533.82000000007</v>
      </c>
      <c r="T182" s="172">
        <v>262943.06</v>
      </c>
      <c r="U182" s="172">
        <v>350590.76</v>
      </c>
      <c r="V182" s="162"/>
    </row>
    <row r="183" spans="1:22" x14ac:dyDescent="0.25">
      <c r="A183" s="169">
        <v>2024</v>
      </c>
      <c r="B183" s="169" t="s">
        <v>809</v>
      </c>
      <c r="C183" s="170" t="s">
        <v>204</v>
      </c>
      <c r="D183" s="171" t="s">
        <v>810</v>
      </c>
      <c r="E183" s="171" t="s">
        <v>810</v>
      </c>
      <c r="F183" s="171" t="s">
        <v>204</v>
      </c>
      <c r="G183" s="170" t="s">
        <v>551</v>
      </c>
      <c r="H183" s="172">
        <v>0</v>
      </c>
      <c r="I183" s="172">
        <v>1</v>
      </c>
      <c r="J183" s="173"/>
      <c r="K183" s="172">
        <v>12080.25</v>
      </c>
      <c r="L183" s="172">
        <v>0</v>
      </c>
      <c r="M183" s="172">
        <v>12080.25</v>
      </c>
      <c r="N183" s="173"/>
      <c r="O183" s="172">
        <v>4075.86</v>
      </c>
      <c r="P183" s="172">
        <v>0</v>
      </c>
      <c r="Q183" s="172">
        <v>4075.86</v>
      </c>
      <c r="R183" s="173"/>
      <c r="S183" s="172">
        <v>16156.11</v>
      </c>
      <c r="T183" s="172">
        <v>0</v>
      </c>
      <c r="U183" s="172">
        <v>16156.11</v>
      </c>
      <c r="V183" s="162"/>
    </row>
    <row r="184" spans="1:22" x14ac:dyDescent="0.25">
      <c r="A184" s="169">
        <v>2024</v>
      </c>
      <c r="B184" s="169" t="s">
        <v>818</v>
      </c>
      <c r="C184" s="170" t="s">
        <v>208</v>
      </c>
      <c r="D184" s="171" t="s">
        <v>810</v>
      </c>
      <c r="E184" s="171" t="s">
        <v>810</v>
      </c>
      <c r="F184" s="171" t="s">
        <v>208</v>
      </c>
      <c r="G184" s="170" t="s">
        <v>555</v>
      </c>
      <c r="H184" s="172">
        <v>4</v>
      </c>
      <c r="I184" s="172">
        <v>6</v>
      </c>
      <c r="J184" s="173"/>
      <c r="K184" s="172">
        <v>403921.5</v>
      </c>
      <c r="L184" s="172">
        <v>161568.6</v>
      </c>
      <c r="M184" s="172">
        <v>242352.9</v>
      </c>
      <c r="N184" s="173"/>
      <c r="O184" s="172">
        <v>140773.53</v>
      </c>
      <c r="P184" s="172">
        <v>56309.41</v>
      </c>
      <c r="Q184" s="172">
        <v>84464.12</v>
      </c>
      <c r="R184" s="173"/>
      <c r="S184" s="172">
        <v>544695.03</v>
      </c>
      <c r="T184" s="172">
        <v>217878.01</v>
      </c>
      <c r="U184" s="172">
        <v>326817.02</v>
      </c>
      <c r="V184" s="162"/>
    </row>
    <row r="185" spans="1:22" x14ac:dyDescent="0.25">
      <c r="A185" s="169">
        <v>2024</v>
      </c>
      <c r="B185" s="169" t="s">
        <v>816</v>
      </c>
      <c r="C185" s="170" t="s">
        <v>205</v>
      </c>
      <c r="D185" s="171" t="s">
        <v>810</v>
      </c>
      <c r="E185" s="171" t="s">
        <v>810</v>
      </c>
      <c r="F185" s="171" t="s">
        <v>205</v>
      </c>
      <c r="G185" s="170" t="s">
        <v>552</v>
      </c>
      <c r="H185" s="172">
        <v>1</v>
      </c>
      <c r="I185" s="172">
        <v>11</v>
      </c>
      <c r="J185" s="173"/>
      <c r="K185" s="172">
        <v>310602</v>
      </c>
      <c r="L185" s="172">
        <v>25883.5</v>
      </c>
      <c r="M185" s="172">
        <v>284718.5</v>
      </c>
      <c r="N185" s="173"/>
      <c r="O185" s="172">
        <v>110329.02</v>
      </c>
      <c r="P185" s="172">
        <v>9194.09</v>
      </c>
      <c r="Q185" s="172">
        <v>101134.93000000001</v>
      </c>
      <c r="R185" s="173"/>
      <c r="S185" s="172">
        <v>420931.02</v>
      </c>
      <c r="T185" s="172">
        <v>35077.589999999997</v>
      </c>
      <c r="U185" s="172">
        <v>385853.43</v>
      </c>
      <c r="V185" s="162"/>
    </row>
    <row r="186" spans="1:22" x14ac:dyDescent="0.25">
      <c r="A186" s="169">
        <v>2024</v>
      </c>
      <c r="B186" s="169" t="s">
        <v>816</v>
      </c>
      <c r="C186" s="170" t="s">
        <v>206</v>
      </c>
      <c r="D186" s="171" t="s">
        <v>810</v>
      </c>
      <c r="E186" s="171" t="s">
        <v>810</v>
      </c>
      <c r="F186" s="171" t="s">
        <v>206</v>
      </c>
      <c r="G186" s="170" t="s">
        <v>553</v>
      </c>
      <c r="H186" s="172">
        <v>5</v>
      </c>
      <c r="I186" s="172">
        <v>5</v>
      </c>
      <c r="J186" s="173"/>
      <c r="K186" s="172">
        <v>817217.25</v>
      </c>
      <c r="L186" s="172">
        <v>408608.63</v>
      </c>
      <c r="M186" s="172">
        <v>408608.62</v>
      </c>
      <c r="N186" s="173"/>
      <c r="O186" s="172">
        <v>276544.09999999998</v>
      </c>
      <c r="P186" s="172">
        <v>138272.04999999999</v>
      </c>
      <c r="Q186" s="172">
        <v>138272.04999999999</v>
      </c>
      <c r="R186" s="173"/>
      <c r="S186" s="172">
        <v>1093761.3500000001</v>
      </c>
      <c r="T186" s="172">
        <v>546880.67999999993</v>
      </c>
      <c r="U186" s="172">
        <v>546880.66999999993</v>
      </c>
      <c r="V186" s="162"/>
    </row>
    <row r="187" spans="1:22" x14ac:dyDescent="0.25">
      <c r="A187" s="169">
        <v>2024</v>
      </c>
      <c r="B187" s="169" t="s">
        <v>812</v>
      </c>
      <c r="C187" s="170" t="s">
        <v>207</v>
      </c>
      <c r="D187" s="171" t="s">
        <v>810</v>
      </c>
      <c r="E187" s="171" t="s">
        <v>810</v>
      </c>
      <c r="F187" s="171" t="s">
        <v>207</v>
      </c>
      <c r="G187" s="170" t="s">
        <v>554</v>
      </c>
      <c r="H187" s="172">
        <v>0</v>
      </c>
      <c r="I187" s="172">
        <v>1</v>
      </c>
      <c r="J187" s="173"/>
      <c r="K187" s="172">
        <v>54387.75</v>
      </c>
      <c r="L187" s="172">
        <v>0</v>
      </c>
      <c r="M187" s="172">
        <v>54387.75</v>
      </c>
      <c r="N187" s="173"/>
      <c r="O187" s="172">
        <v>20978.87</v>
      </c>
      <c r="P187" s="172">
        <v>0</v>
      </c>
      <c r="Q187" s="172">
        <v>20978.87</v>
      </c>
      <c r="R187" s="173"/>
      <c r="S187" s="172">
        <v>75366.62</v>
      </c>
      <c r="T187" s="172">
        <v>0</v>
      </c>
      <c r="U187" s="172">
        <v>75366.62</v>
      </c>
      <c r="V187" s="162"/>
    </row>
    <row r="188" spans="1:22" x14ac:dyDescent="0.25">
      <c r="A188" s="169">
        <v>2024</v>
      </c>
      <c r="B188" s="169" t="s">
        <v>813</v>
      </c>
      <c r="C188" s="170" t="s">
        <v>202</v>
      </c>
      <c r="D188" s="171" t="s">
        <v>810</v>
      </c>
      <c r="E188" s="171" t="s">
        <v>810</v>
      </c>
      <c r="F188" s="171" t="s">
        <v>202</v>
      </c>
      <c r="G188" s="170" t="s">
        <v>549</v>
      </c>
      <c r="H188" s="172">
        <v>0</v>
      </c>
      <c r="I188" s="172">
        <v>2</v>
      </c>
      <c r="J188" s="173"/>
      <c r="K188" s="172">
        <v>213321</v>
      </c>
      <c r="L188" s="172">
        <v>0</v>
      </c>
      <c r="M188" s="172">
        <v>213321</v>
      </c>
      <c r="N188" s="173"/>
      <c r="O188" s="172">
        <v>72171.789999999994</v>
      </c>
      <c r="P188" s="172">
        <v>0</v>
      </c>
      <c r="Q188" s="172">
        <v>72171.789999999994</v>
      </c>
      <c r="R188" s="173"/>
      <c r="S188" s="172">
        <v>285492.78999999998</v>
      </c>
      <c r="T188" s="172">
        <v>0</v>
      </c>
      <c r="U188" s="172">
        <v>285492.78999999998</v>
      </c>
      <c r="V188" s="162"/>
    </row>
    <row r="189" spans="1:22" x14ac:dyDescent="0.25">
      <c r="A189" s="169">
        <v>2024</v>
      </c>
      <c r="B189" s="169" t="s">
        <v>811</v>
      </c>
      <c r="C189" s="170" t="s">
        <v>209</v>
      </c>
      <c r="D189" s="171" t="s">
        <v>810</v>
      </c>
      <c r="E189" s="171" t="s">
        <v>810</v>
      </c>
      <c r="F189" s="171" t="s">
        <v>209</v>
      </c>
      <c r="G189" s="170" t="s">
        <v>556</v>
      </c>
      <c r="H189" s="172">
        <v>0</v>
      </c>
      <c r="I189" s="172">
        <v>3</v>
      </c>
      <c r="J189" s="173"/>
      <c r="K189" s="172">
        <v>124503</v>
      </c>
      <c r="L189" s="172">
        <v>0</v>
      </c>
      <c r="M189" s="172">
        <v>124503</v>
      </c>
      <c r="N189" s="173"/>
      <c r="O189" s="172">
        <v>42398.07</v>
      </c>
      <c r="P189" s="172">
        <v>0</v>
      </c>
      <c r="Q189" s="172">
        <v>42398.07</v>
      </c>
      <c r="R189" s="173"/>
      <c r="S189" s="172">
        <v>166901.07</v>
      </c>
      <c r="T189" s="172">
        <v>0</v>
      </c>
      <c r="U189" s="172">
        <v>166901.07</v>
      </c>
      <c r="V189" s="162"/>
    </row>
    <row r="190" spans="1:22" x14ac:dyDescent="0.25">
      <c r="A190" s="169">
        <v>2024</v>
      </c>
      <c r="B190" s="169" t="s">
        <v>816</v>
      </c>
      <c r="C190" s="170" t="s">
        <v>210</v>
      </c>
      <c r="D190" s="171" t="s">
        <v>810</v>
      </c>
      <c r="E190" s="171" t="s">
        <v>810</v>
      </c>
      <c r="F190" s="171" t="s">
        <v>210</v>
      </c>
      <c r="G190" s="170" t="s">
        <v>557</v>
      </c>
      <c r="H190" s="172">
        <v>2</v>
      </c>
      <c r="I190" s="172">
        <v>2</v>
      </c>
      <c r="J190" s="173"/>
      <c r="K190" s="172">
        <v>266147.25</v>
      </c>
      <c r="L190" s="172">
        <v>133073.63</v>
      </c>
      <c r="M190" s="172">
        <v>133073.62</v>
      </c>
      <c r="N190" s="173"/>
      <c r="O190" s="172">
        <v>93253.29</v>
      </c>
      <c r="P190" s="172">
        <v>46626.65</v>
      </c>
      <c r="Q190" s="172">
        <v>46626.639999999992</v>
      </c>
      <c r="R190" s="173"/>
      <c r="S190" s="172">
        <v>359400.54</v>
      </c>
      <c r="T190" s="172">
        <v>179700.28</v>
      </c>
      <c r="U190" s="172">
        <v>179700.25999999998</v>
      </c>
      <c r="V190" s="162"/>
    </row>
    <row r="191" spans="1:22" x14ac:dyDescent="0.25">
      <c r="A191" s="169">
        <v>2024</v>
      </c>
      <c r="B191" s="169" t="s">
        <v>815</v>
      </c>
      <c r="C191" s="170" t="s">
        <v>211</v>
      </c>
      <c r="D191" s="171" t="s">
        <v>810</v>
      </c>
      <c r="E191" s="171" t="s">
        <v>810</v>
      </c>
      <c r="F191" s="171" t="s">
        <v>211</v>
      </c>
      <c r="G191" s="170" t="s">
        <v>558</v>
      </c>
      <c r="H191" s="172">
        <v>0</v>
      </c>
      <c r="I191" s="172">
        <v>7</v>
      </c>
      <c r="J191" s="173"/>
      <c r="K191" s="172">
        <v>129597.75</v>
      </c>
      <c r="L191" s="172">
        <v>0</v>
      </c>
      <c r="M191" s="172">
        <v>129597.75</v>
      </c>
      <c r="N191" s="173"/>
      <c r="O191" s="172">
        <v>45256.34</v>
      </c>
      <c r="P191" s="172">
        <v>0</v>
      </c>
      <c r="Q191" s="172">
        <v>45256.34</v>
      </c>
      <c r="R191" s="173"/>
      <c r="S191" s="172">
        <v>174854.09</v>
      </c>
      <c r="T191" s="172">
        <v>0</v>
      </c>
      <c r="U191" s="172">
        <v>174854.09</v>
      </c>
      <c r="V191" s="162"/>
    </row>
    <row r="192" spans="1:22" x14ac:dyDescent="0.25">
      <c r="A192" s="169">
        <v>2024</v>
      </c>
      <c r="B192" s="169" t="s">
        <v>812</v>
      </c>
      <c r="C192" s="170" t="s">
        <v>212</v>
      </c>
      <c r="D192" s="171" t="s">
        <v>810</v>
      </c>
      <c r="E192" s="171" t="s">
        <v>810</v>
      </c>
      <c r="F192" s="171" t="s">
        <v>212</v>
      </c>
      <c r="G192" s="170" t="s">
        <v>559</v>
      </c>
      <c r="H192" s="172">
        <v>0</v>
      </c>
      <c r="I192" s="172">
        <v>10</v>
      </c>
      <c r="J192" s="173"/>
      <c r="K192" s="172">
        <v>107472.75</v>
      </c>
      <c r="L192" s="172">
        <v>0</v>
      </c>
      <c r="M192" s="172">
        <v>107472.75</v>
      </c>
      <c r="N192" s="173"/>
      <c r="O192" s="172">
        <v>36704.199999999997</v>
      </c>
      <c r="P192" s="172">
        <v>0</v>
      </c>
      <c r="Q192" s="172">
        <v>36704.199999999997</v>
      </c>
      <c r="R192" s="173"/>
      <c r="S192" s="172">
        <v>144176.95000000001</v>
      </c>
      <c r="T192" s="172">
        <v>0</v>
      </c>
      <c r="U192" s="172">
        <v>144176.95000000001</v>
      </c>
      <c r="V192" s="162"/>
    </row>
    <row r="193" spans="1:22" x14ac:dyDescent="0.25">
      <c r="A193" s="169">
        <v>2024</v>
      </c>
      <c r="B193" s="169" t="s">
        <v>815</v>
      </c>
      <c r="C193" s="170" t="s">
        <v>213</v>
      </c>
      <c r="D193" s="171" t="s">
        <v>810</v>
      </c>
      <c r="E193" s="171" t="s">
        <v>810</v>
      </c>
      <c r="F193" s="171" t="s">
        <v>213</v>
      </c>
      <c r="G193" s="170" t="s">
        <v>560</v>
      </c>
      <c r="H193" s="172">
        <v>0</v>
      </c>
      <c r="I193" s="172">
        <v>7</v>
      </c>
      <c r="J193" s="173"/>
      <c r="K193" s="172">
        <v>77029.5</v>
      </c>
      <c r="L193" s="172">
        <v>0</v>
      </c>
      <c r="M193" s="172">
        <v>77029.5</v>
      </c>
      <c r="N193" s="173"/>
      <c r="O193" s="172">
        <v>26714.25</v>
      </c>
      <c r="P193" s="172">
        <v>0</v>
      </c>
      <c r="Q193" s="172">
        <v>26714.25</v>
      </c>
      <c r="R193" s="173"/>
      <c r="S193" s="172">
        <v>103743.75</v>
      </c>
      <c r="T193" s="172">
        <v>0</v>
      </c>
      <c r="U193" s="172">
        <v>103743.75</v>
      </c>
      <c r="V193" s="162"/>
    </row>
    <row r="194" spans="1:22" x14ac:dyDescent="0.25">
      <c r="A194" s="169">
        <v>2024</v>
      </c>
      <c r="B194" s="169" t="s">
        <v>815</v>
      </c>
      <c r="C194" s="170" t="s">
        <v>214</v>
      </c>
      <c r="D194" s="171" t="s">
        <v>810</v>
      </c>
      <c r="E194" s="171" t="s">
        <v>810</v>
      </c>
      <c r="F194" s="171" t="s">
        <v>214</v>
      </c>
      <c r="G194" s="170" t="s">
        <v>561</v>
      </c>
      <c r="H194" s="172">
        <v>0</v>
      </c>
      <c r="I194" s="172">
        <v>11</v>
      </c>
      <c r="J194" s="173"/>
      <c r="K194" s="172">
        <v>92011.5</v>
      </c>
      <c r="L194" s="172">
        <v>0</v>
      </c>
      <c r="M194" s="172">
        <v>92011.5</v>
      </c>
      <c r="N194" s="173"/>
      <c r="O194" s="172">
        <v>33188.239999999998</v>
      </c>
      <c r="P194" s="172">
        <v>0</v>
      </c>
      <c r="Q194" s="172">
        <v>33188.239999999998</v>
      </c>
      <c r="R194" s="173"/>
      <c r="S194" s="172">
        <v>125199.73999999999</v>
      </c>
      <c r="T194" s="172">
        <v>0</v>
      </c>
      <c r="U194" s="172">
        <v>125199.73999999999</v>
      </c>
      <c r="V194" s="162"/>
    </row>
    <row r="195" spans="1:22" x14ac:dyDescent="0.25">
      <c r="A195" s="169">
        <v>2024</v>
      </c>
      <c r="B195" s="169" t="s">
        <v>812</v>
      </c>
      <c r="C195" s="170" t="s">
        <v>215</v>
      </c>
      <c r="D195" s="171" t="s">
        <v>810</v>
      </c>
      <c r="E195" s="171" t="s">
        <v>810</v>
      </c>
      <c r="F195" s="171" t="s">
        <v>215</v>
      </c>
      <c r="G195" s="170" t="s">
        <v>562</v>
      </c>
      <c r="H195" s="172">
        <v>0</v>
      </c>
      <c r="I195" s="172">
        <v>6</v>
      </c>
      <c r="J195" s="173"/>
      <c r="K195" s="172">
        <v>188768.25</v>
      </c>
      <c r="L195" s="172">
        <v>0</v>
      </c>
      <c r="M195" s="172">
        <v>188768.25</v>
      </c>
      <c r="N195" s="173"/>
      <c r="O195" s="172">
        <v>65515.07</v>
      </c>
      <c r="P195" s="172">
        <v>0</v>
      </c>
      <c r="Q195" s="172">
        <v>65515.07</v>
      </c>
      <c r="R195" s="173"/>
      <c r="S195" s="172">
        <v>254283.32</v>
      </c>
      <c r="T195" s="172">
        <v>0</v>
      </c>
      <c r="U195" s="172">
        <v>254283.32</v>
      </c>
      <c r="V195" s="162"/>
    </row>
    <row r="196" spans="1:22" x14ac:dyDescent="0.25">
      <c r="A196" s="169">
        <v>2024</v>
      </c>
      <c r="B196" s="169" t="s">
        <v>815</v>
      </c>
      <c r="C196" s="170" t="s">
        <v>216</v>
      </c>
      <c r="D196" s="171" t="s">
        <v>810</v>
      </c>
      <c r="E196" s="171" t="s">
        <v>810</v>
      </c>
      <c r="F196" s="171" t="s">
        <v>216</v>
      </c>
      <c r="G196" s="170" t="s">
        <v>563</v>
      </c>
      <c r="H196" s="172">
        <v>0</v>
      </c>
      <c r="I196" s="172">
        <v>5</v>
      </c>
      <c r="J196" s="173"/>
      <c r="K196" s="172">
        <v>464281.5</v>
      </c>
      <c r="L196" s="172">
        <v>0</v>
      </c>
      <c r="M196" s="172">
        <v>464281.5</v>
      </c>
      <c r="N196" s="173"/>
      <c r="O196" s="172">
        <v>162030.99</v>
      </c>
      <c r="P196" s="172">
        <v>0</v>
      </c>
      <c r="Q196" s="172">
        <v>162030.99</v>
      </c>
      <c r="R196" s="173"/>
      <c r="S196" s="172">
        <v>626312.49</v>
      </c>
      <c r="T196" s="172">
        <v>0</v>
      </c>
      <c r="U196" s="172">
        <v>626312.49</v>
      </c>
      <c r="V196" s="162"/>
    </row>
    <row r="197" spans="1:22" x14ac:dyDescent="0.25">
      <c r="A197" s="169">
        <v>2024</v>
      </c>
      <c r="B197" s="169" t="s">
        <v>816</v>
      </c>
      <c r="C197" s="170" t="s">
        <v>217</v>
      </c>
      <c r="D197" s="171" t="s">
        <v>810</v>
      </c>
      <c r="E197" s="171" t="s">
        <v>810</v>
      </c>
      <c r="F197" s="171" t="s">
        <v>217</v>
      </c>
      <c r="G197" s="170" t="s">
        <v>564</v>
      </c>
      <c r="H197" s="172">
        <v>0</v>
      </c>
      <c r="I197" s="172">
        <v>6</v>
      </c>
      <c r="J197" s="173"/>
      <c r="K197" s="172">
        <v>464793</v>
      </c>
      <c r="L197" s="172">
        <v>0</v>
      </c>
      <c r="M197" s="172">
        <v>464793</v>
      </c>
      <c r="N197" s="173"/>
      <c r="O197" s="172">
        <v>165524.75</v>
      </c>
      <c r="P197" s="172">
        <v>0</v>
      </c>
      <c r="Q197" s="172">
        <v>165524.75</v>
      </c>
      <c r="R197" s="173"/>
      <c r="S197" s="172">
        <v>630317.75</v>
      </c>
      <c r="T197" s="172">
        <v>0</v>
      </c>
      <c r="U197" s="172">
        <v>630317.75</v>
      </c>
      <c r="V197" s="162"/>
    </row>
    <row r="198" spans="1:22" x14ac:dyDescent="0.25">
      <c r="A198" s="169">
        <v>2024</v>
      </c>
      <c r="B198" s="169" t="s">
        <v>812</v>
      </c>
      <c r="C198" s="170" t="s">
        <v>218</v>
      </c>
      <c r="D198" s="171" t="s">
        <v>810</v>
      </c>
      <c r="E198" s="171" t="s">
        <v>810</v>
      </c>
      <c r="F198" s="171" t="s">
        <v>218</v>
      </c>
      <c r="G198" s="170" t="s">
        <v>565</v>
      </c>
      <c r="H198" s="172">
        <v>0</v>
      </c>
      <c r="I198" s="172">
        <v>1</v>
      </c>
      <c r="J198" s="173"/>
      <c r="K198" s="172">
        <v>14416.5</v>
      </c>
      <c r="L198" s="172">
        <v>0</v>
      </c>
      <c r="M198" s="172">
        <v>14416.5</v>
      </c>
      <c r="N198" s="173"/>
      <c r="O198" s="172">
        <v>5889.73</v>
      </c>
      <c r="P198" s="172">
        <v>0</v>
      </c>
      <c r="Q198" s="172">
        <v>5889.73</v>
      </c>
      <c r="R198" s="173"/>
      <c r="S198" s="172">
        <v>20306.23</v>
      </c>
      <c r="T198" s="172">
        <v>0</v>
      </c>
      <c r="U198" s="172">
        <v>20306.23</v>
      </c>
      <c r="V198" s="162"/>
    </row>
    <row r="199" spans="1:22" x14ac:dyDescent="0.25">
      <c r="A199" s="169">
        <v>2024</v>
      </c>
      <c r="B199" s="169" t="s">
        <v>819</v>
      </c>
      <c r="C199" s="170" t="s">
        <v>219</v>
      </c>
      <c r="D199" s="171" t="s">
        <v>810</v>
      </c>
      <c r="E199" s="171" t="s">
        <v>810</v>
      </c>
      <c r="F199" s="171" t="s">
        <v>219</v>
      </c>
      <c r="G199" s="170" t="s">
        <v>566</v>
      </c>
      <c r="H199" s="172">
        <v>0</v>
      </c>
      <c r="I199" s="172">
        <v>1</v>
      </c>
      <c r="J199" s="173"/>
      <c r="K199" s="172">
        <v>277021.5</v>
      </c>
      <c r="L199" s="172">
        <v>0</v>
      </c>
      <c r="M199" s="172">
        <v>277021.5</v>
      </c>
      <c r="N199" s="173"/>
      <c r="O199" s="172">
        <v>94820.28</v>
      </c>
      <c r="P199" s="172">
        <v>0</v>
      </c>
      <c r="Q199" s="172">
        <v>94820.28</v>
      </c>
      <c r="R199" s="173"/>
      <c r="S199" s="172">
        <v>371841.78</v>
      </c>
      <c r="T199" s="172">
        <v>0</v>
      </c>
      <c r="U199" s="172">
        <v>371841.78</v>
      </c>
      <c r="V199" s="162"/>
    </row>
    <row r="200" spans="1:22" x14ac:dyDescent="0.25">
      <c r="A200" s="169">
        <v>2024</v>
      </c>
      <c r="B200" s="169" t="s">
        <v>811</v>
      </c>
      <c r="C200" s="170" t="s">
        <v>220</v>
      </c>
      <c r="D200" s="171" t="s">
        <v>810</v>
      </c>
      <c r="E200" s="171" t="s">
        <v>810</v>
      </c>
      <c r="F200" s="171" t="s">
        <v>220</v>
      </c>
      <c r="G200" s="170" t="s">
        <v>567</v>
      </c>
      <c r="H200" s="172">
        <v>1</v>
      </c>
      <c r="I200" s="172">
        <v>5</v>
      </c>
      <c r="J200" s="173"/>
      <c r="K200" s="172">
        <v>194061</v>
      </c>
      <c r="L200" s="172">
        <v>32343.5</v>
      </c>
      <c r="M200" s="172">
        <v>161717.5</v>
      </c>
      <c r="N200" s="173"/>
      <c r="O200" s="172">
        <v>66875.75</v>
      </c>
      <c r="P200" s="172">
        <v>11145.96</v>
      </c>
      <c r="Q200" s="172">
        <v>55729.79</v>
      </c>
      <c r="R200" s="173"/>
      <c r="S200" s="172">
        <v>260936.75</v>
      </c>
      <c r="T200" s="172">
        <v>43489.46</v>
      </c>
      <c r="U200" s="172">
        <v>217447.29</v>
      </c>
      <c r="V200" s="162"/>
    </row>
    <row r="201" spans="1:22" x14ac:dyDescent="0.25">
      <c r="A201" s="169">
        <v>2024</v>
      </c>
      <c r="B201" s="169" t="s">
        <v>809</v>
      </c>
      <c r="C201" s="170" t="s">
        <v>221</v>
      </c>
      <c r="D201" s="171" t="s">
        <v>810</v>
      </c>
      <c r="E201" s="171" t="s">
        <v>810</v>
      </c>
      <c r="F201" s="171" t="s">
        <v>221</v>
      </c>
      <c r="G201" s="170" t="s">
        <v>568</v>
      </c>
      <c r="H201" s="172">
        <v>0</v>
      </c>
      <c r="I201" s="172">
        <v>5</v>
      </c>
      <c r="J201" s="173"/>
      <c r="K201" s="172">
        <v>516732.75</v>
      </c>
      <c r="L201" s="172">
        <v>0</v>
      </c>
      <c r="M201" s="172">
        <v>516732.75</v>
      </c>
      <c r="N201" s="173"/>
      <c r="O201" s="172">
        <v>174434.31</v>
      </c>
      <c r="P201" s="172">
        <v>0</v>
      </c>
      <c r="Q201" s="172">
        <v>174434.31</v>
      </c>
      <c r="R201" s="173"/>
      <c r="S201" s="172">
        <v>691167.06</v>
      </c>
      <c r="T201" s="172">
        <v>0</v>
      </c>
      <c r="U201" s="172">
        <v>691167.06</v>
      </c>
      <c r="V201" s="162"/>
    </row>
    <row r="202" spans="1:22" x14ac:dyDescent="0.25">
      <c r="A202" s="169">
        <v>2024</v>
      </c>
      <c r="B202" s="169" t="s">
        <v>818</v>
      </c>
      <c r="C202" s="170" t="s">
        <v>223</v>
      </c>
      <c r="D202" s="171" t="s">
        <v>810</v>
      </c>
      <c r="E202" s="171" t="s">
        <v>810</v>
      </c>
      <c r="F202" s="171" t="s">
        <v>223</v>
      </c>
      <c r="G202" s="170" t="s">
        <v>570</v>
      </c>
      <c r="H202" s="172">
        <v>0</v>
      </c>
      <c r="I202" s="172">
        <v>7</v>
      </c>
      <c r="J202" s="173"/>
      <c r="K202" s="172">
        <v>485805.75</v>
      </c>
      <c r="L202" s="172">
        <v>0</v>
      </c>
      <c r="M202" s="172">
        <v>485805.75</v>
      </c>
      <c r="N202" s="173"/>
      <c r="O202" s="172">
        <v>169560.89</v>
      </c>
      <c r="P202" s="172">
        <v>0</v>
      </c>
      <c r="Q202" s="172">
        <v>169560.89</v>
      </c>
      <c r="R202" s="173"/>
      <c r="S202" s="172">
        <v>655366.64</v>
      </c>
      <c r="T202" s="172">
        <v>0</v>
      </c>
      <c r="U202" s="172">
        <v>655366.64</v>
      </c>
      <c r="V202" s="162"/>
    </row>
    <row r="203" spans="1:22" x14ac:dyDescent="0.25">
      <c r="A203" s="169">
        <v>2024</v>
      </c>
      <c r="B203" s="169" t="s">
        <v>815</v>
      </c>
      <c r="C203" s="170" t="s">
        <v>224</v>
      </c>
      <c r="D203" s="171" t="s">
        <v>810</v>
      </c>
      <c r="E203" s="171" t="s">
        <v>810</v>
      </c>
      <c r="F203" s="171" t="s">
        <v>224</v>
      </c>
      <c r="G203" s="170" t="s">
        <v>571</v>
      </c>
      <c r="H203" s="172">
        <v>2</v>
      </c>
      <c r="I203" s="172">
        <v>7</v>
      </c>
      <c r="J203" s="173"/>
      <c r="K203" s="172">
        <v>237534</v>
      </c>
      <c r="L203" s="172">
        <v>52785.33</v>
      </c>
      <c r="M203" s="172">
        <v>184748.66999999998</v>
      </c>
      <c r="N203" s="173"/>
      <c r="O203" s="172">
        <v>81489.919999999998</v>
      </c>
      <c r="P203" s="172">
        <v>18108.87</v>
      </c>
      <c r="Q203" s="172">
        <v>63381.05</v>
      </c>
      <c r="R203" s="173"/>
      <c r="S203" s="172">
        <v>319023.92</v>
      </c>
      <c r="T203" s="172">
        <v>70894.2</v>
      </c>
      <c r="U203" s="172">
        <v>248129.71999999997</v>
      </c>
      <c r="V203" s="162"/>
    </row>
    <row r="204" spans="1:22" x14ac:dyDescent="0.25">
      <c r="A204" s="169">
        <v>2024</v>
      </c>
      <c r="B204" s="169" t="s">
        <v>814</v>
      </c>
      <c r="C204" s="170" t="s">
        <v>222</v>
      </c>
      <c r="D204" s="171" t="s">
        <v>810</v>
      </c>
      <c r="E204" s="171" t="s">
        <v>810</v>
      </c>
      <c r="F204" s="171" t="s">
        <v>222</v>
      </c>
      <c r="G204" s="170" t="s">
        <v>569</v>
      </c>
      <c r="H204" s="172">
        <v>0</v>
      </c>
      <c r="I204" s="172">
        <v>12</v>
      </c>
      <c r="J204" s="173"/>
      <c r="K204" s="172">
        <v>281012.25</v>
      </c>
      <c r="L204" s="172">
        <v>0</v>
      </c>
      <c r="M204" s="172">
        <v>281012.25</v>
      </c>
      <c r="N204" s="173"/>
      <c r="O204" s="172">
        <v>101748.53</v>
      </c>
      <c r="P204" s="172">
        <v>0</v>
      </c>
      <c r="Q204" s="172">
        <v>101748.53</v>
      </c>
      <c r="R204" s="173"/>
      <c r="S204" s="172">
        <v>382760.78</v>
      </c>
      <c r="T204" s="172">
        <v>0</v>
      </c>
      <c r="U204" s="172">
        <v>382760.78</v>
      </c>
      <c r="V204" s="162"/>
    </row>
    <row r="205" spans="1:22" x14ac:dyDescent="0.25">
      <c r="A205" s="169">
        <v>2024</v>
      </c>
      <c r="B205" s="169" t="s">
        <v>809</v>
      </c>
      <c r="C205" s="170" t="s">
        <v>225</v>
      </c>
      <c r="D205" s="171" t="s">
        <v>810</v>
      </c>
      <c r="E205" s="171" t="s">
        <v>810</v>
      </c>
      <c r="F205" s="171" t="s">
        <v>225</v>
      </c>
      <c r="G205" s="170" t="s">
        <v>572</v>
      </c>
      <c r="H205" s="172">
        <v>0</v>
      </c>
      <c r="I205" s="172">
        <v>7</v>
      </c>
      <c r="J205" s="173"/>
      <c r="K205" s="172">
        <v>1196342.25</v>
      </c>
      <c r="L205" s="172">
        <v>0</v>
      </c>
      <c r="M205" s="172">
        <v>1196342.25</v>
      </c>
      <c r="N205" s="173"/>
      <c r="O205" s="172">
        <v>416250.23</v>
      </c>
      <c r="P205" s="172">
        <v>0</v>
      </c>
      <c r="Q205" s="172">
        <v>416250.23</v>
      </c>
      <c r="R205" s="173"/>
      <c r="S205" s="172">
        <v>1612592.48</v>
      </c>
      <c r="T205" s="172">
        <v>0</v>
      </c>
      <c r="U205" s="172">
        <v>1612592.48</v>
      </c>
      <c r="V205" s="162"/>
    </row>
    <row r="206" spans="1:22" x14ac:dyDescent="0.25">
      <c r="A206" s="169">
        <v>2024</v>
      </c>
      <c r="B206" s="169" t="s">
        <v>812</v>
      </c>
      <c r="C206" s="170" t="s">
        <v>141</v>
      </c>
      <c r="D206" s="171" t="s">
        <v>810</v>
      </c>
      <c r="E206" s="171" t="s">
        <v>810</v>
      </c>
      <c r="F206" s="171" t="s">
        <v>141</v>
      </c>
      <c r="G206" s="170" t="s">
        <v>491</v>
      </c>
      <c r="H206" s="172">
        <v>0</v>
      </c>
      <c r="I206" s="172">
        <v>2</v>
      </c>
      <c r="J206" s="173"/>
      <c r="K206" s="172">
        <v>65898.75</v>
      </c>
      <c r="L206" s="172">
        <v>0</v>
      </c>
      <c r="M206" s="172">
        <v>65898.75</v>
      </c>
      <c r="N206" s="173"/>
      <c r="O206" s="172">
        <v>23049.41</v>
      </c>
      <c r="P206" s="172">
        <v>0</v>
      </c>
      <c r="Q206" s="172">
        <v>23049.41</v>
      </c>
      <c r="R206" s="173"/>
      <c r="S206" s="172">
        <v>88948.160000000003</v>
      </c>
      <c r="T206" s="172">
        <v>0</v>
      </c>
      <c r="U206" s="172">
        <v>88948.160000000003</v>
      </c>
      <c r="V206" s="162"/>
    </row>
    <row r="207" spans="1:22" x14ac:dyDescent="0.25">
      <c r="A207" s="169">
        <v>2024</v>
      </c>
      <c r="B207" s="169" t="s">
        <v>811</v>
      </c>
      <c r="C207" s="170" t="s">
        <v>29</v>
      </c>
      <c r="D207" s="171" t="s">
        <v>810</v>
      </c>
      <c r="E207" s="171" t="s">
        <v>810</v>
      </c>
      <c r="F207" s="171" t="s">
        <v>29</v>
      </c>
      <c r="G207" s="170" t="s">
        <v>384</v>
      </c>
      <c r="H207" s="172">
        <v>0</v>
      </c>
      <c r="I207" s="172">
        <v>1</v>
      </c>
      <c r="J207" s="173"/>
      <c r="K207" s="172">
        <v>31978.5</v>
      </c>
      <c r="L207" s="172">
        <v>0</v>
      </c>
      <c r="M207" s="172">
        <v>31978.5</v>
      </c>
      <c r="N207" s="173"/>
      <c r="O207" s="172">
        <v>10894.87</v>
      </c>
      <c r="P207" s="172">
        <v>0</v>
      </c>
      <c r="Q207" s="172">
        <v>10894.87</v>
      </c>
      <c r="R207" s="173"/>
      <c r="S207" s="172">
        <v>42873.37</v>
      </c>
      <c r="T207" s="172">
        <v>0</v>
      </c>
      <c r="U207" s="172">
        <v>42873.37</v>
      </c>
      <c r="V207" s="162"/>
    </row>
    <row r="208" spans="1:22" x14ac:dyDescent="0.25">
      <c r="A208" s="169">
        <v>2024</v>
      </c>
      <c r="B208" s="169" t="s">
        <v>816</v>
      </c>
      <c r="C208" s="170" t="s">
        <v>183</v>
      </c>
      <c r="D208" s="171" t="s">
        <v>810</v>
      </c>
      <c r="E208" s="171" t="s">
        <v>810</v>
      </c>
      <c r="F208" s="171" t="s">
        <v>183</v>
      </c>
      <c r="G208" s="170" t="s">
        <v>531</v>
      </c>
      <c r="H208" s="172">
        <v>3</v>
      </c>
      <c r="I208" s="172">
        <v>7</v>
      </c>
      <c r="J208" s="173"/>
      <c r="K208" s="172">
        <v>468780</v>
      </c>
      <c r="L208" s="172">
        <v>140634</v>
      </c>
      <c r="M208" s="172">
        <v>328146</v>
      </c>
      <c r="N208" s="173"/>
      <c r="O208" s="172">
        <v>164026.91</v>
      </c>
      <c r="P208" s="172">
        <v>49208.07</v>
      </c>
      <c r="Q208" s="172">
        <v>114818.84</v>
      </c>
      <c r="R208" s="173"/>
      <c r="S208" s="172">
        <v>632806.91</v>
      </c>
      <c r="T208" s="172">
        <v>189842.07</v>
      </c>
      <c r="U208" s="172">
        <v>442964.83999999997</v>
      </c>
      <c r="V208" s="162"/>
    </row>
    <row r="209" spans="1:22" x14ac:dyDescent="0.25">
      <c r="A209" s="169">
        <v>2024</v>
      </c>
      <c r="B209" s="169" t="s">
        <v>818</v>
      </c>
      <c r="C209" s="170" t="s">
        <v>228</v>
      </c>
      <c r="D209" s="171" t="s">
        <v>810</v>
      </c>
      <c r="E209" s="171" t="s">
        <v>810</v>
      </c>
      <c r="F209" s="171" t="s">
        <v>228</v>
      </c>
      <c r="G209" s="170" t="s">
        <v>790</v>
      </c>
      <c r="H209" s="172">
        <v>0</v>
      </c>
      <c r="I209" s="172">
        <v>7</v>
      </c>
      <c r="J209" s="173"/>
      <c r="K209" s="172">
        <v>470474.25</v>
      </c>
      <c r="L209" s="172">
        <v>0</v>
      </c>
      <c r="M209" s="172">
        <v>470474.25</v>
      </c>
      <c r="N209" s="173"/>
      <c r="O209" s="172">
        <v>161510.93</v>
      </c>
      <c r="P209" s="172">
        <v>0</v>
      </c>
      <c r="Q209" s="172">
        <v>161510.93</v>
      </c>
      <c r="R209" s="173"/>
      <c r="S209" s="172">
        <v>631985.17999999993</v>
      </c>
      <c r="T209" s="172">
        <v>0</v>
      </c>
      <c r="U209" s="172">
        <v>631985.17999999993</v>
      </c>
      <c r="V209" s="162"/>
    </row>
    <row r="210" spans="1:22" x14ac:dyDescent="0.25">
      <c r="A210" s="169">
        <v>2024</v>
      </c>
      <c r="B210" s="169" t="s">
        <v>811</v>
      </c>
      <c r="C210" s="170" t="s">
        <v>57</v>
      </c>
      <c r="D210" s="171" t="s">
        <v>810</v>
      </c>
      <c r="E210" s="171" t="s">
        <v>810</v>
      </c>
      <c r="F210" s="171" t="s">
        <v>57</v>
      </c>
      <c r="G210" s="170" t="s">
        <v>409</v>
      </c>
      <c r="H210" s="172">
        <v>2</v>
      </c>
      <c r="I210" s="172">
        <v>2</v>
      </c>
      <c r="J210" s="173"/>
      <c r="K210" s="172">
        <v>99165</v>
      </c>
      <c r="L210" s="172">
        <v>49582.5</v>
      </c>
      <c r="M210" s="172">
        <v>49582.5</v>
      </c>
      <c r="N210" s="173"/>
      <c r="O210" s="172">
        <v>33446.83</v>
      </c>
      <c r="P210" s="172">
        <v>16723.419999999998</v>
      </c>
      <c r="Q210" s="172">
        <v>16723.410000000003</v>
      </c>
      <c r="R210" s="173"/>
      <c r="S210" s="172">
        <v>132611.83000000002</v>
      </c>
      <c r="T210" s="172">
        <v>66305.919999999998</v>
      </c>
      <c r="U210" s="172">
        <v>66305.91</v>
      </c>
      <c r="V210" s="162"/>
    </row>
    <row r="211" spans="1:22" x14ac:dyDescent="0.25">
      <c r="A211" s="169">
        <v>2024</v>
      </c>
      <c r="B211" s="169" t="s">
        <v>814</v>
      </c>
      <c r="C211" s="170" t="s">
        <v>232</v>
      </c>
      <c r="D211" s="171" t="s">
        <v>810</v>
      </c>
      <c r="E211" s="171" t="s">
        <v>810</v>
      </c>
      <c r="F211" s="171" t="s">
        <v>232</v>
      </c>
      <c r="G211" s="170" t="s">
        <v>577</v>
      </c>
      <c r="H211" s="172">
        <v>0</v>
      </c>
      <c r="I211" s="172">
        <v>5</v>
      </c>
      <c r="J211" s="173"/>
      <c r="K211" s="172">
        <v>74070</v>
      </c>
      <c r="L211" s="172">
        <v>0</v>
      </c>
      <c r="M211" s="172">
        <v>74070</v>
      </c>
      <c r="N211" s="173"/>
      <c r="O211" s="172">
        <v>24768.5</v>
      </c>
      <c r="P211" s="172">
        <v>0</v>
      </c>
      <c r="Q211" s="172">
        <v>24768.5</v>
      </c>
      <c r="R211" s="173"/>
      <c r="S211" s="172">
        <v>98838.5</v>
      </c>
      <c r="T211" s="172">
        <v>0</v>
      </c>
      <c r="U211" s="172">
        <v>98838.5</v>
      </c>
      <c r="V211" s="162"/>
    </row>
    <row r="212" spans="1:22" x14ac:dyDescent="0.25">
      <c r="A212" s="169">
        <v>2024</v>
      </c>
      <c r="B212" s="169" t="s">
        <v>816</v>
      </c>
      <c r="C212" s="170" t="s">
        <v>231</v>
      </c>
      <c r="D212" s="171" t="s">
        <v>810</v>
      </c>
      <c r="E212" s="171" t="s">
        <v>810</v>
      </c>
      <c r="F212" s="171" t="s">
        <v>231</v>
      </c>
      <c r="G212" s="170" t="s">
        <v>576</v>
      </c>
      <c r="H212" s="172">
        <v>0</v>
      </c>
      <c r="I212" s="172">
        <v>2</v>
      </c>
      <c r="J212" s="173"/>
      <c r="K212" s="172">
        <v>66549</v>
      </c>
      <c r="L212" s="172">
        <v>0</v>
      </c>
      <c r="M212" s="172">
        <v>66549</v>
      </c>
      <c r="N212" s="173"/>
      <c r="O212" s="172">
        <v>22550.92</v>
      </c>
      <c r="P212" s="172">
        <v>0</v>
      </c>
      <c r="Q212" s="172">
        <v>22550.92</v>
      </c>
      <c r="R212" s="173"/>
      <c r="S212" s="172">
        <v>89099.92</v>
      </c>
      <c r="T212" s="172">
        <v>0</v>
      </c>
      <c r="U212" s="172">
        <v>89099.92</v>
      </c>
      <c r="V212" s="162"/>
    </row>
    <row r="213" spans="1:22" x14ac:dyDescent="0.25">
      <c r="A213" s="169">
        <v>2024</v>
      </c>
      <c r="B213" s="169" t="s">
        <v>815</v>
      </c>
      <c r="C213" s="170" t="s">
        <v>230</v>
      </c>
      <c r="D213" s="171" t="s">
        <v>810</v>
      </c>
      <c r="E213" s="171" t="s">
        <v>810</v>
      </c>
      <c r="F213" s="171" t="s">
        <v>230</v>
      </c>
      <c r="G213" s="170" t="s">
        <v>575</v>
      </c>
      <c r="H213" s="172">
        <v>0</v>
      </c>
      <c r="I213" s="172">
        <v>2</v>
      </c>
      <c r="J213" s="173"/>
      <c r="K213" s="172">
        <v>54844.5</v>
      </c>
      <c r="L213" s="172">
        <v>0</v>
      </c>
      <c r="M213" s="172">
        <v>54844.5</v>
      </c>
      <c r="N213" s="173"/>
      <c r="O213" s="172">
        <v>18755.95</v>
      </c>
      <c r="P213" s="172">
        <v>0</v>
      </c>
      <c r="Q213" s="172">
        <v>18755.95</v>
      </c>
      <c r="R213" s="173"/>
      <c r="S213" s="172">
        <v>73600.45</v>
      </c>
      <c r="T213" s="172">
        <v>0</v>
      </c>
      <c r="U213" s="172">
        <v>73600.45</v>
      </c>
      <c r="V213" s="162"/>
    </row>
    <row r="214" spans="1:22" x14ac:dyDescent="0.25">
      <c r="A214" s="169">
        <v>2024</v>
      </c>
      <c r="B214" s="169" t="s">
        <v>809</v>
      </c>
      <c r="C214" s="170" t="s">
        <v>233</v>
      </c>
      <c r="D214" s="171" t="s">
        <v>810</v>
      </c>
      <c r="E214" s="171" t="s">
        <v>810</v>
      </c>
      <c r="F214" s="171" t="s">
        <v>233</v>
      </c>
      <c r="G214" s="170" t="s">
        <v>578</v>
      </c>
      <c r="H214" s="172">
        <v>0</v>
      </c>
      <c r="I214" s="172">
        <v>4</v>
      </c>
      <c r="J214" s="173"/>
      <c r="K214" s="172">
        <v>597456.75</v>
      </c>
      <c r="L214" s="172">
        <v>0</v>
      </c>
      <c r="M214" s="172">
        <v>597456.75</v>
      </c>
      <c r="N214" s="173"/>
      <c r="O214" s="172">
        <v>208199.53</v>
      </c>
      <c r="P214" s="172">
        <v>0</v>
      </c>
      <c r="Q214" s="172">
        <v>208199.53</v>
      </c>
      <c r="R214" s="173"/>
      <c r="S214" s="172">
        <v>805656.28</v>
      </c>
      <c r="T214" s="172">
        <v>0</v>
      </c>
      <c r="U214" s="172">
        <v>805656.28</v>
      </c>
      <c r="V214" s="162"/>
    </row>
    <row r="215" spans="1:22" x14ac:dyDescent="0.25">
      <c r="A215" s="169">
        <v>2024</v>
      </c>
      <c r="B215" s="169" t="s">
        <v>819</v>
      </c>
      <c r="C215" s="170" t="s">
        <v>234</v>
      </c>
      <c r="D215" s="171" t="s">
        <v>810</v>
      </c>
      <c r="E215" s="171" t="s">
        <v>810</v>
      </c>
      <c r="F215" s="171" t="s">
        <v>234</v>
      </c>
      <c r="G215" s="170" t="s">
        <v>579</v>
      </c>
      <c r="H215" s="172">
        <v>0</v>
      </c>
      <c r="I215" s="172">
        <v>1</v>
      </c>
      <c r="J215" s="173"/>
      <c r="K215" s="172">
        <v>203955</v>
      </c>
      <c r="L215" s="172">
        <v>0</v>
      </c>
      <c r="M215" s="172">
        <v>203955</v>
      </c>
      <c r="N215" s="173"/>
      <c r="O215" s="172">
        <v>70407.960000000006</v>
      </c>
      <c r="P215" s="172">
        <v>0</v>
      </c>
      <c r="Q215" s="172">
        <v>70407.960000000006</v>
      </c>
      <c r="R215" s="173"/>
      <c r="S215" s="172">
        <v>274362.96000000002</v>
      </c>
      <c r="T215" s="172">
        <v>0</v>
      </c>
      <c r="U215" s="172">
        <v>274362.96000000002</v>
      </c>
      <c r="V215" s="162"/>
    </row>
    <row r="216" spans="1:22" x14ac:dyDescent="0.25">
      <c r="A216" s="169">
        <v>2024</v>
      </c>
      <c r="B216" s="169" t="s">
        <v>811</v>
      </c>
      <c r="C216" s="170" t="s">
        <v>235</v>
      </c>
      <c r="D216" s="171" t="s">
        <v>810</v>
      </c>
      <c r="E216" s="171" t="s">
        <v>810</v>
      </c>
      <c r="F216" s="171" t="s">
        <v>235</v>
      </c>
      <c r="G216" s="170" t="s">
        <v>580</v>
      </c>
      <c r="H216" s="172">
        <v>0</v>
      </c>
      <c r="I216" s="172">
        <v>4</v>
      </c>
      <c r="J216" s="173"/>
      <c r="K216" s="172">
        <v>118394.25</v>
      </c>
      <c r="L216" s="172">
        <v>0</v>
      </c>
      <c r="M216" s="172">
        <v>118394.25</v>
      </c>
      <c r="N216" s="173"/>
      <c r="O216" s="172">
        <v>41276.57</v>
      </c>
      <c r="P216" s="172">
        <v>0</v>
      </c>
      <c r="Q216" s="172">
        <v>41276.57</v>
      </c>
      <c r="R216" s="173"/>
      <c r="S216" s="172">
        <v>159670.82</v>
      </c>
      <c r="T216" s="172">
        <v>0</v>
      </c>
      <c r="U216" s="172">
        <v>159670.82</v>
      </c>
      <c r="V216" s="162"/>
    </row>
    <row r="217" spans="1:22" x14ac:dyDescent="0.25">
      <c r="A217" s="169">
        <v>2024</v>
      </c>
      <c r="B217" s="169" t="s">
        <v>814</v>
      </c>
      <c r="C217" s="170" t="s">
        <v>36</v>
      </c>
      <c r="D217" s="171" t="s">
        <v>810</v>
      </c>
      <c r="E217" s="171" t="s">
        <v>810</v>
      </c>
      <c r="F217" s="171" t="s">
        <v>36</v>
      </c>
      <c r="G217" s="170" t="s">
        <v>390</v>
      </c>
      <c r="H217" s="172">
        <v>3</v>
      </c>
      <c r="I217" s="172">
        <v>3</v>
      </c>
      <c r="J217" s="173"/>
      <c r="K217" s="172">
        <v>160542.75</v>
      </c>
      <c r="L217" s="172">
        <v>80271.38</v>
      </c>
      <c r="M217" s="172">
        <v>80271.37</v>
      </c>
      <c r="N217" s="173"/>
      <c r="O217" s="172">
        <v>55150.18</v>
      </c>
      <c r="P217" s="172">
        <v>27575.09</v>
      </c>
      <c r="Q217" s="172">
        <v>27575.09</v>
      </c>
      <c r="R217" s="173"/>
      <c r="S217" s="172">
        <v>215692.93</v>
      </c>
      <c r="T217" s="172">
        <v>107846.47</v>
      </c>
      <c r="U217" s="172">
        <v>107846.45999999999</v>
      </c>
      <c r="V217" s="162"/>
    </row>
    <row r="218" spans="1:22" x14ac:dyDescent="0.25">
      <c r="A218" s="169">
        <v>2024</v>
      </c>
      <c r="B218" s="169" t="s">
        <v>819</v>
      </c>
      <c r="C218" s="170" t="s">
        <v>227</v>
      </c>
      <c r="D218" s="171" t="s">
        <v>810</v>
      </c>
      <c r="E218" s="171" t="s">
        <v>810</v>
      </c>
      <c r="F218" s="171" t="s">
        <v>227</v>
      </c>
      <c r="G218" s="170" t="s">
        <v>574</v>
      </c>
      <c r="H218" s="172">
        <v>0</v>
      </c>
      <c r="I218" s="172">
        <v>9</v>
      </c>
      <c r="J218" s="173"/>
      <c r="K218" s="172">
        <v>269536.5</v>
      </c>
      <c r="L218" s="172">
        <v>0</v>
      </c>
      <c r="M218" s="172">
        <v>269536.5</v>
      </c>
      <c r="N218" s="173"/>
      <c r="O218" s="172">
        <v>92013.96</v>
      </c>
      <c r="P218" s="172">
        <v>0</v>
      </c>
      <c r="Q218" s="172">
        <v>92013.96</v>
      </c>
      <c r="R218" s="173"/>
      <c r="S218" s="172">
        <v>361550.46</v>
      </c>
      <c r="T218" s="172">
        <v>0</v>
      </c>
      <c r="U218" s="172">
        <v>361550.46</v>
      </c>
      <c r="V218" s="162"/>
    </row>
    <row r="219" spans="1:22" x14ac:dyDescent="0.25">
      <c r="A219" s="169">
        <v>2024</v>
      </c>
      <c r="B219" s="169" t="s">
        <v>811</v>
      </c>
      <c r="C219" s="170" t="s">
        <v>236</v>
      </c>
      <c r="D219" s="171" t="s">
        <v>810</v>
      </c>
      <c r="E219" s="171" t="s">
        <v>810</v>
      </c>
      <c r="F219" s="171" t="s">
        <v>236</v>
      </c>
      <c r="G219" s="170" t="s">
        <v>581</v>
      </c>
      <c r="H219" s="172">
        <v>0</v>
      </c>
      <c r="I219" s="172">
        <v>5</v>
      </c>
      <c r="J219" s="173"/>
      <c r="K219" s="172">
        <v>134015.25</v>
      </c>
      <c r="L219" s="172">
        <v>0</v>
      </c>
      <c r="M219" s="172">
        <v>134015.25</v>
      </c>
      <c r="N219" s="173"/>
      <c r="O219" s="172">
        <v>47389.45</v>
      </c>
      <c r="P219" s="172">
        <v>0</v>
      </c>
      <c r="Q219" s="172">
        <v>47389.45</v>
      </c>
      <c r="R219" s="173"/>
      <c r="S219" s="172">
        <v>181404.7</v>
      </c>
      <c r="T219" s="172">
        <v>0</v>
      </c>
      <c r="U219" s="172">
        <v>181404.7</v>
      </c>
      <c r="V219" s="162"/>
    </row>
    <row r="220" spans="1:22" x14ac:dyDescent="0.25">
      <c r="A220" s="169">
        <v>2024</v>
      </c>
      <c r="B220" s="169" t="s">
        <v>809</v>
      </c>
      <c r="C220" s="170" t="s">
        <v>237</v>
      </c>
      <c r="D220" s="171" t="s">
        <v>810</v>
      </c>
      <c r="E220" s="171" t="s">
        <v>810</v>
      </c>
      <c r="F220" s="171" t="s">
        <v>237</v>
      </c>
      <c r="G220" s="170" t="s">
        <v>582</v>
      </c>
      <c r="H220" s="172">
        <v>0</v>
      </c>
      <c r="I220" s="172">
        <v>0</v>
      </c>
      <c r="J220" s="173"/>
      <c r="K220" s="172">
        <v>0</v>
      </c>
      <c r="L220" s="172">
        <v>0</v>
      </c>
      <c r="M220" s="172">
        <v>0</v>
      </c>
      <c r="N220" s="173"/>
      <c r="O220" s="172">
        <v>0</v>
      </c>
      <c r="P220" s="172">
        <v>0</v>
      </c>
      <c r="Q220" s="172">
        <v>0</v>
      </c>
      <c r="R220" s="173"/>
      <c r="S220" s="172">
        <v>0</v>
      </c>
      <c r="T220" s="172">
        <v>0</v>
      </c>
      <c r="U220" s="172">
        <v>0</v>
      </c>
      <c r="V220" s="162"/>
    </row>
    <row r="221" spans="1:22" x14ac:dyDescent="0.25">
      <c r="A221" s="169">
        <v>2024</v>
      </c>
      <c r="B221" s="169" t="s">
        <v>813</v>
      </c>
      <c r="C221" s="170" t="s">
        <v>239</v>
      </c>
      <c r="D221" s="171" t="s">
        <v>810</v>
      </c>
      <c r="E221" s="171" t="s">
        <v>810</v>
      </c>
      <c r="F221" s="171" t="s">
        <v>239</v>
      </c>
      <c r="G221" s="170" t="s">
        <v>805</v>
      </c>
      <c r="H221" s="172">
        <v>0</v>
      </c>
      <c r="I221" s="172">
        <v>2</v>
      </c>
      <c r="J221" s="173"/>
      <c r="K221" s="172">
        <v>123852</v>
      </c>
      <c r="L221" s="172">
        <v>0</v>
      </c>
      <c r="M221" s="172">
        <v>123852</v>
      </c>
      <c r="N221" s="173"/>
      <c r="O221" s="172">
        <v>41830.33</v>
      </c>
      <c r="P221" s="172">
        <v>0</v>
      </c>
      <c r="Q221" s="172">
        <v>41830.33</v>
      </c>
      <c r="R221" s="173"/>
      <c r="S221" s="172">
        <v>165682.33000000002</v>
      </c>
      <c r="T221" s="172">
        <v>0</v>
      </c>
      <c r="U221" s="172">
        <v>165682.33000000002</v>
      </c>
      <c r="V221" s="162"/>
    </row>
    <row r="222" spans="1:22" x14ac:dyDescent="0.25">
      <c r="A222" s="169">
        <v>2024</v>
      </c>
      <c r="B222" s="169" t="s">
        <v>818</v>
      </c>
      <c r="C222" s="170" t="s">
        <v>240</v>
      </c>
      <c r="D222" s="171" t="s">
        <v>810</v>
      </c>
      <c r="E222" s="171" t="s">
        <v>810</v>
      </c>
      <c r="F222" s="171" t="s">
        <v>240</v>
      </c>
      <c r="G222" s="170" t="s">
        <v>584</v>
      </c>
      <c r="H222" s="172">
        <v>2</v>
      </c>
      <c r="I222" s="172">
        <v>7</v>
      </c>
      <c r="J222" s="173"/>
      <c r="K222" s="172">
        <v>463079.25</v>
      </c>
      <c r="L222" s="172">
        <v>102906.5</v>
      </c>
      <c r="M222" s="172">
        <v>360172.75</v>
      </c>
      <c r="N222" s="173"/>
      <c r="O222" s="172">
        <v>170032.41</v>
      </c>
      <c r="P222" s="172">
        <v>37784.980000000003</v>
      </c>
      <c r="Q222" s="172">
        <v>132247.43</v>
      </c>
      <c r="R222" s="173"/>
      <c r="S222" s="172">
        <v>633111.66</v>
      </c>
      <c r="T222" s="172">
        <v>140691.48000000001</v>
      </c>
      <c r="U222" s="172">
        <v>492420.18</v>
      </c>
      <c r="V222" s="162"/>
    </row>
    <row r="223" spans="1:22" x14ac:dyDescent="0.25">
      <c r="A223" s="169">
        <v>2024</v>
      </c>
      <c r="B223" s="169" t="s">
        <v>809</v>
      </c>
      <c r="C223" s="170" t="s">
        <v>241</v>
      </c>
      <c r="D223" s="171" t="s">
        <v>810</v>
      </c>
      <c r="E223" s="171" t="s">
        <v>810</v>
      </c>
      <c r="F223" s="171" t="s">
        <v>241</v>
      </c>
      <c r="G223" s="170" t="s">
        <v>585</v>
      </c>
      <c r="H223" s="172">
        <v>0</v>
      </c>
      <c r="I223" s="172">
        <v>4</v>
      </c>
      <c r="J223" s="173"/>
      <c r="K223" s="172">
        <v>154118.25</v>
      </c>
      <c r="L223" s="172">
        <v>0</v>
      </c>
      <c r="M223" s="172">
        <v>154118.25</v>
      </c>
      <c r="N223" s="173"/>
      <c r="O223" s="172">
        <v>53496.17</v>
      </c>
      <c r="P223" s="172">
        <v>0</v>
      </c>
      <c r="Q223" s="172">
        <v>53496.17</v>
      </c>
      <c r="R223" s="173"/>
      <c r="S223" s="172">
        <v>207614.41999999998</v>
      </c>
      <c r="T223" s="172">
        <v>0</v>
      </c>
      <c r="U223" s="172">
        <v>207614.41999999998</v>
      </c>
      <c r="V223" s="162"/>
    </row>
    <row r="224" spans="1:22" x14ac:dyDescent="0.25">
      <c r="A224" s="169">
        <v>2024</v>
      </c>
      <c r="B224" s="169" t="s">
        <v>814</v>
      </c>
      <c r="C224" s="170" t="s">
        <v>242</v>
      </c>
      <c r="D224" s="171" t="s">
        <v>810</v>
      </c>
      <c r="E224" s="171" t="s">
        <v>810</v>
      </c>
      <c r="F224" s="171" t="s">
        <v>242</v>
      </c>
      <c r="G224" s="170" t="s">
        <v>586</v>
      </c>
      <c r="H224" s="172">
        <v>0</v>
      </c>
      <c r="I224" s="172">
        <v>2</v>
      </c>
      <c r="J224" s="173"/>
      <c r="K224" s="172">
        <v>186461.25</v>
      </c>
      <c r="L224" s="172">
        <v>0</v>
      </c>
      <c r="M224" s="172">
        <v>186461.25</v>
      </c>
      <c r="N224" s="173"/>
      <c r="O224" s="172">
        <v>65449.54</v>
      </c>
      <c r="P224" s="172">
        <v>0</v>
      </c>
      <c r="Q224" s="172">
        <v>65449.54</v>
      </c>
      <c r="R224" s="173"/>
      <c r="S224" s="172">
        <v>251910.79</v>
      </c>
      <c r="T224" s="172">
        <v>0</v>
      </c>
      <c r="U224" s="172">
        <v>251910.79</v>
      </c>
      <c r="V224" s="162"/>
    </row>
    <row r="225" spans="1:22" x14ac:dyDescent="0.25">
      <c r="A225" s="169">
        <v>2024</v>
      </c>
      <c r="B225" s="169" t="s">
        <v>816</v>
      </c>
      <c r="C225" s="170" t="s">
        <v>243</v>
      </c>
      <c r="D225" s="171" t="s">
        <v>810</v>
      </c>
      <c r="E225" s="171" t="s">
        <v>810</v>
      </c>
      <c r="F225" s="171" t="s">
        <v>243</v>
      </c>
      <c r="G225" s="170" t="s">
        <v>587</v>
      </c>
      <c r="H225" s="172">
        <v>0</v>
      </c>
      <c r="I225" s="172">
        <v>1</v>
      </c>
      <c r="J225" s="173"/>
      <c r="K225" s="172">
        <v>9442.5</v>
      </c>
      <c r="L225" s="172">
        <v>0</v>
      </c>
      <c r="M225" s="172">
        <v>9442.5</v>
      </c>
      <c r="N225" s="173"/>
      <c r="O225" s="172">
        <v>3155.99</v>
      </c>
      <c r="P225" s="172">
        <v>0</v>
      </c>
      <c r="Q225" s="172">
        <v>3155.99</v>
      </c>
      <c r="R225" s="173"/>
      <c r="S225" s="172">
        <v>12598.49</v>
      </c>
      <c r="T225" s="172">
        <v>0</v>
      </c>
      <c r="U225" s="172">
        <v>12598.49</v>
      </c>
      <c r="V225" s="162"/>
    </row>
    <row r="226" spans="1:22" x14ac:dyDescent="0.25">
      <c r="A226" s="169">
        <v>2024</v>
      </c>
      <c r="B226" s="169" t="s">
        <v>812</v>
      </c>
      <c r="C226" s="170" t="s">
        <v>244</v>
      </c>
      <c r="D226" s="171" t="s">
        <v>810</v>
      </c>
      <c r="E226" s="171" t="s">
        <v>810</v>
      </c>
      <c r="F226" s="171" t="s">
        <v>244</v>
      </c>
      <c r="G226" s="170" t="s">
        <v>588</v>
      </c>
      <c r="H226" s="172">
        <v>10</v>
      </c>
      <c r="I226" s="172">
        <v>10</v>
      </c>
      <c r="J226" s="173"/>
      <c r="K226" s="172">
        <v>170527.5</v>
      </c>
      <c r="L226" s="172">
        <v>85263.75</v>
      </c>
      <c r="M226" s="172">
        <v>85263.75</v>
      </c>
      <c r="N226" s="173"/>
      <c r="O226" s="172">
        <v>59451.360000000001</v>
      </c>
      <c r="P226" s="172">
        <v>29725.68</v>
      </c>
      <c r="Q226" s="172">
        <v>29725.68</v>
      </c>
      <c r="R226" s="173"/>
      <c r="S226" s="172">
        <v>229978.86</v>
      </c>
      <c r="T226" s="172">
        <v>114989.43</v>
      </c>
      <c r="U226" s="172">
        <v>114989.43</v>
      </c>
      <c r="V226" s="162"/>
    </row>
    <row r="227" spans="1:22" x14ac:dyDescent="0.25">
      <c r="A227" s="169">
        <v>2024</v>
      </c>
      <c r="B227" s="169" t="s">
        <v>811</v>
      </c>
      <c r="C227" s="170" t="s">
        <v>245</v>
      </c>
      <c r="D227" s="171" t="s">
        <v>810</v>
      </c>
      <c r="E227" s="171" t="s">
        <v>810</v>
      </c>
      <c r="F227" s="171" t="s">
        <v>245</v>
      </c>
      <c r="G227" s="170" t="s">
        <v>589</v>
      </c>
      <c r="H227" s="172">
        <v>1</v>
      </c>
      <c r="I227" s="172">
        <v>1</v>
      </c>
      <c r="J227" s="173"/>
      <c r="K227" s="172">
        <v>115095.75</v>
      </c>
      <c r="L227" s="172">
        <v>57547.88</v>
      </c>
      <c r="M227" s="172">
        <v>57547.87</v>
      </c>
      <c r="N227" s="173"/>
      <c r="O227" s="172">
        <v>39847.68</v>
      </c>
      <c r="P227" s="172">
        <v>19923.84</v>
      </c>
      <c r="Q227" s="172">
        <v>19923.84</v>
      </c>
      <c r="R227" s="173"/>
      <c r="S227" s="172">
        <v>154943.43</v>
      </c>
      <c r="T227" s="172">
        <v>77471.72</v>
      </c>
      <c r="U227" s="172">
        <v>77471.710000000006</v>
      </c>
      <c r="V227" s="162"/>
    </row>
    <row r="228" spans="1:22" x14ac:dyDescent="0.25">
      <c r="A228" s="169">
        <v>2024</v>
      </c>
      <c r="B228" s="169" t="s">
        <v>815</v>
      </c>
      <c r="C228" s="170" t="s">
        <v>246</v>
      </c>
      <c r="D228" s="171" t="s">
        <v>810</v>
      </c>
      <c r="E228" s="171" t="s">
        <v>810</v>
      </c>
      <c r="F228" s="171" t="s">
        <v>246</v>
      </c>
      <c r="G228" s="170" t="s">
        <v>590</v>
      </c>
      <c r="H228" s="172">
        <v>0</v>
      </c>
      <c r="I228" s="172">
        <v>4</v>
      </c>
      <c r="J228" s="173"/>
      <c r="K228" s="172">
        <v>529734</v>
      </c>
      <c r="L228" s="172">
        <v>0</v>
      </c>
      <c r="M228" s="172">
        <v>529734</v>
      </c>
      <c r="N228" s="173"/>
      <c r="O228" s="172">
        <v>184786</v>
      </c>
      <c r="P228" s="172">
        <v>0</v>
      </c>
      <c r="Q228" s="172">
        <v>184786</v>
      </c>
      <c r="R228" s="173"/>
      <c r="S228" s="172">
        <v>714520</v>
      </c>
      <c r="T228" s="172">
        <v>0</v>
      </c>
      <c r="U228" s="172">
        <v>714520</v>
      </c>
      <c r="V228" s="162"/>
    </row>
    <row r="229" spans="1:22" x14ac:dyDescent="0.25">
      <c r="A229" s="169">
        <v>2024</v>
      </c>
      <c r="B229" s="169" t="s">
        <v>815</v>
      </c>
      <c r="C229" s="170" t="s">
        <v>247</v>
      </c>
      <c r="D229" s="171" t="s">
        <v>810</v>
      </c>
      <c r="E229" s="171" t="s">
        <v>810</v>
      </c>
      <c r="F229" s="171" t="s">
        <v>247</v>
      </c>
      <c r="G229" s="170" t="s">
        <v>591</v>
      </c>
      <c r="H229" s="172">
        <v>0</v>
      </c>
      <c r="I229" s="172">
        <v>3</v>
      </c>
      <c r="J229" s="173"/>
      <c r="K229" s="172">
        <v>628568.25</v>
      </c>
      <c r="L229" s="172">
        <v>0</v>
      </c>
      <c r="M229" s="172">
        <v>628568.25</v>
      </c>
      <c r="N229" s="173"/>
      <c r="O229" s="172">
        <v>221324.6</v>
      </c>
      <c r="P229" s="172">
        <v>0</v>
      </c>
      <c r="Q229" s="172">
        <v>221324.6</v>
      </c>
      <c r="R229" s="173"/>
      <c r="S229" s="172">
        <v>849892.85</v>
      </c>
      <c r="T229" s="172">
        <v>0</v>
      </c>
      <c r="U229" s="172">
        <v>849892.85</v>
      </c>
      <c r="V229" s="162"/>
    </row>
    <row r="230" spans="1:22" x14ac:dyDescent="0.25">
      <c r="A230" s="169">
        <v>2024</v>
      </c>
      <c r="B230" s="169" t="s">
        <v>809</v>
      </c>
      <c r="C230" s="170" t="s">
        <v>248</v>
      </c>
      <c r="D230" s="171" t="s">
        <v>810</v>
      </c>
      <c r="E230" s="171" t="s">
        <v>810</v>
      </c>
      <c r="F230" s="171" t="s">
        <v>248</v>
      </c>
      <c r="G230" s="170" t="s">
        <v>592</v>
      </c>
      <c r="H230" s="172">
        <v>0</v>
      </c>
      <c r="I230" s="172">
        <v>4</v>
      </c>
      <c r="J230" s="173"/>
      <c r="K230" s="172">
        <v>230714.25</v>
      </c>
      <c r="L230" s="172">
        <v>0</v>
      </c>
      <c r="M230" s="172">
        <v>230714.25</v>
      </c>
      <c r="N230" s="173"/>
      <c r="O230" s="172">
        <v>78534.61</v>
      </c>
      <c r="P230" s="172">
        <v>0</v>
      </c>
      <c r="Q230" s="172">
        <v>78534.61</v>
      </c>
      <c r="R230" s="173"/>
      <c r="S230" s="172">
        <v>309248.86</v>
      </c>
      <c r="T230" s="172">
        <v>0</v>
      </c>
      <c r="U230" s="172">
        <v>309248.86</v>
      </c>
      <c r="V230" s="162"/>
    </row>
    <row r="231" spans="1:22" x14ac:dyDescent="0.25">
      <c r="A231" s="169">
        <v>2024</v>
      </c>
      <c r="B231" s="169" t="s">
        <v>814</v>
      </c>
      <c r="C231" s="170" t="s">
        <v>249</v>
      </c>
      <c r="D231" s="171" t="s">
        <v>810</v>
      </c>
      <c r="E231" s="171" t="s">
        <v>810</v>
      </c>
      <c r="F231" s="171" t="s">
        <v>249</v>
      </c>
      <c r="G231" s="170" t="s">
        <v>593</v>
      </c>
      <c r="H231" s="172">
        <v>0</v>
      </c>
      <c r="I231" s="172">
        <v>5</v>
      </c>
      <c r="J231" s="173"/>
      <c r="K231" s="172">
        <v>49948.5</v>
      </c>
      <c r="L231" s="172">
        <v>0</v>
      </c>
      <c r="M231" s="172">
        <v>49948.5</v>
      </c>
      <c r="N231" s="173"/>
      <c r="O231" s="172">
        <v>16783.7</v>
      </c>
      <c r="P231" s="172">
        <v>0</v>
      </c>
      <c r="Q231" s="172">
        <v>16783.7</v>
      </c>
      <c r="R231" s="173"/>
      <c r="S231" s="172">
        <v>66732.2</v>
      </c>
      <c r="T231" s="172">
        <v>0</v>
      </c>
      <c r="U231" s="172">
        <v>66732.2</v>
      </c>
      <c r="V231" s="162"/>
    </row>
    <row r="232" spans="1:22" x14ac:dyDescent="0.25">
      <c r="A232" s="169">
        <v>2024</v>
      </c>
      <c r="B232" s="169" t="s">
        <v>809</v>
      </c>
      <c r="C232" s="170" t="s">
        <v>258</v>
      </c>
      <c r="D232" s="171" t="s">
        <v>810</v>
      </c>
      <c r="E232" s="171" t="s">
        <v>810</v>
      </c>
      <c r="F232" s="171" t="s">
        <v>691</v>
      </c>
      <c r="G232" s="170" t="s">
        <v>6</v>
      </c>
      <c r="H232" s="172">
        <v>0</v>
      </c>
      <c r="I232" s="172">
        <v>5</v>
      </c>
      <c r="J232" s="173"/>
      <c r="K232" s="172">
        <v>324045</v>
      </c>
      <c r="L232" s="172">
        <v>0</v>
      </c>
      <c r="M232" s="172">
        <v>324045</v>
      </c>
      <c r="N232" s="173"/>
      <c r="O232" s="172">
        <v>112324.27</v>
      </c>
      <c r="P232" s="172">
        <v>0</v>
      </c>
      <c r="Q232" s="172">
        <v>112324.27</v>
      </c>
      <c r="R232" s="173"/>
      <c r="S232" s="172">
        <v>436369.27</v>
      </c>
      <c r="T232" s="172">
        <v>0</v>
      </c>
      <c r="U232" s="172">
        <v>436369.27</v>
      </c>
      <c r="V232" s="162"/>
    </row>
    <row r="233" spans="1:22" x14ac:dyDescent="0.25">
      <c r="A233" s="169">
        <v>2024</v>
      </c>
      <c r="B233" s="169" t="s">
        <v>815</v>
      </c>
      <c r="C233" s="170" t="s">
        <v>251</v>
      </c>
      <c r="D233" s="171" t="s">
        <v>810</v>
      </c>
      <c r="E233" s="171" t="s">
        <v>810</v>
      </c>
      <c r="F233" s="171" t="s">
        <v>251</v>
      </c>
      <c r="G233" s="170" t="s">
        <v>595</v>
      </c>
      <c r="H233" s="172">
        <v>3</v>
      </c>
      <c r="I233" s="172">
        <v>3</v>
      </c>
      <c r="J233" s="173"/>
      <c r="K233" s="172">
        <v>169852.5</v>
      </c>
      <c r="L233" s="172">
        <v>84926.25</v>
      </c>
      <c r="M233" s="172">
        <v>84926.25</v>
      </c>
      <c r="N233" s="173"/>
      <c r="O233" s="172">
        <v>58917.16</v>
      </c>
      <c r="P233" s="172">
        <v>29458.58</v>
      </c>
      <c r="Q233" s="172">
        <v>29458.58</v>
      </c>
      <c r="R233" s="173"/>
      <c r="S233" s="172">
        <v>228769.66</v>
      </c>
      <c r="T233" s="172">
        <v>114384.83</v>
      </c>
      <c r="U233" s="172">
        <v>114384.83</v>
      </c>
      <c r="V233" s="162"/>
    </row>
    <row r="234" spans="1:22" x14ac:dyDescent="0.25">
      <c r="A234" s="169">
        <v>2024</v>
      </c>
      <c r="B234" s="169" t="s">
        <v>809</v>
      </c>
      <c r="C234" s="170" t="s">
        <v>252</v>
      </c>
      <c r="D234" s="171" t="s">
        <v>810</v>
      </c>
      <c r="E234" s="171" t="s">
        <v>810</v>
      </c>
      <c r="F234" s="171" t="s">
        <v>252</v>
      </c>
      <c r="G234" s="170" t="s">
        <v>596</v>
      </c>
      <c r="H234" s="172">
        <v>0</v>
      </c>
      <c r="I234" s="172">
        <v>4</v>
      </c>
      <c r="J234" s="173"/>
      <c r="K234" s="172">
        <v>790658.25</v>
      </c>
      <c r="L234" s="172">
        <v>0</v>
      </c>
      <c r="M234" s="172">
        <v>790658.25</v>
      </c>
      <c r="N234" s="173"/>
      <c r="O234" s="172">
        <v>270235.33</v>
      </c>
      <c r="P234" s="172">
        <v>0</v>
      </c>
      <c r="Q234" s="172">
        <v>270235.33</v>
      </c>
      <c r="R234" s="173"/>
      <c r="S234" s="172">
        <v>1060893.58</v>
      </c>
      <c r="T234" s="172">
        <v>0</v>
      </c>
      <c r="U234" s="172">
        <v>1060893.58</v>
      </c>
      <c r="V234" s="162"/>
    </row>
    <row r="235" spans="1:22" x14ac:dyDescent="0.25">
      <c r="A235" s="169">
        <v>2024</v>
      </c>
      <c r="B235" s="169" t="s">
        <v>809</v>
      </c>
      <c r="C235" s="170" t="s">
        <v>253</v>
      </c>
      <c r="D235" s="171" t="s">
        <v>810</v>
      </c>
      <c r="E235" s="171" t="s">
        <v>810</v>
      </c>
      <c r="F235" s="171" t="s">
        <v>253</v>
      </c>
      <c r="G235" s="170" t="s">
        <v>597</v>
      </c>
      <c r="H235" s="172">
        <v>3</v>
      </c>
      <c r="I235" s="172">
        <v>0</v>
      </c>
      <c r="J235" s="173"/>
      <c r="K235" s="172">
        <v>215472</v>
      </c>
      <c r="L235" s="172">
        <v>215472</v>
      </c>
      <c r="M235" s="172">
        <v>0</v>
      </c>
      <c r="N235" s="173"/>
      <c r="O235" s="172">
        <v>75890.45</v>
      </c>
      <c r="P235" s="172">
        <v>75890.45</v>
      </c>
      <c r="Q235" s="172">
        <v>0</v>
      </c>
      <c r="R235" s="173"/>
      <c r="S235" s="172">
        <v>291362.45</v>
      </c>
      <c r="T235" s="172">
        <v>291362.45</v>
      </c>
      <c r="U235" s="172">
        <v>0</v>
      </c>
      <c r="V235" s="162"/>
    </row>
    <row r="236" spans="1:22" x14ac:dyDescent="0.25">
      <c r="A236" s="169">
        <v>2024</v>
      </c>
      <c r="B236" s="169" t="s">
        <v>819</v>
      </c>
      <c r="C236" s="170" t="s">
        <v>254</v>
      </c>
      <c r="D236" s="171" t="s">
        <v>810</v>
      </c>
      <c r="E236" s="171" t="s">
        <v>810</v>
      </c>
      <c r="F236" s="171" t="s">
        <v>254</v>
      </c>
      <c r="G236" s="170" t="s">
        <v>598</v>
      </c>
      <c r="H236" s="172">
        <v>0</v>
      </c>
      <c r="I236" s="172">
        <v>0</v>
      </c>
      <c r="J236" s="173"/>
      <c r="K236" s="172">
        <v>0</v>
      </c>
      <c r="L236" s="172">
        <v>0</v>
      </c>
      <c r="M236" s="172">
        <v>0</v>
      </c>
      <c r="N236" s="173"/>
      <c r="O236" s="172">
        <v>0</v>
      </c>
      <c r="P236" s="172">
        <v>0</v>
      </c>
      <c r="Q236" s="172">
        <v>0</v>
      </c>
      <c r="R236" s="173"/>
      <c r="S236" s="172">
        <v>0</v>
      </c>
      <c r="T236" s="172">
        <v>0</v>
      </c>
      <c r="U236" s="172">
        <v>0</v>
      </c>
      <c r="V236" s="162"/>
    </row>
    <row r="237" spans="1:22" x14ac:dyDescent="0.25">
      <c r="A237" s="169">
        <v>2024</v>
      </c>
      <c r="B237" s="169" t="s">
        <v>809</v>
      </c>
      <c r="C237" s="170" t="s">
        <v>255</v>
      </c>
      <c r="D237" s="171" t="s">
        <v>810</v>
      </c>
      <c r="E237" s="171" t="s">
        <v>810</v>
      </c>
      <c r="F237" s="171" t="s">
        <v>255</v>
      </c>
      <c r="G237" s="170" t="s">
        <v>599</v>
      </c>
      <c r="H237" s="172">
        <v>0</v>
      </c>
      <c r="I237" s="172">
        <v>8</v>
      </c>
      <c r="J237" s="173"/>
      <c r="K237" s="172">
        <v>295375.5</v>
      </c>
      <c r="L237" s="172">
        <v>0</v>
      </c>
      <c r="M237" s="172">
        <v>295375.5</v>
      </c>
      <c r="N237" s="173"/>
      <c r="O237" s="172">
        <v>102697.32</v>
      </c>
      <c r="P237" s="172">
        <v>0</v>
      </c>
      <c r="Q237" s="172">
        <v>102697.32</v>
      </c>
      <c r="R237" s="173"/>
      <c r="S237" s="172">
        <v>398072.82</v>
      </c>
      <c r="T237" s="172">
        <v>0</v>
      </c>
      <c r="U237" s="172">
        <v>398072.82</v>
      </c>
      <c r="V237" s="162"/>
    </row>
    <row r="238" spans="1:22" x14ac:dyDescent="0.25">
      <c r="A238" s="169">
        <v>2024</v>
      </c>
      <c r="B238" s="169" t="s">
        <v>814</v>
      </c>
      <c r="C238" s="170" t="s">
        <v>256</v>
      </c>
      <c r="D238" s="171" t="s">
        <v>810</v>
      </c>
      <c r="E238" s="171" t="s">
        <v>810</v>
      </c>
      <c r="F238" s="171" t="s">
        <v>256</v>
      </c>
      <c r="G238" s="170" t="s">
        <v>600</v>
      </c>
      <c r="H238" s="172">
        <v>0</v>
      </c>
      <c r="I238" s="172">
        <v>1</v>
      </c>
      <c r="J238" s="173"/>
      <c r="K238" s="172">
        <v>104365.5</v>
      </c>
      <c r="L238" s="172">
        <v>0</v>
      </c>
      <c r="M238" s="172">
        <v>104365.5</v>
      </c>
      <c r="N238" s="173"/>
      <c r="O238" s="172">
        <v>35738.1</v>
      </c>
      <c r="P238" s="172">
        <v>0</v>
      </c>
      <c r="Q238" s="172">
        <v>35738.1</v>
      </c>
      <c r="R238" s="173"/>
      <c r="S238" s="172">
        <v>140103.6</v>
      </c>
      <c r="T238" s="172">
        <v>0</v>
      </c>
      <c r="U238" s="172">
        <v>140103.6</v>
      </c>
      <c r="V238" s="162"/>
    </row>
    <row r="239" spans="1:22" x14ac:dyDescent="0.25">
      <c r="A239" s="169">
        <v>2024</v>
      </c>
      <c r="B239" s="169" t="s">
        <v>818</v>
      </c>
      <c r="C239" s="170" t="s">
        <v>257</v>
      </c>
      <c r="D239" s="171" t="s">
        <v>810</v>
      </c>
      <c r="E239" s="171" t="s">
        <v>810</v>
      </c>
      <c r="F239" s="171" t="s">
        <v>257</v>
      </c>
      <c r="G239" s="170" t="s">
        <v>601</v>
      </c>
      <c r="H239" s="172">
        <v>2</v>
      </c>
      <c r="I239" s="172">
        <v>13</v>
      </c>
      <c r="J239" s="173"/>
      <c r="K239" s="172">
        <v>292811.25</v>
      </c>
      <c r="L239" s="172">
        <v>39041.5</v>
      </c>
      <c r="M239" s="172">
        <v>253769.75</v>
      </c>
      <c r="N239" s="173"/>
      <c r="O239" s="172">
        <v>102128.27</v>
      </c>
      <c r="P239" s="172">
        <v>13617.1</v>
      </c>
      <c r="Q239" s="172">
        <v>88511.17</v>
      </c>
      <c r="R239" s="173"/>
      <c r="S239" s="172">
        <v>394939.52</v>
      </c>
      <c r="T239" s="172">
        <v>52658.6</v>
      </c>
      <c r="U239" s="172">
        <v>342280.92</v>
      </c>
      <c r="V239" s="162"/>
    </row>
    <row r="240" spans="1:22" x14ac:dyDescent="0.25">
      <c r="A240" s="169">
        <v>2024</v>
      </c>
      <c r="B240" s="169" t="s">
        <v>812</v>
      </c>
      <c r="C240" s="170" t="s">
        <v>260</v>
      </c>
      <c r="D240" s="171" t="s">
        <v>810</v>
      </c>
      <c r="E240" s="171" t="s">
        <v>810</v>
      </c>
      <c r="F240" s="171" t="s">
        <v>260</v>
      </c>
      <c r="G240" s="170" t="s">
        <v>602</v>
      </c>
      <c r="H240" s="172">
        <v>1</v>
      </c>
      <c r="I240" s="172">
        <v>5</v>
      </c>
      <c r="J240" s="173"/>
      <c r="K240" s="172">
        <v>310586.25</v>
      </c>
      <c r="L240" s="172">
        <v>51764.38</v>
      </c>
      <c r="M240" s="172">
        <v>258821.87</v>
      </c>
      <c r="N240" s="173"/>
      <c r="O240" s="172">
        <v>105363.59</v>
      </c>
      <c r="P240" s="172">
        <v>17560.599999999999</v>
      </c>
      <c r="Q240" s="172">
        <v>87802.989999999991</v>
      </c>
      <c r="R240" s="173"/>
      <c r="S240" s="172">
        <v>415949.83999999997</v>
      </c>
      <c r="T240" s="172">
        <v>69324.98</v>
      </c>
      <c r="U240" s="172">
        <v>346624.86</v>
      </c>
      <c r="V240" s="162"/>
    </row>
    <row r="241" spans="1:22" x14ac:dyDescent="0.25">
      <c r="A241" s="169">
        <v>2024</v>
      </c>
      <c r="B241" s="169" t="s">
        <v>813</v>
      </c>
      <c r="C241" s="170" t="s">
        <v>261</v>
      </c>
      <c r="D241" s="171" t="s">
        <v>810</v>
      </c>
      <c r="E241" s="171" t="s">
        <v>810</v>
      </c>
      <c r="F241" s="171" t="s">
        <v>261</v>
      </c>
      <c r="G241" s="170" t="s">
        <v>603</v>
      </c>
      <c r="H241" s="172">
        <v>0</v>
      </c>
      <c r="I241" s="172">
        <v>1</v>
      </c>
      <c r="J241" s="173"/>
      <c r="K241" s="172">
        <v>29451</v>
      </c>
      <c r="L241" s="172">
        <v>0</v>
      </c>
      <c r="M241" s="172">
        <v>29451</v>
      </c>
      <c r="N241" s="173"/>
      <c r="O241" s="172">
        <v>10786.19</v>
      </c>
      <c r="P241" s="172">
        <v>0</v>
      </c>
      <c r="Q241" s="172">
        <v>10786.19</v>
      </c>
      <c r="R241" s="173"/>
      <c r="S241" s="172">
        <v>40237.19</v>
      </c>
      <c r="T241" s="172">
        <v>0</v>
      </c>
      <c r="U241" s="172">
        <v>40237.19</v>
      </c>
      <c r="V241" s="162"/>
    </row>
    <row r="242" spans="1:22" x14ac:dyDescent="0.25">
      <c r="A242" s="169">
        <v>2024</v>
      </c>
      <c r="B242" s="169" t="s">
        <v>818</v>
      </c>
      <c r="C242" s="170" t="s">
        <v>262</v>
      </c>
      <c r="D242" s="171" t="s">
        <v>810</v>
      </c>
      <c r="E242" s="171" t="s">
        <v>810</v>
      </c>
      <c r="F242" s="171" t="s">
        <v>262</v>
      </c>
      <c r="G242" s="170" t="s">
        <v>604</v>
      </c>
      <c r="H242" s="172">
        <v>4</v>
      </c>
      <c r="I242" s="172">
        <v>5</v>
      </c>
      <c r="J242" s="173"/>
      <c r="K242" s="172">
        <v>179766</v>
      </c>
      <c r="L242" s="172">
        <v>79896</v>
      </c>
      <c r="M242" s="172">
        <v>99870</v>
      </c>
      <c r="N242" s="173"/>
      <c r="O242" s="172">
        <v>60929.5</v>
      </c>
      <c r="P242" s="172">
        <v>27079.78</v>
      </c>
      <c r="Q242" s="172">
        <v>33849.72</v>
      </c>
      <c r="R242" s="173"/>
      <c r="S242" s="172">
        <v>240695.5</v>
      </c>
      <c r="T242" s="172">
        <v>106975.78</v>
      </c>
      <c r="U242" s="172">
        <v>133719.72</v>
      </c>
      <c r="V242" s="162"/>
    </row>
    <row r="243" spans="1:22" x14ac:dyDescent="0.25">
      <c r="A243" s="169">
        <v>2024</v>
      </c>
      <c r="B243" s="169" t="s">
        <v>813</v>
      </c>
      <c r="C243" s="170" t="s">
        <v>119</v>
      </c>
      <c r="D243" s="171" t="s">
        <v>810</v>
      </c>
      <c r="E243" s="171" t="s">
        <v>810</v>
      </c>
      <c r="F243" s="171" t="s">
        <v>119</v>
      </c>
      <c r="G243" s="170" t="s">
        <v>469</v>
      </c>
      <c r="H243" s="172">
        <v>1</v>
      </c>
      <c r="I243" s="172">
        <v>1</v>
      </c>
      <c r="J243" s="173"/>
      <c r="K243" s="172">
        <v>44372.25</v>
      </c>
      <c r="L243" s="172">
        <v>22186.13</v>
      </c>
      <c r="M243" s="172">
        <v>22186.12</v>
      </c>
      <c r="N243" s="173"/>
      <c r="O243" s="172">
        <v>15374.97</v>
      </c>
      <c r="P243" s="172">
        <v>7687.49</v>
      </c>
      <c r="Q243" s="172">
        <v>7687.48</v>
      </c>
      <c r="R243" s="173"/>
      <c r="S243" s="172">
        <v>59747.22</v>
      </c>
      <c r="T243" s="172">
        <v>29873.620000000003</v>
      </c>
      <c r="U243" s="172">
        <v>29873.599999999999</v>
      </c>
      <c r="V243" s="162"/>
    </row>
    <row r="244" spans="1:22" x14ac:dyDescent="0.25">
      <c r="A244" s="169">
        <v>2024</v>
      </c>
      <c r="B244" s="169" t="s">
        <v>812</v>
      </c>
      <c r="C244" s="170" t="s">
        <v>238</v>
      </c>
      <c r="D244" s="171" t="s">
        <v>810</v>
      </c>
      <c r="E244" s="171" t="s">
        <v>810</v>
      </c>
      <c r="F244" s="171" t="s">
        <v>689</v>
      </c>
      <c r="G244" s="170" t="s">
        <v>583</v>
      </c>
      <c r="H244" s="172">
        <v>0</v>
      </c>
      <c r="I244" s="172">
        <v>9</v>
      </c>
      <c r="J244" s="173"/>
      <c r="K244" s="172">
        <v>341102.25</v>
      </c>
      <c r="L244" s="172">
        <v>0</v>
      </c>
      <c r="M244" s="172">
        <v>341102.25</v>
      </c>
      <c r="N244" s="173"/>
      <c r="O244" s="172">
        <v>116880.8</v>
      </c>
      <c r="P244" s="172">
        <v>0</v>
      </c>
      <c r="Q244" s="172">
        <v>116880.8</v>
      </c>
      <c r="R244" s="173"/>
      <c r="S244" s="172">
        <v>457983.05</v>
      </c>
      <c r="T244" s="172">
        <v>0</v>
      </c>
      <c r="U244" s="172">
        <v>457983.05</v>
      </c>
      <c r="V244" s="162"/>
    </row>
    <row r="245" spans="1:22" x14ac:dyDescent="0.25">
      <c r="A245" s="169">
        <v>2024</v>
      </c>
      <c r="B245" s="169" t="s">
        <v>813</v>
      </c>
      <c r="C245" s="170" t="s">
        <v>263</v>
      </c>
      <c r="D245" s="171" t="s">
        <v>810</v>
      </c>
      <c r="E245" s="171" t="s">
        <v>810</v>
      </c>
      <c r="F245" s="171" t="s">
        <v>263</v>
      </c>
      <c r="G245" s="170" t="s">
        <v>605</v>
      </c>
      <c r="H245" s="172">
        <v>0</v>
      </c>
      <c r="I245" s="172">
        <v>0</v>
      </c>
      <c r="J245" s="173"/>
      <c r="K245" s="172">
        <v>0</v>
      </c>
      <c r="L245" s="172">
        <v>0</v>
      </c>
      <c r="M245" s="172">
        <v>0</v>
      </c>
      <c r="N245" s="173"/>
      <c r="O245" s="172">
        <v>0</v>
      </c>
      <c r="P245" s="172">
        <v>0</v>
      </c>
      <c r="Q245" s="172">
        <v>0</v>
      </c>
      <c r="R245" s="173"/>
      <c r="S245" s="172">
        <v>0</v>
      </c>
      <c r="T245" s="172">
        <v>0</v>
      </c>
      <c r="U245" s="172">
        <v>0</v>
      </c>
      <c r="V245" s="162"/>
    </row>
    <row r="246" spans="1:22" x14ac:dyDescent="0.25">
      <c r="A246" s="169">
        <v>2024</v>
      </c>
      <c r="B246" s="169" t="s">
        <v>809</v>
      </c>
      <c r="C246" s="170" t="s">
        <v>264</v>
      </c>
      <c r="D246" s="171" t="s">
        <v>810</v>
      </c>
      <c r="E246" s="171" t="s">
        <v>810</v>
      </c>
      <c r="F246" s="171" t="s">
        <v>264</v>
      </c>
      <c r="G246" s="170" t="s">
        <v>606</v>
      </c>
      <c r="H246" s="172">
        <v>3</v>
      </c>
      <c r="I246" s="172">
        <v>6</v>
      </c>
      <c r="J246" s="173"/>
      <c r="K246" s="172">
        <v>626253.75</v>
      </c>
      <c r="L246" s="172">
        <v>208751.25</v>
      </c>
      <c r="M246" s="172">
        <v>417502.5</v>
      </c>
      <c r="N246" s="173"/>
      <c r="O246" s="172">
        <v>217604.26</v>
      </c>
      <c r="P246" s="172">
        <v>72534.75</v>
      </c>
      <c r="Q246" s="172">
        <v>145069.51</v>
      </c>
      <c r="R246" s="173"/>
      <c r="S246" s="172">
        <v>843858.01</v>
      </c>
      <c r="T246" s="172">
        <v>281286</v>
      </c>
      <c r="U246" s="172">
        <v>562572.01</v>
      </c>
      <c r="V246" s="162"/>
    </row>
    <row r="247" spans="1:22" x14ac:dyDescent="0.25">
      <c r="A247" s="169">
        <v>2024</v>
      </c>
      <c r="B247" s="169" t="s">
        <v>811</v>
      </c>
      <c r="C247" s="170" t="s">
        <v>265</v>
      </c>
      <c r="D247" s="171" t="s">
        <v>810</v>
      </c>
      <c r="E247" s="171" t="s">
        <v>810</v>
      </c>
      <c r="F247" s="171" t="s">
        <v>265</v>
      </c>
      <c r="G247" s="170" t="s">
        <v>607</v>
      </c>
      <c r="H247" s="172">
        <v>0</v>
      </c>
      <c r="I247" s="172">
        <v>1</v>
      </c>
      <c r="J247" s="173"/>
      <c r="K247" s="172">
        <v>48163.5</v>
      </c>
      <c r="L247" s="172">
        <v>0</v>
      </c>
      <c r="M247" s="172">
        <v>48163.5</v>
      </c>
      <c r="N247" s="173"/>
      <c r="O247" s="172">
        <v>16882.59</v>
      </c>
      <c r="P247" s="172">
        <v>0</v>
      </c>
      <c r="Q247" s="172">
        <v>16882.59</v>
      </c>
      <c r="R247" s="173"/>
      <c r="S247" s="172">
        <v>65046.09</v>
      </c>
      <c r="T247" s="172">
        <v>0</v>
      </c>
      <c r="U247" s="172">
        <v>65046.09</v>
      </c>
      <c r="V247" s="162"/>
    </row>
    <row r="248" spans="1:22" x14ac:dyDescent="0.25">
      <c r="A248" s="169">
        <v>2024</v>
      </c>
      <c r="B248" s="169" t="s">
        <v>814</v>
      </c>
      <c r="C248" s="170" t="s">
        <v>266</v>
      </c>
      <c r="D248" s="171" t="s">
        <v>810</v>
      </c>
      <c r="E248" s="171" t="s">
        <v>810</v>
      </c>
      <c r="F248" s="171" t="s">
        <v>266</v>
      </c>
      <c r="G248" s="170" t="s">
        <v>608</v>
      </c>
      <c r="H248" s="172">
        <v>0</v>
      </c>
      <c r="I248" s="172">
        <v>10</v>
      </c>
      <c r="J248" s="173"/>
      <c r="K248" s="172">
        <v>116142</v>
      </c>
      <c r="L248" s="172">
        <v>0</v>
      </c>
      <c r="M248" s="172">
        <v>116142</v>
      </c>
      <c r="N248" s="173"/>
      <c r="O248" s="172">
        <v>40230.239999999998</v>
      </c>
      <c r="P248" s="172">
        <v>0</v>
      </c>
      <c r="Q248" s="172">
        <v>40230.239999999998</v>
      </c>
      <c r="R248" s="173"/>
      <c r="S248" s="172">
        <v>156372.24</v>
      </c>
      <c r="T248" s="172">
        <v>0</v>
      </c>
      <c r="U248" s="172">
        <v>156372.24</v>
      </c>
      <c r="V248" s="162"/>
    </row>
    <row r="249" spans="1:22" x14ac:dyDescent="0.25">
      <c r="A249" s="169">
        <v>2024</v>
      </c>
      <c r="B249" s="169" t="s">
        <v>809</v>
      </c>
      <c r="C249" s="170" t="s">
        <v>268</v>
      </c>
      <c r="D249" s="171" t="s">
        <v>810</v>
      </c>
      <c r="E249" s="171" t="s">
        <v>810</v>
      </c>
      <c r="F249" s="171" t="s">
        <v>268</v>
      </c>
      <c r="G249" s="170" t="s">
        <v>610</v>
      </c>
      <c r="H249" s="172">
        <v>0</v>
      </c>
      <c r="I249" s="172">
        <v>0</v>
      </c>
      <c r="J249" s="173"/>
      <c r="K249" s="172">
        <v>0</v>
      </c>
      <c r="L249" s="172">
        <v>0</v>
      </c>
      <c r="M249" s="172">
        <v>0</v>
      </c>
      <c r="N249" s="173"/>
      <c r="O249" s="172">
        <v>0</v>
      </c>
      <c r="P249" s="172">
        <v>0</v>
      </c>
      <c r="Q249" s="172">
        <v>0</v>
      </c>
      <c r="R249" s="173"/>
      <c r="S249" s="172">
        <v>0</v>
      </c>
      <c r="T249" s="172">
        <v>0</v>
      </c>
      <c r="U249" s="172">
        <v>0</v>
      </c>
      <c r="V249" s="162"/>
    </row>
    <row r="250" spans="1:22" x14ac:dyDescent="0.25">
      <c r="A250" s="169">
        <v>2024</v>
      </c>
      <c r="B250" s="169" t="s">
        <v>814</v>
      </c>
      <c r="C250" s="170" t="s">
        <v>269</v>
      </c>
      <c r="D250" s="171" t="s">
        <v>810</v>
      </c>
      <c r="E250" s="171" t="s">
        <v>810</v>
      </c>
      <c r="F250" s="171" t="s">
        <v>269</v>
      </c>
      <c r="G250" s="170" t="s">
        <v>611</v>
      </c>
      <c r="H250" s="172">
        <v>1</v>
      </c>
      <c r="I250" s="172">
        <v>1</v>
      </c>
      <c r="J250" s="173"/>
      <c r="K250" s="172">
        <v>40498.5</v>
      </c>
      <c r="L250" s="172">
        <v>20249.25</v>
      </c>
      <c r="M250" s="172">
        <v>20249.25</v>
      </c>
      <c r="N250" s="173"/>
      <c r="O250" s="172">
        <v>13560.99</v>
      </c>
      <c r="P250" s="172">
        <v>6780.5</v>
      </c>
      <c r="Q250" s="172">
        <v>6780.49</v>
      </c>
      <c r="R250" s="173"/>
      <c r="S250" s="172">
        <v>54059.49</v>
      </c>
      <c r="T250" s="172">
        <v>27029.75</v>
      </c>
      <c r="U250" s="172">
        <v>27029.739999999998</v>
      </c>
      <c r="V250" s="162"/>
    </row>
    <row r="251" spans="1:22" x14ac:dyDescent="0.25">
      <c r="A251" s="169">
        <v>2024</v>
      </c>
      <c r="B251" s="169" t="s">
        <v>813</v>
      </c>
      <c r="C251" s="170" t="s">
        <v>270</v>
      </c>
      <c r="D251" s="171" t="s">
        <v>810</v>
      </c>
      <c r="E251" s="171" t="s">
        <v>810</v>
      </c>
      <c r="F251" s="171" t="s">
        <v>270</v>
      </c>
      <c r="G251" s="170" t="s">
        <v>612</v>
      </c>
      <c r="H251" s="172">
        <v>0</v>
      </c>
      <c r="I251" s="172">
        <v>5</v>
      </c>
      <c r="J251" s="173"/>
      <c r="K251" s="172">
        <v>61325.25</v>
      </c>
      <c r="L251" s="172">
        <v>0</v>
      </c>
      <c r="M251" s="172">
        <v>61325.25</v>
      </c>
      <c r="N251" s="173"/>
      <c r="O251" s="172">
        <v>20482.810000000001</v>
      </c>
      <c r="P251" s="172">
        <v>0</v>
      </c>
      <c r="Q251" s="172">
        <v>20482.810000000001</v>
      </c>
      <c r="R251" s="173"/>
      <c r="S251" s="172">
        <v>81808.06</v>
      </c>
      <c r="T251" s="172">
        <v>0</v>
      </c>
      <c r="U251" s="172">
        <v>81808.06</v>
      </c>
      <c r="V251" s="162"/>
    </row>
    <row r="252" spans="1:22" x14ac:dyDescent="0.25">
      <c r="A252" s="169">
        <v>2024</v>
      </c>
      <c r="B252" s="169" t="s">
        <v>813</v>
      </c>
      <c r="C252" s="170" t="s">
        <v>271</v>
      </c>
      <c r="D252" s="171" t="s">
        <v>810</v>
      </c>
      <c r="E252" s="171" t="s">
        <v>810</v>
      </c>
      <c r="F252" s="171" t="s">
        <v>271</v>
      </c>
      <c r="G252" s="170" t="s">
        <v>613</v>
      </c>
      <c r="H252" s="172">
        <v>0</v>
      </c>
      <c r="I252" s="172">
        <v>0</v>
      </c>
      <c r="J252" s="173"/>
      <c r="K252" s="172">
        <v>0</v>
      </c>
      <c r="L252" s="172">
        <v>0</v>
      </c>
      <c r="M252" s="172">
        <v>0</v>
      </c>
      <c r="N252" s="173"/>
      <c r="O252" s="172">
        <v>0</v>
      </c>
      <c r="P252" s="172">
        <v>0</v>
      </c>
      <c r="Q252" s="172">
        <v>0</v>
      </c>
      <c r="R252" s="173"/>
      <c r="S252" s="172">
        <v>0</v>
      </c>
      <c r="T252" s="172">
        <v>0</v>
      </c>
      <c r="U252" s="172">
        <v>0</v>
      </c>
      <c r="V252" s="162"/>
    </row>
    <row r="253" spans="1:22" x14ac:dyDescent="0.25">
      <c r="A253" s="169">
        <v>2024</v>
      </c>
      <c r="B253" s="169" t="s">
        <v>815</v>
      </c>
      <c r="C253" s="170" t="s">
        <v>272</v>
      </c>
      <c r="D253" s="171" t="s">
        <v>810</v>
      </c>
      <c r="E253" s="171" t="s">
        <v>810</v>
      </c>
      <c r="F253" s="171" t="s">
        <v>272</v>
      </c>
      <c r="G253" s="170" t="s">
        <v>614</v>
      </c>
      <c r="H253" s="172">
        <v>0</v>
      </c>
      <c r="I253" s="172">
        <v>10</v>
      </c>
      <c r="J253" s="173"/>
      <c r="K253" s="172">
        <v>139619.25</v>
      </c>
      <c r="L253" s="172">
        <v>0</v>
      </c>
      <c r="M253" s="172">
        <v>139619.25</v>
      </c>
      <c r="N253" s="173"/>
      <c r="O253" s="172">
        <v>59195.32</v>
      </c>
      <c r="P253" s="172">
        <v>0</v>
      </c>
      <c r="Q253" s="172">
        <v>59195.32</v>
      </c>
      <c r="R253" s="173"/>
      <c r="S253" s="172">
        <v>198814.57</v>
      </c>
      <c r="T253" s="172">
        <v>0</v>
      </c>
      <c r="U253" s="172">
        <v>198814.57</v>
      </c>
      <c r="V253" s="162"/>
    </row>
    <row r="254" spans="1:22" x14ac:dyDescent="0.25">
      <c r="A254" s="169">
        <v>2024</v>
      </c>
      <c r="B254" s="169" t="s">
        <v>813</v>
      </c>
      <c r="C254" s="170" t="s">
        <v>274</v>
      </c>
      <c r="D254" s="171" t="s">
        <v>810</v>
      </c>
      <c r="E254" s="171" t="s">
        <v>810</v>
      </c>
      <c r="F254" s="171" t="s">
        <v>274</v>
      </c>
      <c r="G254" s="170" t="s">
        <v>616</v>
      </c>
      <c r="H254" s="172">
        <v>0</v>
      </c>
      <c r="I254" s="172">
        <v>6</v>
      </c>
      <c r="J254" s="173"/>
      <c r="K254" s="172">
        <v>414942.75</v>
      </c>
      <c r="L254" s="172">
        <v>0</v>
      </c>
      <c r="M254" s="172">
        <v>414942.75</v>
      </c>
      <c r="N254" s="173"/>
      <c r="O254" s="172">
        <v>144619.07</v>
      </c>
      <c r="P254" s="172">
        <v>0</v>
      </c>
      <c r="Q254" s="172">
        <v>144619.07</v>
      </c>
      <c r="R254" s="173"/>
      <c r="S254" s="172">
        <v>559561.82000000007</v>
      </c>
      <c r="T254" s="172">
        <v>0</v>
      </c>
      <c r="U254" s="172">
        <v>559561.82000000007</v>
      </c>
      <c r="V254" s="162"/>
    </row>
    <row r="255" spans="1:22" x14ac:dyDescent="0.25">
      <c r="A255" s="169">
        <v>2024</v>
      </c>
      <c r="B255" s="169" t="s">
        <v>812</v>
      </c>
      <c r="C255" s="170" t="s">
        <v>275</v>
      </c>
      <c r="D255" s="171" t="s">
        <v>810</v>
      </c>
      <c r="E255" s="171" t="s">
        <v>810</v>
      </c>
      <c r="F255" s="171" t="s">
        <v>275</v>
      </c>
      <c r="G255" s="170" t="s">
        <v>617</v>
      </c>
      <c r="H255" s="172">
        <v>4</v>
      </c>
      <c r="I255" s="172">
        <v>4</v>
      </c>
      <c r="J255" s="173"/>
      <c r="K255" s="172">
        <v>405401.25</v>
      </c>
      <c r="L255" s="172">
        <v>202700.63</v>
      </c>
      <c r="M255" s="172">
        <v>202700.62</v>
      </c>
      <c r="N255" s="173"/>
      <c r="O255" s="172">
        <v>139618.26</v>
      </c>
      <c r="P255" s="172">
        <v>69809.13</v>
      </c>
      <c r="Q255" s="172">
        <v>69809.13</v>
      </c>
      <c r="R255" s="173"/>
      <c r="S255" s="172">
        <v>545019.51</v>
      </c>
      <c r="T255" s="172">
        <v>272509.76</v>
      </c>
      <c r="U255" s="172">
        <v>272509.75</v>
      </c>
      <c r="V255" s="162"/>
    </row>
    <row r="256" spans="1:22" x14ac:dyDescent="0.25">
      <c r="A256" s="169">
        <v>2024</v>
      </c>
      <c r="B256" s="169" t="s">
        <v>813</v>
      </c>
      <c r="C256" s="170" t="s">
        <v>276</v>
      </c>
      <c r="D256" s="171" t="s">
        <v>810</v>
      </c>
      <c r="E256" s="171" t="s">
        <v>810</v>
      </c>
      <c r="F256" s="171" t="s">
        <v>276</v>
      </c>
      <c r="G256" s="170" t="s">
        <v>618</v>
      </c>
      <c r="H256" s="172">
        <v>4</v>
      </c>
      <c r="I256" s="172">
        <v>4</v>
      </c>
      <c r="J256" s="173"/>
      <c r="K256" s="172">
        <v>296712.75</v>
      </c>
      <c r="L256" s="172">
        <v>148356.38</v>
      </c>
      <c r="M256" s="172">
        <v>148356.37</v>
      </c>
      <c r="N256" s="173"/>
      <c r="O256" s="172">
        <v>101692.57</v>
      </c>
      <c r="P256" s="172">
        <v>50846.29</v>
      </c>
      <c r="Q256" s="172">
        <v>50846.280000000006</v>
      </c>
      <c r="R256" s="173"/>
      <c r="S256" s="172">
        <v>398405.32</v>
      </c>
      <c r="T256" s="172">
        <v>199202.67</v>
      </c>
      <c r="U256" s="172">
        <v>199202.65</v>
      </c>
      <c r="V256" s="162"/>
    </row>
    <row r="257" spans="1:22" x14ac:dyDescent="0.25">
      <c r="A257" s="169">
        <v>2024</v>
      </c>
      <c r="B257" s="169" t="s">
        <v>812</v>
      </c>
      <c r="C257" s="170" t="s">
        <v>277</v>
      </c>
      <c r="D257" s="171" t="s">
        <v>810</v>
      </c>
      <c r="E257" s="171" t="s">
        <v>810</v>
      </c>
      <c r="F257" s="171" t="s">
        <v>277</v>
      </c>
      <c r="G257" s="170" t="s">
        <v>619</v>
      </c>
      <c r="H257" s="172">
        <v>10</v>
      </c>
      <c r="I257" s="172">
        <v>9</v>
      </c>
      <c r="J257" s="173"/>
      <c r="K257" s="172">
        <v>406508.25</v>
      </c>
      <c r="L257" s="172">
        <v>213951.71</v>
      </c>
      <c r="M257" s="172">
        <v>192556.54</v>
      </c>
      <c r="N257" s="173"/>
      <c r="O257" s="172">
        <v>53535.79</v>
      </c>
      <c r="P257" s="172">
        <v>28176.73</v>
      </c>
      <c r="Q257" s="172">
        <v>25359.06</v>
      </c>
      <c r="R257" s="173"/>
      <c r="S257" s="172">
        <v>460044.04</v>
      </c>
      <c r="T257" s="172">
        <v>242128.44</v>
      </c>
      <c r="U257" s="172">
        <v>217915.6</v>
      </c>
      <c r="V257" s="162"/>
    </row>
    <row r="258" spans="1:22" x14ac:dyDescent="0.25">
      <c r="A258" s="169">
        <v>2024</v>
      </c>
      <c r="B258" s="169" t="s">
        <v>815</v>
      </c>
      <c r="C258" s="170" t="s">
        <v>278</v>
      </c>
      <c r="D258" s="171" t="s">
        <v>810</v>
      </c>
      <c r="E258" s="171" t="s">
        <v>810</v>
      </c>
      <c r="F258" s="171" t="s">
        <v>278</v>
      </c>
      <c r="G258" s="170" t="s">
        <v>620</v>
      </c>
      <c r="H258" s="172">
        <v>0</v>
      </c>
      <c r="I258" s="172">
        <v>1</v>
      </c>
      <c r="J258" s="173"/>
      <c r="K258" s="172">
        <v>25724.25</v>
      </c>
      <c r="L258" s="172">
        <v>0</v>
      </c>
      <c r="M258" s="172">
        <v>25724.25</v>
      </c>
      <c r="N258" s="173"/>
      <c r="O258" s="172">
        <v>8764.2000000000007</v>
      </c>
      <c r="P258" s="172">
        <v>0</v>
      </c>
      <c r="Q258" s="172">
        <v>8764.2000000000007</v>
      </c>
      <c r="R258" s="173"/>
      <c r="S258" s="172">
        <v>34488.449999999997</v>
      </c>
      <c r="T258" s="172">
        <v>0</v>
      </c>
      <c r="U258" s="172">
        <v>34488.449999999997</v>
      </c>
      <c r="V258" s="162"/>
    </row>
    <row r="259" spans="1:22" x14ac:dyDescent="0.25">
      <c r="A259" s="169">
        <v>2024</v>
      </c>
      <c r="B259" s="169" t="s">
        <v>813</v>
      </c>
      <c r="C259" s="170" t="s">
        <v>279</v>
      </c>
      <c r="D259" s="171" t="s">
        <v>810</v>
      </c>
      <c r="E259" s="171" t="s">
        <v>810</v>
      </c>
      <c r="F259" s="171" t="s">
        <v>279</v>
      </c>
      <c r="G259" s="170" t="s">
        <v>621</v>
      </c>
      <c r="H259" s="172">
        <v>0</v>
      </c>
      <c r="I259" s="172">
        <v>6</v>
      </c>
      <c r="J259" s="173"/>
      <c r="K259" s="172">
        <v>593197.5</v>
      </c>
      <c r="L259" s="172">
        <v>0</v>
      </c>
      <c r="M259" s="172">
        <v>593197.5</v>
      </c>
      <c r="N259" s="173"/>
      <c r="O259" s="172">
        <v>198546.58</v>
      </c>
      <c r="P259" s="172">
        <v>0</v>
      </c>
      <c r="Q259" s="172">
        <v>198546.58</v>
      </c>
      <c r="R259" s="173"/>
      <c r="S259" s="172">
        <v>791744.08</v>
      </c>
      <c r="T259" s="172">
        <v>0</v>
      </c>
      <c r="U259" s="172">
        <v>791744.08</v>
      </c>
      <c r="V259" s="162"/>
    </row>
    <row r="260" spans="1:22" x14ac:dyDescent="0.25">
      <c r="A260" s="169">
        <v>2024</v>
      </c>
      <c r="B260" s="169" t="s">
        <v>814</v>
      </c>
      <c r="C260" s="170" t="s">
        <v>281</v>
      </c>
      <c r="D260" s="171" t="s">
        <v>810</v>
      </c>
      <c r="E260" s="171" t="s">
        <v>810</v>
      </c>
      <c r="F260" s="171" t="s">
        <v>692</v>
      </c>
      <c r="G260" s="170" t="s">
        <v>623</v>
      </c>
      <c r="H260" s="172">
        <v>0</v>
      </c>
      <c r="I260" s="172">
        <v>5</v>
      </c>
      <c r="J260" s="173"/>
      <c r="K260" s="172">
        <v>141684.75</v>
      </c>
      <c r="L260" s="172">
        <v>0</v>
      </c>
      <c r="M260" s="172">
        <v>141684.75</v>
      </c>
      <c r="N260" s="173"/>
      <c r="O260" s="172">
        <v>48423.48</v>
      </c>
      <c r="P260" s="172">
        <v>0</v>
      </c>
      <c r="Q260" s="172">
        <v>48423.48</v>
      </c>
      <c r="R260" s="173"/>
      <c r="S260" s="172">
        <v>190108.23</v>
      </c>
      <c r="T260" s="172">
        <v>0</v>
      </c>
      <c r="U260" s="172">
        <v>190108.23</v>
      </c>
      <c r="V260" s="162"/>
    </row>
    <row r="261" spans="1:22" x14ac:dyDescent="0.25">
      <c r="A261" s="169">
        <v>2024</v>
      </c>
      <c r="B261" s="169" t="s">
        <v>813</v>
      </c>
      <c r="C261" s="170" t="s">
        <v>280</v>
      </c>
      <c r="D261" s="171" t="s">
        <v>810</v>
      </c>
      <c r="E261" s="171" t="s">
        <v>810</v>
      </c>
      <c r="F261" s="171" t="s">
        <v>280</v>
      </c>
      <c r="G261" s="170" t="s">
        <v>622</v>
      </c>
      <c r="H261" s="172">
        <v>0</v>
      </c>
      <c r="I261" s="172">
        <v>3</v>
      </c>
      <c r="J261" s="173"/>
      <c r="K261" s="172">
        <v>1848401.25</v>
      </c>
      <c r="L261" s="172">
        <v>0</v>
      </c>
      <c r="M261" s="172">
        <v>1848401.25</v>
      </c>
      <c r="N261" s="173"/>
      <c r="O261" s="172">
        <v>627640.88</v>
      </c>
      <c r="P261" s="172">
        <v>0</v>
      </c>
      <c r="Q261" s="172">
        <v>627640.88</v>
      </c>
      <c r="R261" s="173"/>
      <c r="S261" s="172">
        <v>2476042.13</v>
      </c>
      <c r="T261" s="172">
        <v>0</v>
      </c>
      <c r="U261" s="172">
        <v>2476042.13</v>
      </c>
      <c r="V261" s="162"/>
    </row>
    <row r="262" spans="1:22" x14ac:dyDescent="0.25">
      <c r="A262" s="169">
        <v>2024</v>
      </c>
      <c r="B262" s="169" t="s">
        <v>816</v>
      </c>
      <c r="C262" s="170" t="s">
        <v>283</v>
      </c>
      <c r="D262" s="171" t="s">
        <v>810</v>
      </c>
      <c r="E262" s="171" t="s">
        <v>810</v>
      </c>
      <c r="F262" s="171" t="s">
        <v>283</v>
      </c>
      <c r="G262" s="170" t="s">
        <v>625</v>
      </c>
      <c r="H262" s="172">
        <v>0</v>
      </c>
      <c r="I262" s="172">
        <v>1</v>
      </c>
      <c r="J262" s="173"/>
      <c r="K262" s="172">
        <v>195531</v>
      </c>
      <c r="L262" s="172">
        <v>0</v>
      </c>
      <c r="M262" s="172">
        <v>195531</v>
      </c>
      <c r="N262" s="173"/>
      <c r="O262" s="172">
        <v>70159.600000000006</v>
      </c>
      <c r="P262" s="172">
        <v>0</v>
      </c>
      <c r="Q262" s="172">
        <v>70159.600000000006</v>
      </c>
      <c r="R262" s="173"/>
      <c r="S262" s="172">
        <v>265690.59999999998</v>
      </c>
      <c r="T262" s="172">
        <v>0</v>
      </c>
      <c r="U262" s="172">
        <v>265690.59999999998</v>
      </c>
      <c r="V262" s="162"/>
    </row>
    <row r="263" spans="1:22" x14ac:dyDescent="0.25">
      <c r="A263" s="169">
        <v>2024</v>
      </c>
      <c r="B263" s="169" t="s">
        <v>814</v>
      </c>
      <c r="C263" s="170" t="s">
        <v>282</v>
      </c>
      <c r="D263" s="171" t="s">
        <v>810</v>
      </c>
      <c r="E263" s="171" t="s">
        <v>810</v>
      </c>
      <c r="F263" s="171" t="s">
        <v>282</v>
      </c>
      <c r="G263" s="170" t="s">
        <v>624</v>
      </c>
      <c r="H263" s="172">
        <v>0</v>
      </c>
      <c r="I263" s="172">
        <v>1</v>
      </c>
      <c r="J263" s="173"/>
      <c r="K263" s="172">
        <v>55254.75</v>
      </c>
      <c r="L263" s="172">
        <v>0</v>
      </c>
      <c r="M263" s="172">
        <v>55254.75</v>
      </c>
      <c r="N263" s="173"/>
      <c r="O263" s="172">
        <v>18889.02</v>
      </c>
      <c r="P263" s="172">
        <v>0</v>
      </c>
      <c r="Q263" s="172">
        <v>18889.02</v>
      </c>
      <c r="R263" s="173"/>
      <c r="S263" s="172">
        <v>74143.77</v>
      </c>
      <c r="T263" s="172">
        <v>0</v>
      </c>
      <c r="U263" s="172">
        <v>74143.77</v>
      </c>
      <c r="V263" s="162"/>
    </row>
    <row r="264" spans="1:22" x14ac:dyDescent="0.25">
      <c r="A264" s="169">
        <v>2024</v>
      </c>
      <c r="B264" s="169" t="s">
        <v>814</v>
      </c>
      <c r="C264" s="170" t="s">
        <v>285</v>
      </c>
      <c r="D264" s="171" t="s">
        <v>810</v>
      </c>
      <c r="E264" s="171" t="s">
        <v>810</v>
      </c>
      <c r="F264" s="171" t="s">
        <v>285</v>
      </c>
      <c r="G264" s="170" t="s">
        <v>627</v>
      </c>
      <c r="H264" s="172">
        <v>0</v>
      </c>
      <c r="I264" s="172">
        <v>3</v>
      </c>
      <c r="J264" s="173"/>
      <c r="K264" s="172">
        <v>151820.25</v>
      </c>
      <c r="L264" s="172">
        <v>0</v>
      </c>
      <c r="M264" s="172">
        <v>151820.25</v>
      </c>
      <c r="N264" s="173"/>
      <c r="O264" s="172">
        <v>53763.44</v>
      </c>
      <c r="P264" s="172">
        <v>0</v>
      </c>
      <c r="Q264" s="172">
        <v>53763.44</v>
      </c>
      <c r="R264" s="173"/>
      <c r="S264" s="172">
        <v>205583.69</v>
      </c>
      <c r="T264" s="172">
        <v>0</v>
      </c>
      <c r="U264" s="172">
        <v>205583.69</v>
      </c>
      <c r="V264" s="162"/>
    </row>
    <row r="265" spans="1:22" x14ac:dyDescent="0.25">
      <c r="A265" s="169">
        <v>2024</v>
      </c>
      <c r="B265" s="169" t="s">
        <v>813</v>
      </c>
      <c r="C265" s="170" t="s">
        <v>250</v>
      </c>
      <c r="D265" s="171" t="s">
        <v>810</v>
      </c>
      <c r="E265" s="171" t="s">
        <v>810</v>
      </c>
      <c r="F265" s="171" t="s">
        <v>690</v>
      </c>
      <c r="G265" s="170" t="s">
        <v>594</v>
      </c>
      <c r="H265" s="172">
        <v>4</v>
      </c>
      <c r="I265" s="172">
        <v>6</v>
      </c>
      <c r="J265" s="173"/>
      <c r="K265" s="172">
        <v>393641.25</v>
      </c>
      <c r="L265" s="172">
        <v>157456.5</v>
      </c>
      <c r="M265" s="172">
        <v>236184.75</v>
      </c>
      <c r="N265" s="173"/>
      <c r="O265" s="172">
        <v>133618.57999999999</v>
      </c>
      <c r="P265" s="172">
        <v>53447.43</v>
      </c>
      <c r="Q265" s="172">
        <v>80171.149999999994</v>
      </c>
      <c r="R265" s="173"/>
      <c r="S265" s="172">
        <v>527259.82999999996</v>
      </c>
      <c r="T265" s="172">
        <v>210903.93</v>
      </c>
      <c r="U265" s="172">
        <v>316355.90000000002</v>
      </c>
      <c r="V265" s="162"/>
    </row>
    <row r="266" spans="1:22" x14ac:dyDescent="0.25">
      <c r="A266" s="169">
        <v>2024</v>
      </c>
      <c r="B266" s="169" t="s">
        <v>812</v>
      </c>
      <c r="C266" s="170" t="s">
        <v>287</v>
      </c>
      <c r="D266" s="171" t="s">
        <v>810</v>
      </c>
      <c r="E266" s="171" t="s">
        <v>810</v>
      </c>
      <c r="F266" s="171" t="s">
        <v>287</v>
      </c>
      <c r="G266" s="170" t="s">
        <v>628</v>
      </c>
      <c r="H266" s="172">
        <v>0</v>
      </c>
      <c r="I266" s="172">
        <v>12</v>
      </c>
      <c r="J266" s="173"/>
      <c r="K266" s="172">
        <v>110267.25</v>
      </c>
      <c r="L266" s="172">
        <v>0</v>
      </c>
      <c r="M266" s="172">
        <v>110267.25</v>
      </c>
      <c r="N266" s="173"/>
      <c r="O266" s="172">
        <v>37118.39</v>
      </c>
      <c r="P266" s="172">
        <v>0</v>
      </c>
      <c r="Q266" s="172">
        <v>37118.39</v>
      </c>
      <c r="R266" s="173"/>
      <c r="S266" s="172">
        <v>147385.64000000001</v>
      </c>
      <c r="T266" s="172">
        <v>0</v>
      </c>
      <c r="U266" s="172">
        <v>147385.64000000001</v>
      </c>
      <c r="V266" s="162"/>
    </row>
    <row r="267" spans="1:22" x14ac:dyDescent="0.25">
      <c r="A267" s="169">
        <v>2024</v>
      </c>
      <c r="B267" s="169" t="s">
        <v>811</v>
      </c>
      <c r="C267" s="170" t="s">
        <v>288</v>
      </c>
      <c r="D267" s="171" t="s">
        <v>810</v>
      </c>
      <c r="E267" s="171" t="s">
        <v>810</v>
      </c>
      <c r="F267" s="171" t="s">
        <v>288</v>
      </c>
      <c r="G267" s="170" t="s">
        <v>629</v>
      </c>
      <c r="H267" s="172">
        <v>0</v>
      </c>
      <c r="I267" s="172">
        <v>4</v>
      </c>
      <c r="J267" s="173"/>
      <c r="K267" s="172">
        <v>237384</v>
      </c>
      <c r="L267" s="172">
        <v>0</v>
      </c>
      <c r="M267" s="172">
        <v>237384</v>
      </c>
      <c r="N267" s="173"/>
      <c r="O267" s="172">
        <v>84070.22</v>
      </c>
      <c r="P267" s="172">
        <v>0</v>
      </c>
      <c r="Q267" s="172">
        <v>84070.22</v>
      </c>
      <c r="R267" s="173"/>
      <c r="S267" s="172">
        <v>321454.21999999997</v>
      </c>
      <c r="T267" s="172">
        <v>0</v>
      </c>
      <c r="U267" s="172">
        <v>321454.21999999997</v>
      </c>
      <c r="V267" s="162"/>
    </row>
    <row r="268" spans="1:22" x14ac:dyDescent="0.25">
      <c r="A268" s="169">
        <v>2024</v>
      </c>
      <c r="B268" s="169" t="s">
        <v>818</v>
      </c>
      <c r="C268" s="170" t="s">
        <v>289</v>
      </c>
      <c r="D268" s="171" t="s">
        <v>810</v>
      </c>
      <c r="E268" s="171" t="s">
        <v>810</v>
      </c>
      <c r="F268" s="171" t="s">
        <v>289</v>
      </c>
      <c r="G268" s="170" t="s">
        <v>630</v>
      </c>
      <c r="H268" s="172">
        <v>3</v>
      </c>
      <c r="I268" s="172">
        <v>3</v>
      </c>
      <c r="J268" s="173"/>
      <c r="K268" s="172">
        <v>215522.25</v>
      </c>
      <c r="L268" s="172">
        <v>107761.13</v>
      </c>
      <c r="M268" s="172">
        <v>107761.12</v>
      </c>
      <c r="N268" s="173"/>
      <c r="O268" s="172">
        <v>72766.55</v>
      </c>
      <c r="P268" s="172">
        <v>36383.279999999999</v>
      </c>
      <c r="Q268" s="172">
        <v>36383.270000000004</v>
      </c>
      <c r="R268" s="173"/>
      <c r="S268" s="172">
        <v>288288.8</v>
      </c>
      <c r="T268" s="172">
        <v>144144.41</v>
      </c>
      <c r="U268" s="172">
        <v>144144.39000000001</v>
      </c>
      <c r="V268" s="162"/>
    </row>
    <row r="269" spans="1:22" x14ac:dyDescent="0.25">
      <c r="A269" s="169">
        <v>2024</v>
      </c>
      <c r="B269" s="169" t="s">
        <v>809</v>
      </c>
      <c r="C269" s="170" t="s">
        <v>290</v>
      </c>
      <c r="D269" s="171" t="s">
        <v>810</v>
      </c>
      <c r="E269" s="171" t="s">
        <v>810</v>
      </c>
      <c r="F269" s="171" t="s">
        <v>290</v>
      </c>
      <c r="G269" s="170" t="s">
        <v>631</v>
      </c>
      <c r="H269" s="172">
        <v>0</v>
      </c>
      <c r="I269" s="172">
        <v>5</v>
      </c>
      <c r="J269" s="173"/>
      <c r="K269" s="172">
        <v>2482783.5</v>
      </c>
      <c r="L269" s="172">
        <v>0</v>
      </c>
      <c r="M269" s="172">
        <v>2482783.5</v>
      </c>
      <c r="N269" s="173"/>
      <c r="O269" s="172">
        <v>858786.5</v>
      </c>
      <c r="P269" s="172">
        <v>0</v>
      </c>
      <c r="Q269" s="172">
        <v>858786.5</v>
      </c>
      <c r="R269" s="173"/>
      <c r="S269" s="172">
        <v>3341570</v>
      </c>
      <c r="T269" s="172">
        <v>0</v>
      </c>
      <c r="U269" s="172">
        <v>3341570</v>
      </c>
      <c r="V269" s="162"/>
    </row>
    <row r="270" spans="1:22" x14ac:dyDescent="0.25">
      <c r="A270" s="169">
        <v>2024</v>
      </c>
      <c r="B270" s="169" t="s">
        <v>809</v>
      </c>
      <c r="C270" s="170" t="s">
        <v>284</v>
      </c>
      <c r="D270" s="171" t="s">
        <v>810</v>
      </c>
      <c r="E270" s="171" t="s">
        <v>810</v>
      </c>
      <c r="F270" s="171" t="s">
        <v>284</v>
      </c>
      <c r="G270" s="170" t="s">
        <v>626</v>
      </c>
      <c r="H270" s="172">
        <v>0</v>
      </c>
      <c r="I270" s="172">
        <v>5</v>
      </c>
      <c r="J270" s="173"/>
      <c r="K270" s="172">
        <v>139889.25</v>
      </c>
      <c r="L270" s="172">
        <v>0</v>
      </c>
      <c r="M270" s="172">
        <v>139889.25</v>
      </c>
      <c r="N270" s="173"/>
      <c r="O270" s="172">
        <v>49014.29</v>
      </c>
      <c r="P270" s="172">
        <v>0</v>
      </c>
      <c r="Q270" s="172">
        <v>49014.29</v>
      </c>
      <c r="R270" s="173"/>
      <c r="S270" s="172">
        <v>188903.54</v>
      </c>
      <c r="T270" s="172">
        <v>0</v>
      </c>
      <c r="U270" s="172">
        <v>188903.54</v>
      </c>
      <c r="V270" s="162"/>
    </row>
    <row r="271" spans="1:22" x14ac:dyDescent="0.25">
      <c r="A271" s="169">
        <v>2024</v>
      </c>
      <c r="B271" s="169" t="s">
        <v>814</v>
      </c>
      <c r="C271" s="170" t="s">
        <v>286</v>
      </c>
      <c r="D271" s="171" t="s">
        <v>259</v>
      </c>
      <c r="E271" s="171" t="s">
        <v>810</v>
      </c>
      <c r="F271" s="171" t="s">
        <v>286</v>
      </c>
      <c r="G271" s="170" t="s">
        <v>824</v>
      </c>
      <c r="H271" s="172">
        <v>2</v>
      </c>
      <c r="I271" s="172">
        <v>12</v>
      </c>
      <c r="J271" s="173"/>
      <c r="K271" s="172">
        <v>437082</v>
      </c>
      <c r="L271" s="172">
        <v>62440.29</v>
      </c>
      <c r="M271" s="172">
        <v>374641.71</v>
      </c>
      <c r="N271" s="173"/>
      <c r="O271" s="172">
        <v>152605.88999999998</v>
      </c>
      <c r="P271" s="172">
        <v>21800.84</v>
      </c>
      <c r="Q271" s="172">
        <v>130805.05</v>
      </c>
      <c r="R271" s="173"/>
      <c r="S271" s="172">
        <v>589687.89</v>
      </c>
      <c r="T271" s="172">
        <v>84241.13</v>
      </c>
      <c r="U271" s="172">
        <v>505446.76</v>
      </c>
      <c r="V271" s="162"/>
    </row>
    <row r="272" spans="1:22" x14ac:dyDescent="0.25">
      <c r="A272" s="169">
        <v>2024</v>
      </c>
      <c r="B272" s="169" t="s">
        <v>814</v>
      </c>
      <c r="C272" s="170" t="s">
        <v>291</v>
      </c>
      <c r="D272" s="171" t="s">
        <v>810</v>
      </c>
      <c r="E272" s="171" t="s">
        <v>810</v>
      </c>
      <c r="F272" s="171" t="s">
        <v>291</v>
      </c>
      <c r="G272" s="170" t="s">
        <v>632</v>
      </c>
      <c r="H272" s="172">
        <v>0</v>
      </c>
      <c r="I272" s="172">
        <v>4</v>
      </c>
      <c r="J272" s="173"/>
      <c r="K272" s="172">
        <v>510533.25</v>
      </c>
      <c r="L272" s="172">
        <v>0</v>
      </c>
      <c r="M272" s="172">
        <v>510533.25</v>
      </c>
      <c r="N272" s="173"/>
      <c r="O272" s="172">
        <v>174669.53</v>
      </c>
      <c r="P272" s="172">
        <v>0</v>
      </c>
      <c r="Q272" s="172">
        <v>174669.53</v>
      </c>
      <c r="R272" s="173"/>
      <c r="S272" s="172">
        <v>685202.78</v>
      </c>
      <c r="T272" s="172">
        <v>0</v>
      </c>
      <c r="U272" s="172">
        <v>685202.78</v>
      </c>
      <c r="V272" s="162"/>
    </row>
    <row r="273" spans="1:22" x14ac:dyDescent="0.25">
      <c r="A273" s="169">
        <v>2024</v>
      </c>
      <c r="B273" s="169" t="s">
        <v>814</v>
      </c>
      <c r="C273" s="170" t="s">
        <v>292</v>
      </c>
      <c r="D273" s="171" t="s">
        <v>810</v>
      </c>
      <c r="E273" s="171" t="s">
        <v>810</v>
      </c>
      <c r="F273" s="171" t="s">
        <v>292</v>
      </c>
      <c r="G273" s="170" t="s">
        <v>633</v>
      </c>
      <c r="H273" s="172">
        <v>0</v>
      </c>
      <c r="I273" s="172">
        <v>1</v>
      </c>
      <c r="J273" s="173"/>
      <c r="K273" s="172">
        <v>130263.75</v>
      </c>
      <c r="L273" s="172">
        <v>0</v>
      </c>
      <c r="M273" s="172">
        <v>130263.75</v>
      </c>
      <c r="N273" s="173"/>
      <c r="O273" s="172">
        <v>45790.82</v>
      </c>
      <c r="P273" s="172">
        <v>0</v>
      </c>
      <c r="Q273" s="172">
        <v>45790.82</v>
      </c>
      <c r="R273" s="173"/>
      <c r="S273" s="172">
        <v>176054.57</v>
      </c>
      <c r="T273" s="172">
        <v>0</v>
      </c>
      <c r="U273" s="172">
        <v>176054.57</v>
      </c>
      <c r="V273" s="162"/>
    </row>
    <row r="274" spans="1:22" x14ac:dyDescent="0.25">
      <c r="A274" s="169">
        <v>2024</v>
      </c>
      <c r="B274" s="169" t="s">
        <v>816</v>
      </c>
      <c r="C274" s="170" t="s">
        <v>293</v>
      </c>
      <c r="D274" s="171" t="s">
        <v>810</v>
      </c>
      <c r="E274" s="171" t="s">
        <v>810</v>
      </c>
      <c r="F274" s="171" t="s">
        <v>293</v>
      </c>
      <c r="G274" s="170" t="s">
        <v>634</v>
      </c>
      <c r="H274" s="172">
        <v>0</v>
      </c>
      <c r="I274" s="172">
        <v>1</v>
      </c>
      <c r="J274" s="173"/>
      <c r="K274" s="172">
        <v>30290.25</v>
      </c>
      <c r="L274" s="172">
        <v>0</v>
      </c>
      <c r="M274" s="172">
        <v>30290.25</v>
      </c>
      <c r="N274" s="173"/>
      <c r="O274" s="172">
        <v>10687.3</v>
      </c>
      <c r="P274" s="172">
        <v>0</v>
      </c>
      <c r="Q274" s="172">
        <v>10687.3</v>
      </c>
      <c r="R274" s="173"/>
      <c r="S274" s="172">
        <v>40977.550000000003</v>
      </c>
      <c r="T274" s="172">
        <v>0</v>
      </c>
      <c r="U274" s="172">
        <v>40977.550000000003</v>
      </c>
      <c r="V274" s="162"/>
    </row>
    <row r="275" spans="1:22" x14ac:dyDescent="0.25">
      <c r="A275" s="169">
        <v>2024</v>
      </c>
      <c r="B275" s="169" t="s">
        <v>811</v>
      </c>
      <c r="C275" s="170" t="s">
        <v>267</v>
      </c>
      <c r="D275" s="171" t="s">
        <v>810</v>
      </c>
      <c r="E275" s="171" t="s">
        <v>810</v>
      </c>
      <c r="F275" s="171" t="s">
        <v>267</v>
      </c>
      <c r="G275" s="170" t="s">
        <v>609</v>
      </c>
      <c r="H275" s="172">
        <v>0</v>
      </c>
      <c r="I275" s="172">
        <v>7</v>
      </c>
      <c r="J275" s="173"/>
      <c r="K275" s="172">
        <v>256610.25</v>
      </c>
      <c r="L275" s="172">
        <v>0</v>
      </c>
      <c r="M275" s="172">
        <v>256610.25</v>
      </c>
      <c r="N275" s="173"/>
      <c r="O275" s="172">
        <v>90134.05</v>
      </c>
      <c r="P275" s="172">
        <v>0</v>
      </c>
      <c r="Q275" s="172">
        <v>90134.05</v>
      </c>
      <c r="R275" s="173"/>
      <c r="S275" s="172">
        <v>346744.3</v>
      </c>
      <c r="T275" s="172">
        <v>0</v>
      </c>
      <c r="U275" s="172">
        <v>346744.3</v>
      </c>
      <c r="V275" s="162"/>
    </row>
    <row r="276" spans="1:22" x14ac:dyDescent="0.25">
      <c r="A276" s="169">
        <v>2024</v>
      </c>
      <c r="B276" s="169" t="s">
        <v>812</v>
      </c>
      <c r="C276" s="170" t="s">
        <v>294</v>
      </c>
      <c r="D276" s="171" t="s">
        <v>810</v>
      </c>
      <c r="E276" s="171" t="s">
        <v>810</v>
      </c>
      <c r="F276" s="171" t="s">
        <v>294</v>
      </c>
      <c r="G276" s="170" t="s">
        <v>635</v>
      </c>
      <c r="H276" s="172">
        <v>1</v>
      </c>
      <c r="I276" s="172">
        <v>1</v>
      </c>
      <c r="J276" s="173"/>
      <c r="K276" s="172">
        <v>21663</v>
      </c>
      <c r="L276" s="172">
        <v>10831.5</v>
      </c>
      <c r="M276" s="172">
        <v>10831.5</v>
      </c>
      <c r="N276" s="173"/>
      <c r="O276" s="172">
        <v>7382.02</v>
      </c>
      <c r="P276" s="172">
        <v>3691.01</v>
      </c>
      <c r="Q276" s="172">
        <v>3691.01</v>
      </c>
      <c r="R276" s="173"/>
      <c r="S276" s="172">
        <v>29045.02</v>
      </c>
      <c r="T276" s="172">
        <v>14522.51</v>
      </c>
      <c r="U276" s="172">
        <v>14522.51</v>
      </c>
      <c r="V276" s="162"/>
    </row>
    <row r="277" spans="1:22" x14ac:dyDescent="0.25">
      <c r="A277" s="169">
        <v>2024</v>
      </c>
      <c r="B277" s="169" t="s">
        <v>818</v>
      </c>
      <c r="C277" s="170" t="s">
        <v>295</v>
      </c>
      <c r="D277" s="171" t="s">
        <v>810</v>
      </c>
      <c r="E277" s="171" t="s">
        <v>810</v>
      </c>
      <c r="F277" s="171" t="s">
        <v>295</v>
      </c>
      <c r="G277" s="170" t="s">
        <v>636</v>
      </c>
      <c r="H277" s="172">
        <v>1</v>
      </c>
      <c r="I277" s="172">
        <v>1</v>
      </c>
      <c r="J277" s="173"/>
      <c r="K277" s="172">
        <v>52809.75</v>
      </c>
      <c r="L277" s="172">
        <v>26404.880000000001</v>
      </c>
      <c r="M277" s="172">
        <v>26404.87</v>
      </c>
      <c r="N277" s="173"/>
      <c r="O277" s="172">
        <v>18037.47</v>
      </c>
      <c r="P277" s="172">
        <v>9018.74</v>
      </c>
      <c r="Q277" s="172">
        <v>9018.7300000000014</v>
      </c>
      <c r="R277" s="173"/>
      <c r="S277" s="172">
        <v>70847.22</v>
      </c>
      <c r="T277" s="172">
        <v>35423.620000000003</v>
      </c>
      <c r="U277" s="172">
        <v>35423.599999999999</v>
      </c>
      <c r="V277" s="162"/>
    </row>
    <row r="278" spans="1:22" x14ac:dyDescent="0.25">
      <c r="A278" s="169">
        <v>2024</v>
      </c>
      <c r="B278" s="169" t="s">
        <v>814</v>
      </c>
      <c r="C278" s="170" t="s">
        <v>296</v>
      </c>
      <c r="D278" s="171" t="s">
        <v>810</v>
      </c>
      <c r="E278" s="171" t="s">
        <v>810</v>
      </c>
      <c r="F278" s="171" t="s">
        <v>296</v>
      </c>
      <c r="G278" s="170" t="s">
        <v>637</v>
      </c>
      <c r="H278" s="172">
        <v>0</v>
      </c>
      <c r="I278" s="172">
        <v>5</v>
      </c>
      <c r="J278" s="173"/>
      <c r="K278" s="172">
        <v>520248</v>
      </c>
      <c r="L278" s="172">
        <v>0</v>
      </c>
      <c r="M278" s="172">
        <v>520248</v>
      </c>
      <c r="N278" s="173"/>
      <c r="O278" s="172">
        <v>182788.2</v>
      </c>
      <c r="P278" s="172">
        <v>0</v>
      </c>
      <c r="Q278" s="172">
        <v>182788.2</v>
      </c>
      <c r="R278" s="173"/>
      <c r="S278" s="172">
        <v>703036.2</v>
      </c>
      <c r="T278" s="172">
        <v>0</v>
      </c>
      <c r="U278" s="172">
        <v>703036.2</v>
      </c>
      <c r="V278" s="162"/>
    </row>
    <row r="279" spans="1:22" x14ac:dyDescent="0.25">
      <c r="A279" s="169">
        <v>2024</v>
      </c>
      <c r="B279" s="169" t="s">
        <v>814</v>
      </c>
      <c r="C279" s="170" t="s">
        <v>297</v>
      </c>
      <c r="D279" s="171" t="s">
        <v>810</v>
      </c>
      <c r="E279" s="171" t="s">
        <v>810</v>
      </c>
      <c r="F279" s="171" t="s">
        <v>297</v>
      </c>
      <c r="G279" s="170" t="s">
        <v>638</v>
      </c>
      <c r="H279" s="172">
        <v>0</v>
      </c>
      <c r="I279" s="172">
        <v>5</v>
      </c>
      <c r="J279" s="173"/>
      <c r="K279" s="172">
        <v>59150.25</v>
      </c>
      <c r="L279" s="172">
        <v>0</v>
      </c>
      <c r="M279" s="172">
        <v>59150.25</v>
      </c>
      <c r="N279" s="173"/>
      <c r="O279" s="172">
        <v>20500.05</v>
      </c>
      <c r="P279" s="172">
        <v>0</v>
      </c>
      <c r="Q279" s="172">
        <v>20500.05</v>
      </c>
      <c r="R279" s="173"/>
      <c r="S279" s="172">
        <v>79650.3</v>
      </c>
      <c r="T279" s="172">
        <v>0</v>
      </c>
      <c r="U279" s="172">
        <v>79650.3</v>
      </c>
      <c r="V279" s="162"/>
    </row>
    <row r="280" spans="1:22" x14ac:dyDescent="0.25">
      <c r="A280" s="169">
        <v>2024</v>
      </c>
      <c r="B280" s="169" t="s">
        <v>811</v>
      </c>
      <c r="C280" s="170" t="s">
        <v>299</v>
      </c>
      <c r="D280" s="171" t="s">
        <v>810</v>
      </c>
      <c r="E280" s="171" t="s">
        <v>810</v>
      </c>
      <c r="F280" s="171" t="s">
        <v>299</v>
      </c>
      <c r="G280" s="170" t="s">
        <v>640</v>
      </c>
      <c r="H280" s="172">
        <v>3</v>
      </c>
      <c r="I280" s="172">
        <v>7</v>
      </c>
      <c r="J280" s="173"/>
      <c r="K280" s="172">
        <v>458112.75</v>
      </c>
      <c r="L280" s="172">
        <v>137433.82999999999</v>
      </c>
      <c r="M280" s="172">
        <v>320678.92000000004</v>
      </c>
      <c r="N280" s="173"/>
      <c r="O280" s="172">
        <v>157988.13</v>
      </c>
      <c r="P280" s="172">
        <v>47396.44</v>
      </c>
      <c r="Q280" s="172">
        <v>110591.69</v>
      </c>
      <c r="R280" s="173"/>
      <c r="S280" s="172">
        <v>616100.88</v>
      </c>
      <c r="T280" s="172">
        <v>184830.27</v>
      </c>
      <c r="U280" s="172">
        <v>431270.61000000004</v>
      </c>
      <c r="V280" s="162"/>
    </row>
    <row r="281" spans="1:22" x14ac:dyDescent="0.25">
      <c r="A281" s="169">
        <v>2024</v>
      </c>
      <c r="B281" s="169" t="s">
        <v>816</v>
      </c>
      <c r="C281" s="170" t="s">
        <v>300</v>
      </c>
      <c r="D281" s="171" t="s">
        <v>810</v>
      </c>
      <c r="E281" s="171" t="s">
        <v>810</v>
      </c>
      <c r="F281" s="171" t="s">
        <v>300</v>
      </c>
      <c r="G281" s="170" t="s">
        <v>641</v>
      </c>
      <c r="H281" s="172">
        <v>5</v>
      </c>
      <c r="I281" s="172">
        <v>5</v>
      </c>
      <c r="J281" s="173"/>
      <c r="K281" s="172">
        <v>524230.5</v>
      </c>
      <c r="L281" s="172">
        <v>262115.25</v>
      </c>
      <c r="M281" s="172">
        <v>262115.25</v>
      </c>
      <c r="N281" s="173"/>
      <c r="O281" s="172">
        <v>184849.43</v>
      </c>
      <c r="P281" s="172">
        <v>92424.72</v>
      </c>
      <c r="Q281" s="172">
        <v>92424.709999999992</v>
      </c>
      <c r="R281" s="173"/>
      <c r="S281" s="172">
        <v>709079.92999999993</v>
      </c>
      <c r="T281" s="172">
        <v>354539.97</v>
      </c>
      <c r="U281" s="172">
        <v>354539.95999999996</v>
      </c>
      <c r="V281" s="162"/>
    </row>
    <row r="282" spans="1:22" x14ac:dyDescent="0.25">
      <c r="A282" s="169">
        <v>2024</v>
      </c>
      <c r="B282" s="169" t="s">
        <v>812</v>
      </c>
      <c r="C282" s="170" t="s">
        <v>301</v>
      </c>
      <c r="D282" s="171" t="s">
        <v>810</v>
      </c>
      <c r="E282" s="171" t="s">
        <v>810</v>
      </c>
      <c r="F282" s="171" t="s">
        <v>301</v>
      </c>
      <c r="G282" s="170" t="s">
        <v>642</v>
      </c>
      <c r="H282" s="172">
        <v>0</v>
      </c>
      <c r="I282" s="172">
        <v>5</v>
      </c>
      <c r="J282" s="173"/>
      <c r="K282" s="172">
        <v>227185.5</v>
      </c>
      <c r="L282" s="172">
        <v>0</v>
      </c>
      <c r="M282" s="172">
        <v>227185.5</v>
      </c>
      <c r="N282" s="173"/>
      <c r="O282" s="172">
        <v>75373.45</v>
      </c>
      <c r="P282" s="172">
        <v>0</v>
      </c>
      <c r="Q282" s="172">
        <v>75373.45</v>
      </c>
      <c r="R282" s="173"/>
      <c r="S282" s="172">
        <v>302558.95</v>
      </c>
      <c r="T282" s="172">
        <v>0</v>
      </c>
      <c r="U282" s="172">
        <v>302558.95</v>
      </c>
      <c r="V282" s="162"/>
    </row>
    <row r="283" spans="1:22" x14ac:dyDescent="0.25">
      <c r="A283" s="169">
        <v>2024</v>
      </c>
      <c r="B283" s="169" t="s">
        <v>812</v>
      </c>
      <c r="C283" s="170" t="s">
        <v>302</v>
      </c>
      <c r="D283" s="171" t="s">
        <v>810</v>
      </c>
      <c r="E283" s="171" t="s">
        <v>810</v>
      </c>
      <c r="F283" s="171" t="s">
        <v>302</v>
      </c>
      <c r="G283" s="170" t="s">
        <v>643</v>
      </c>
      <c r="H283" s="172">
        <v>0</v>
      </c>
      <c r="I283" s="172">
        <v>2</v>
      </c>
      <c r="J283" s="173"/>
      <c r="K283" s="172">
        <v>65606.25</v>
      </c>
      <c r="L283" s="172">
        <v>0</v>
      </c>
      <c r="M283" s="172">
        <v>65606.25</v>
      </c>
      <c r="N283" s="173"/>
      <c r="O283" s="172">
        <v>22595.17</v>
      </c>
      <c r="P283" s="172">
        <v>0</v>
      </c>
      <c r="Q283" s="172">
        <v>22595.17</v>
      </c>
      <c r="R283" s="173"/>
      <c r="S283" s="172">
        <v>88201.42</v>
      </c>
      <c r="T283" s="172">
        <v>0</v>
      </c>
      <c r="U283" s="172">
        <v>88201.42</v>
      </c>
      <c r="V283" s="162"/>
    </row>
    <row r="284" spans="1:22" x14ac:dyDescent="0.25">
      <c r="A284" s="169">
        <v>2024</v>
      </c>
      <c r="B284" s="169" t="s">
        <v>815</v>
      </c>
      <c r="C284" s="170" t="s">
        <v>303</v>
      </c>
      <c r="D284" s="171" t="s">
        <v>810</v>
      </c>
      <c r="E284" s="171" t="s">
        <v>810</v>
      </c>
      <c r="F284" s="171" t="s">
        <v>303</v>
      </c>
      <c r="G284" s="170" t="s">
        <v>644</v>
      </c>
      <c r="H284" s="172">
        <v>1</v>
      </c>
      <c r="I284" s="172">
        <v>1</v>
      </c>
      <c r="J284" s="173"/>
      <c r="K284" s="172">
        <v>22136.25</v>
      </c>
      <c r="L284" s="172">
        <v>11068.13</v>
      </c>
      <c r="M284" s="172">
        <v>11068.12</v>
      </c>
      <c r="N284" s="173"/>
      <c r="O284" s="172">
        <v>7550.76</v>
      </c>
      <c r="P284" s="172">
        <v>3775.38</v>
      </c>
      <c r="Q284" s="172">
        <v>3775.38</v>
      </c>
      <c r="R284" s="173"/>
      <c r="S284" s="172">
        <v>29687.010000000002</v>
      </c>
      <c r="T284" s="172">
        <v>14843.509999999998</v>
      </c>
      <c r="U284" s="172">
        <v>14843.5</v>
      </c>
      <c r="V284" s="162"/>
    </row>
    <row r="285" spans="1:22" x14ac:dyDescent="0.25">
      <c r="A285" s="169">
        <v>2024</v>
      </c>
      <c r="B285" s="169" t="s">
        <v>811</v>
      </c>
      <c r="C285" s="170" t="s">
        <v>304</v>
      </c>
      <c r="D285" s="171" t="s">
        <v>810</v>
      </c>
      <c r="E285" s="171" t="s">
        <v>810</v>
      </c>
      <c r="F285" s="171" t="s">
        <v>304</v>
      </c>
      <c r="G285" s="170" t="s">
        <v>645</v>
      </c>
      <c r="H285" s="172">
        <v>0</v>
      </c>
      <c r="I285" s="172">
        <v>1</v>
      </c>
      <c r="J285" s="173"/>
      <c r="K285" s="172">
        <v>24138.75</v>
      </c>
      <c r="L285" s="172">
        <v>0</v>
      </c>
      <c r="M285" s="172">
        <v>24138.75</v>
      </c>
      <c r="N285" s="173"/>
      <c r="O285" s="172">
        <v>8261.2999999999993</v>
      </c>
      <c r="P285" s="172">
        <v>0</v>
      </c>
      <c r="Q285" s="172">
        <v>8261.2999999999993</v>
      </c>
      <c r="R285" s="173"/>
      <c r="S285" s="172">
        <v>32400.05</v>
      </c>
      <c r="T285" s="172">
        <v>0</v>
      </c>
      <c r="U285" s="172">
        <v>32400.05</v>
      </c>
      <c r="V285" s="162"/>
    </row>
    <row r="286" spans="1:22" x14ac:dyDescent="0.25">
      <c r="A286" s="169">
        <v>2024</v>
      </c>
      <c r="B286" s="169" t="s">
        <v>818</v>
      </c>
      <c r="C286" s="170" t="s">
        <v>305</v>
      </c>
      <c r="D286" s="171" t="s">
        <v>810</v>
      </c>
      <c r="E286" s="171" t="s">
        <v>810</v>
      </c>
      <c r="F286" s="171" t="s">
        <v>305</v>
      </c>
      <c r="G286" s="170" t="s">
        <v>646</v>
      </c>
      <c r="H286" s="172">
        <v>0</v>
      </c>
      <c r="I286" s="172">
        <v>0</v>
      </c>
      <c r="J286" s="173"/>
      <c r="K286" s="172">
        <v>0</v>
      </c>
      <c r="L286" s="172">
        <v>0</v>
      </c>
      <c r="M286" s="172">
        <v>0</v>
      </c>
      <c r="N286" s="173"/>
      <c r="O286" s="172">
        <v>0</v>
      </c>
      <c r="P286" s="172">
        <v>0</v>
      </c>
      <c r="Q286" s="172">
        <v>0</v>
      </c>
      <c r="R286" s="173"/>
      <c r="S286" s="172">
        <v>0</v>
      </c>
      <c r="T286" s="172">
        <v>0</v>
      </c>
      <c r="U286" s="172">
        <v>0</v>
      </c>
      <c r="V286" s="162"/>
    </row>
    <row r="287" spans="1:22" x14ac:dyDescent="0.25">
      <c r="A287" s="169">
        <v>2024</v>
      </c>
      <c r="B287" s="169" t="s">
        <v>809</v>
      </c>
      <c r="C287" s="170" t="s">
        <v>306</v>
      </c>
      <c r="D287" s="171" t="s">
        <v>810</v>
      </c>
      <c r="E287" s="171" t="s">
        <v>810</v>
      </c>
      <c r="F287" s="171" t="s">
        <v>306</v>
      </c>
      <c r="G287" s="170" t="s">
        <v>647</v>
      </c>
      <c r="H287" s="172">
        <v>0</v>
      </c>
      <c r="I287" s="172">
        <v>3</v>
      </c>
      <c r="J287" s="173"/>
      <c r="K287" s="172">
        <v>53096.25</v>
      </c>
      <c r="L287" s="172">
        <v>0</v>
      </c>
      <c r="M287" s="172">
        <v>53096.25</v>
      </c>
      <c r="N287" s="173"/>
      <c r="O287" s="172">
        <v>18291.12</v>
      </c>
      <c r="P287" s="172">
        <v>0</v>
      </c>
      <c r="Q287" s="172">
        <v>18291.12</v>
      </c>
      <c r="R287" s="173"/>
      <c r="S287" s="172">
        <v>71387.37</v>
      </c>
      <c r="T287" s="172">
        <v>0</v>
      </c>
      <c r="U287" s="172">
        <v>71387.37</v>
      </c>
      <c r="V287" s="162"/>
    </row>
    <row r="288" spans="1:22" x14ac:dyDescent="0.25">
      <c r="A288" s="169">
        <v>2024</v>
      </c>
      <c r="B288" s="169" t="s">
        <v>814</v>
      </c>
      <c r="C288" s="170" t="s">
        <v>307</v>
      </c>
      <c r="D288" s="171" t="s">
        <v>810</v>
      </c>
      <c r="E288" s="171" t="s">
        <v>810</v>
      </c>
      <c r="F288" s="171" t="s">
        <v>307</v>
      </c>
      <c r="G288" s="170" t="s">
        <v>648</v>
      </c>
      <c r="H288" s="172">
        <v>0</v>
      </c>
      <c r="I288" s="172">
        <v>6</v>
      </c>
      <c r="J288" s="173"/>
      <c r="K288" s="172">
        <v>69914.25</v>
      </c>
      <c r="L288" s="172">
        <v>0</v>
      </c>
      <c r="M288" s="172">
        <v>69914.25</v>
      </c>
      <c r="N288" s="173"/>
      <c r="O288" s="172">
        <v>23576.61</v>
      </c>
      <c r="P288" s="172">
        <v>0</v>
      </c>
      <c r="Q288" s="172">
        <v>23576.61</v>
      </c>
      <c r="R288" s="173"/>
      <c r="S288" s="172">
        <v>93490.86</v>
      </c>
      <c r="T288" s="172">
        <v>0</v>
      </c>
      <c r="U288" s="172">
        <v>93490.86</v>
      </c>
    </row>
    <row r="289" spans="1:21" x14ac:dyDescent="0.25">
      <c r="A289" s="169">
        <v>2024</v>
      </c>
      <c r="B289" s="169" t="s">
        <v>812</v>
      </c>
      <c r="C289" s="170" t="s">
        <v>308</v>
      </c>
      <c r="D289" s="171" t="s">
        <v>810</v>
      </c>
      <c r="E289" s="171" t="s">
        <v>810</v>
      </c>
      <c r="F289" s="171" t="s">
        <v>308</v>
      </c>
      <c r="G289" s="170" t="s">
        <v>649</v>
      </c>
      <c r="H289" s="172">
        <v>0</v>
      </c>
      <c r="I289" s="172">
        <v>0</v>
      </c>
      <c r="J289" s="173"/>
      <c r="K289" s="172">
        <v>0</v>
      </c>
      <c r="L289" s="172">
        <v>0</v>
      </c>
      <c r="M289" s="172">
        <v>0</v>
      </c>
      <c r="N289" s="173"/>
      <c r="O289" s="172">
        <v>0</v>
      </c>
      <c r="P289" s="172">
        <v>0</v>
      </c>
      <c r="Q289" s="172">
        <v>0</v>
      </c>
      <c r="R289" s="173"/>
      <c r="S289" s="172">
        <v>0</v>
      </c>
      <c r="T289" s="172">
        <v>0</v>
      </c>
      <c r="U289" s="172">
        <v>0</v>
      </c>
    </row>
    <row r="290" spans="1:21" x14ac:dyDescent="0.25">
      <c r="A290" s="169">
        <v>2024</v>
      </c>
      <c r="B290" s="169" t="s">
        <v>811</v>
      </c>
      <c r="C290" s="170" t="s">
        <v>112</v>
      </c>
      <c r="D290" s="171" t="s">
        <v>810</v>
      </c>
      <c r="E290" s="171" t="s">
        <v>810</v>
      </c>
      <c r="F290" s="171" t="s">
        <v>687</v>
      </c>
      <c r="G290" s="170" t="s">
        <v>462</v>
      </c>
      <c r="H290" s="172">
        <v>1</v>
      </c>
      <c r="I290" s="172">
        <v>6</v>
      </c>
      <c r="J290" s="173"/>
      <c r="K290" s="172">
        <v>467590.5</v>
      </c>
      <c r="L290" s="172">
        <v>66798.64</v>
      </c>
      <c r="M290" s="172">
        <v>400791.86</v>
      </c>
      <c r="N290" s="173"/>
      <c r="O290" s="172">
        <v>166454.96</v>
      </c>
      <c r="P290" s="172">
        <v>23779.279999999999</v>
      </c>
      <c r="Q290" s="172">
        <v>142675.68</v>
      </c>
      <c r="R290" s="173"/>
      <c r="S290" s="172">
        <v>634045.46</v>
      </c>
      <c r="T290" s="172">
        <v>90577.919999999998</v>
      </c>
      <c r="U290" s="172">
        <v>543467.54</v>
      </c>
    </row>
    <row r="291" spans="1:21" x14ac:dyDescent="0.25">
      <c r="A291" s="169">
        <v>2024</v>
      </c>
      <c r="B291" s="169" t="s">
        <v>809</v>
      </c>
      <c r="C291" s="170" t="s">
        <v>309</v>
      </c>
      <c r="D291" s="171" t="s">
        <v>810</v>
      </c>
      <c r="E291" s="171" t="s">
        <v>810</v>
      </c>
      <c r="F291" s="171" t="s">
        <v>309</v>
      </c>
      <c r="G291" s="170" t="s">
        <v>650</v>
      </c>
      <c r="H291" s="172">
        <v>0</v>
      </c>
      <c r="I291" s="172">
        <v>2</v>
      </c>
      <c r="J291" s="173"/>
      <c r="K291" s="172">
        <v>94155.75</v>
      </c>
      <c r="L291" s="172">
        <v>0</v>
      </c>
      <c r="M291" s="172">
        <v>94155.75</v>
      </c>
      <c r="N291" s="173"/>
      <c r="O291" s="172">
        <v>33257.42</v>
      </c>
      <c r="P291" s="172">
        <v>0</v>
      </c>
      <c r="Q291" s="172">
        <v>33257.42</v>
      </c>
      <c r="R291" s="173"/>
      <c r="S291" s="172">
        <v>127413.17</v>
      </c>
      <c r="T291" s="172">
        <v>0</v>
      </c>
      <c r="U291" s="172">
        <v>127413.17</v>
      </c>
    </row>
    <row r="292" spans="1:21" x14ac:dyDescent="0.25">
      <c r="A292" s="169">
        <v>2024</v>
      </c>
      <c r="B292" s="169" t="s">
        <v>809</v>
      </c>
      <c r="C292" s="170" t="s">
        <v>310</v>
      </c>
      <c r="D292" s="171" t="s">
        <v>810</v>
      </c>
      <c r="E292" s="171" t="s">
        <v>810</v>
      </c>
      <c r="F292" s="171" t="s">
        <v>310</v>
      </c>
      <c r="G292" s="170" t="s">
        <v>651</v>
      </c>
      <c r="H292" s="172">
        <v>0</v>
      </c>
      <c r="I292" s="172">
        <v>0</v>
      </c>
      <c r="J292" s="173"/>
      <c r="K292" s="172">
        <v>0</v>
      </c>
      <c r="L292" s="172">
        <v>0</v>
      </c>
      <c r="M292" s="172">
        <v>0</v>
      </c>
      <c r="N292" s="173"/>
      <c r="O292" s="172">
        <v>0</v>
      </c>
      <c r="P292" s="172">
        <v>0</v>
      </c>
      <c r="Q292" s="172">
        <v>0</v>
      </c>
      <c r="R292" s="173"/>
      <c r="S292" s="172">
        <v>0</v>
      </c>
      <c r="T292" s="172">
        <v>0</v>
      </c>
      <c r="U292" s="172">
        <v>0</v>
      </c>
    </row>
    <row r="293" spans="1:21" x14ac:dyDescent="0.25">
      <c r="A293" s="169">
        <v>2024</v>
      </c>
      <c r="B293" s="169" t="s">
        <v>815</v>
      </c>
      <c r="C293" s="170" t="s">
        <v>311</v>
      </c>
      <c r="D293" s="171" t="s">
        <v>810</v>
      </c>
      <c r="E293" s="171" t="s">
        <v>810</v>
      </c>
      <c r="F293" s="171" t="s">
        <v>311</v>
      </c>
      <c r="G293" s="170" t="s">
        <v>795</v>
      </c>
      <c r="H293" s="172">
        <v>0</v>
      </c>
      <c r="I293" s="172">
        <v>9</v>
      </c>
      <c r="J293" s="173"/>
      <c r="K293" s="172">
        <v>425028.75</v>
      </c>
      <c r="L293" s="172">
        <v>0</v>
      </c>
      <c r="M293" s="172">
        <v>425028.75</v>
      </c>
      <c r="N293" s="173"/>
      <c r="O293" s="172">
        <v>153896.67000000001</v>
      </c>
      <c r="P293" s="172">
        <v>0</v>
      </c>
      <c r="Q293" s="172">
        <v>153896.67000000001</v>
      </c>
      <c r="R293" s="173"/>
      <c r="S293" s="172">
        <v>578925.42000000004</v>
      </c>
      <c r="T293" s="172">
        <v>0</v>
      </c>
      <c r="U293" s="172">
        <v>578925.42000000004</v>
      </c>
    </row>
    <row r="294" spans="1:21" x14ac:dyDescent="0.25">
      <c r="A294" s="169">
        <v>2024</v>
      </c>
      <c r="B294" s="169" t="s">
        <v>809</v>
      </c>
      <c r="C294" s="170" t="s">
        <v>312</v>
      </c>
      <c r="D294" s="171" t="s">
        <v>810</v>
      </c>
      <c r="E294" s="171" t="s">
        <v>810</v>
      </c>
      <c r="F294" s="171" t="s">
        <v>312</v>
      </c>
      <c r="G294" s="170" t="s">
        <v>652</v>
      </c>
      <c r="H294" s="172">
        <v>0</v>
      </c>
      <c r="I294" s="172">
        <v>3</v>
      </c>
      <c r="J294" s="173"/>
      <c r="K294" s="172">
        <v>327491.25</v>
      </c>
      <c r="L294" s="172">
        <v>0</v>
      </c>
      <c r="M294" s="172">
        <v>327491.25</v>
      </c>
      <c r="N294" s="173"/>
      <c r="O294" s="172">
        <v>133127.76999999999</v>
      </c>
      <c r="P294" s="172">
        <v>0</v>
      </c>
      <c r="Q294" s="172">
        <v>133127.76999999999</v>
      </c>
      <c r="R294" s="173"/>
      <c r="S294" s="172">
        <v>460619.02</v>
      </c>
      <c r="T294" s="172">
        <v>0</v>
      </c>
      <c r="U294" s="172">
        <v>460619.02</v>
      </c>
    </row>
    <row r="295" spans="1:21" x14ac:dyDescent="0.25">
      <c r="A295" s="169">
        <v>2024</v>
      </c>
      <c r="B295" s="169" t="s">
        <v>812</v>
      </c>
      <c r="C295" s="170" t="s">
        <v>313</v>
      </c>
      <c r="D295" s="171" t="s">
        <v>810</v>
      </c>
      <c r="E295" s="171" t="s">
        <v>810</v>
      </c>
      <c r="F295" s="171" t="s">
        <v>313</v>
      </c>
      <c r="G295" s="170" t="s">
        <v>653</v>
      </c>
      <c r="H295" s="172">
        <v>5</v>
      </c>
      <c r="I295" s="172">
        <v>0</v>
      </c>
      <c r="J295" s="173"/>
      <c r="K295" s="172">
        <v>69525</v>
      </c>
      <c r="L295" s="172">
        <v>69525</v>
      </c>
      <c r="M295" s="172">
        <v>0</v>
      </c>
      <c r="N295" s="173"/>
      <c r="O295" s="172">
        <v>25274.38</v>
      </c>
      <c r="P295" s="172">
        <v>25274.38</v>
      </c>
      <c r="Q295" s="172">
        <v>0</v>
      </c>
      <c r="R295" s="173"/>
      <c r="S295" s="172">
        <v>94799.38</v>
      </c>
      <c r="T295" s="172">
        <v>94799.38</v>
      </c>
      <c r="U295" s="172">
        <v>0</v>
      </c>
    </row>
    <row r="296" spans="1:21" x14ac:dyDescent="0.25">
      <c r="A296" s="169">
        <v>2024</v>
      </c>
      <c r="B296" s="169" t="s">
        <v>816</v>
      </c>
      <c r="C296" s="170" t="s">
        <v>314</v>
      </c>
      <c r="D296" s="171" t="s">
        <v>810</v>
      </c>
      <c r="E296" s="171" t="s">
        <v>810</v>
      </c>
      <c r="F296" s="171" t="s">
        <v>314</v>
      </c>
      <c r="G296" s="170" t="s">
        <v>654</v>
      </c>
      <c r="H296" s="172">
        <v>5</v>
      </c>
      <c r="I296" s="172">
        <v>2</v>
      </c>
      <c r="J296" s="173"/>
      <c r="K296" s="172">
        <v>624900</v>
      </c>
      <c r="L296" s="172">
        <v>446357.14</v>
      </c>
      <c r="M296" s="172">
        <v>178542.86</v>
      </c>
      <c r="N296" s="173"/>
      <c r="O296" s="172">
        <v>219626.51</v>
      </c>
      <c r="P296" s="172">
        <v>156876.07999999999</v>
      </c>
      <c r="Q296" s="172">
        <v>62750.430000000022</v>
      </c>
      <c r="R296" s="173"/>
      <c r="S296" s="172">
        <v>844526.51</v>
      </c>
      <c r="T296" s="172">
        <v>603233.22</v>
      </c>
      <c r="U296" s="172">
        <v>241293.29</v>
      </c>
    </row>
    <row r="297" spans="1:21" x14ac:dyDescent="0.25">
      <c r="A297" s="169">
        <v>2024</v>
      </c>
      <c r="B297" s="169" t="s">
        <v>815</v>
      </c>
      <c r="C297" s="170" t="s">
        <v>315</v>
      </c>
      <c r="D297" s="171" t="s">
        <v>810</v>
      </c>
      <c r="E297" s="171" t="s">
        <v>810</v>
      </c>
      <c r="F297" s="171" t="s">
        <v>315</v>
      </c>
      <c r="G297" s="170" t="s">
        <v>655</v>
      </c>
      <c r="H297" s="172">
        <v>0</v>
      </c>
      <c r="I297" s="172">
        <v>0</v>
      </c>
      <c r="J297" s="173"/>
      <c r="K297" s="172">
        <v>0</v>
      </c>
      <c r="L297" s="172">
        <v>0</v>
      </c>
      <c r="M297" s="172">
        <v>0</v>
      </c>
      <c r="N297" s="173"/>
      <c r="O297" s="172">
        <v>0</v>
      </c>
      <c r="P297" s="172">
        <v>0</v>
      </c>
      <c r="Q297" s="172">
        <v>0</v>
      </c>
      <c r="R297" s="173"/>
      <c r="S297" s="172">
        <v>0</v>
      </c>
      <c r="T297" s="172">
        <v>0</v>
      </c>
      <c r="U297" s="172">
        <v>0</v>
      </c>
    </row>
    <row r="298" spans="1:21" x14ac:dyDescent="0.25">
      <c r="A298" s="169">
        <v>2024</v>
      </c>
      <c r="B298" s="169" t="s">
        <v>815</v>
      </c>
      <c r="C298" s="170" t="s">
        <v>317</v>
      </c>
      <c r="D298" s="171" t="s">
        <v>810</v>
      </c>
      <c r="E298" s="171" t="s">
        <v>810</v>
      </c>
      <c r="F298" s="171" t="s">
        <v>317</v>
      </c>
      <c r="G298" s="170" t="s">
        <v>657</v>
      </c>
      <c r="H298" s="172">
        <v>1</v>
      </c>
      <c r="I298" s="172">
        <v>1</v>
      </c>
      <c r="J298" s="173"/>
      <c r="K298" s="172">
        <v>77097.75</v>
      </c>
      <c r="L298" s="172">
        <v>38548.879999999997</v>
      </c>
      <c r="M298" s="172">
        <v>38548.870000000003</v>
      </c>
      <c r="N298" s="173"/>
      <c r="O298" s="172">
        <v>26032.91</v>
      </c>
      <c r="P298" s="172">
        <v>13016.46</v>
      </c>
      <c r="Q298" s="172">
        <v>13016.45</v>
      </c>
      <c r="R298" s="173"/>
      <c r="S298" s="172">
        <v>103130.66</v>
      </c>
      <c r="T298" s="172">
        <v>51565.34</v>
      </c>
      <c r="U298" s="172">
        <v>51565.320000000007</v>
      </c>
    </row>
    <row r="299" spans="1:21" x14ac:dyDescent="0.25">
      <c r="A299" s="169">
        <v>2024</v>
      </c>
      <c r="B299" s="169" t="s">
        <v>811</v>
      </c>
      <c r="C299" s="170" t="s">
        <v>318</v>
      </c>
      <c r="D299" s="171" t="s">
        <v>810</v>
      </c>
      <c r="E299" s="171" t="s">
        <v>810</v>
      </c>
      <c r="F299" s="171" t="s">
        <v>318</v>
      </c>
      <c r="G299" s="170" t="s">
        <v>658</v>
      </c>
      <c r="H299" s="172">
        <v>2</v>
      </c>
      <c r="I299" s="172">
        <v>9</v>
      </c>
      <c r="J299" s="173"/>
      <c r="K299" s="172">
        <v>418397.25</v>
      </c>
      <c r="L299" s="172">
        <v>76072.23</v>
      </c>
      <c r="M299" s="172">
        <v>342325.02</v>
      </c>
      <c r="N299" s="173"/>
      <c r="O299" s="172">
        <v>147543.48000000001</v>
      </c>
      <c r="P299" s="172">
        <v>26826.09</v>
      </c>
      <c r="Q299" s="172">
        <v>120717.39000000001</v>
      </c>
      <c r="R299" s="173"/>
      <c r="S299" s="172">
        <v>565940.73</v>
      </c>
      <c r="T299" s="172">
        <v>102898.31999999999</v>
      </c>
      <c r="U299" s="172">
        <v>463042.41000000003</v>
      </c>
    </row>
    <row r="300" spans="1:21" x14ac:dyDescent="0.25">
      <c r="A300" s="169">
        <v>2024</v>
      </c>
      <c r="B300" s="169" t="s">
        <v>816</v>
      </c>
      <c r="C300" s="170" t="s">
        <v>319</v>
      </c>
      <c r="D300" s="171" t="s">
        <v>810</v>
      </c>
      <c r="E300" s="171" t="s">
        <v>810</v>
      </c>
      <c r="F300" s="171" t="s">
        <v>319</v>
      </c>
      <c r="G300" s="170" t="s">
        <v>659</v>
      </c>
      <c r="H300" s="172">
        <v>0</v>
      </c>
      <c r="I300" s="172">
        <v>8</v>
      </c>
      <c r="J300" s="173"/>
      <c r="K300" s="172">
        <v>705281.25</v>
      </c>
      <c r="L300" s="172">
        <v>0</v>
      </c>
      <c r="M300" s="172">
        <v>705281.25</v>
      </c>
      <c r="N300" s="173"/>
      <c r="O300" s="172">
        <v>256063.48</v>
      </c>
      <c r="P300" s="172">
        <v>0</v>
      </c>
      <c r="Q300" s="172">
        <v>256063.48</v>
      </c>
      <c r="R300" s="173"/>
      <c r="S300" s="172">
        <v>961344.73</v>
      </c>
      <c r="T300" s="172">
        <v>0</v>
      </c>
      <c r="U300" s="172">
        <v>961344.73</v>
      </c>
    </row>
    <row r="301" spans="1:21" x14ac:dyDescent="0.25">
      <c r="A301" s="169">
        <v>2024</v>
      </c>
      <c r="B301" s="169" t="s">
        <v>811</v>
      </c>
      <c r="C301" s="170" t="s">
        <v>320</v>
      </c>
      <c r="D301" s="171" t="s">
        <v>810</v>
      </c>
      <c r="E301" s="171" t="s">
        <v>810</v>
      </c>
      <c r="F301" s="171" t="s">
        <v>320</v>
      </c>
      <c r="G301" s="170" t="s">
        <v>660</v>
      </c>
      <c r="H301" s="172">
        <v>0</v>
      </c>
      <c r="I301" s="172">
        <v>0</v>
      </c>
      <c r="J301" s="173"/>
      <c r="K301" s="172">
        <v>0</v>
      </c>
      <c r="L301" s="172">
        <v>0</v>
      </c>
      <c r="M301" s="172">
        <v>0</v>
      </c>
      <c r="N301" s="173"/>
      <c r="O301" s="172">
        <v>0</v>
      </c>
      <c r="P301" s="172">
        <v>0</v>
      </c>
      <c r="Q301" s="172">
        <v>0</v>
      </c>
      <c r="R301" s="173"/>
      <c r="S301" s="172">
        <v>0</v>
      </c>
      <c r="T301" s="172">
        <v>0</v>
      </c>
      <c r="U301" s="172">
        <v>0</v>
      </c>
    </row>
    <row r="302" spans="1:21" x14ac:dyDescent="0.25">
      <c r="A302" s="169">
        <v>2024</v>
      </c>
      <c r="B302" s="169" t="s">
        <v>809</v>
      </c>
      <c r="C302" s="170" t="s">
        <v>321</v>
      </c>
      <c r="D302" s="171" t="s">
        <v>810</v>
      </c>
      <c r="E302" s="171" t="s">
        <v>810</v>
      </c>
      <c r="F302" s="171" t="s">
        <v>321</v>
      </c>
      <c r="G302" s="170" t="s">
        <v>661</v>
      </c>
      <c r="H302" s="172">
        <v>0</v>
      </c>
      <c r="I302" s="172">
        <v>0</v>
      </c>
      <c r="J302" s="173"/>
      <c r="K302" s="172">
        <v>0</v>
      </c>
      <c r="L302" s="172">
        <v>0</v>
      </c>
      <c r="M302" s="172">
        <v>0</v>
      </c>
      <c r="N302" s="173"/>
      <c r="O302" s="172">
        <v>0</v>
      </c>
      <c r="P302" s="172">
        <v>0</v>
      </c>
      <c r="Q302" s="172">
        <v>0</v>
      </c>
      <c r="R302" s="173"/>
      <c r="S302" s="172">
        <v>0</v>
      </c>
      <c r="T302" s="172">
        <v>0</v>
      </c>
      <c r="U302" s="172">
        <v>0</v>
      </c>
    </row>
    <row r="303" spans="1:21" x14ac:dyDescent="0.25">
      <c r="A303" s="169">
        <v>2024</v>
      </c>
      <c r="B303" s="169" t="s">
        <v>811</v>
      </c>
      <c r="C303" s="170" t="s">
        <v>322</v>
      </c>
      <c r="D303" s="171" t="s">
        <v>810</v>
      </c>
      <c r="E303" s="171" t="s">
        <v>810</v>
      </c>
      <c r="F303" s="171" t="s">
        <v>322</v>
      </c>
      <c r="G303" s="170" t="s">
        <v>662</v>
      </c>
      <c r="H303" s="172">
        <v>0</v>
      </c>
      <c r="I303" s="172">
        <v>6</v>
      </c>
      <c r="J303" s="173"/>
      <c r="K303" s="172">
        <v>877041.75</v>
      </c>
      <c r="L303" s="172">
        <v>0</v>
      </c>
      <c r="M303" s="172">
        <v>877041.75</v>
      </c>
      <c r="N303" s="173"/>
      <c r="O303" s="172">
        <v>309310.31</v>
      </c>
      <c r="P303" s="172">
        <v>0</v>
      </c>
      <c r="Q303" s="172">
        <v>309310.31</v>
      </c>
      <c r="R303" s="173"/>
      <c r="S303" s="172">
        <v>1186352.06</v>
      </c>
      <c r="T303" s="172">
        <v>0</v>
      </c>
      <c r="U303" s="172">
        <v>1186352.06</v>
      </c>
    </row>
    <row r="304" spans="1:21" x14ac:dyDescent="0.25">
      <c r="A304" s="169">
        <v>2024</v>
      </c>
      <c r="B304" s="169" t="s">
        <v>815</v>
      </c>
      <c r="C304" s="170" t="s">
        <v>323</v>
      </c>
      <c r="D304" s="171" t="s">
        <v>810</v>
      </c>
      <c r="E304" s="171" t="s">
        <v>810</v>
      </c>
      <c r="F304" s="171" t="s">
        <v>323</v>
      </c>
      <c r="G304" s="170" t="s">
        <v>663</v>
      </c>
      <c r="H304" s="172">
        <v>0</v>
      </c>
      <c r="I304" s="172">
        <v>3</v>
      </c>
      <c r="J304" s="173"/>
      <c r="K304" s="172">
        <v>88953</v>
      </c>
      <c r="L304" s="172">
        <v>0</v>
      </c>
      <c r="M304" s="172">
        <v>88953</v>
      </c>
      <c r="N304" s="173"/>
      <c r="O304" s="172">
        <v>31735.59</v>
      </c>
      <c r="P304" s="172">
        <v>0</v>
      </c>
      <c r="Q304" s="172">
        <v>31735.59</v>
      </c>
      <c r="R304" s="173"/>
      <c r="S304" s="172">
        <v>120688.59</v>
      </c>
      <c r="T304" s="172">
        <v>0</v>
      </c>
      <c r="U304" s="172">
        <v>120688.59</v>
      </c>
    </row>
    <row r="305" spans="1:21" x14ac:dyDescent="0.25">
      <c r="A305" s="169">
        <v>2024</v>
      </c>
      <c r="B305" s="169" t="s">
        <v>814</v>
      </c>
      <c r="C305" s="170" t="s">
        <v>324</v>
      </c>
      <c r="D305" s="171" t="s">
        <v>229</v>
      </c>
      <c r="E305" s="171" t="s">
        <v>810</v>
      </c>
      <c r="F305" s="171" t="s">
        <v>324</v>
      </c>
      <c r="G305" s="170" t="s">
        <v>664</v>
      </c>
      <c r="H305" s="172">
        <v>0</v>
      </c>
      <c r="I305" s="172">
        <v>5</v>
      </c>
      <c r="J305" s="173"/>
      <c r="K305" s="172">
        <v>625176</v>
      </c>
      <c r="L305" s="172">
        <v>0</v>
      </c>
      <c r="M305" s="172">
        <v>625176</v>
      </c>
      <c r="N305" s="173"/>
      <c r="O305" s="172">
        <v>217011.68</v>
      </c>
      <c r="P305" s="172">
        <v>0</v>
      </c>
      <c r="Q305" s="172">
        <v>217011.68</v>
      </c>
      <c r="R305" s="173"/>
      <c r="S305" s="172">
        <v>842187.67999999993</v>
      </c>
      <c r="T305" s="172">
        <v>0</v>
      </c>
      <c r="U305" s="172">
        <v>842187.67999999993</v>
      </c>
    </row>
    <row r="306" spans="1:21" x14ac:dyDescent="0.25">
      <c r="A306" s="169">
        <v>2024</v>
      </c>
      <c r="B306" s="169" t="s">
        <v>814</v>
      </c>
      <c r="C306" s="170" t="s">
        <v>325</v>
      </c>
      <c r="D306" s="171" t="s">
        <v>810</v>
      </c>
      <c r="E306" s="171" t="s">
        <v>810</v>
      </c>
      <c r="F306" s="171" t="s">
        <v>325</v>
      </c>
      <c r="G306" s="170" t="s">
        <v>665</v>
      </c>
      <c r="H306" s="172">
        <v>0</v>
      </c>
      <c r="I306" s="172">
        <v>0</v>
      </c>
      <c r="J306" s="173"/>
      <c r="K306" s="172">
        <v>0</v>
      </c>
      <c r="L306" s="172">
        <v>0</v>
      </c>
      <c r="M306" s="172">
        <v>0</v>
      </c>
      <c r="N306" s="173"/>
      <c r="O306" s="172">
        <v>0</v>
      </c>
      <c r="P306" s="172">
        <v>0</v>
      </c>
      <c r="Q306" s="172">
        <v>0</v>
      </c>
      <c r="R306" s="173"/>
      <c r="S306" s="172">
        <v>0</v>
      </c>
      <c r="T306" s="172">
        <v>0</v>
      </c>
      <c r="U306" s="172">
        <v>0</v>
      </c>
    </row>
    <row r="307" spans="1:21" x14ac:dyDescent="0.25">
      <c r="A307" s="169">
        <v>2024</v>
      </c>
      <c r="B307" s="169" t="s">
        <v>816</v>
      </c>
      <c r="C307" s="170" t="s">
        <v>326</v>
      </c>
      <c r="D307" s="171" t="s">
        <v>810</v>
      </c>
      <c r="E307" s="171" t="s">
        <v>810</v>
      </c>
      <c r="F307" s="171" t="s">
        <v>326</v>
      </c>
      <c r="G307" s="170" t="s">
        <v>666</v>
      </c>
      <c r="H307" s="172">
        <v>1</v>
      </c>
      <c r="I307" s="172">
        <v>1</v>
      </c>
      <c r="J307" s="173"/>
      <c r="K307" s="172">
        <v>100122</v>
      </c>
      <c r="L307" s="172">
        <v>50061</v>
      </c>
      <c r="M307" s="172">
        <v>50061</v>
      </c>
      <c r="N307" s="173"/>
      <c r="O307" s="172">
        <v>34741.15</v>
      </c>
      <c r="P307" s="172">
        <v>17370.580000000002</v>
      </c>
      <c r="Q307" s="172">
        <v>17370.57</v>
      </c>
      <c r="R307" s="173"/>
      <c r="S307" s="172">
        <v>134863.15</v>
      </c>
      <c r="T307" s="172">
        <v>67431.58</v>
      </c>
      <c r="U307" s="172">
        <v>67431.570000000007</v>
      </c>
    </row>
    <row r="308" spans="1:21" x14ac:dyDescent="0.25">
      <c r="A308" s="169">
        <v>2024</v>
      </c>
      <c r="B308" s="169" t="s">
        <v>815</v>
      </c>
      <c r="C308" s="170" t="s">
        <v>327</v>
      </c>
      <c r="D308" s="171" t="s">
        <v>810</v>
      </c>
      <c r="E308" s="171" t="s">
        <v>810</v>
      </c>
      <c r="F308" s="171" t="s">
        <v>327</v>
      </c>
      <c r="G308" s="170" t="s">
        <v>667</v>
      </c>
      <c r="H308" s="172">
        <v>0</v>
      </c>
      <c r="I308" s="172">
        <v>0</v>
      </c>
      <c r="J308" s="173"/>
      <c r="K308" s="172">
        <v>0</v>
      </c>
      <c r="L308" s="172">
        <v>0</v>
      </c>
      <c r="M308" s="172">
        <v>0</v>
      </c>
      <c r="N308" s="173"/>
      <c r="O308" s="172">
        <v>0</v>
      </c>
      <c r="P308" s="172">
        <v>0</v>
      </c>
      <c r="Q308" s="172">
        <v>0</v>
      </c>
      <c r="R308" s="173"/>
      <c r="S308" s="172">
        <v>0</v>
      </c>
      <c r="T308" s="172">
        <v>0</v>
      </c>
      <c r="U308" s="172">
        <v>0</v>
      </c>
    </row>
    <row r="309" spans="1:21" x14ac:dyDescent="0.25">
      <c r="A309" s="169">
        <v>2024</v>
      </c>
      <c r="B309" s="169" t="s">
        <v>818</v>
      </c>
      <c r="C309" s="170" t="s">
        <v>328</v>
      </c>
      <c r="D309" s="171" t="s">
        <v>810</v>
      </c>
      <c r="E309" s="171" t="s">
        <v>810</v>
      </c>
      <c r="F309" s="171" t="s">
        <v>328</v>
      </c>
      <c r="G309" s="170" t="s">
        <v>668</v>
      </c>
      <c r="H309" s="172">
        <v>3</v>
      </c>
      <c r="I309" s="172">
        <v>10</v>
      </c>
      <c r="J309" s="173"/>
      <c r="K309" s="172">
        <v>184914.75</v>
      </c>
      <c r="L309" s="172">
        <v>42672.63</v>
      </c>
      <c r="M309" s="172">
        <v>142242.12</v>
      </c>
      <c r="N309" s="173"/>
      <c r="O309" s="172">
        <v>65669.100000000006</v>
      </c>
      <c r="P309" s="172">
        <v>15154.41</v>
      </c>
      <c r="Q309" s="172">
        <v>50514.69</v>
      </c>
      <c r="R309" s="173"/>
      <c r="S309" s="172">
        <v>250583.85</v>
      </c>
      <c r="T309" s="172">
        <v>57827.039999999994</v>
      </c>
      <c r="U309" s="172">
        <v>192756.81</v>
      </c>
    </row>
    <row r="310" spans="1:21" x14ac:dyDescent="0.25">
      <c r="A310" s="169">
        <v>2024</v>
      </c>
      <c r="B310" s="169" t="s">
        <v>809</v>
      </c>
      <c r="C310" s="170" t="s">
        <v>298</v>
      </c>
      <c r="D310" s="171" t="s">
        <v>810</v>
      </c>
      <c r="E310" s="171" t="s">
        <v>810</v>
      </c>
      <c r="F310" s="171" t="s">
        <v>298</v>
      </c>
      <c r="G310" s="170" t="s">
        <v>639</v>
      </c>
      <c r="H310" s="172">
        <v>0</v>
      </c>
      <c r="I310" s="172">
        <v>5</v>
      </c>
      <c r="J310" s="173"/>
      <c r="K310" s="172">
        <v>267464.25</v>
      </c>
      <c r="L310" s="172">
        <v>0</v>
      </c>
      <c r="M310" s="172">
        <v>267464.25</v>
      </c>
      <c r="N310" s="173"/>
      <c r="O310" s="172">
        <v>94388.2</v>
      </c>
      <c r="P310" s="172">
        <v>0</v>
      </c>
      <c r="Q310" s="172">
        <v>94388.2</v>
      </c>
      <c r="R310" s="173"/>
      <c r="S310" s="172">
        <v>361852.45</v>
      </c>
      <c r="T310" s="172">
        <v>0</v>
      </c>
      <c r="U310" s="172">
        <v>361852.45</v>
      </c>
    </row>
    <row r="311" spans="1:21" x14ac:dyDescent="0.25">
      <c r="A311" s="169">
        <v>2024</v>
      </c>
      <c r="B311" s="169" t="s">
        <v>818</v>
      </c>
      <c r="C311" s="170" t="s">
        <v>329</v>
      </c>
      <c r="D311" s="171" t="s">
        <v>810</v>
      </c>
      <c r="E311" s="171" t="s">
        <v>810</v>
      </c>
      <c r="F311" s="171" t="s">
        <v>329</v>
      </c>
      <c r="G311" s="170" t="s">
        <v>669</v>
      </c>
      <c r="H311" s="172">
        <v>0</v>
      </c>
      <c r="I311" s="172">
        <v>8</v>
      </c>
      <c r="J311" s="173"/>
      <c r="K311" s="172">
        <v>695508</v>
      </c>
      <c r="L311" s="172">
        <v>0</v>
      </c>
      <c r="M311" s="172">
        <v>695508</v>
      </c>
      <c r="N311" s="173"/>
      <c r="O311" s="172">
        <v>248537.71</v>
      </c>
      <c r="P311" s="172">
        <v>0</v>
      </c>
      <c r="Q311" s="172">
        <v>248537.71</v>
      </c>
      <c r="R311" s="173"/>
      <c r="S311" s="172">
        <v>944045.71</v>
      </c>
      <c r="T311" s="172">
        <v>0</v>
      </c>
      <c r="U311" s="172">
        <v>944045.71</v>
      </c>
    </row>
    <row r="312" spans="1:21" x14ac:dyDescent="0.25">
      <c r="A312" s="169">
        <v>2024</v>
      </c>
      <c r="B312" s="169" t="s">
        <v>809</v>
      </c>
      <c r="C312" s="170" t="s">
        <v>330</v>
      </c>
      <c r="D312" s="171" t="s">
        <v>810</v>
      </c>
      <c r="E312" s="171" t="s">
        <v>810</v>
      </c>
      <c r="F312" s="171" t="s">
        <v>330</v>
      </c>
      <c r="G312" s="170" t="s">
        <v>670</v>
      </c>
      <c r="H312" s="172">
        <v>0</v>
      </c>
      <c r="I312" s="172">
        <v>0</v>
      </c>
      <c r="J312" s="173"/>
      <c r="K312" s="172">
        <v>0</v>
      </c>
      <c r="L312" s="172">
        <v>0</v>
      </c>
      <c r="M312" s="172">
        <v>0</v>
      </c>
      <c r="N312" s="173"/>
      <c r="O312" s="172">
        <v>0</v>
      </c>
      <c r="P312" s="172">
        <v>0</v>
      </c>
      <c r="Q312" s="172">
        <v>0</v>
      </c>
      <c r="R312" s="173"/>
      <c r="S312" s="172">
        <v>0</v>
      </c>
      <c r="T312" s="172">
        <v>0</v>
      </c>
      <c r="U312" s="172">
        <v>0</v>
      </c>
    </row>
    <row r="313" spans="1:21" x14ac:dyDescent="0.25">
      <c r="A313" s="169">
        <v>2024</v>
      </c>
      <c r="B313" s="169" t="s">
        <v>811</v>
      </c>
      <c r="C313" s="170" t="s">
        <v>273</v>
      </c>
      <c r="D313" s="171" t="s">
        <v>810</v>
      </c>
      <c r="E313" s="171" t="s">
        <v>810</v>
      </c>
      <c r="F313" s="171" t="s">
        <v>273</v>
      </c>
      <c r="G313" s="170" t="s">
        <v>615</v>
      </c>
      <c r="H313" s="172">
        <v>0</v>
      </c>
      <c r="I313" s="172">
        <v>4</v>
      </c>
      <c r="J313" s="173"/>
      <c r="K313" s="172">
        <v>185553.75</v>
      </c>
      <c r="L313" s="172">
        <v>0</v>
      </c>
      <c r="M313" s="172">
        <v>185553.75</v>
      </c>
      <c r="N313" s="173"/>
      <c r="O313" s="172">
        <v>62512.02</v>
      </c>
      <c r="P313" s="172">
        <v>0</v>
      </c>
      <c r="Q313" s="172">
        <v>62512.02</v>
      </c>
      <c r="R313" s="173"/>
      <c r="S313" s="172">
        <v>248065.77</v>
      </c>
      <c r="T313" s="172">
        <v>0</v>
      </c>
      <c r="U313" s="172">
        <v>248065.77</v>
      </c>
    </row>
    <row r="314" spans="1:21" x14ac:dyDescent="0.25">
      <c r="A314" s="169">
        <v>2024</v>
      </c>
      <c r="B314" s="169" t="s">
        <v>811</v>
      </c>
      <c r="C314" s="170" t="s">
        <v>55</v>
      </c>
      <c r="D314" s="171" t="s">
        <v>810</v>
      </c>
      <c r="E314" s="171" t="s">
        <v>810</v>
      </c>
      <c r="F314" s="171" t="s">
        <v>55</v>
      </c>
      <c r="G314" s="170" t="s">
        <v>407</v>
      </c>
      <c r="H314" s="172">
        <v>1</v>
      </c>
      <c r="I314" s="172">
        <v>4</v>
      </c>
      <c r="J314" s="173"/>
      <c r="K314" s="172">
        <v>199316.25</v>
      </c>
      <c r="L314" s="172">
        <v>39863.25</v>
      </c>
      <c r="M314" s="172">
        <v>159453</v>
      </c>
      <c r="N314" s="173"/>
      <c r="O314" s="172">
        <v>66603.649999999994</v>
      </c>
      <c r="P314" s="172">
        <v>13320.73</v>
      </c>
      <c r="Q314" s="172">
        <v>53282.92</v>
      </c>
      <c r="R314" s="173"/>
      <c r="S314" s="172">
        <v>265919.90000000002</v>
      </c>
      <c r="T314" s="172">
        <v>53183.979999999996</v>
      </c>
      <c r="U314" s="172">
        <v>212735.91999999998</v>
      </c>
    </row>
    <row r="315" spans="1:21" x14ac:dyDescent="0.25">
      <c r="A315" s="169">
        <v>2024</v>
      </c>
      <c r="B315" s="169" t="s">
        <v>812</v>
      </c>
      <c r="C315" s="170" t="s">
        <v>332</v>
      </c>
      <c r="D315" s="171" t="s">
        <v>810</v>
      </c>
      <c r="E315" s="171" t="s">
        <v>810</v>
      </c>
      <c r="F315" s="171" t="s">
        <v>332</v>
      </c>
      <c r="G315" s="170" t="s">
        <v>672</v>
      </c>
      <c r="H315" s="172">
        <v>2</v>
      </c>
      <c r="I315" s="172">
        <v>2</v>
      </c>
      <c r="J315" s="173"/>
      <c r="K315" s="172">
        <v>56525.25</v>
      </c>
      <c r="L315" s="172">
        <v>28262.63</v>
      </c>
      <c r="M315" s="172">
        <v>28262.62</v>
      </c>
      <c r="N315" s="173"/>
      <c r="O315" s="172">
        <v>19415.75</v>
      </c>
      <c r="P315" s="172">
        <v>9707.8799999999992</v>
      </c>
      <c r="Q315" s="172">
        <v>9707.8700000000008</v>
      </c>
      <c r="R315" s="173"/>
      <c r="S315" s="172">
        <v>75941</v>
      </c>
      <c r="T315" s="172">
        <v>37970.51</v>
      </c>
      <c r="U315" s="172">
        <v>37970.49</v>
      </c>
    </row>
    <row r="316" spans="1:21" x14ac:dyDescent="0.25">
      <c r="A316" s="169">
        <v>2024</v>
      </c>
      <c r="B316" s="169" t="s">
        <v>819</v>
      </c>
      <c r="C316" s="170" t="s">
        <v>333</v>
      </c>
      <c r="D316" s="171" t="s">
        <v>810</v>
      </c>
      <c r="E316" s="171" t="s">
        <v>810</v>
      </c>
      <c r="F316" s="171" t="s">
        <v>333</v>
      </c>
      <c r="G316" s="170" t="s">
        <v>673</v>
      </c>
      <c r="H316" s="172">
        <v>1</v>
      </c>
      <c r="I316" s="172">
        <v>1</v>
      </c>
      <c r="J316" s="173"/>
      <c r="K316" s="172">
        <v>126977.25</v>
      </c>
      <c r="L316" s="172">
        <v>63488.63</v>
      </c>
      <c r="M316" s="172">
        <v>63488.62</v>
      </c>
      <c r="N316" s="173"/>
      <c r="O316" s="172">
        <v>43048.62</v>
      </c>
      <c r="P316" s="172">
        <v>21524.31</v>
      </c>
      <c r="Q316" s="172">
        <v>21524.31</v>
      </c>
      <c r="R316" s="173"/>
      <c r="S316" s="172">
        <v>170025.87</v>
      </c>
      <c r="T316" s="172">
        <v>85012.94</v>
      </c>
      <c r="U316" s="172">
        <v>85012.930000000008</v>
      </c>
    </row>
    <row r="317" spans="1:21" x14ac:dyDescent="0.25">
      <c r="A317" s="169">
        <v>2024</v>
      </c>
      <c r="B317" s="169" t="s">
        <v>813</v>
      </c>
      <c r="C317" s="170" t="s">
        <v>334</v>
      </c>
      <c r="D317" s="171" t="s">
        <v>810</v>
      </c>
      <c r="E317" s="171" t="s">
        <v>810</v>
      </c>
      <c r="F317" s="171" t="s">
        <v>334</v>
      </c>
      <c r="G317" s="170" t="s">
        <v>674</v>
      </c>
      <c r="H317" s="172">
        <v>0</v>
      </c>
      <c r="I317" s="172">
        <v>7</v>
      </c>
      <c r="J317" s="173"/>
      <c r="K317" s="172">
        <v>361853.25</v>
      </c>
      <c r="L317" s="172">
        <v>0</v>
      </c>
      <c r="M317" s="172">
        <v>361853.25</v>
      </c>
      <c r="N317" s="173"/>
      <c r="O317" s="172">
        <v>124510.93</v>
      </c>
      <c r="P317" s="172">
        <v>0</v>
      </c>
      <c r="Q317" s="172">
        <v>124510.93</v>
      </c>
      <c r="R317" s="173"/>
      <c r="S317" s="172">
        <v>486364.18</v>
      </c>
      <c r="T317" s="172">
        <v>0</v>
      </c>
      <c r="U317" s="172">
        <v>486364.18</v>
      </c>
    </row>
    <row r="318" spans="1:21" x14ac:dyDescent="0.25">
      <c r="A318" s="169">
        <v>2024</v>
      </c>
      <c r="B318" s="169" t="s">
        <v>811</v>
      </c>
      <c r="C318" s="170" t="s">
        <v>335</v>
      </c>
      <c r="D318" s="171" t="s">
        <v>810</v>
      </c>
      <c r="E318" s="171" t="s">
        <v>810</v>
      </c>
      <c r="F318" s="171" t="s">
        <v>335</v>
      </c>
      <c r="G318" s="170" t="s">
        <v>675</v>
      </c>
      <c r="H318" s="172">
        <v>0</v>
      </c>
      <c r="I318" s="172">
        <v>4</v>
      </c>
      <c r="J318" s="173"/>
      <c r="K318" s="172">
        <v>179778.75</v>
      </c>
      <c r="L318" s="172">
        <v>0</v>
      </c>
      <c r="M318" s="172">
        <v>179778.75</v>
      </c>
      <c r="N318" s="173"/>
      <c r="O318" s="172">
        <v>70835.8</v>
      </c>
      <c r="P318" s="172">
        <v>0</v>
      </c>
      <c r="Q318" s="172">
        <v>70835.8</v>
      </c>
      <c r="R318" s="173"/>
      <c r="S318" s="172">
        <v>250614.55</v>
      </c>
      <c r="T318" s="172">
        <v>0</v>
      </c>
      <c r="U318" s="172">
        <v>250614.55</v>
      </c>
    </row>
    <row r="319" spans="1:21" x14ac:dyDescent="0.25">
      <c r="A319" s="169">
        <v>2024</v>
      </c>
      <c r="B319" s="169" t="s">
        <v>813</v>
      </c>
      <c r="C319" s="170" t="s">
        <v>336</v>
      </c>
      <c r="D319" s="171" t="s">
        <v>810</v>
      </c>
      <c r="E319" s="171" t="s">
        <v>810</v>
      </c>
      <c r="F319" s="171" t="s">
        <v>336</v>
      </c>
      <c r="G319" s="170" t="s">
        <v>676</v>
      </c>
      <c r="H319" s="172">
        <v>2</v>
      </c>
      <c r="I319" s="172">
        <v>2</v>
      </c>
      <c r="J319" s="173"/>
      <c r="K319" s="172">
        <v>128301.75</v>
      </c>
      <c r="L319" s="172">
        <v>64150.879999999997</v>
      </c>
      <c r="M319" s="172">
        <v>64150.87</v>
      </c>
      <c r="N319" s="173"/>
      <c r="O319" s="172">
        <v>44473.54</v>
      </c>
      <c r="P319" s="172">
        <v>22236.77</v>
      </c>
      <c r="Q319" s="172">
        <v>22236.77</v>
      </c>
      <c r="R319" s="173"/>
      <c r="S319" s="172">
        <v>172775.29</v>
      </c>
      <c r="T319" s="172">
        <v>86387.65</v>
      </c>
      <c r="U319" s="172">
        <v>86387.64</v>
      </c>
    </row>
    <row r="320" spans="1:21" x14ac:dyDescent="0.25">
      <c r="A320" s="169">
        <v>2024</v>
      </c>
      <c r="B320" s="169" t="s">
        <v>813</v>
      </c>
      <c r="C320" s="170" t="s">
        <v>337</v>
      </c>
      <c r="D320" s="171" t="s">
        <v>810</v>
      </c>
      <c r="E320" s="171" t="s">
        <v>810</v>
      </c>
      <c r="F320" s="171" t="s">
        <v>337</v>
      </c>
      <c r="G320" s="170" t="s">
        <v>677</v>
      </c>
      <c r="H320" s="172">
        <v>0</v>
      </c>
      <c r="I320" s="172">
        <v>6</v>
      </c>
      <c r="J320" s="173"/>
      <c r="K320" s="172">
        <v>218257.5</v>
      </c>
      <c r="L320" s="172">
        <v>0</v>
      </c>
      <c r="M320" s="172">
        <v>218257.5</v>
      </c>
      <c r="N320" s="173"/>
      <c r="O320" s="172">
        <v>74503.87</v>
      </c>
      <c r="P320" s="172">
        <v>0</v>
      </c>
      <c r="Q320" s="172">
        <v>74503.87</v>
      </c>
      <c r="R320" s="173"/>
      <c r="S320" s="172">
        <v>292761.37</v>
      </c>
      <c r="T320" s="172">
        <v>0</v>
      </c>
      <c r="U320" s="172">
        <v>292761.37</v>
      </c>
    </row>
    <row r="321" spans="1:21" x14ac:dyDescent="0.25">
      <c r="A321" s="169">
        <v>2024</v>
      </c>
      <c r="B321" s="169" t="s">
        <v>818</v>
      </c>
      <c r="C321" s="170" t="s">
        <v>331</v>
      </c>
      <c r="D321" s="171" t="s">
        <v>810</v>
      </c>
      <c r="E321" s="171" t="s">
        <v>810</v>
      </c>
      <c r="F321" s="171" t="s">
        <v>331</v>
      </c>
      <c r="G321" s="170" t="s">
        <v>671</v>
      </c>
      <c r="H321" s="172">
        <v>0</v>
      </c>
      <c r="I321" s="172">
        <v>6</v>
      </c>
      <c r="J321" s="173"/>
      <c r="K321" s="172">
        <v>1586303.25</v>
      </c>
      <c r="L321" s="172">
        <v>0</v>
      </c>
      <c r="M321" s="172">
        <v>1586303.25</v>
      </c>
      <c r="N321" s="173"/>
      <c r="O321" s="172">
        <v>550220.88</v>
      </c>
      <c r="P321" s="172">
        <v>0</v>
      </c>
      <c r="Q321" s="172">
        <v>550220.88</v>
      </c>
      <c r="R321" s="173"/>
      <c r="S321" s="172">
        <v>2136524.13</v>
      </c>
      <c r="T321" s="172">
        <v>0</v>
      </c>
      <c r="U321" s="172">
        <v>2136524.13</v>
      </c>
    </row>
    <row r="322" spans="1:21" x14ac:dyDescent="0.25">
      <c r="A322" s="169">
        <v>2024</v>
      </c>
      <c r="B322" s="169" t="s">
        <v>813</v>
      </c>
      <c r="C322" s="170" t="s">
        <v>338</v>
      </c>
      <c r="D322" s="171" t="s">
        <v>810</v>
      </c>
      <c r="E322" s="171" t="s">
        <v>810</v>
      </c>
      <c r="F322" s="171" t="s">
        <v>338</v>
      </c>
      <c r="G322" s="170" t="s">
        <v>678</v>
      </c>
      <c r="H322" s="172">
        <v>1</v>
      </c>
      <c r="I322" s="172">
        <v>3</v>
      </c>
      <c r="J322" s="173"/>
      <c r="K322" s="172">
        <v>120854.25</v>
      </c>
      <c r="L322" s="172">
        <v>30213.56</v>
      </c>
      <c r="M322" s="172">
        <v>90640.69</v>
      </c>
      <c r="N322" s="173"/>
      <c r="O322" s="172">
        <v>41443.949999999997</v>
      </c>
      <c r="P322" s="172">
        <v>10360.99</v>
      </c>
      <c r="Q322" s="172">
        <v>31082.959999999999</v>
      </c>
      <c r="R322" s="173"/>
      <c r="S322" s="172">
        <v>162298.20000000001</v>
      </c>
      <c r="T322" s="172">
        <v>40574.550000000003</v>
      </c>
      <c r="U322" s="172">
        <v>121723.65</v>
      </c>
    </row>
    <row r="323" spans="1:21" x14ac:dyDescent="0.25">
      <c r="A323" s="169">
        <v>2024</v>
      </c>
      <c r="B323" s="169" t="s">
        <v>813</v>
      </c>
      <c r="C323" s="170" t="s">
        <v>339</v>
      </c>
      <c r="D323" s="171" t="s">
        <v>810</v>
      </c>
      <c r="E323" s="171" t="s">
        <v>810</v>
      </c>
      <c r="F323" s="171" t="s">
        <v>339</v>
      </c>
      <c r="G323" s="170" t="s">
        <v>679</v>
      </c>
      <c r="H323" s="172">
        <v>0</v>
      </c>
      <c r="I323" s="172">
        <v>5</v>
      </c>
      <c r="J323" s="173"/>
      <c r="K323" s="172">
        <v>50134.5</v>
      </c>
      <c r="L323" s="172">
        <v>0</v>
      </c>
      <c r="M323" s="172">
        <v>50134.5</v>
      </c>
      <c r="N323" s="173"/>
      <c r="O323" s="172">
        <v>16925.55</v>
      </c>
      <c r="P323" s="172">
        <v>0</v>
      </c>
      <c r="Q323" s="172">
        <v>16925.55</v>
      </c>
      <c r="R323" s="173"/>
      <c r="S323" s="172">
        <v>67060.05</v>
      </c>
      <c r="T323" s="172">
        <v>0</v>
      </c>
      <c r="U323" s="172">
        <v>67060.05</v>
      </c>
    </row>
    <row r="324" spans="1:21" x14ac:dyDescent="0.25">
      <c r="A324" s="169">
        <v>2024</v>
      </c>
      <c r="B324" s="169" t="s">
        <v>816</v>
      </c>
      <c r="C324" s="170" t="s">
        <v>340</v>
      </c>
      <c r="D324" s="171" t="s">
        <v>810</v>
      </c>
      <c r="E324" s="171" t="s">
        <v>810</v>
      </c>
      <c r="F324" s="171" t="s">
        <v>340</v>
      </c>
      <c r="G324" s="170" t="s">
        <v>680</v>
      </c>
      <c r="H324" s="172">
        <v>0</v>
      </c>
      <c r="I324" s="172">
        <v>7</v>
      </c>
      <c r="J324" s="173"/>
      <c r="K324" s="172">
        <v>524967</v>
      </c>
      <c r="L324" s="172">
        <v>0</v>
      </c>
      <c r="M324" s="172">
        <v>524967</v>
      </c>
      <c r="N324" s="173"/>
      <c r="O324" s="172">
        <v>180227.52</v>
      </c>
      <c r="P324" s="172">
        <v>0</v>
      </c>
      <c r="Q324" s="172">
        <v>180227.52</v>
      </c>
      <c r="R324" s="173"/>
      <c r="S324" s="172">
        <v>705194.52</v>
      </c>
      <c r="T324" s="172">
        <v>0</v>
      </c>
      <c r="U324" s="172">
        <v>705194.52</v>
      </c>
    </row>
    <row r="325" spans="1:21" x14ac:dyDescent="0.25">
      <c r="A325" s="169">
        <v>2024</v>
      </c>
      <c r="B325" s="169" t="s">
        <v>819</v>
      </c>
      <c r="C325" s="170" t="s">
        <v>341</v>
      </c>
      <c r="D325" s="171" t="s">
        <v>810</v>
      </c>
      <c r="E325" s="171" t="s">
        <v>810</v>
      </c>
      <c r="F325" s="171" t="s">
        <v>341</v>
      </c>
      <c r="G325" s="170" t="s">
        <v>681</v>
      </c>
      <c r="H325" s="172">
        <v>0</v>
      </c>
      <c r="I325" s="172">
        <v>1</v>
      </c>
      <c r="J325" s="173"/>
      <c r="K325" s="172">
        <v>51211.5</v>
      </c>
      <c r="L325" s="172">
        <v>0</v>
      </c>
      <c r="M325" s="172">
        <v>51211.5</v>
      </c>
      <c r="N325" s="173"/>
      <c r="O325" s="172">
        <v>17303.919999999998</v>
      </c>
      <c r="P325" s="172">
        <v>0</v>
      </c>
      <c r="Q325" s="172">
        <v>17303.919999999998</v>
      </c>
      <c r="R325" s="173"/>
      <c r="S325" s="172">
        <v>68515.42</v>
      </c>
      <c r="T325" s="172">
        <v>0</v>
      </c>
      <c r="U325" s="172">
        <v>68515.42</v>
      </c>
    </row>
    <row r="326" spans="1:21" x14ac:dyDescent="0.25">
      <c r="A326" s="169">
        <v>2024</v>
      </c>
      <c r="B326" s="169" t="s">
        <v>815</v>
      </c>
      <c r="C326" s="170" t="s">
        <v>342</v>
      </c>
      <c r="D326" s="171" t="s">
        <v>810</v>
      </c>
      <c r="E326" s="171" t="s">
        <v>810</v>
      </c>
      <c r="F326" s="171" t="s">
        <v>342</v>
      </c>
      <c r="G326" s="170" t="s">
        <v>682</v>
      </c>
      <c r="H326" s="172">
        <v>0</v>
      </c>
      <c r="I326" s="172">
        <v>5</v>
      </c>
      <c r="J326" s="173"/>
      <c r="K326" s="172">
        <v>62251.5</v>
      </c>
      <c r="L326" s="172">
        <v>0</v>
      </c>
      <c r="M326" s="172">
        <v>62251.5</v>
      </c>
      <c r="N326" s="173"/>
      <c r="O326" s="172">
        <v>22155.85</v>
      </c>
      <c r="P326" s="172">
        <v>0</v>
      </c>
      <c r="Q326" s="172">
        <v>22155.85</v>
      </c>
      <c r="R326" s="173"/>
      <c r="S326" s="172">
        <v>84407.35</v>
      </c>
      <c r="T326" s="172">
        <v>0</v>
      </c>
      <c r="U326" s="172">
        <v>84407.35</v>
      </c>
    </row>
    <row r="327" spans="1:21" x14ac:dyDescent="0.25">
      <c r="A327" s="169">
        <v>2024</v>
      </c>
      <c r="B327" s="169" t="s">
        <v>809</v>
      </c>
      <c r="C327" s="170" t="s">
        <v>343</v>
      </c>
      <c r="D327" s="171" t="s">
        <v>810</v>
      </c>
      <c r="E327" s="171" t="s">
        <v>810</v>
      </c>
      <c r="F327" s="171" t="s">
        <v>343</v>
      </c>
      <c r="G327" s="170" t="s">
        <v>683</v>
      </c>
      <c r="H327" s="172">
        <v>0</v>
      </c>
      <c r="I327" s="172">
        <v>4</v>
      </c>
      <c r="J327" s="173"/>
      <c r="K327" s="172">
        <v>446460</v>
      </c>
      <c r="L327" s="172">
        <v>0</v>
      </c>
      <c r="M327" s="172">
        <v>446460</v>
      </c>
      <c r="N327" s="173"/>
      <c r="O327" s="172">
        <v>154376.32000000001</v>
      </c>
      <c r="P327" s="172">
        <v>0</v>
      </c>
      <c r="Q327" s="172">
        <v>154376.32000000001</v>
      </c>
      <c r="R327" s="173"/>
      <c r="S327" s="172">
        <v>600836.32000000007</v>
      </c>
      <c r="T327" s="172">
        <v>0</v>
      </c>
      <c r="U327" s="172">
        <v>600836.32000000007</v>
      </c>
    </row>
    <row r="328" spans="1:21" x14ac:dyDescent="0.25">
      <c r="A328" s="169">
        <v>2024</v>
      </c>
      <c r="B328" s="169" t="s">
        <v>812</v>
      </c>
      <c r="C328" s="170" t="s">
        <v>344</v>
      </c>
      <c r="D328" s="171" t="s">
        <v>810</v>
      </c>
      <c r="E328" s="171" t="s">
        <v>810</v>
      </c>
      <c r="F328" s="171" t="s">
        <v>344</v>
      </c>
      <c r="G328" s="170" t="s">
        <v>684</v>
      </c>
      <c r="H328" s="172">
        <v>5</v>
      </c>
      <c r="I328" s="172">
        <v>9</v>
      </c>
      <c r="J328" s="173"/>
      <c r="K328" s="172">
        <v>285439.5</v>
      </c>
      <c r="L328" s="172">
        <v>101942.68</v>
      </c>
      <c r="M328" s="172">
        <v>183496.82</v>
      </c>
      <c r="N328" s="173"/>
      <c r="O328" s="172">
        <v>111579.78</v>
      </c>
      <c r="P328" s="172">
        <v>39849.919999999998</v>
      </c>
      <c r="Q328" s="172">
        <v>71729.86</v>
      </c>
      <c r="R328" s="173"/>
      <c r="S328" s="172">
        <v>397019.28</v>
      </c>
      <c r="T328" s="172">
        <v>141792.59999999998</v>
      </c>
      <c r="U328" s="172">
        <v>255226.68</v>
      </c>
    </row>
    <row r="329" spans="1:21" x14ac:dyDescent="0.25">
      <c r="A329" s="169">
        <v>2024</v>
      </c>
      <c r="B329" s="169" t="s">
        <v>813</v>
      </c>
      <c r="C329" s="170" t="s">
        <v>345</v>
      </c>
      <c r="D329" s="171" t="s">
        <v>810</v>
      </c>
      <c r="E329" s="171" t="s">
        <v>810</v>
      </c>
      <c r="F329" s="171" t="s">
        <v>345</v>
      </c>
      <c r="G329" s="170" t="s">
        <v>685</v>
      </c>
      <c r="H329" s="172">
        <v>3</v>
      </c>
      <c r="I329" s="172">
        <v>3</v>
      </c>
      <c r="J329" s="173"/>
      <c r="K329" s="172">
        <v>213392.25</v>
      </c>
      <c r="L329" s="172">
        <v>106696.13</v>
      </c>
      <c r="M329" s="172">
        <v>106696.12</v>
      </c>
      <c r="N329" s="173"/>
      <c r="O329" s="172">
        <v>75842.87</v>
      </c>
      <c r="P329" s="172">
        <v>37921.440000000002</v>
      </c>
      <c r="Q329" s="172">
        <v>37921.429999999993</v>
      </c>
      <c r="R329" s="173"/>
      <c r="S329" s="172">
        <v>289235.12</v>
      </c>
      <c r="T329" s="172">
        <v>144617.57</v>
      </c>
      <c r="U329" s="172">
        <v>144617.54999999999</v>
      </c>
    </row>
    <row r="330" spans="1:21" x14ac:dyDescent="0.25">
      <c r="A330" s="169">
        <v>2024</v>
      </c>
      <c r="B330" s="169" t="s">
        <v>809</v>
      </c>
      <c r="C330" s="170" t="s">
        <v>346</v>
      </c>
      <c r="D330" s="171" t="s">
        <v>810</v>
      </c>
      <c r="E330" s="171" t="s">
        <v>810</v>
      </c>
      <c r="F330" s="171" t="s">
        <v>346</v>
      </c>
      <c r="G330" s="170" t="s">
        <v>686</v>
      </c>
      <c r="H330" s="172">
        <v>0</v>
      </c>
      <c r="I330" s="172">
        <v>1</v>
      </c>
      <c r="J330" s="173"/>
      <c r="K330" s="172">
        <v>74771.25</v>
      </c>
      <c r="L330" s="172">
        <v>0</v>
      </c>
      <c r="M330" s="172">
        <v>74771.25</v>
      </c>
      <c r="N330" s="173"/>
      <c r="O330" s="172">
        <v>27000.21</v>
      </c>
      <c r="P330" s="172">
        <v>0</v>
      </c>
      <c r="Q330" s="172">
        <v>27000.21</v>
      </c>
      <c r="R330" s="173"/>
      <c r="S330" s="172">
        <v>101771.45999999999</v>
      </c>
      <c r="T330" s="172">
        <v>0</v>
      </c>
      <c r="U330" s="172">
        <v>101771.45999999999</v>
      </c>
    </row>
    <row r="331" spans="1:21" ht="15.75" thickBot="1" x14ac:dyDescent="0.3">
      <c r="A331" s="165"/>
      <c r="B331" s="165"/>
      <c r="C331" s="174" t="s">
        <v>779</v>
      </c>
      <c r="D331" s="165"/>
      <c r="E331" s="165"/>
      <c r="F331" s="167"/>
      <c r="G331" s="166"/>
      <c r="H331" s="166"/>
      <c r="I331" s="166"/>
      <c r="J331" s="166"/>
      <c r="K331" s="163">
        <f>SUM(K6:K330)</f>
        <v>95221863</v>
      </c>
      <c r="L331" s="163">
        <f>SUM(L6:L330)</f>
        <v>11522220.770000011</v>
      </c>
      <c r="M331" s="163">
        <f>SUM(M6:M330)</f>
        <v>83699642.230000004</v>
      </c>
      <c r="N331" s="166"/>
      <c r="O331" s="163">
        <f>SUM(O6:O330)</f>
        <v>33339651.660000015</v>
      </c>
      <c r="P331" s="163">
        <f>SUM(P6:P330)</f>
        <v>4002078.6000000006</v>
      </c>
      <c r="Q331" s="163">
        <f>SUM(Q6:Q330)</f>
        <v>29337573.060000014</v>
      </c>
      <c r="R331" s="166"/>
      <c r="S331" s="163">
        <f>SUM(S6:S330)</f>
        <v>128561514.65999992</v>
      </c>
      <c r="T331" s="163">
        <f>SUM(T6:T330)</f>
        <v>15524299.369999999</v>
      </c>
      <c r="U331" s="163">
        <f>SUM(U6:U330)</f>
        <v>113037215.28999995</v>
      </c>
    </row>
    <row r="332" spans="1:21" ht="15.75" thickTop="1" x14ac:dyDescent="0.25"/>
  </sheetData>
  <mergeCells count="5">
    <mergeCell ref="K4:M4"/>
    <mergeCell ref="O4:Q4"/>
    <mergeCell ref="S4:U4"/>
    <mergeCell ref="G1:U1"/>
    <mergeCell ref="G2:U2"/>
  </mergeCells>
  <printOptions horizontalCentered="1"/>
  <pageMargins left="0.7" right="0.7" top="0.75" bottom="0.75" header="0.3" footer="0.3"/>
  <pageSetup scale="6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01"/>
  <sheetViews>
    <sheetView workbookViewId="0">
      <pane ySplit="2" topLeftCell="A3" activePane="bottomLeft" state="frozen"/>
      <selection pane="bottomLeft" activeCell="E327" sqref="E3:E327"/>
    </sheetView>
  </sheetViews>
  <sheetFormatPr defaultRowHeight="15" x14ac:dyDescent="0.25"/>
  <cols>
    <col min="1" max="1" width="9.140625" style="143"/>
    <col min="2" max="2" width="8.5703125" style="110" customWidth="1"/>
    <col min="3" max="3" width="9.140625" style="143" customWidth="1"/>
    <col min="4" max="4" width="40.140625" style="110" bestFit="1" customWidth="1"/>
    <col min="5" max="5" width="16.5703125" style="110" bestFit="1" customWidth="1"/>
    <col min="6" max="16384" width="9.140625" style="110"/>
  </cols>
  <sheetData>
    <row r="1" spans="1:8" ht="43.5" customHeight="1" x14ac:dyDescent="0.25">
      <c r="D1" s="145" t="str">
        <f>CONCATENATE("FY ",$A$3," Special Education Deficit Payment
Based on FY ",$A$3-1," Special Education Balances")</f>
        <v>FY 2024 Special Education Deficit Payment
Based on FY 2023 Special Education Balances</v>
      </c>
      <c r="E1" s="142"/>
      <c r="F1" s="142"/>
      <c r="H1" s="185"/>
    </row>
    <row r="2" spans="1:8" ht="27.75" customHeight="1" x14ac:dyDescent="0.25">
      <c r="A2" s="177" t="s">
        <v>347</v>
      </c>
      <c r="B2" s="178" t="s">
        <v>788</v>
      </c>
      <c r="C2" s="177" t="s">
        <v>348</v>
      </c>
      <c r="D2" s="178" t="s">
        <v>793</v>
      </c>
      <c r="E2" s="178" t="s">
        <v>794</v>
      </c>
    </row>
    <row r="3" spans="1:8" x14ac:dyDescent="0.25">
      <c r="A3" s="179">
        <v>2024</v>
      </c>
      <c r="B3" s="180" t="s">
        <v>20</v>
      </c>
      <c r="C3" s="181" t="s">
        <v>20</v>
      </c>
      <c r="D3" s="180" t="s">
        <v>375</v>
      </c>
      <c r="E3" s="182">
        <v>1825</v>
      </c>
    </row>
    <row r="4" spans="1:8" x14ac:dyDescent="0.25">
      <c r="A4" s="179">
        <v>2024</v>
      </c>
      <c r="B4" s="180" t="s">
        <v>21</v>
      </c>
      <c r="C4" s="181" t="s">
        <v>21</v>
      </c>
      <c r="D4" s="180" t="s">
        <v>376</v>
      </c>
      <c r="E4" s="182">
        <v>15223</v>
      </c>
    </row>
    <row r="5" spans="1:8" x14ac:dyDescent="0.25">
      <c r="A5" s="179">
        <v>2024</v>
      </c>
      <c r="B5" s="180" t="s">
        <v>19</v>
      </c>
      <c r="C5" s="181" t="s">
        <v>19</v>
      </c>
      <c r="D5" s="180" t="s">
        <v>0</v>
      </c>
      <c r="E5" s="182">
        <v>4896</v>
      </c>
    </row>
    <row r="6" spans="1:8" x14ac:dyDescent="0.25">
      <c r="A6" s="179">
        <v>2024</v>
      </c>
      <c r="B6" s="180" t="s">
        <v>40</v>
      </c>
      <c r="C6" s="181" t="s">
        <v>40</v>
      </c>
      <c r="D6" s="180" t="s">
        <v>18</v>
      </c>
      <c r="E6" s="182">
        <v>10802</v>
      </c>
    </row>
    <row r="7" spans="1:8" x14ac:dyDescent="0.25">
      <c r="A7" s="179">
        <v>2024</v>
      </c>
      <c r="B7" s="180" t="s">
        <v>22</v>
      </c>
      <c r="C7" s="181" t="s">
        <v>22</v>
      </c>
      <c r="D7" s="180" t="s">
        <v>377</v>
      </c>
      <c r="E7" s="182">
        <v>8728</v>
      </c>
    </row>
    <row r="8" spans="1:8" x14ac:dyDescent="0.25">
      <c r="A8" s="179">
        <v>2024</v>
      </c>
      <c r="B8" s="180" t="s">
        <v>23</v>
      </c>
      <c r="C8" s="181" t="s">
        <v>23</v>
      </c>
      <c r="D8" s="180" t="s">
        <v>378</v>
      </c>
      <c r="E8" s="182">
        <v>0</v>
      </c>
    </row>
    <row r="9" spans="1:8" x14ac:dyDescent="0.25">
      <c r="A9" s="179">
        <v>2024</v>
      </c>
      <c r="B9" s="180" t="s">
        <v>24</v>
      </c>
      <c r="C9" s="181" t="s">
        <v>24</v>
      </c>
      <c r="D9" s="180" t="s">
        <v>379</v>
      </c>
      <c r="E9" s="182">
        <v>5180</v>
      </c>
    </row>
    <row r="10" spans="1:8" x14ac:dyDescent="0.25">
      <c r="A10" s="179">
        <v>2024</v>
      </c>
      <c r="B10" s="180" t="s">
        <v>25</v>
      </c>
      <c r="C10" s="181" t="s">
        <v>25</v>
      </c>
      <c r="D10" s="180" t="s">
        <v>380</v>
      </c>
      <c r="E10" s="182">
        <v>3474</v>
      </c>
    </row>
    <row r="11" spans="1:8" x14ac:dyDescent="0.25">
      <c r="A11" s="179">
        <v>2024</v>
      </c>
      <c r="B11" s="180" t="s">
        <v>26</v>
      </c>
      <c r="C11" s="181" t="s">
        <v>26</v>
      </c>
      <c r="D11" s="180" t="s">
        <v>381</v>
      </c>
      <c r="E11" s="182">
        <v>2371</v>
      </c>
    </row>
    <row r="12" spans="1:8" x14ac:dyDescent="0.25">
      <c r="A12" s="179">
        <v>2024</v>
      </c>
      <c r="B12" s="180" t="s">
        <v>27</v>
      </c>
      <c r="C12" s="181" t="s">
        <v>27</v>
      </c>
      <c r="D12" s="180" t="s">
        <v>382</v>
      </c>
      <c r="E12" s="182">
        <v>24476</v>
      </c>
    </row>
    <row r="13" spans="1:8" x14ac:dyDescent="0.25">
      <c r="A13" s="179">
        <v>2024</v>
      </c>
      <c r="B13" s="180" t="s">
        <v>28</v>
      </c>
      <c r="C13" s="181" t="s">
        <v>28</v>
      </c>
      <c r="D13" s="180" t="s">
        <v>383</v>
      </c>
      <c r="E13" s="182">
        <v>9264</v>
      </c>
    </row>
    <row r="14" spans="1:8" x14ac:dyDescent="0.25">
      <c r="A14" s="179">
        <v>2024</v>
      </c>
      <c r="B14" s="180" t="s">
        <v>30</v>
      </c>
      <c r="C14" s="181" t="s">
        <v>30</v>
      </c>
      <c r="D14" s="180" t="s">
        <v>789</v>
      </c>
      <c r="E14" s="182">
        <v>4332</v>
      </c>
    </row>
    <row r="15" spans="1:8" x14ac:dyDescent="0.25">
      <c r="A15" s="179">
        <v>2024</v>
      </c>
      <c r="B15" s="180" t="s">
        <v>31</v>
      </c>
      <c r="C15" s="181" t="s">
        <v>31</v>
      </c>
      <c r="D15" s="180" t="s">
        <v>385</v>
      </c>
      <c r="E15" s="182">
        <v>46462</v>
      </c>
    </row>
    <row r="16" spans="1:8" x14ac:dyDescent="0.25">
      <c r="A16" s="179">
        <v>2024</v>
      </c>
      <c r="B16" s="180" t="s">
        <v>32</v>
      </c>
      <c r="C16" s="181" t="s">
        <v>32</v>
      </c>
      <c r="D16" s="180" t="s">
        <v>386</v>
      </c>
      <c r="E16" s="182">
        <v>282</v>
      </c>
    </row>
    <row r="17" spans="1:5" x14ac:dyDescent="0.25">
      <c r="A17" s="179">
        <v>2024</v>
      </c>
      <c r="B17" s="180" t="s">
        <v>33</v>
      </c>
      <c r="C17" s="181" t="s">
        <v>33</v>
      </c>
      <c r="D17" s="180" t="s">
        <v>387</v>
      </c>
      <c r="E17" s="182">
        <v>2088</v>
      </c>
    </row>
    <row r="18" spans="1:5" x14ac:dyDescent="0.25">
      <c r="A18" s="179">
        <v>2024</v>
      </c>
      <c r="B18" s="180" t="s">
        <v>34</v>
      </c>
      <c r="C18" s="181" t="s">
        <v>34</v>
      </c>
      <c r="D18" s="180" t="s">
        <v>388</v>
      </c>
      <c r="E18" s="182">
        <v>114605</v>
      </c>
    </row>
    <row r="19" spans="1:5" x14ac:dyDescent="0.25">
      <c r="A19" s="179">
        <v>2024</v>
      </c>
      <c r="B19" s="180" t="s">
        <v>35</v>
      </c>
      <c r="C19" s="181" t="s">
        <v>35</v>
      </c>
      <c r="D19" s="180" t="s">
        <v>389</v>
      </c>
      <c r="E19" s="182">
        <v>0</v>
      </c>
    </row>
    <row r="20" spans="1:5" x14ac:dyDescent="0.25">
      <c r="A20" s="179">
        <v>2024</v>
      </c>
      <c r="B20" s="180" t="s">
        <v>37</v>
      </c>
      <c r="C20" s="181" t="s">
        <v>37</v>
      </c>
      <c r="D20" s="180" t="s">
        <v>391</v>
      </c>
      <c r="E20" s="182">
        <v>0</v>
      </c>
    </row>
    <row r="21" spans="1:5" x14ac:dyDescent="0.25">
      <c r="A21" s="179">
        <v>2024</v>
      </c>
      <c r="B21" s="180" t="s">
        <v>38</v>
      </c>
      <c r="C21" s="181" t="s">
        <v>38</v>
      </c>
      <c r="D21" s="180" t="s">
        <v>392</v>
      </c>
      <c r="E21" s="182">
        <v>12207</v>
      </c>
    </row>
    <row r="22" spans="1:5" x14ac:dyDescent="0.25">
      <c r="A22" s="179">
        <v>2024</v>
      </c>
      <c r="B22" s="180" t="s">
        <v>39</v>
      </c>
      <c r="C22" s="181" t="s">
        <v>39</v>
      </c>
      <c r="D22" s="180" t="s">
        <v>393</v>
      </c>
      <c r="E22" s="182">
        <v>0</v>
      </c>
    </row>
    <row r="23" spans="1:5" x14ac:dyDescent="0.25">
      <c r="A23" s="179">
        <v>2024</v>
      </c>
      <c r="B23" s="180" t="s">
        <v>41</v>
      </c>
      <c r="C23" s="181" t="s">
        <v>41</v>
      </c>
      <c r="D23" s="180" t="s">
        <v>394</v>
      </c>
      <c r="E23" s="182">
        <v>18449</v>
      </c>
    </row>
    <row r="24" spans="1:5" x14ac:dyDescent="0.25">
      <c r="A24" s="179">
        <v>2024</v>
      </c>
      <c r="B24" s="180" t="s">
        <v>42</v>
      </c>
      <c r="C24" s="181" t="s">
        <v>42</v>
      </c>
      <c r="D24" s="180" t="s">
        <v>395</v>
      </c>
      <c r="E24" s="182">
        <v>894</v>
      </c>
    </row>
    <row r="25" spans="1:5" x14ac:dyDescent="0.25">
      <c r="A25" s="179">
        <v>2024</v>
      </c>
      <c r="B25" s="180" t="s">
        <v>43</v>
      </c>
      <c r="C25" s="181" t="s">
        <v>43</v>
      </c>
      <c r="D25" s="180" t="s">
        <v>1</v>
      </c>
      <c r="E25" s="182">
        <v>2005</v>
      </c>
    </row>
    <row r="26" spans="1:5" x14ac:dyDescent="0.25">
      <c r="A26" s="179">
        <v>2024</v>
      </c>
      <c r="B26" s="180" t="s">
        <v>44</v>
      </c>
      <c r="C26" s="181" t="s">
        <v>44</v>
      </c>
      <c r="D26" s="180" t="s">
        <v>396</v>
      </c>
      <c r="E26" s="182">
        <v>3355</v>
      </c>
    </row>
    <row r="27" spans="1:5" x14ac:dyDescent="0.25">
      <c r="A27" s="179">
        <v>2024</v>
      </c>
      <c r="B27" s="180" t="s">
        <v>45</v>
      </c>
      <c r="C27" s="181" t="s">
        <v>45</v>
      </c>
      <c r="D27" s="180" t="s">
        <v>397</v>
      </c>
      <c r="E27" s="182">
        <v>4925</v>
      </c>
    </row>
    <row r="28" spans="1:5" x14ac:dyDescent="0.25">
      <c r="A28" s="179">
        <v>2024</v>
      </c>
      <c r="B28" s="180" t="s">
        <v>46</v>
      </c>
      <c r="C28" s="181" t="s">
        <v>46</v>
      </c>
      <c r="D28" s="180" t="s">
        <v>398</v>
      </c>
      <c r="E28" s="182">
        <v>1050</v>
      </c>
    </row>
    <row r="29" spans="1:5" x14ac:dyDescent="0.25">
      <c r="A29" s="179">
        <v>2024</v>
      </c>
      <c r="B29" s="180" t="s">
        <v>47</v>
      </c>
      <c r="C29" s="181" t="s">
        <v>47</v>
      </c>
      <c r="D29" s="180" t="s">
        <v>399</v>
      </c>
      <c r="E29" s="182">
        <v>13715</v>
      </c>
    </row>
    <row r="30" spans="1:5" x14ac:dyDescent="0.25">
      <c r="A30" s="179">
        <v>2024</v>
      </c>
      <c r="B30" s="180" t="s">
        <v>48</v>
      </c>
      <c r="C30" s="181" t="s">
        <v>48</v>
      </c>
      <c r="D30" s="180" t="s">
        <v>400</v>
      </c>
      <c r="E30" s="182">
        <v>114</v>
      </c>
    </row>
    <row r="31" spans="1:5" x14ac:dyDescent="0.25">
      <c r="A31" s="179">
        <v>2024</v>
      </c>
      <c r="B31" s="180" t="s">
        <v>49</v>
      </c>
      <c r="C31" s="181" t="s">
        <v>49</v>
      </c>
      <c r="D31" s="180" t="s">
        <v>401</v>
      </c>
      <c r="E31" s="182">
        <v>10277</v>
      </c>
    </row>
    <row r="32" spans="1:5" x14ac:dyDescent="0.25">
      <c r="A32" s="179">
        <v>2024</v>
      </c>
      <c r="B32" s="180" t="s">
        <v>50</v>
      </c>
      <c r="C32" s="181" t="s">
        <v>50</v>
      </c>
      <c r="D32" s="180" t="s">
        <v>402</v>
      </c>
      <c r="E32" s="182">
        <v>14260</v>
      </c>
    </row>
    <row r="33" spans="1:5" x14ac:dyDescent="0.25">
      <c r="A33" s="179">
        <v>2024</v>
      </c>
      <c r="B33" s="180" t="s">
        <v>52</v>
      </c>
      <c r="C33" s="181" t="s">
        <v>52</v>
      </c>
      <c r="D33" s="180" t="s">
        <v>404</v>
      </c>
      <c r="E33" s="182">
        <v>13238</v>
      </c>
    </row>
    <row r="34" spans="1:5" x14ac:dyDescent="0.25">
      <c r="A34" s="179">
        <v>2024</v>
      </c>
      <c r="B34" s="180" t="s">
        <v>53</v>
      </c>
      <c r="C34" s="181" t="s">
        <v>53</v>
      </c>
      <c r="D34" s="180" t="s">
        <v>405</v>
      </c>
      <c r="E34" s="182">
        <v>5765</v>
      </c>
    </row>
    <row r="35" spans="1:5" x14ac:dyDescent="0.25">
      <c r="A35" s="179">
        <v>2024</v>
      </c>
      <c r="B35" s="180" t="s">
        <v>54</v>
      </c>
      <c r="C35" s="181" t="s">
        <v>54</v>
      </c>
      <c r="D35" s="180" t="s">
        <v>406</v>
      </c>
      <c r="E35" s="182">
        <v>2099</v>
      </c>
    </row>
    <row r="36" spans="1:5" x14ac:dyDescent="0.25">
      <c r="A36" s="179">
        <v>2024</v>
      </c>
      <c r="B36" s="180" t="s">
        <v>110</v>
      </c>
      <c r="C36" s="181" t="s">
        <v>110</v>
      </c>
      <c r="D36" s="180" t="s">
        <v>460</v>
      </c>
      <c r="E36" s="182">
        <v>0</v>
      </c>
    </row>
    <row r="37" spans="1:5" x14ac:dyDescent="0.25">
      <c r="A37" s="179">
        <v>2024</v>
      </c>
      <c r="B37" s="180" t="s">
        <v>56</v>
      </c>
      <c r="C37" s="181" t="s">
        <v>56</v>
      </c>
      <c r="D37" s="180" t="s">
        <v>408</v>
      </c>
      <c r="E37" s="182">
        <v>1480</v>
      </c>
    </row>
    <row r="38" spans="1:5" x14ac:dyDescent="0.25">
      <c r="A38" s="179">
        <v>2024</v>
      </c>
      <c r="B38" s="180" t="s">
        <v>58</v>
      </c>
      <c r="C38" s="181" t="s">
        <v>58</v>
      </c>
      <c r="D38" s="180" t="s">
        <v>410</v>
      </c>
      <c r="E38" s="182">
        <v>0</v>
      </c>
    </row>
    <row r="39" spans="1:5" x14ac:dyDescent="0.25">
      <c r="A39" s="179">
        <v>2024</v>
      </c>
      <c r="B39" s="180" t="s">
        <v>60</v>
      </c>
      <c r="C39" s="181" t="s">
        <v>60</v>
      </c>
      <c r="D39" s="180" t="s">
        <v>3</v>
      </c>
      <c r="E39" s="182">
        <v>1533</v>
      </c>
    </row>
    <row r="40" spans="1:5" x14ac:dyDescent="0.25">
      <c r="A40" s="179">
        <v>2024</v>
      </c>
      <c r="B40" s="180" t="s">
        <v>61</v>
      </c>
      <c r="C40" s="181" t="s">
        <v>61</v>
      </c>
      <c r="D40" s="180" t="s">
        <v>411</v>
      </c>
      <c r="E40" s="182">
        <v>1968</v>
      </c>
    </row>
    <row r="41" spans="1:5" x14ac:dyDescent="0.25">
      <c r="A41" s="179">
        <v>2024</v>
      </c>
      <c r="B41" s="180" t="s">
        <v>59</v>
      </c>
      <c r="C41" s="181" t="s">
        <v>59</v>
      </c>
      <c r="D41" s="180" t="s">
        <v>2</v>
      </c>
      <c r="E41" s="182">
        <v>0</v>
      </c>
    </row>
    <row r="42" spans="1:5" x14ac:dyDescent="0.25">
      <c r="A42" s="179">
        <v>2024</v>
      </c>
      <c r="B42" s="180" t="s">
        <v>62</v>
      </c>
      <c r="C42" s="181" t="s">
        <v>62</v>
      </c>
      <c r="D42" s="180" t="s">
        <v>412</v>
      </c>
      <c r="E42" s="182">
        <v>9735</v>
      </c>
    </row>
    <row r="43" spans="1:5" x14ac:dyDescent="0.25">
      <c r="A43" s="179">
        <v>2024</v>
      </c>
      <c r="B43" s="180" t="s">
        <v>63</v>
      </c>
      <c r="C43" s="181" t="s">
        <v>63</v>
      </c>
      <c r="D43" s="180" t="s">
        <v>413</v>
      </c>
      <c r="E43" s="182">
        <v>2338</v>
      </c>
    </row>
    <row r="44" spans="1:5" x14ac:dyDescent="0.25">
      <c r="A44" s="179">
        <v>2024</v>
      </c>
      <c r="B44" s="180" t="s">
        <v>64</v>
      </c>
      <c r="C44" s="181" t="s">
        <v>64</v>
      </c>
      <c r="D44" s="180" t="s">
        <v>414</v>
      </c>
      <c r="E44" s="182">
        <v>11399</v>
      </c>
    </row>
    <row r="45" spans="1:5" x14ac:dyDescent="0.25">
      <c r="A45" s="179">
        <v>2024</v>
      </c>
      <c r="B45" s="180" t="s">
        <v>65</v>
      </c>
      <c r="C45" s="181" t="s">
        <v>65</v>
      </c>
      <c r="D45" s="180" t="s">
        <v>415</v>
      </c>
      <c r="E45" s="182">
        <v>3560</v>
      </c>
    </row>
    <row r="46" spans="1:5" x14ac:dyDescent="0.25">
      <c r="A46" s="179">
        <v>2024</v>
      </c>
      <c r="B46" s="180" t="s">
        <v>66</v>
      </c>
      <c r="C46" s="181" t="s">
        <v>66</v>
      </c>
      <c r="D46" s="180" t="s">
        <v>416</v>
      </c>
      <c r="E46" s="182">
        <v>2632</v>
      </c>
    </row>
    <row r="47" spans="1:5" x14ac:dyDescent="0.25">
      <c r="A47" s="179">
        <v>2024</v>
      </c>
      <c r="B47" s="180" t="s">
        <v>67</v>
      </c>
      <c r="C47" s="181" t="s">
        <v>67</v>
      </c>
      <c r="D47" s="180" t="s">
        <v>417</v>
      </c>
      <c r="E47" s="182">
        <v>150247</v>
      </c>
    </row>
    <row r="48" spans="1:5" x14ac:dyDescent="0.25">
      <c r="A48" s="179">
        <v>2024</v>
      </c>
      <c r="B48" s="180" t="s">
        <v>68</v>
      </c>
      <c r="C48" s="181" t="s">
        <v>68</v>
      </c>
      <c r="D48" s="180" t="s">
        <v>418</v>
      </c>
      <c r="E48" s="182">
        <v>8458</v>
      </c>
    </row>
    <row r="49" spans="1:5" x14ac:dyDescent="0.25">
      <c r="A49" s="179">
        <v>2024</v>
      </c>
      <c r="B49" s="180" t="s">
        <v>69</v>
      </c>
      <c r="C49" s="181" t="s">
        <v>69</v>
      </c>
      <c r="D49" s="180" t="s">
        <v>419</v>
      </c>
      <c r="E49" s="182">
        <v>5737</v>
      </c>
    </row>
    <row r="50" spans="1:5" x14ac:dyDescent="0.25">
      <c r="A50" s="179">
        <v>2024</v>
      </c>
      <c r="B50" s="180" t="s">
        <v>73</v>
      </c>
      <c r="C50" s="181" t="s">
        <v>73</v>
      </c>
      <c r="D50" s="180" t="s">
        <v>423</v>
      </c>
      <c r="E50" s="182">
        <v>5176</v>
      </c>
    </row>
    <row r="51" spans="1:5" x14ac:dyDescent="0.25">
      <c r="A51" s="179">
        <v>2024</v>
      </c>
      <c r="B51" s="180" t="s">
        <v>71</v>
      </c>
      <c r="C51" s="181" t="s">
        <v>71</v>
      </c>
      <c r="D51" s="180" t="s">
        <v>421</v>
      </c>
      <c r="E51" s="182">
        <v>2941</v>
      </c>
    </row>
    <row r="52" spans="1:5" x14ac:dyDescent="0.25">
      <c r="A52" s="179">
        <v>2024</v>
      </c>
      <c r="B52" s="180" t="s">
        <v>72</v>
      </c>
      <c r="C52" s="181" t="s">
        <v>72</v>
      </c>
      <c r="D52" s="180" t="s">
        <v>422</v>
      </c>
      <c r="E52" s="182">
        <v>13720</v>
      </c>
    </row>
    <row r="53" spans="1:5" x14ac:dyDescent="0.25">
      <c r="A53" s="179">
        <v>2024</v>
      </c>
      <c r="B53" s="180" t="s">
        <v>74</v>
      </c>
      <c r="C53" s="181" t="s">
        <v>74</v>
      </c>
      <c r="D53" s="180" t="s">
        <v>424</v>
      </c>
      <c r="E53" s="182">
        <v>172</v>
      </c>
    </row>
    <row r="54" spans="1:5" x14ac:dyDescent="0.25">
      <c r="A54" s="179">
        <v>2024</v>
      </c>
      <c r="B54" s="180" t="s">
        <v>70</v>
      </c>
      <c r="C54" s="181" t="s">
        <v>70</v>
      </c>
      <c r="D54" s="180" t="s">
        <v>420</v>
      </c>
      <c r="E54" s="182">
        <v>3490</v>
      </c>
    </row>
    <row r="55" spans="1:5" x14ac:dyDescent="0.25">
      <c r="A55" s="179">
        <v>2024</v>
      </c>
      <c r="B55" s="180" t="s">
        <v>75</v>
      </c>
      <c r="C55" s="181" t="s">
        <v>75</v>
      </c>
      <c r="D55" s="180" t="s">
        <v>425</v>
      </c>
      <c r="E55" s="182">
        <v>4297</v>
      </c>
    </row>
    <row r="56" spans="1:5" x14ac:dyDescent="0.25">
      <c r="A56" s="179">
        <v>2024</v>
      </c>
      <c r="B56" s="180" t="s">
        <v>226</v>
      </c>
      <c r="C56" s="181" t="s">
        <v>226</v>
      </c>
      <c r="D56" s="180" t="s">
        <v>573</v>
      </c>
      <c r="E56" s="182">
        <v>11404</v>
      </c>
    </row>
    <row r="57" spans="1:5" x14ac:dyDescent="0.25">
      <c r="A57" s="179">
        <v>2024</v>
      </c>
      <c r="B57" s="180" t="s">
        <v>76</v>
      </c>
      <c r="C57" s="181" t="s">
        <v>76</v>
      </c>
      <c r="D57" s="180" t="s">
        <v>426</v>
      </c>
      <c r="E57" s="182">
        <v>5052</v>
      </c>
    </row>
    <row r="58" spans="1:5" x14ac:dyDescent="0.25">
      <c r="A58" s="179">
        <v>2024</v>
      </c>
      <c r="B58" s="180" t="s">
        <v>77</v>
      </c>
      <c r="C58" s="181" t="s">
        <v>77</v>
      </c>
      <c r="D58" s="180" t="s">
        <v>427</v>
      </c>
      <c r="E58" s="182">
        <v>23594</v>
      </c>
    </row>
    <row r="59" spans="1:5" x14ac:dyDescent="0.25">
      <c r="A59" s="179">
        <v>2024</v>
      </c>
      <c r="B59" s="180" t="s">
        <v>78</v>
      </c>
      <c r="C59" s="181" t="s">
        <v>78</v>
      </c>
      <c r="D59" s="180" t="s">
        <v>428</v>
      </c>
      <c r="E59" s="182">
        <v>2521</v>
      </c>
    </row>
    <row r="60" spans="1:5" x14ac:dyDescent="0.25">
      <c r="A60" s="179">
        <v>2024</v>
      </c>
      <c r="B60" s="180" t="s">
        <v>79</v>
      </c>
      <c r="C60" s="181" t="s">
        <v>79</v>
      </c>
      <c r="D60" s="180" t="s">
        <v>429</v>
      </c>
      <c r="E60" s="182">
        <v>0</v>
      </c>
    </row>
    <row r="61" spans="1:5" x14ac:dyDescent="0.25">
      <c r="A61" s="179">
        <v>2024</v>
      </c>
      <c r="B61" s="180" t="s">
        <v>80</v>
      </c>
      <c r="C61" s="181" t="s">
        <v>80</v>
      </c>
      <c r="D61" s="180" t="s">
        <v>430</v>
      </c>
      <c r="E61" s="182">
        <v>7165</v>
      </c>
    </row>
    <row r="62" spans="1:5" x14ac:dyDescent="0.25">
      <c r="A62" s="179">
        <v>2024</v>
      </c>
      <c r="B62" s="180" t="s">
        <v>81</v>
      </c>
      <c r="C62" s="181" t="s">
        <v>81</v>
      </c>
      <c r="D62" s="180" t="s">
        <v>431</v>
      </c>
      <c r="E62" s="182">
        <v>3687</v>
      </c>
    </row>
    <row r="63" spans="1:5" x14ac:dyDescent="0.25">
      <c r="A63" s="179">
        <v>2024</v>
      </c>
      <c r="B63" s="180" t="s">
        <v>82</v>
      </c>
      <c r="C63" s="181" t="s">
        <v>82</v>
      </c>
      <c r="D63" s="180" t="s">
        <v>432</v>
      </c>
      <c r="E63" s="182">
        <v>6613</v>
      </c>
    </row>
    <row r="64" spans="1:5" x14ac:dyDescent="0.25">
      <c r="A64" s="179">
        <v>2024</v>
      </c>
      <c r="B64" s="180" t="s">
        <v>83</v>
      </c>
      <c r="C64" s="181" t="s">
        <v>83</v>
      </c>
      <c r="D64" s="180" t="s">
        <v>433</v>
      </c>
      <c r="E64" s="182">
        <v>3972</v>
      </c>
    </row>
    <row r="65" spans="1:5" x14ac:dyDescent="0.25">
      <c r="A65" s="179">
        <v>2024</v>
      </c>
      <c r="B65" s="180" t="s">
        <v>84</v>
      </c>
      <c r="C65" s="181" t="s">
        <v>84</v>
      </c>
      <c r="D65" s="180" t="s">
        <v>434</v>
      </c>
      <c r="E65" s="182">
        <v>1961</v>
      </c>
    </row>
    <row r="66" spans="1:5" x14ac:dyDescent="0.25">
      <c r="A66" s="179">
        <v>2024</v>
      </c>
      <c r="B66" s="180" t="s">
        <v>147</v>
      </c>
      <c r="C66" s="181" t="s">
        <v>147</v>
      </c>
      <c r="D66" s="180" t="s">
        <v>496</v>
      </c>
      <c r="E66" s="182">
        <v>5843</v>
      </c>
    </row>
    <row r="67" spans="1:5" x14ac:dyDescent="0.25">
      <c r="A67" s="179">
        <v>2024</v>
      </c>
      <c r="B67" s="180" t="s">
        <v>85</v>
      </c>
      <c r="C67" s="181" t="s">
        <v>85</v>
      </c>
      <c r="D67" s="180" t="s">
        <v>435</v>
      </c>
      <c r="E67" s="182">
        <v>25504</v>
      </c>
    </row>
    <row r="68" spans="1:5" x14ac:dyDescent="0.25">
      <c r="A68" s="179">
        <v>2024</v>
      </c>
      <c r="B68" s="180" t="s">
        <v>86</v>
      </c>
      <c r="C68" s="181" t="s">
        <v>86</v>
      </c>
      <c r="D68" s="180" t="s">
        <v>436</v>
      </c>
      <c r="E68" s="182">
        <v>1770</v>
      </c>
    </row>
    <row r="69" spans="1:5" x14ac:dyDescent="0.25">
      <c r="A69" s="179">
        <v>2024</v>
      </c>
      <c r="B69" s="180" t="s">
        <v>87</v>
      </c>
      <c r="C69" s="181" t="s">
        <v>87</v>
      </c>
      <c r="D69" s="180" t="s">
        <v>437</v>
      </c>
      <c r="E69" s="182">
        <v>0</v>
      </c>
    </row>
    <row r="70" spans="1:5" x14ac:dyDescent="0.25">
      <c r="A70" s="179">
        <v>2024</v>
      </c>
      <c r="B70" s="180" t="s">
        <v>88</v>
      </c>
      <c r="C70" s="181" t="s">
        <v>88</v>
      </c>
      <c r="D70" s="180" t="s">
        <v>438</v>
      </c>
      <c r="E70" s="182">
        <v>3320</v>
      </c>
    </row>
    <row r="71" spans="1:5" x14ac:dyDescent="0.25">
      <c r="A71" s="179">
        <v>2024</v>
      </c>
      <c r="B71" s="180" t="s">
        <v>89</v>
      </c>
      <c r="C71" s="181" t="s">
        <v>89</v>
      </c>
      <c r="D71" s="180" t="s">
        <v>439</v>
      </c>
      <c r="E71" s="182">
        <v>51184</v>
      </c>
    </row>
    <row r="72" spans="1:5" x14ac:dyDescent="0.25">
      <c r="A72" s="179">
        <v>2024</v>
      </c>
      <c r="B72" s="180" t="s">
        <v>90</v>
      </c>
      <c r="C72" s="181" t="s">
        <v>90</v>
      </c>
      <c r="D72" s="180" t="s">
        <v>440</v>
      </c>
      <c r="E72" s="182">
        <v>888</v>
      </c>
    </row>
    <row r="73" spans="1:5" x14ac:dyDescent="0.25">
      <c r="A73" s="179">
        <v>2024</v>
      </c>
      <c r="B73" s="180" t="s">
        <v>91</v>
      </c>
      <c r="C73" s="181" t="s">
        <v>91</v>
      </c>
      <c r="D73" s="180" t="s">
        <v>441</v>
      </c>
      <c r="E73" s="182">
        <v>4046</v>
      </c>
    </row>
    <row r="74" spans="1:5" x14ac:dyDescent="0.25">
      <c r="A74" s="179">
        <v>2024</v>
      </c>
      <c r="B74" s="180" t="s">
        <v>92</v>
      </c>
      <c r="C74" s="181" t="s">
        <v>92</v>
      </c>
      <c r="D74" s="180" t="s">
        <v>442</v>
      </c>
      <c r="E74" s="182">
        <v>1238</v>
      </c>
    </row>
    <row r="75" spans="1:5" x14ac:dyDescent="0.25">
      <c r="A75" s="179">
        <v>2024</v>
      </c>
      <c r="B75" s="180" t="s">
        <v>93</v>
      </c>
      <c r="C75" s="181" t="s">
        <v>93</v>
      </c>
      <c r="D75" s="180" t="s">
        <v>443</v>
      </c>
      <c r="E75" s="182">
        <v>1395</v>
      </c>
    </row>
    <row r="76" spans="1:5" x14ac:dyDescent="0.25">
      <c r="A76" s="179">
        <v>2024</v>
      </c>
      <c r="B76" s="180" t="s">
        <v>94</v>
      </c>
      <c r="C76" s="181" t="s">
        <v>94</v>
      </c>
      <c r="D76" s="180" t="s">
        <v>444</v>
      </c>
      <c r="E76" s="182">
        <v>1674</v>
      </c>
    </row>
    <row r="77" spans="1:5" x14ac:dyDescent="0.25">
      <c r="A77" s="179">
        <v>2024</v>
      </c>
      <c r="B77" s="180" t="s">
        <v>95</v>
      </c>
      <c r="C77" s="181" t="s">
        <v>95</v>
      </c>
      <c r="D77" s="180" t="s">
        <v>445</v>
      </c>
      <c r="E77" s="182">
        <v>86535</v>
      </c>
    </row>
    <row r="78" spans="1:5" x14ac:dyDescent="0.25">
      <c r="A78" s="179">
        <v>2024</v>
      </c>
      <c r="B78" s="180" t="s">
        <v>96</v>
      </c>
      <c r="C78" s="181" t="s">
        <v>96</v>
      </c>
      <c r="D78" s="180" t="s">
        <v>446</v>
      </c>
      <c r="E78" s="182">
        <v>7885</v>
      </c>
    </row>
    <row r="79" spans="1:5" x14ac:dyDescent="0.25">
      <c r="A79" s="179">
        <v>2024</v>
      </c>
      <c r="B79" s="180" t="s">
        <v>97</v>
      </c>
      <c r="C79" s="181" t="s">
        <v>97</v>
      </c>
      <c r="D79" s="180" t="s">
        <v>447</v>
      </c>
      <c r="E79" s="182">
        <v>49192</v>
      </c>
    </row>
    <row r="80" spans="1:5" x14ac:dyDescent="0.25">
      <c r="A80" s="179">
        <v>2024</v>
      </c>
      <c r="B80" s="180" t="s">
        <v>98</v>
      </c>
      <c r="C80" s="181" t="s">
        <v>98</v>
      </c>
      <c r="D80" s="180" t="s">
        <v>448</v>
      </c>
      <c r="E80" s="182">
        <v>1486</v>
      </c>
    </row>
    <row r="81" spans="1:5" x14ac:dyDescent="0.25">
      <c r="A81" s="179">
        <v>2024</v>
      </c>
      <c r="B81" s="180" t="s">
        <v>99</v>
      </c>
      <c r="C81" s="181" t="s">
        <v>99</v>
      </c>
      <c r="D81" s="180" t="s">
        <v>449</v>
      </c>
      <c r="E81" s="182">
        <v>97932</v>
      </c>
    </row>
    <row r="82" spans="1:5" x14ac:dyDescent="0.25">
      <c r="A82" s="179">
        <v>2024</v>
      </c>
      <c r="B82" s="180" t="s">
        <v>100</v>
      </c>
      <c r="C82" s="181" t="s">
        <v>100</v>
      </c>
      <c r="D82" s="180" t="s">
        <v>450</v>
      </c>
      <c r="E82" s="182">
        <v>6794</v>
      </c>
    </row>
    <row r="83" spans="1:5" x14ac:dyDescent="0.25">
      <c r="A83" s="179">
        <v>2024</v>
      </c>
      <c r="B83" s="180" t="s">
        <v>101</v>
      </c>
      <c r="C83" s="181" t="s">
        <v>101</v>
      </c>
      <c r="D83" s="180" t="s">
        <v>451</v>
      </c>
      <c r="E83" s="182">
        <v>6316</v>
      </c>
    </row>
    <row r="84" spans="1:5" x14ac:dyDescent="0.25">
      <c r="A84" s="179">
        <v>2024</v>
      </c>
      <c r="B84" s="180" t="s">
        <v>102</v>
      </c>
      <c r="C84" s="181" t="s">
        <v>102</v>
      </c>
      <c r="D84" s="180" t="s">
        <v>452</v>
      </c>
      <c r="E84" s="182">
        <v>4974</v>
      </c>
    </row>
    <row r="85" spans="1:5" x14ac:dyDescent="0.25">
      <c r="A85" s="179">
        <v>2024</v>
      </c>
      <c r="B85" s="180" t="s">
        <v>103</v>
      </c>
      <c r="C85" s="181" t="s">
        <v>103</v>
      </c>
      <c r="D85" s="180" t="s">
        <v>453</v>
      </c>
      <c r="E85" s="182">
        <v>0</v>
      </c>
    </row>
    <row r="86" spans="1:5" x14ac:dyDescent="0.25">
      <c r="A86" s="179">
        <v>2024</v>
      </c>
      <c r="B86" s="180" t="s">
        <v>104</v>
      </c>
      <c r="C86" s="181" t="s">
        <v>104</v>
      </c>
      <c r="D86" s="180" t="s">
        <v>454</v>
      </c>
      <c r="E86" s="182">
        <v>0</v>
      </c>
    </row>
    <row r="87" spans="1:5" x14ac:dyDescent="0.25">
      <c r="A87" s="179">
        <v>2024</v>
      </c>
      <c r="B87" s="180" t="s">
        <v>105</v>
      </c>
      <c r="C87" s="181" t="s">
        <v>105</v>
      </c>
      <c r="D87" s="180" t="s">
        <v>455</v>
      </c>
      <c r="E87" s="182">
        <v>195769</v>
      </c>
    </row>
    <row r="88" spans="1:5" x14ac:dyDescent="0.25">
      <c r="A88" s="179">
        <v>2024</v>
      </c>
      <c r="B88" s="180" t="s">
        <v>106</v>
      </c>
      <c r="C88" s="181" t="s">
        <v>106</v>
      </c>
      <c r="D88" s="180" t="s">
        <v>456</v>
      </c>
      <c r="E88" s="182">
        <v>1775</v>
      </c>
    </row>
    <row r="89" spans="1:5" x14ac:dyDescent="0.25">
      <c r="A89" s="179">
        <v>2024</v>
      </c>
      <c r="B89" s="180" t="s">
        <v>107</v>
      </c>
      <c r="C89" s="181" t="s">
        <v>107</v>
      </c>
      <c r="D89" s="180" t="s">
        <v>457</v>
      </c>
      <c r="E89" s="182">
        <v>8842</v>
      </c>
    </row>
    <row r="90" spans="1:5" x14ac:dyDescent="0.25">
      <c r="A90" s="179">
        <v>2024</v>
      </c>
      <c r="B90" s="180" t="s">
        <v>108</v>
      </c>
      <c r="C90" s="181" t="s">
        <v>108</v>
      </c>
      <c r="D90" s="180" t="s">
        <v>458</v>
      </c>
      <c r="E90" s="182">
        <v>109236</v>
      </c>
    </row>
    <row r="91" spans="1:5" x14ac:dyDescent="0.25">
      <c r="A91" s="179">
        <v>2024</v>
      </c>
      <c r="B91" s="180" t="s">
        <v>109</v>
      </c>
      <c r="C91" s="181" t="s">
        <v>109</v>
      </c>
      <c r="D91" s="180" t="s">
        <v>459</v>
      </c>
      <c r="E91" s="182">
        <v>4156</v>
      </c>
    </row>
    <row r="92" spans="1:5" x14ac:dyDescent="0.25">
      <c r="A92" s="179">
        <v>2024</v>
      </c>
      <c r="B92" s="180" t="s">
        <v>111</v>
      </c>
      <c r="C92" s="181" t="s">
        <v>111</v>
      </c>
      <c r="D92" s="180" t="s">
        <v>461</v>
      </c>
      <c r="E92" s="182">
        <v>2647</v>
      </c>
    </row>
    <row r="93" spans="1:5" x14ac:dyDescent="0.25">
      <c r="A93" s="179">
        <v>2024</v>
      </c>
      <c r="B93" s="180" t="s">
        <v>113</v>
      </c>
      <c r="C93" s="181" t="s">
        <v>113</v>
      </c>
      <c r="D93" s="180" t="s">
        <v>463</v>
      </c>
      <c r="E93" s="182">
        <v>5458</v>
      </c>
    </row>
    <row r="94" spans="1:5" x14ac:dyDescent="0.25">
      <c r="A94" s="179">
        <v>2024</v>
      </c>
      <c r="B94" s="180" t="s">
        <v>114</v>
      </c>
      <c r="C94" s="181" t="s">
        <v>114</v>
      </c>
      <c r="D94" s="180" t="s">
        <v>464</v>
      </c>
      <c r="E94" s="182">
        <v>2867</v>
      </c>
    </row>
    <row r="95" spans="1:5" x14ac:dyDescent="0.25">
      <c r="A95" s="179">
        <v>2024</v>
      </c>
      <c r="B95" s="180" t="s">
        <v>115</v>
      </c>
      <c r="C95" s="181" t="s">
        <v>115</v>
      </c>
      <c r="D95" s="180" t="s">
        <v>465</v>
      </c>
      <c r="E95" s="182">
        <v>0</v>
      </c>
    </row>
    <row r="96" spans="1:5" x14ac:dyDescent="0.25">
      <c r="A96" s="179">
        <v>2024</v>
      </c>
      <c r="B96" s="180" t="s">
        <v>179</v>
      </c>
      <c r="C96" s="181" t="s">
        <v>688</v>
      </c>
      <c r="D96" s="180" t="s">
        <v>527</v>
      </c>
      <c r="E96" s="182">
        <v>0</v>
      </c>
    </row>
    <row r="97" spans="1:5" x14ac:dyDescent="0.25">
      <c r="A97" s="179">
        <v>2024</v>
      </c>
      <c r="B97" s="180" t="s">
        <v>192</v>
      </c>
      <c r="C97" s="181" t="s">
        <v>192</v>
      </c>
      <c r="D97" s="180" t="s">
        <v>539</v>
      </c>
      <c r="E97" s="182">
        <v>2475</v>
      </c>
    </row>
    <row r="98" spans="1:5" x14ac:dyDescent="0.25">
      <c r="A98" s="179">
        <v>2024</v>
      </c>
      <c r="B98" s="180" t="s">
        <v>316</v>
      </c>
      <c r="C98" s="181" t="s">
        <v>316</v>
      </c>
      <c r="D98" s="180" t="s">
        <v>656</v>
      </c>
      <c r="E98" s="182">
        <v>6044</v>
      </c>
    </row>
    <row r="99" spans="1:5" x14ac:dyDescent="0.25">
      <c r="A99" s="179">
        <v>2024</v>
      </c>
      <c r="B99" s="180" t="s">
        <v>117</v>
      </c>
      <c r="C99" s="181" t="s">
        <v>117</v>
      </c>
      <c r="D99" s="180" t="s">
        <v>467</v>
      </c>
      <c r="E99" s="182">
        <v>1999</v>
      </c>
    </row>
    <row r="100" spans="1:5" x14ac:dyDescent="0.25">
      <c r="A100" s="179">
        <v>2024</v>
      </c>
      <c r="B100" s="180" t="s">
        <v>118</v>
      </c>
      <c r="C100" s="181" t="s">
        <v>118</v>
      </c>
      <c r="D100" s="180" t="s">
        <v>468</v>
      </c>
      <c r="E100" s="182">
        <v>3977</v>
      </c>
    </row>
    <row r="101" spans="1:5" x14ac:dyDescent="0.25">
      <c r="A101" s="179">
        <v>2024</v>
      </c>
      <c r="B101" s="180" t="s">
        <v>116</v>
      </c>
      <c r="C101" s="181" t="s">
        <v>116</v>
      </c>
      <c r="D101" s="180" t="s">
        <v>466</v>
      </c>
      <c r="E101" s="182">
        <v>1697</v>
      </c>
    </row>
    <row r="102" spans="1:5" x14ac:dyDescent="0.25">
      <c r="A102" s="179">
        <v>2024</v>
      </c>
      <c r="B102" s="180" t="s">
        <v>51</v>
      </c>
      <c r="C102" s="181" t="s">
        <v>51</v>
      </c>
      <c r="D102" s="180" t="s">
        <v>403</v>
      </c>
      <c r="E102" s="182">
        <v>2595</v>
      </c>
    </row>
    <row r="103" spans="1:5" x14ac:dyDescent="0.25">
      <c r="A103" s="179">
        <v>2024</v>
      </c>
      <c r="B103" s="180" t="s">
        <v>120</v>
      </c>
      <c r="C103" s="181" t="s">
        <v>120</v>
      </c>
      <c r="D103" s="180" t="s">
        <v>470</v>
      </c>
      <c r="E103" s="182">
        <v>2062</v>
      </c>
    </row>
    <row r="104" spans="1:5" x14ac:dyDescent="0.25">
      <c r="A104" s="179">
        <v>2024</v>
      </c>
      <c r="B104" s="180" t="s">
        <v>121</v>
      </c>
      <c r="C104" s="181" t="s">
        <v>121</v>
      </c>
      <c r="D104" s="180" t="s">
        <v>471</v>
      </c>
      <c r="E104" s="182">
        <v>11204</v>
      </c>
    </row>
    <row r="105" spans="1:5" x14ac:dyDescent="0.25">
      <c r="A105" s="179">
        <v>2024</v>
      </c>
      <c r="B105" s="180" t="s">
        <v>122</v>
      </c>
      <c r="C105" s="181" t="s">
        <v>122</v>
      </c>
      <c r="D105" s="180" t="s">
        <v>472</v>
      </c>
      <c r="E105" s="182">
        <v>4337</v>
      </c>
    </row>
    <row r="106" spans="1:5" x14ac:dyDescent="0.25">
      <c r="A106" s="179">
        <v>2024</v>
      </c>
      <c r="B106" s="180" t="s">
        <v>123</v>
      </c>
      <c r="C106" s="181" t="s">
        <v>123</v>
      </c>
      <c r="D106" s="180" t="s">
        <v>473</v>
      </c>
      <c r="E106" s="182">
        <v>1214</v>
      </c>
    </row>
    <row r="107" spans="1:5" x14ac:dyDescent="0.25">
      <c r="A107" s="179">
        <v>2024</v>
      </c>
      <c r="B107" s="180" t="s">
        <v>124</v>
      </c>
      <c r="C107" s="181" t="s">
        <v>124</v>
      </c>
      <c r="D107" s="180" t="s">
        <v>474</v>
      </c>
      <c r="E107" s="182">
        <v>4685</v>
      </c>
    </row>
    <row r="108" spans="1:5" x14ac:dyDescent="0.25">
      <c r="A108" s="179">
        <v>2024</v>
      </c>
      <c r="B108" s="180" t="s">
        <v>125</v>
      </c>
      <c r="C108" s="181" t="s">
        <v>125</v>
      </c>
      <c r="D108" s="180" t="s">
        <v>475</v>
      </c>
      <c r="E108" s="182">
        <v>15099</v>
      </c>
    </row>
    <row r="109" spans="1:5" x14ac:dyDescent="0.25">
      <c r="A109" s="179">
        <v>2024</v>
      </c>
      <c r="B109" s="180" t="s">
        <v>126</v>
      </c>
      <c r="C109" s="181" t="s">
        <v>126</v>
      </c>
      <c r="D109" s="180" t="s">
        <v>476</v>
      </c>
      <c r="E109" s="182">
        <v>783</v>
      </c>
    </row>
    <row r="110" spans="1:5" x14ac:dyDescent="0.25">
      <c r="A110" s="179">
        <v>2024</v>
      </c>
      <c r="B110" s="180" t="s">
        <v>127</v>
      </c>
      <c r="C110" s="181" t="s">
        <v>127</v>
      </c>
      <c r="D110" s="180" t="s">
        <v>477</v>
      </c>
      <c r="E110" s="182">
        <v>22806</v>
      </c>
    </row>
    <row r="111" spans="1:5" x14ac:dyDescent="0.25">
      <c r="A111" s="179">
        <v>2024</v>
      </c>
      <c r="B111" s="180" t="s">
        <v>128</v>
      </c>
      <c r="C111" s="181" t="s">
        <v>128</v>
      </c>
      <c r="D111" s="180" t="s">
        <v>478</v>
      </c>
      <c r="E111" s="182">
        <v>10865</v>
      </c>
    </row>
    <row r="112" spans="1:5" x14ac:dyDescent="0.25">
      <c r="A112" s="179">
        <v>2024</v>
      </c>
      <c r="B112" s="180" t="s">
        <v>129</v>
      </c>
      <c r="C112" s="181" t="s">
        <v>129</v>
      </c>
      <c r="D112" s="180" t="s">
        <v>479</v>
      </c>
      <c r="E112" s="182">
        <v>0</v>
      </c>
    </row>
    <row r="113" spans="1:5" x14ac:dyDescent="0.25">
      <c r="A113" s="179">
        <v>2024</v>
      </c>
      <c r="B113" s="180" t="s">
        <v>130</v>
      </c>
      <c r="C113" s="181" t="s">
        <v>130</v>
      </c>
      <c r="D113" s="180" t="s">
        <v>480</v>
      </c>
      <c r="E113" s="182">
        <v>0</v>
      </c>
    </row>
    <row r="114" spans="1:5" x14ac:dyDescent="0.25">
      <c r="A114" s="179">
        <v>2024</v>
      </c>
      <c r="B114" s="180" t="s">
        <v>131</v>
      </c>
      <c r="C114" s="181" t="s">
        <v>131</v>
      </c>
      <c r="D114" s="180" t="s">
        <v>481</v>
      </c>
      <c r="E114" s="182">
        <v>346</v>
      </c>
    </row>
    <row r="115" spans="1:5" x14ac:dyDescent="0.25">
      <c r="A115" s="179">
        <v>2024</v>
      </c>
      <c r="B115" s="180" t="s">
        <v>132</v>
      </c>
      <c r="C115" s="181" t="s">
        <v>132</v>
      </c>
      <c r="D115" s="180" t="s">
        <v>482</v>
      </c>
      <c r="E115" s="182">
        <v>1684</v>
      </c>
    </row>
    <row r="116" spans="1:5" x14ac:dyDescent="0.25">
      <c r="A116" s="179">
        <v>2024</v>
      </c>
      <c r="B116" s="180" t="s">
        <v>133</v>
      </c>
      <c r="C116" s="181" t="s">
        <v>133</v>
      </c>
      <c r="D116" s="180" t="s">
        <v>483</v>
      </c>
      <c r="E116" s="182">
        <v>3572</v>
      </c>
    </row>
    <row r="117" spans="1:5" x14ac:dyDescent="0.25">
      <c r="A117" s="179">
        <v>2024</v>
      </c>
      <c r="B117" s="180" t="s">
        <v>134</v>
      </c>
      <c r="C117" s="181" t="s">
        <v>134</v>
      </c>
      <c r="D117" s="180" t="s">
        <v>484</v>
      </c>
      <c r="E117" s="182">
        <v>0</v>
      </c>
    </row>
    <row r="118" spans="1:5" x14ac:dyDescent="0.25">
      <c r="A118" s="179">
        <v>2024</v>
      </c>
      <c r="B118" s="180" t="s">
        <v>135</v>
      </c>
      <c r="C118" s="181" t="s">
        <v>135</v>
      </c>
      <c r="D118" s="180" t="s">
        <v>485</v>
      </c>
      <c r="E118" s="182">
        <v>13974</v>
      </c>
    </row>
    <row r="119" spans="1:5" x14ac:dyDescent="0.25">
      <c r="A119" s="179">
        <v>2024</v>
      </c>
      <c r="B119" s="180" t="s">
        <v>136</v>
      </c>
      <c r="C119" s="181" t="s">
        <v>136</v>
      </c>
      <c r="D119" s="180" t="s">
        <v>486</v>
      </c>
      <c r="E119" s="182">
        <v>3245</v>
      </c>
    </row>
    <row r="120" spans="1:5" x14ac:dyDescent="0.25">
      <c r="A120" s="179">
        <v>2024</v>
      </c>
      <c r="B120" s="180" t="s">
        <v>137</v>
      </c>
      <c r="C120" s="181" t="s">
        <v>137</v>
      </c>
      <c r="D120" s="180" t="s">
        <v>487</v>
      </c>
      <c r="E120" s="182">
        <v>4036</v>
      </c>
    </row>
    <row r="121" spans="1:5" x14ac:dyDescent="0.25">
      <c r="A121" s="179">
        <v>2024</v>
      </c>
      <c r="B121" s="180" t="s">
        <v>138</v>
      </c>
      <c r="C121" s="181" t="s">
        <v>138</v>
      </c>
      <c r="D121" s="180" t="s">
        <v>488</v>
      </c>
      <c r="E121" s="182">
        <v>12841</v>
      </c>
    </row>
    <row r="122" spans="1:5" x14ac:dyDescent="0.25">
      <c r="A122" s="179">
        <v>2024</v>
      </c>
      <c r="B122" s="180" t="s">
        <v>139</v>
      </c>
      <c r="C122" s="181" t="s">
        <v>139</v>
      </c>
      <c r="D122" s="180" t="s">
        <v>489</v>
      </c>
      <c r="E122" s="182">
        <v>6262</v>
      </c>
    </row>
    <row r="123" spans="1:5" x14ac:dyDescent="0.25">
      <c r="A123" s="179">
        <v>2024</v>
      </c>
      <c r="B123" s="180" t="s">
        <v>142</v>
      </c>
      <c r="C123" s="181" t="s">
        <v>142</v>
      </c>
      <c r="D123" s="180" t="s">
        <v>4</v>
      </c>
      <c r="E123" s="182">
        <v>1574</v>
      </c>
    </row>
    <row r="124" spans="1:5" x14ac:dyDescent="0.25">
      <c r="A124" s="179">
        <v>2024</v>
      </c>
      <c r="B124" s="180" t="s">
        <v>140</v>
      </c>
      <c r="C124" s="181" t="s">
        <v>140</v>
      </c>
      <c r="D124" s="180" t="s">
        <v>490</v>
      </c>
      <c r="E124" s="182">
        <v>1283</v>
      </c>
    </row>
    <row r="125" spans="1:5" x14ac:dyDescent="0.25">
      <c r="A125" s="179">
        <v>2024</v>
      </c>
      <c r="B125" s="180" t="s">
        <v>168</v>
      </c>
      <c r="C125" s="181" t="s">
        <v>168</v>
      </c>
      <c r="D125" s="180" t="s">
        <v>516</v>
      </c>
      <c r="E125" s="182">
        <v>9805</v>
      </c>
    </row>
    <row r="126" spans="1:5" x14ac:dyDescent="0.25">
      <c r="A126" s="179">
        <v>2024</v>
      </c>
      <c r="B126" s="180" t="s">
        <v>143</v>
      </c>
      <c r="C126" s="181" t="s">
        <v>143</v>
      </c>
      <c r="D126" s="180" t="s">
        <v>492</v>
      </c>
      <c r="E126" s="182">
        <v>7320</v>
      </c>
    </row>
    <row r="127" spans="1:5" x14ac:dyDescent="0.25">
      <c r="A127" s="179">
        <v>2024</v>
      </c>
      <c r="B127" s="180" t="s">
        <v>144</v>
      </c>
      <c r="C127" s="181" t="s">
        <v>144</v>
      </c>
      <c r="D127" s="180" t="s">
        <v>493</v>
      </c>
      <c r="E127" s="182">
        <v>8258</v>
      </c>
    </row>
    <row r="128" spans="1:5" x14ac:dyDescent="0.25">
      <c r="A128" s="179">
        <v>2024</v>
      </c>
      <c r="B128" s="180" t="s">
        <v>145</v>
      </c>
      <c r="C128" s="181" t="s">
        <v>145</v>
      </c>
      <c r="D128" s="180" t="s">
        <v>494</v>
      </c>
      <c r="E128" s="182">
        <v>8640</v>
      </c>
    </row>
    <row r="129" spans="1:5" x14ac:dyDescent="0.25">
      <c r="A129" s="179">
        <v>2024</v>
      </c>
      <c r="B129" s="180" t="s">
        <v>146</v>
      </c>
      <c r="C129" s="181" t="s">
        <v>146</v>
      </c>
      <c r="D129" s="180" t="s">
        <v>495</v>
      </c>
      <c r="E129" s="182">
        <v>3181</v>
      </c>
    </row>
    <row r="130" spans="1:5" x14ac:dyDescent="0.25">
      <c r="A130" s="179">
        <v>2024</v>
      </c>
      <c r="B130" s="180" t="s">
        <v>149</v>
      </c>
      <c r="C130" s="181" t="s">
        <v>149</v>
      </c>
      <c r="D130" s="180" t="s">
        <v>497</v>
      </c>
      <c r="E130" s="182">
        <v>3775</v>
      </c>
    </row>
    <row r="131" spans="1:5" x14ac:dyDescent="0.25">
      <c r="A131" s="179">
        <v>2024</v>
      </c>
      <c r="B131" s="180" t="s">
        <v>150</v>
      </c>
      <c r="C131" s="181" t="s">
        <v>150</v>
      </c>
      <c r="D131" s="180" t="s">
        <v>498</v>
      </c>
      <c r="E131" s="182">
        <v>191</v>
      </c>
    </row>
    <row r="132" spans="1:5" x14ac:dyDescent="0.25">
      <c r="A132" s="179">
        <v>2024</v>
      </c>
      <c r="B132" s="180" t="s">
        <v>151</v>
      </c>
      <c r="C132" s="181" t="s">
        <v>151</v>
      </c>
      <c r="D132" s="180" t="s">
        <v>499</v>
      </c>
      <c r="E132" s="182">
        <v>15173</v>
      </c>
    </row>
    <row r="133" spans="1:5" x14ac:dyDescent="0.25">
      <c r="A133" s="179">
        <v>2024</v>
      </c>
      <c r="B133" s="180" t="s">
        <v>152</v>
      </c>
      <c r="C133" s="181" t="s">
        <v>152</v>
      </c>
      <c r="D133" s="180" t="s">
        <v>500</v>
      </c>
      <c r="E133" s="182">
        <v>302</v>
      </c>
    </row>
    <row r="134" spans="1:5" x14ac:dyDescent="0.25">
      <c r="A134" s="179">
        <v>2024</v>
      </c>
      <c r="B134" s="180" t="s">
        <v>153</v>
      </c>
      <c r="C134" s="181" t="s">
        <v>153</v>
      </c>
      <c r="D134" s="180" t="s">
        <v>501</v>
      </c>
      <c r="E134" s="182">
        <v>547</v>
      </c>
    </row>
    <row r="135" spans="1:5" x14ac:dyDescent="0.25">
      <c r="A135" s="179">
        <v>2024</v>
      </c>
      <c r="B135" s="180" t="s">
        <v>154</v>
      </c>
      <c r="C135" s="181" t="s">
        <v>154</v>
      </c>
      <c r="D135" s="180" t="s">
        <v>502</v>
      </c>
      <c r="E135" s="182">
        <v>7482</v>
      </c>
    </row>
    <row r="136" spans="1:5" x14ac:dyDescent="0.25">
      <c r="A136" s="179">
        <v>2024</v>
      </c>
      <c r="B136" s="180" t="s">
        <v>155</v>
      </c>
      <c r="C136" s="181" t="s">
        <v>155</v>
      </c>
      <c r="D136" s="180" t="s">
        <v>503</v>
      </c>
      <c r="E136" s="182">
        <v>3241</v>
      </c>
    </row>
    <row r="137" spans="1:5" x14ac:dyDescent="0.25">
      <c r="A137" s="179">
        <v>2024</v>
      </c>
      <c r="B137" s="180" t="s">
        <v>148</v>
      </c>
      <c r="C137" s="181" t="s">
        <v>148</v>
      </c>
      <c r="D137" s="180" t="s">
        <v>5</v>
      </c>
      <c r="E137" s="182">
        <v>4629</v>
      </c>
    </row>
    <row r="138" spans="1:5" x14ac:dyDescent="0.25">
      <c r="A138" s="179">
        <v>2024</v>
      </c>
      <c r="B138" s="180" t="s">
        <v>156</v>
      </c>
      <c r="C138" s="181" t="s">
        <v>156</v>
      </c>
      <c r="D138" s="180" t="s">
        <v>504</v>
      </c>
      <c r="E138" s="182">
        <v>4390</v>
      </c>
    </row>
    <row r="139" spans="1:5" x14ac:dyDescent="0.25">
      <c r="A139" s="179">
        <v>2024</v>
      </c>
      <c r="B139" s="180" t="s">
        <v>157</v>
      </c>
      <c r="C139" s="181" t="s">
        <v>157</v>
      </c>
      <c r="D139" s="180" t="s">
        <v>505</v>
      </c>
      <c r="E139" s="182">
        <v>1375</v>
      </c>
    </row>
    <row r="140" spans="1:5" x14ac:dyDescent="0.25">
      <c r="A140" s="179">
        <v>2024</v>
      </c>
      <c r="B140" s="180" t="s">
        <v>158</v>
      </c>
      <c r="C140" s="181" t="s">
        <v>158</v>
      </c>
      <c r="D140" s="180" t="s">
        <v>506</v>
      </c>
      <c r="E140" s="182">
        <v>10825</v>
      </c>
    </row>
    <row r="141" spans="1:5" x14ac:dyDescent="0.25">
      <c r="A141" s="179">
        <v>2024</v>
      </c>
      <c r="B141" s="180" t="s">
        <v>159</v>
      </c>
      <c r="C141" s="181" t="s">
        <v>159</v>
      </c>
      <c r="D141" s="180" t="s">
        <v>507</v>
      </c>
      <c r="E141" s="182">
        <v>6326</v>
      </c>
    </row>
    <row r="142" spans="1:5" x14ac:dyDescent="0.25">
      <c r="A142" s="179">
        <v>2024</v>
      </c>
      <c r="B142" s="180" t="s">
        <v>166</v>
      </c>
      <c r="C142" s="181" t="s">
        <v>166</v>
      </c>
      <c r="D142" s="180" t="s">
        <v>514</v>
      </c>
      <c r="E142" s="182">
        <v>7949</v>
      </c>
    </row>
    <row r="143" spans="1:5" x14ac:dyDescent="0.25">
      <c r="A143" s="179">
        <v>2024</v>
      </c>
      <c r="B143" s="180" t="s">
        <v>160</v>
      </c>
      <c r="C143" s="181" t="s">
        <v>160</v>
      </c>
      <c r="D143" s="180" t="s">
        <v>508</v>
      </c>
      <c r="E143" s="182">
        <v>4565</v>
      </c>
    </row>
    <row r="144" spans="1:5" x14ac:dyDescent="0.25">
      <c r="A144" s="179">
        <v>2024</v>
      </c>
      <c r="B144" s="180" t="s">
        <v>161</v>
      </c>
      <c r="C144" s="181" t="s">
        <v>161</v>
      </c>
      <c r="D144" s="180" t="s">
        <v>509</v>
      </c>
      <c r="E144" s="182">
        <v>1423</v>
      </c>
    </row>
    <row r="145" spans="1:5" x14ac:dyDescent="0.25">
      <c r="A145" s="179">
        <v>2024</v>
      </c>
      <c r="B145" s="180" t="s">
        <v>162</v>
      </c>
      <c r="C145" s="181" t="s">
        <v>162</v>
      </c>
      <c r="D145" s="180" t="s">
        <v>510</v>
      </c>
      <c r="E145" s="182">
        <v>8929</v>
      </c>
    </row>
    <row r="146" spans="1:5" x14ac:dyDescent="0.25">
      <c r="A146" s="179">
        <v>2024</v>
      </c>
      <c r="B146" s="180" t="s">
        <v>163</v>
      </c>
      <c r="C146" s="181" t="s">
        <v>163</v>
      </c>
      <c r="D146" s="180" t="s">
        <v>511</v>
      </c>
      <c r="E146" s="182">
        <v>209807</v>
      </c>
    </row>
    <row r="147" spans="1:5" x14ac:dyDescent="0.25">
      <c r="A147" s="179">
        <v>2024</v>
      </c>
      <c r="B147" s="180" t="s">
        <v>164</v>
      </c>
      <c r="C147" s="181" t="s">
        <v>164</v>
      </c>
      <c r="D147" s="180" t="s">
        <v>512</v>
      </c>
      <c r="E147" s="182">
        <v>4987</v>
      </c>
    </row>
    <row r="148" spans="1:5" x14ac:dyDescent="0.25">
      <c r="A148" s="179">
        <v>2024</v>
      </c>
      <c r="B148" s="180" t="s">
        <v>165</v>
      </c>
      <c r="C148" s="181" t="s">
        <v>165</v>
      </c>
      <c r="D148" s="180" t="s">
        <v>513</v>
      </c>
      <c r="E148" s="182">
        <v>208</v>
      </c>
    </row>
    <row r="149" spans="1:5" x14ac:dyDescent="0.25">
      <c r="A149" s="179">
        <v>2024</v>
      </c>
      <c r="B149" s="180" t="s">
        <v>167</v>
      </c>
      <c r="C149" s="181" t="s">
        <v>167</v>
      </c>
      <c r="D149" s="180" t="s">
        <v>515</v>
      </c>
      <c r="E149" s="182">
        <v>156</v>
      </c>
    </row>
    <row r="150" spans="1:5" x14ac:dyDescent="0.25">
      <c r="A150" s="179">
        <v>2024</v>
      </c>
      <c r="B150" s="180" t="s">
        <v>169</v>
      </c>
      <c r="C150" s="181" t="s">
        <v>169</v>
      </c>
      <c r="D150" s="180" t="s">
        <v>517</v>
      </c>
      <c r="E150" s="182">
        <v>1510</v>
      </c>
    </row>
    <row r="151" spans="1:5" x14ac:dyDescent="0.25">
      <c r="A151" s="179">
        <v>2024</v>
      </c>
      <c r="B151" s="180" t="s">
        <v>170</v>
      </c>
      <c r="C151" s="181" t="s">
        <v>170</v>
      </c>
      <c r="D151" s="180" t="s">
        <v>518</v>
      </c>
      <c r="E151" s="182">
        <v>88125</v>
      </c>
    </row>
    <row r="152" spans="1:5" x14ac:dyDescent="0.25">
      <c r="A152" s="179">
        <v>2024</v>
      </c>
      <c r="B152" s="180" t="s">
        <v>171</v>
      </c>
      <c r="C152" s="181" t="s">
        <v>171</v>
      </c>
      <c r="D152" s="180" t="s">
        <v>519</v>
      </c>
      <c r="E152" s="182">
        <v>0</v>
      </c>
    </row>
    <row r="153" spans="1:5" x14ac:dyDescent="0.25">
      <c r="A153" s="179">
        <v>2024</v>
      </c>
      <c r="B153" s="180" t="s">
        <v>172</v>
      </c>
      <c r="C153" s="181" t="s">
        <v>172</v>
      </c>
      <c r="D153" s="180" t="s">
        <v>520</v>
      </c>
      <c r="E153" s="182">
        <v>3858</v>
      </c>
    </row>
    <row r="154" spans="1:5" x14ac:dyDescent="0.25">
      <c r="A154" s="179">
        <v>2024</v>
      </c>
      <c r="B154" s="180" t="s">
        <v>173</v>
      </c>
      <c r="C154" s="181" t="s">
        <v>173</v>
      </c>
      <c r="D154" s="180" t="s">
        <v>521</v>
      </c>
      <c r="E154" s="182">
        <v>3907</v>
      </c>
    </row>
    <row r="155" spans="1:5" x14ac:dyDescent="0.25">
      <c r="A155" s="179">
        <v>2024</v>
      </c>
      <c r="B155" s="180" t="s">
        <v>174</v>
      </c>
      <c r="C155" s="181" t="s">
        <v>174</v>
      </c>
      <c r="D155" s="180" t="s">
        <v>522</v>
      </c>
      <c r="E155" s="182">
        <v>8406</v>
      </c>
    </row>
    <row r="156" spans="1:5" x14ac:dyDescent="0.25">
      <c r="A156" s="179">
        <v>2024</v>
      </c>
      <c r="B156" s="180" t="s">
        <v>175</v>
      </c>
      <c r="C156" s="181" t="s">
        <v>175</v>
      </c>
      <c r="D156" s="180" t="s">
        <v>523</v>
      </c>
      <c r="E156" s="182">
        <v>7012</v>
      </c>
    </row>
    <row r="157" spans="1:5" x14ac:dyDescent="0.25">
      <c r="A157" s="179">
        <v>2024</v>
      </c>
      <c r="B157" s="180" t="s">
        <v>176</v>
      </c>
      <c r="C157" s="181" t="s">
        <v>176</v>
      </c>
      <c r="D157" s="180" t="s">
        <v>524</v>
      </c>
      <c r="E157" s="182">
        <v>0</v>
      </c>
    </row>
    <row r="158" spans="1:5" x14ac:dyDescent="0.25">
      <c r="A158" s="179">
        <v>2024</v>
      </c>
      <c r="B158" s="180" t="s">
        <v>177</v>
      </c>
      <c r="C158" s="181" t="s">
        <v>177</v>
      </c>
      <c r="D158" s="180" t="s">
        <v>525</v>
      </c>
      <c r="E158" s="182">
        <v>6426</v>
      </c>
    </row>
    <row r="159" spans="1:5" x14ac:dyDescent="0.25">
      <c r="A159" s="179">
        <v>2024</v>
      </c>
      <c r="B159" s="180" t="s">
        <v>178</v>
      </c>
      <c r="C159" s="181" t="s">
        <v>178</v>
      </c>
      <c r="D159" s="180" t="s">
        <v>526</v>
      </c>
      <c r="E159" s="182">
        <v>3482</v>
      </c>
    </row>
    <row r="160" spans="1:5" x14ac:dyDescent="0.25">
      <c r="A160" s="179">
        <v>2024</v>
      </c>
      <c r="B160" s="180" t="s">
        <v>180</v>
      </c>
      <c r="C160" s="181" t="s">
        <v>180</v>
      </c>
      <c r="D160" s="180" t="s">
        <v>528</v>
      </c>
      <c r="E160" s="182">
        <v>209</v>
      </c>
    </row>
    <row r="161" spans="1:5" x14ac:dyDescent="0.25">
      <c r="A161" s="179">
        <v>2024</v>
      </c>
      <c r="B161" s="180" t="s">
        <v>181</v>
      </c>
      <c r="C161" s="181" t="s">
        <v>181</v>
      </c>
      <c r="D161" s="180" t="s">
        <v>529</v>
      </c>
      <c r="E161" s="182">
        <v>1802</v>
      </c>
    </row>
    <row r="162" spans="1:5" x14ac:dyDescent="0.25">
      <c r="A162" s="179">
        <v>2024</v>
      </c>
      <c r="B162" s="180" t="s">
        <v>182</v>
      </c>
      <c r="C162" s="181" t="s">
        <v>182</v>
      </c>
      <c r="D162" s="180" t="s">
        <v>530</v>
      </c>
      <c r="E162" s="182">
        <v>0</v>
      </c>
    </row>
    <row r="163" spans="1:5" x14ac:dyDescent="0.25">
      <c r="A163" s="179">
        <v>2024</v>
      </c>
      <c r="B163" s="180" t="s">
        <v>184</v>
      </c>
      <c r="C163" s="181" t="s">
        <v>184</v>
      </c>
      <c r="D163" s="180" t="s">
        <v>532</v>
      </c>
      <c r="E163" s="182">
        <v>98951</v>
      </c>
    </row>
    <row r="164" spans="1:5" x14ac:dyDescent="0.25">
      <c r="A164" s="179">
        <v>2024</v>
      </c>
      <c r="B164" s="180" t="s">
        <v>185</v>
      </c>
      <c r="C164" s="181" t="s">
        <v>185</v>
      </c>
      <c r="D164" s="180" t="s">
        <v>533</v>
      </c>
      <c r="E164" s="182">
        <v>1754</v>
      </c>
    </row>
    <row r="165" spans="1:5" x14ac:dyDescent="0.25">
      <c r="A165" s="179">
        <v>2024</v>
      </c>
      <c r="B165" s="180" t="s">
        <v>186</v>
      </c>
      <c r="C165" s="181" t="s">
        <v>186</v>
      </c>
      <c r="D165" s="180" t="s">
        <v>534</v>
      </c>
      <c r="E165" s="182">
        <v>9752</v>
      </c>
    </row>
    <row r="166" spans="1:5" x14ac:dyDescent="0.25">
      <c r="A166" s="179">
        <v>2024</v>
      </c>
      <c r="B166" s="180" t="s">
        <v>187</v>
      </c>
      <c r="C166" s="181" t="s">
        <v>187</v>
      </c>
      <c r="D166" s="180" t="s">
        <v>535</v>
      </c>
      <c r="E166" s="182">
        <v>2186</v>
      </c>
    </row>
    <row r="167" spans="1:5" x14ac:dyDescent="0.25">
      <c r="A167" s="179">
        <v>2024</v>
      </c>
      <c r="B167" s="180" t="s">
        <v>188</v>
      </c>
      <c r="C167" s="181" t="s">
        <v>188</v>
      </c>
      <c r="D167" s="180" t="s">
        <v>536</v>
      </c>
      <c r="E167" s="182">
        <v>2133</v>
      </c>
    </row>
    <row r="168" spans="1:5" x14ac:dyDescent="0.25">
      <c r="A168" s="179">
        <v>2024</v>
      </c>
      <c r="B168" s="180" t="s">
        <v>190</v>
      </c>
      <c r="C168" s="181" t="s">
        <v>190</v>
      </c>
      <c r="D168" s="180" t="s">
        <v>537</v>
      </c>
      <c r="E168" s="182">
        <v>3683</v>
      </c>
    </row>
    <row r="169" spans="1:5" x14ac:dyDescent="0.25">
      <c r="A169" s="179">
        <v>2024</v>
      </c>
      <c r="B169" s="180" t="s">
        <v>191</v>
      </c>
      <c r="C169" s="181" t="s">
        <v>191</v>
      </c>
      <c r="D169" s="180" t="s">
        <v>538</v>
      </c>
      <c r="E169" s="182">
        <v>5724</v>
      </c>
    </row>
    <row r="170" spans="1:5" x14ac:dyDescent="0.25">
      <c r="A170" s="179">
        <v>2024</v>
      </c>
      <c r="B170" s="180" t="s">
        <v>193</v>
      </c>
      <c r="C170" s="181" t="s">
        <v>193</v>
      </c>
      <c r="D170" s="180" t="s">
        <v>540</v>
      </c>
      <c r="E170" s="182">
        <v>3106</v>
      </c>
    </row>
    <row r="171" spans="1:5" x14ac:dyDescent="0.25">
      <c r="A171" s="179">
        <v>2024</v>
      </c>
      <c r="B171" s="180" t="s">
        <v>194</v>
      </c>
      <c r="C171" s="181" t="s">
        <v>194</v>
      </c>
      <c r="D171" s="180" t="s">
        <v>541</v>
      </c>
      <c r="E171" s="182">
        <v>3318</v>
      </c>
    </row>
    <row r="172" spans="1:5" x14ac:dyDescent="0.25">
      <c r="A172" s="179">
        <v>2024</v>
      </c>
      <c r="B172" s="180" t="s">
        <v>195</v>
      </c>
      <c r="C172" s="181" t="s">
        <v>195</v>
      </c>
      <c r="D172" s="180" t="s">
        <v>542</v>
      </c>
      <c r="E172" s="182">
        <v>10047</v>
      </c>
    </row>
    <row r="173" spans="1:5" x14ac:dyDescent="0.25">
      <c r="A173" s="179">
        <v>2024</v>
      </c>
      <c r="B173" s="180" t="s">
        <v>196</v>
      </c>
      <c r="C173" s="181" t="s">
        <v>196</v>
      </c>
      <c r="D173" s="180" t="s">
        <v>543</v>
      </c>
      <c r="E173" s="182">
        <v>2443</v>
      </c>
    </row>
    <row r="174" spans="1:5" x14ac:dyDescent="0.25">
      <c r="A174" s="179">
        <v>2024</v>
      </c>
      <c r="B174" s="180" t="s">
        <v>197</v>
      </c>
      <c r="C174" s="181" t="s">
        <v>197</v>
      </c>
      <c r="D174" s="180" t="s">
        <v>544</v>
      </c>
      <c r="E174" s="182">
        <v>3459</v>
      </c>
    </row>
    <row r="175" spans="1:5" x14ac:dyDescent="0.25">
      <c r="A175" s="179">
        <v>2024</v>
      </c>
      <c r="B175" s="180" t="s">
        <v>198</v>
      </c>
      <c r="C175" s="181" t="s">
        <v>198</v>
      </c>
      <c r="D175" s="180" t="s">
        <v>545</v>
      </c>
      <c r="E175" s="182">
        <v>11944</v>
      </c>
    </row>
    <row r="176" spans="1:5" x14ac:dyDescent="0.25">
      <c r="A176" s="179">
        <v>2024</v>
      </c>
      <c r="B176" s="180" t="s">
        <v>199</v>
      </c>
      <c r="C176" s="181" t="s">
        <v>199</v>
      </c>
      <c r="D176" s="180" t="s">
        <v>546</v>
      </c>
      <c r="E176" s="182">
        <v>11359</v>
      </c>
    </row>
    <row r="177" spans="1:5" x14ac:dyDescent="0.25">
      <c r="A177" s="179">
        <v>2024</v>
      </c>
      <c r="B177" s="180" t="s">
        <v>200</v>
      </c>
      <c r="C177" s="181" t="s">
        <v>200</v>
      </c>
      <c r="D177" s="180" t="s">
        <v>547</v>
      </c>
      <c r="E177" s="182">
        <v>1644</v>
      </c>
    </row>
    <row r="178" spans="1:5" x14ac:dyDescent="0.25">
      <c r="A178" s="179">
        <v>2024</v>
      </c>
      <c r="B178" s="180" t="s">
        <v>201</v>
      </c>
      <c r="C178" s="181" t="s">
        <v>201</v>
      </c>
      <c r="D178" s="180" t="s">
        <v>548</v>
      </c>
      <c r="E178" s="182">
        <v>79567</v>
      </c>
    </row>
    <row r="179" spans="1:5" x14ac:dyDescent="0.25">
      <c r="A179" s="179">
        <v>2024</v>
      </c>
      <c r="B179" s="180" t="s">
        <v>203</v>
      </c>
      <c r="C179" s="181" t="s">
        <v>203</v>
      </c>
      <c r="D179" s="180" t="s">
        <v>550</v>
      </c>
      <c r="E179" s="182">
        <v>4528</v>
      </c>
    </row>
    <row r="180" spans="1:5" x14ac:dyDescent="0.25">
      <c r="A180" s="179">
        <v>2024</v>
      </c>
      <c r="B180" s="180" t="s">
        <v>204</v>
      </c>
      <c r="C180" s="181" t="s">
        <v>204</v>
      </c>
      <c r="D180" s="180" t="s">
        <v>551</v>
      </c>
      <c r="E180" s="182">
        <v>267</v>
      </c>
    </row>
    <row r="181" spans="1:5" x14ac:dyDescent="0.25">
      <c r="A181" s="179">
        <v>2024</v>
      </c>
      <c r="B181" s="180" t="s">
        <v>208</v>
      </c>
      <c r="C181" s="181" t="s">
        <v>208</v>
      </c>
      <c r="D181" s="180" t="s">
        <v>555</v>
      </c>
      <c r="E181" s="182">
        <v>14674</v>
      </c>
    </row>
    <row r="182" spans="1:5" x14ac:dyDescent="0.25">
      <c r="A182" s="179">
        <v>2024</v>
      </c>
      <c r="B182" s="180" t="s">
        <v>205</v>
      </c>
      <c r="C182" s="181" t="s">
        <v>205</v>
      </c>
      <c r="D182" s="180" t="s">
        <v>552</v>
      </c>
      <c r="E182" s="182">
        <v>6421</v>
      </c>
    </row>
    <row r="183" spans="1:5" x14ac:dyDescent="0.25">
      <c r="A183" s="179">
        <v>2024</v>
      </c>
      <c r="B183" s="180" t="s">
        <v>206</v>
      </c>
      <c r="C183" s="181" t="s">
        <v>206</v>
      </c>
      <c r="D183" s="180" t="s">
        <v>553</v>
      </c>
      <c r="E183" s="182">
        <v>261</v>
      </c>
    </row>
    <row r="184" spans="1:5" x14ac:dyDescent="0.25">
      <c r="A184" s="179">
        <v>2024</v>
      </c>
      <c r="B184" s="180" t="s">
        <v>207</v>
      </c>
      <c r="C184" s="181" t="s">
        <v>207</v>
      </c>
      <c r="D184" s="180" t="s">
        <v>554</v>
      </c>
      <c r="E184" s="182">
        <v>378</v>
      </c>
    </row>
    <row r="185" spans="1:5" x14ac:dyDescent="0.25">
      <c r="A185" s="179">
        <v>2024</v>
      </c>
      <c r="B185" s="180" t="s">
        <v>202</v>
      </c>
      <c r="C185" s="181" t="s">
        <v>202</v>
      </c>
      <c r="D185" s="180" t="s">
        <v>549</v>
      </c>
      <c r="E185" s="182">
        <v>0</v>
      </c>
    </row>
    <row r="186" spans="1:5" x14ac:dyDescent="0.25">
      <c r="A186" s="179">
        <v>2024</v>
      </c>
      <c r="B186" s="180" t="s">
        <v>209</v>
      </c>
      <c r="C186" s="181" t="s">
        <v>209</v>
      </c>
      <c r="D186" s="180" t="s">
        <v>556</v>
      </c>
      <c r="E186" s="182">
        <v>1082</v>
      </c>
    </row>
    <row r="187" spans="1:5" x14ac:dyDescent="0.25">
      <c r="A187" s="179">
        <v>2024</v>
      </c>
      <c r="B187" s="180" t="s">
        <v>210</v>
      </c>
      <c r="C187" s="181" t="s">
        <v>210</v>
      </c>
      <c r="D187" s="180" t="s">
        <v>557</v>
      </c>
      <c r="E187" s="182">
        <v>6500</v>
      </c>
    </row>
    <row r="188" spans="1:5" x14ac:dyDescent="0.25">
      <c r="A188" s="179">
        <v>2024</v>
      </c>
      <c r="B188" s="180" t="s">
        <v>211</v>
      </c>
      <c r="C188" s="181" t="s">
        <v>211</v>
      </c>
      <c r="D188" s="180" t="s">
        <v>558</v>
      </c>
      <c r="E188" s="182">
        <v>526</v>
      </c>
    </row>
    <row r="189" spans="1:5" x14ac:dyDescent="0.25">
      <c r="A189" s="179">
        <v>2024</v>
      </c>
      <c r="B189" s="180" t="s">
        <v>212</v>
      </c>
      <c r="C189" s="181" t="s">
        <v>212</v>
      </c>
      <c r="D189" s="180" t="s">
        <v>559</v>
      </c>
      <c r="E189" s="182">
        <v>0</v>
      </c>
    </row>
    <row r="190" spans="1:5" x14ac:dyDescent="0.25">
      <c r="A190" s="179">
        <v>2024</v>
      </c>
      <c r="B190" s="180" t="s">
        <v>213</v>
      </c>
      <c r="C190" s="181" t="s">
        <v>213</v>
      </c>
      <c r="D190" s="180" t="s">
        <v>560</v>
      </c>
      <c r="E190" s="182">
        <v>2782</v>
      </c>
    </row>
    <row r="191" spans="1:5" x14ac:dyDescent="0.25">
      <c r="A191" s="179">
        <v>2024</v>
      </c>
      <c r="B191" s="180" t="s">
        <v>214</v>
      </c>
      <c r="C191" s="181" t="s">
        <v>214</v>
      </c>
      <c r="D191" s="180" t="s">
        <v>561</v>
      </c>
      <c r="E191" s="182">
        <v>1111</v>
      </c>
    </row>
    <row r="192" spans="1:5" x14ac:dyDescent="0.25">
      <c r="A192" s="179">
        <v>2024</v>
      </c>
      <c r="B192" s="180" t="s">
        <v>215</v>
      </c>
      <c r="C192" s="181" t="s">
        <v>215</v>
      </c>
      <c r="D192" s="180" t="s">
        <v>562</v>
      </c>
      <c r="E192" s="182">
        <v>2352</v>
      </c>
    </row>
    <row r="193" spans="1:5" x14ac:dyDescent="0.25">
      <c r="A193" s="179">
        <v>2024</v>
      </c>
      <c r="B193" s="180" t="s">
        <v>216</v>
      </c>
      <c r="C193" s="181" t="s">
        <v>216</v>
      </c>
      <c r="D193" s="180" t="s">
        <v>563</v>
      </c>
      <c r="E193" s="182">
        <v>0</v>
      </c>
    </row>
    <row r="194" spans="1:5" x14ac:dyDescent="0.25">
      <c r="A194" s="179">
        <v>2024</v>
      </c>
      <c r="B194" s="180" t="s">
        <v>217</v>
      </c>
      <c r="C194" s="181" t="s">
        <v>217</v>
      </c>
      <c r="D194" s="180" t="s">
        <v>564</v>
      </c>
      <c r="E194" s="182">
        <v>11277</v>
      </c>
    </row>
    <row r="195" spans="1:5" x14ac:dyDescent="0.25">
      <c r="A195" s="179">
        <v>2024</v>
      </c>
      <c r="B195" s="180" t="s">
        <v>218</v>
      </c>
      <c r="C195" s="181" t="s">
        <v>218</v>
      </c>
      <c r="D195" s="180" t="s">
        <v>565</v>
      </c>
      <c r="E195" s="182">
        <v>1458</v>
      </c>
    </row>
    <row r="196" spans="1:5" x14ac:dyDescent="0.25">
      <c r="A196" s="179">
        <v>2024</v>
      </c>
      <c r="B196" s="180" t="s">
        <v>219</v>
      </c>
      <c r="C196" s="181" t="s">
        <v>219</v>
      </c>
      <c r="D196" s="180" t="s">
        <v>566</v>
      </c>
      <c r="E196" s="182">
        <v>19349</v>
      </c>
    </row>
    <row r="197" spans="1:5" x14ac:dyDescent="0.25">
      <c r="A197" s="179">
        <v>2024</v>
      </c>
      <c r="B197" s="180" t="s">
        <v>220</v>
      </c>
      <c r="C197" s="181" t="s">
        <v>220</v>
      </c>
      <c r="D197" s="180" t="s">
        <v>567</v>
      </c>
      <c r="E197" s="182">
        <v>1294</v>
      </c>
    </row>
    <row r="198" spans="1:5" x14ac:dyDescent="0.25">
      <c r="A198" s="179">
        <v>2024</v>
      </c>
      <c r="B198" s="180" t="s">
        <v>221</v>
      </c>
      <c r="C198" s="181" t="s">
        <v>221</v>
      </c>
      <c r="D198" s="180" t="s">
        <v>568</v>
      </c>
      <c r="E198" s="182">
        <v>10346</v>
      </c>
    </row>
    <row r="199" spans="1:5" x14ac:dyDescent="0.25">
      <c r="A199" s="179">
        <v>2024</v>
      </c>
      <c r="B199" s="180" t="s">
        <v>223</v>
      </c>
      <c r="C199" s="181" t="s">
        <v>223</v>
      </c>
      <c r="D199" s="180" t="s">
        <v>570</v>
      </c>
      <c r="E199" s="182">
        <v>9886</v>
      </c>
    </row>
    <row r="200" spans="1:5" x14ac:dyDescent="0.25">
      <c r="A200" s="179">
        <v>2024</v>
      </c>
      <c r="B200" s="180" t="s">
        <v>224</v>
      </c>
      <c r="C200" s="181" t="s">
        <v>224</v>
      </c>
      <c r="D200" s="180" t="s">
        <v>571</v>
      </c>
      <c r="E200" s="182">
        <v>0</v>
      </c>
    </row>
    <row r="201" spans="1:5" x14ac:dyDescent="0.25">
      <c r="A201" s="179">
        <v>2024</v>
      </c>
      <c r="B201" s="180" t="s">
        <v>222</v>
      </c>
      <c r="C201" s="181" t="s">
        <v>222</v>
      </c>
      <c r="D201" s="180" t="s">
        <v>569</v>
      </c>
      <c r="E201" s="182">
        <v>3162</v>
      </c>
    </row>
    <row r="202" spans="1:5" x14ac:dyDescent="0.25">
      <c r="A202" s="179">
        <v>2024</v>
      </c>
      <c r="B202" s="180" t="s">
        <v>225</v>
      </c>
      <c r="C202" s="181" t="s">
        <v>225</v>
      </c>
      <c r="D202" s="180" t="s">
        <v>572</v>
      </c>
      <c r="E202" s="182">
        <v>13877</v>
      </c>
    </row>
    <row r="203" spans="1:5" x14ac:dyDescent="0.25">
      <c r="A203" s="179">
        <v>2024</v>
      </c>
      <c r="B203" s="180" t="s">
        <v>141</v>
      </c>
      <c r="C203" s="181" t="s">
        <v>141</v>
      </c>
      <c r="D203" s="180" t="s">
        <v>491</v>
      </c>
      <c r="E203" s="182">
        <v>4847</v>
      </c>
    </row>
    <row r="204" spans="1:5" x14ac:dyDescent="0.25">
      <c r="A204" s="179">
        <v>2024</v>
      </c>
      <c r="B204" s="180" t="s">
        <v>29</v>
      </c>
      <c r="C204" s="181" t="s">
        <v>29</v>
      </c>
      <c r="D204" s="180" t="s">
        <v>384</v>
      </c>
      <c r="E204" s="182">
        <v>3477</v>
      </c>
    </row>
    <row r="205" spans="1:5" x14ac:dyDescent="0.25">
      <c r="A205" s="179">
        <v>2024</v>
      </c>
      <c r="B205" s="180" t="s">
        <v>183</v>
      </c>
      <c r="C205" s="181" t="s">
        <v>183</v>
      </c>
      <c r="D205" s="180" t="s">
        <v>531</v>
      </c>
      <c r="E205" s="182">
        <v>11647</v>
      </c>
    </row>
    <row r="206" spans="1:5" x14ac:dyDescent="0.25">
      <c r="A206" s="179">
        <v>2024</v>
      </c>
      <c r="B206" s="180" t="s">
        <v>228</v>
      </c>
      <c r="C206" s="181" t="s">
        <v>228</v>
      </c>
      <c r="D206" s="180" t="s">
        <v>790</v>
      </c>
      <c r="E206" s="182">
        <v>9477</v>
      </c>
    </row>
    <row r="207" spans="1:5" x14ac:dyDescent="0.25">
      <c r="A207" s="179">
        <v>2024</v>
      </c>
      <c r="B207" s="180" t="s">
        <v>57</v>
      </c>
      <c r="C207" s="181" t="s">
        <v>57</v>
      </c>
      <c r="D207" s="180" t="s">
        <v>409</v>
      </c>
      <c r="E207" s="182">
        <v>8499</v>
      </c>
    </row>
    <row r="208" spans="1:5" x14ac:dyDescent="0.25">
      <c r="A208" s="179">
        <v>2024</v>
      </c>
      <c r="B208" s="180" t="s">
        <v>232</v>
      </c>
      <c r="C208" s="181" t="s">
        <v>232</v>
      </c>
      <c r="D208" s="180" t="s">
        <v>577</v>
      </c>
      <c r="E208" s="182">
        <v>2200</v>
      </c>
    </row>
    <row r="209" spans="1:5" x14ac:dyDescent="0.25">
      <c r="A209" s="179">
        <v>2024</v>
      </c>
      <c r="B209" s="180" t="s">
        <v>231</v>
      </c>
      <c r="C209" s="181" t="s">
        <v>231</v>
      </c>
      <c r="D209" s="180" t="s">
        <v>576</v>
      </c>
      <c r="E209" s="182">
        <v>1397</v>
      </c>
    </row>
    <row r="210" spans="1:5" x14ac:dyDescent="0.25">
      <c r="A210" s="179">
        <v>2024</v>
      </c>
      <c r="B210" s="180" t="s">
        <v>230</v>
      </c>
      <c r="C210" s="181" t="s">
        <v>230</v>
      </c>
      <c r="D210" s="180" t="s">
        <v>575</v>
      </c>
      <c r="E210" s="182">
        <v>2651</v>
      </c>
    </row>
    <row r="211" spans="1:5" x14ac:dyDescent="0.25">
      <c r="A211" s="179">
        <v>2024</v>
      </c>
      <c r="B211" s="180" t="s">
        <v>233</v>
      </c>
      <c r="C211" s="181" t="s">
        <v>233</v>
      </c>
      <c r="D211" s="180" t="s">
        <v>578</v>
      </c>
      <c r="E211" s="182">
        <v>19727</v>
      </c>
    </row>
    <row r="212" spans="1:5" x14ac:dyDescent="0.25">
      <c r="A212" s="179">
        <v>2024</v>
      </c>
      <c r="B212" s="180" t="s">
        <v>234</v>
      </c>
      <c r="C212" s="181" t="s">
        <v>234</v>
      </c>
      <c r="D212" s="180" t="s">
        <v>579</v>
      </c>
      <c r="E212" s="182">
        <v>16010</v>
      </c>
    </row>
    <row r="213" spans="1:5" x14ac:dyDescent="0.25">
      <c r="A213" s="179">
        <v>2024</v>
      </c>
      <c r="B213" s="180" t="s">
        <v>235</v>
      </c>
      <c r="C213" s="181" t="s">
        <v>235</v>
      </c>
      <c r="D213" s="180" t="s">
        <v>580</v>
      </c>
      <c r="E213" s="182">
        <v>5039</v>
      </c>
    </row>
    <row r="214" spans="1:5" x14ac:dyDescent="0.25">
      <c r="A214" s="179">
        <v>2024</v>
      </c>
      <c r="B214" s="180" t="s">
        <v>36</v>
      </c>
      <c r="C214" s="181" t="s">
        <v>36</v>
      </c>
      <c r="D214" s="180" t="s">
        <v>390</v>
      </c>
      <c r="E214" s="182">
        <v>1823</v>
      </c>
    </row>
    <row r="215" spans="1:5" x14ac:dyDescent="0.25">
      <c r="A215" s="179">
        <v>2024</v>
      </c>
      <c r="B215" s="180" t="s">
        <v>227</v>
      </c>
      <c r="C215" s="181" t="s">
        <v>227</v>
      </c>
      <c r="D215" s="180" t="s">
        <v>574</v>
      </c>
      <c r="E215" s="182">
        <v>7095</v>
      </c>
    </row>
    <row r="216" spans="1:5" x14ac:dyDescent="0.25">
      <c r="A216" s="179">
        <v>2024</v>
      </c>
      <c r="B216" s="180" t="s">
        <v>236</v>
      </c>
      <c r="C216" s="181" t="s">
        <v>236</v>
      </c>
      <c r="D216" s="180" t="s">
        <v>581</v>
      </c>
      <c r="E216" s="182">
        <v>295</v>
      </c>
    </row>
    <row r="217" spans="1:5" x14ac:dyDescent="0.25">
      <c r="A217" s="179">
        <v>2024</v>
      </c>
      <c r="B217" s="180" t="s">
        <v>237</v>
      </c>
      <c r="C217" s="181" t="s">
        <v>237</v>
      </c>
      <c r="D217" s="180" t="s">
        <v>582</v>
      </c>
      <c r="E217" s="182">
        <v>21556</v>
      </c>
    </row>
    <row r="218" spans="1:5" x14ac:dyDescent="0.25">
      <c r="A218" s="179">
        <v>2024</v>
      </c>
      <c r="B218" s="180" t="s">
        <v>239</v>
      </c>
      <c r="C218" s="181" t="s">
        <v>239</v>
      </c>
      <c r="D218" s="180" t="s">
        <v>805</v>
      </c>
      <c r="E218" s="182">
        <v>0</v>
      </c>
    </row>
    <row r="219" spans="1:5" x14ac:dyDescent="0.25">
      <c r="A219" s="179">
        <v>2024</v>
      </c>
      <c r="B219" s="180" t="s">
        <v>240</v>
      </c>
      <c r="C219" s="181" t="s">
        <v>240</v>
      </c>
      <c r="D219" s="180" t="s">
        <v>584</v>
      </c>
      <c r="E219" s="182">
        <v>4091</v>
      </c>
    </row>
    <row r="220" spans="1:5" x14ac:dyDescent="0.25">
      <c r="A220" s="179">
        <v>2024</v>
      </c>
      <c r="B220" s="180" t="s">
        <v>241</v>
      </c>
      <c r="C220" s="181" t="s">
        <v>241</v>
      </c>
      <c r="D220" s="180" t="s">
        <v>585</v>
      </c>
      <c r="E220" s="182">
        <v>4188</v>
      </c>
    </row>
    <row r="221" spans="1:5" x14ac:dyDescent="0.25">
      <c r="A221" s="179">
        <v>2024</v>
      </c>
      <c r="B221" s="180" t="s">
        <v>242</v>
      </c>
      <c r="C221" s="181" t="s">
        <v>242</v>
      </c>
      <c r="D221" s="180" t="s">
        <v>586</v>
      </c>
      <c r="E221" s="182">
        <v>13256</v>
      </c>
    </row>
    <row r="222" spans="1:5" x14ac:dyDescent="0.25">
      <c r="A222" s="179">
        <v>2024</v>
      </c>
      <c r="B222" s="180" t="s">
        <v>243</v>
      </c>
      <c r="C222" s="181" t="s">
        <v>243</v>
      </c>
      <c r="D222" s="180" t="s">
        <v>587</v>
      </c>
      <c r="E222" s="182">
        <v>4388</v>
      </c>
    </row>
    <row r="223" spans="1:5" x14ac:dyDescent="0.25">
      <c r="A223" s="179">
        <v>2024</v>
      </c>
      <c r="B223" s="180" t="s">
        <v>244</v>
      </c>
      <c r="C223" s="181" t="s">
        <v>244</v>
      </c>
      <c r="D223" s="180" t="s">
        <v>588</v>
      </c>
      <c r="E223" s="182">
        <v>1476</v>
      </c>
    </row>
    <row r="224" spans="1:5" x14ac:dyDescent="0.25">
      <c r="A224" s="179">
        <v>2024</v>
      </c>
      <c r="B224" s="180" t="s">
        <v>245</v>
      </c>
      <c r="C224" s="181" t="s">
        <v>245</v>
      </c>
      <c r="D224" s="180" t="s">
        <v>589</v>
      </c>
      <c r="E224" s="182">
        <v>5681</v>
      </c>
    </row>
    <row r="225" spans="1:5" x14ac:dyDescent="0.25">
      <c r="A225" s="179">
        <v>2024</v>
      </c>
      <c r="B225" s="180" t="s">
        <v>246</v>
      </c>
      <c r="C225" s="181" t="s">
        <v>246</v>
      </c>
      <c r="D225" s="180" t="s">
        <v>590</v>
      </c>
      <c r="E225" s="182">
        <v>4967</v>
      </c>
    </row>
    <row r="226" spans="1:5" x14ac:dyDescent="0.25">
      <c r="A226" s="179">
        <v>2024</v>
      </c>
      <c r="B226" s="180" t="s">
        <v>247</v>
      </c>
      <c r="C226" s="181" t="s">
        <v>247</v>
      </c>
      <c r="D226" s="180" t="s">
        <v>591</v>
      </c>
      <c r="E226" s="182">
        <v>13268</v>
      </c>
    </row>
    <row r="227" spans="1:5" x14ac:dyDescent="0.25">
      <c r="A227" s="179">
        <v>2024</v>
      </c>
      <c r="B227" s="180" t="s">
        <v>248</v>
      </c>
      <c r="C227" s="181" t="s">
        <v>248</v>
      </c>
      <c r="D227" s="180" t="s">
        <v>592</v>
      </c>
      <c r="E227" s="182">
        <v>10629</v>
      </c>
    </row>
    <row r="228" spans="1:5" x14ac:dyDescent="0.25">
      <c r="A228" s="179">
        <v>2024</v>
      </c>
      <c r="B228" s="180" t="s">
        <v>249</v>
      </c>
      <c r="C228" s="181" t="s">
        <v>249</v>
      </c>
      <c r="D228" s="180" t="s">
        <v>593</v>
      </c>
      <c r="E228" s="182">
        <v>1054</v>
      </c>
    </row>
    <row r="229" spans="1:5" x14ac:dyDescent="0.25">
      <c r="A229" s="179">
        <v>2024</v>
      </c>
      <c r="B229" s="180" t="s">
        <v>258</v>
      </c>
      <c r="C229" s="181" t="s">
        <v>691</v>
      </c>
      <c r="D229" s="180" t="s">
        <v>6</v>
      </c>
      <c r="E229" s="182">
        <v>5109</v>
      </c>
    </row>
    <row r="230" spans="1:5" x14ac:dyDescent="0.25">
      <c r="A230" s="179">
        <v>2024</v>
      </c>
      <c r="B230" s="180" t="s">
        <v>251</v>
      </c>
      <c r="C230" s="181" t="s">
        <v>251</v>
      </c>
      <c r="D230" s="180" t="s">
        <v>595</v>
      </c>
      <c r="E230" s="182">
        <v>5169</v>
      </c>
    </row>
    <row r="231" spans="1:5" x14ac:dyDescent="0.25">
      <c r="A231" s="179">
        <v>2024</v>
      </c>
      <c r="B231" s="180" t="s">
        <v>252</v>
      </c>
      <c r="C231" s="181" t="s">
        <v>252</v>
      </c>
      <c r="D231" s="180" t="s">
        <v>596</v>
      </c>
      <c r="E231" s="182">
        <v>17811</v>
      </c>
    </row>
    <row r="232" spans="1:5" x14ac:dyDescent="0.25">
      <c r="A232" s="179">
        <v>2024</v>
      </c>
      <c r="B232" s="180" t="s">
        <v>253</v>
      </c>
      <c r="C232" s="181" t="s">
        <v>253</v>
      </c>
      <c r="D232" s="180" t="s">
        <v>597</v>
      </c>
      <c r="E232" s="182">
        <v>25181</v>
      </c>
    </row>
    <row r="233" spans="1:5" x14ac:dyDescent="0.25">
      <c r="A233" s="179">
        <v>2024</v>
      </c>
      <c r="B233" s="180" t="s">
        <v>254</v>
      </c>
      <c r="C233" s="181" t="s">
        <v>254</v>
      </c>
      <c r="D233" s="180" t="s">
        <v>598</v>
      </c>
      <c r="E233" s="182">
        <v>18116</v>
      </c>
    </row>
    <row r="234" spans="1:5" x14ac:dyDescent="0.25">
      <c r="A234" s="179">
        <v>2024</v>
      </c>
      <c r="B234" s="180" t="s">
        <v>255</v>
      </c>
      <c r="C234" s="181" t="s">
        <v>255</v>
      </c>
      <c r="D234" s="180" t="s">
        <v>599</v>
      </c>
      <c r="E234" s="182">
        <v>8783</v>
      </c>
    </row>
    <row r="235" spans="1:5" x14ac:dyDescent="0.25">
      <c r="A235" s="179">
        <v>2024</v>
      </c>
      <c r="B235" s="180" t="s">
        <v>256</v>
      </c>
      <c r="C235" s="181" t="s">
        <v>256</v>
      </c>
      <c r="D235" s="180" t="s">
        <v>600</v>
      </c>
      <c r="E235" s="182">
        <v>0</v>
      </c>
    </row>
    <row r="236" spans="1:5" x14ac:dyDescent="0.25">
      <c r="A236" s="179">
        <v>2024</v>
      </c>
      <c r="B236" s="180" t="s">
        <v>257</v>
      </c>
      <c r="C236" s="181" t="s">
        <v>257</v>
      </c>
      <c r="D236" s="180" t="s">
        <v>601</v>
      </c>
      <c r="E236" s="182">
        <v>6761</v>
      </c>
    </row>
    <row r="237" spans="1:5" x14ac:dyDescent="0.25">
      <c r="A237" s="179">
        <v>2024</v>
      </c>
      <c r="B237" s="180" t="s">
        <v>260</v>
      </c>
      <c r="C237" s="181" t="s">
        <v>260</v>
      </c>
      <c r="D237" s="180" t="s">
        <v>602</v>
      </c>
      <c r="E237" s="182">
        <v>0</v>
      </c>
    </row>
    <row r="238" spans="1:5" x14ac:dyDescent="0.25">
      <c r="A238" s="179">
        <v>2024</v>
      </c>
      <c r="B238" s="180" t="s">
        <v>261</v>
      </c>
      <c r="C238" s="181" t="s">
        <v>261</v>
      </c>
      <c r="D238" s="180" t="s">
        <v>603</v>
      </c>
      <c r="E238" s="182">
        <v>5596</v>
      </c>
    </row>
    <row r="239" spans="1:5" x14ac:dyDescent="0.25">
      <c r="A239" s="179">
        <v>2024</v>
      </c>
      <c r="B239" s="180" t="s">
        <v>262</v>
      </c>
      <c r="C239" s="181" t="s">
        <v>262</v>
      </c>
      <c r="D239" s="180" t="s">
        <v>604</v>
      </c>
      <c r="E239" s="182">
        <v>5043</v>
      </c>
    </row>
    <row r="240" spans="1:5" x14ac:dyDescent="0.25">
      <c r="A240" s="179">
        <v>2024</v>
      </c>
      <c r="B240" s="180" t="s">
        <v>119</v>
      </c>
      <c r="C240" s="181" t="s">
        <v>119</v>
      </c>
      <c r="D240" s="180" t="s">
        <v>469</v>
      </c>
      <c r="E240" s="182">
        <v>4211</v>
      </c>
    </row>
    <row r="241" spans="1:5" x14ac:dyDescent="0.25">
      <c r="A241" s="179">
        <v>2024</v>
      </c>
      <c r="B241" s="180" t="s">
        <v>238</v>
      </c>
      <c r="C241" s="181" t="s">
        <v>689</v>
      </c>
      <c r="D241" s="180" t="s">
        <v>583</v>
      </c>
      <c r="E241" s="182">
        <v>12583</v>
      </c>
    </row>
    <row r="242" spans="1:5" x14ac:dyDescent="0.25">
      <c r="A242" s="179">
        <v>2024</v>
      </c>
      <c r="B242" s="180" t="s">
        <v>263</v>
      </c>
      <c r="C242" s="181" t="s">
        <v>263</v>
      </c>
      <c r="D242" s="180" t="s">
        <v>605</v>
      </c>
      <c r="E242" s="182">
        <v>153</v>
      </c>
    </row>
    <row r="243" spans="1:5" x14ac:dyDescent="0.25">
      <c r="A243" s="179">
        <v>2024</v>
      </c>
      <c r="B243" s="180" t="s">
        <v>264</v>
      </c>
      <c r="C243" s="181" t="s">
        <v>264</v>
      </c>
      <c r="D243" s="180" t="s">
        <v>606</v>
      </c>
      <c r="E243" s="182">
        <v>5328</v>
      </c>
    </row>
    <row r="244" spans="1:5" x14ac:dyDescent="0.25">
      <c r="A244" s="179">
        <v>2024</v>
      </c>
      <c r="B244" s="180" t="s">
        <v>265</v>
      </c>
      <c r="C244" s="181" t="s">
        <v>265</v>
      </c>
      <c r="D244" s="180" t="s">
        <v>607</v>
      </c>
      <c r="E244" s="182">
        <v>967</v>
      </c>
    </row>
    <row r="245" spans="1:5" x14ac:dyDescent="0.25">
      <c r="A245" s="179">
        <v>2024</v>
      </c>
      <c r="B245" s="180" t="s">
        <v>266</v>
      </c>
      <c r="C245" s="181" t="s">
        <v>266</v>
      </c>
      <c r="D245" s="180" t="s">
        <v>608</v>
      </c>
      <c r="E245" s="182">
        <v>314</v>
      </c>
    </row>
    <row r="246" spans="1:5" x14ac:dyDescent="0.25">
      <c r="A246" s="179">
        <v>2024</v>
      </c>
      <c r="B246" s="180" t="s">
        <v>268</v>
      </c>
      <c r="C246" s="181" t="s">
        <v>268</v>
      </c>
      <c r="D246" s="180" t="s">
        <v>610</v>
      </c>
      <c r="E246" s="182">
        <v>10403</v>
      </c>
    </row>
    <row r="247" spans="1:5" x14ac:dyDescent="0.25">
      <c r="A247" s="179">
        <v>2024</v>
      </c>
      <c r="B247" s="180" t="s">
        <v>269</v>
      </c>
      <c r="C247" s="181" t="s">
        <v>269</v>
      </c>
      <c r="D247" s="180" t="s">
        <v>611</v>
      </c>
      <c r="E247" s="182">
        <v>2983</v>
      </c>
    </row>
    <row r="248" spans="1:5" x14ac:dyDescent="0.25">
      <c r="A248" s="179">
        <v>2024</v>
      </c>
      <c r="B248" s="180" t="s">
        <v>270</v>
      </c>
      <c r="C248" s="181" t="s">
        <v>270</v>
      </c>
      <c r="D248" s="180" t="s">
        <v>612</v>
      </c>
      <c r="E248" s="182">
        <v>1785</v>
      </c>
    </row>
    <row r="249" spans="1:5" x14ac:dyDescent="0.25">
      <c r="A249" s="179">
        <v>2024</v>
      </c>
      <c r="B249" s="180" t="s">
        <v>271</v>
      </c>
      <c r="C249" s="181" t="s">
        <v>271</v>
      </c>
      <c r="D249" s="180" t="s">
        <v>613</v>
      </c>
      <c r="E249" s="182">
        <v>10438</v>
      </c>
    </row>
    <row r="250" spans="1:5" x14ac:dyDescent="0.25">
      <c r="A250" s="179">
        <v>2024</v>
      </c>
      <c r="B250" s="180" t="s">
        <v>272</v>
      </c>
      <c r="C250" s="181" t="s">
        <v>272</v>
      </c>
      <c r="D250" s="180" t="s">
        <v>614</v>
      </c>
      <c r="E250" s="182">
        <v>0</v>
      </c>
    </row>
    <row r="251" spans="1:5" x14ac:dyDescent="0.25">
      <c r="A251" s="179">
        <v>2024</v>
      </c>
      <c r="B251" s="180" t="s">
        <v>274</v>
      </c>
      <c r="C251" s="181" t="s">
        <v>274</v>
      </c>
      <c r="D251" s="180" t="s">
        <v>616</v>
      </c>
      <c r="E251" s="182">
        <v>5657</v>
      </c>
    </row>
    <row r="252" spans="1:5" x14ac:dyDescent="0.25">
      <c r="A252" s="179">
        <v>2024</v>
      </c>
      <c r="B252" s="180" t="s">
        <v>275</v>
      </c>
      <c r="C252" s="181" t="s">
        <v>275</v>
      </c>
      <c r="D252" s="180" t="s">
        <v>617</v>
      </c>
      <c r="E252" s="182">
        <v>13310</v>
      </c>
    </row>
    <row r="253" spans="1:5" x14ac:dyDescent="0.25">
      <c r="A253" s="179">
        <v>2024</v>
      </c>
      <c r="B253" s="180" t="s">
        <v>276</v>
      </c>
      <c r="C253" s="181" t="s">
        <v>276</v>
      </c>
      <c r="D253" s="180" t="s">
        <v>618</v>
      </c>
      <c r="E253" s="182">
        <v>2294</v>
      </c>
    </row>
    <row r="254" spans="1:5" x14ac:dyDescent="0.25">
      <c r="A254" s="179">
        <v>2024</v>
      </c>
      <c r="B254" s="180" t="s">
        <v>277</v>
      </c>
      <c r="C254" s="181" t="s">
        <v>277</v>
      </c>
      <c r="D254" s="180" t="s">
        <v>619</v>
      </c>
      <c r="E254" s="182">
        <v>8236</v>
      </c>
    </row>
    <row r="255" spans="1:5" x14ac:dyDescent="0.25">
      <c r="A255" s="179">
        <v>2024</v>
      </c>
      <c r="B255" s="180" t="s">
        <v>278</v>
      </c>
      <c r="C255" s="181" t="s">
        <v>278</v>
      </c>
      <c r="D255" s="180" t="s">
        <v>620</v>
      </c>
      <c r="E255" s="182">
        <v>3884</v>
      </c>
    </row>
    <row r="256" spans="1:5" x14ac:dyDescent="0.25">
      <c r="A256" s="179">
        <v>2024</v>
      </c>
      <c r="B256" s="180" t="s">
        <v>279</v>
      </c>
      <c r="C256" s="181" t="s">
        <v>279</v>
      </c>
      <c r="D256" s="180" t="s">
        <v>621</v>
      </c>
      <c r="E256" s="182">
        <v>1807</v>
      </c>
    </row>
    <row r="257" spans="1:5" x14ac:dyDescent="0.25">
      <c r="A257" s="179">
        <v>2024</v>
      </c>
      <c r="B257" s="180" t="s">
        <v>281</v>
      </c>
      <c r="C257" s="181" t="s">
        <v>692</v>
      </c>
      <c r="D257" s="180" t="s">
        <v>623</v>
      </c>
      <c r="E257" s="182">
        <v>0</v>
      </c>
    </row>
    <row r="258" spans="1:5" x14ac:dyDescent="0.25">
      <c r="A258" s="179">
        <v>2024</v>
      </c>
      <c r="B258" s="180" t="s">
        <v>280</v>
      </c>
      <c r="C258" s="181" t="s">
        <v>280</v>
      </c>
      <c r="D258" s="180" t="s">
        <v>622</v>
      </c>
      <c r="E258" s="182">
        <v>32546</v>
      </c>
    </row>
    <row r="259" spans="1:5" x14ac:dyDescent="0.25">
      <c r="A259" s="179">
        <v>2024</v>
      </c>
      <c r="B259" s="180" t="s">
        <v>283</v>
      </c>
      <c r="C259" s="181" t="s">
        <v>283</v>
      </c>
      <c r="D259" s="180" t="s">
        <v>625</v>
      </c>
      <c r="E259" s="182">
        <v>4047</v>
      </c>
    </row>
    <row r="260" spans="1:5" x14ac:dyDescent="0.25">
      <c r="A260" s="179">
        <v>2024</v>
      </c>
      <c r="B260" s="180" t="s">
        <v>282</v>
      </c>
      <c r="C260" s="181" t="s">
        <v>282</v>
      </c>
      <c r="D260" s="180" t="s">
        <v>624</v>
      </c>
      <c r="E260" s="182">
        <v>10132</v>
      </c>
    </row>
    <row r="261" spans="1:5" x14ac:dyDescent="0.25">
      <c r="A261" s="179">
        <v>2024</v>
      </c>
      <c r="B261" s="180" t="s">
        <v>285</v>
      </c>
      <c r="C261" s="181" t="s">
        <v>285</v>
      </c>
      <c r="D261" s="180" t="s">
        <v>627</v>
      </c>
      <c r="E261" s="182">
        <v>7458</v>
      </c>
    </row>
    <row r="262" spans="1:5" x14ac:dyDescent="0.25">
      <c r="A262" s="179">
        <v>2024</v>
      </c>
      <c r="B262" s="180" t="s">
        <v>250</v>
      </c>
      <c r="C262" s="181" t="s">
        <v>690</v>
      </c>
      <c r="D262" s="180" t="s">
        <v>594</v>
      </c>
      <c r="E262" s="182">
        <v>2433</v>
      </c>
    </row>
    <row r="263" spans="1:5" x14ac:dyDescent="0.25">
      <c r="A263" s="179">
        <v>2024</v>
      </c>
      <c r="B263" s="180" t="s">
        <v>287</v>
      </c>
      <c r="C263" s="181" t="s">
        <v>287</v>
      </c>
      <c r="D263" s="180" t="s">
        <v>628</v>
      </c>
      <c r="E263" s="182">
        <v>4866</v>
      </c>
    </row>
    <row r="264" spans="1:5" x14ac:dyDescent="0.25">
      <c r="A264" s="179">
        <v>2024</v>
      </c>
      <c r="B264" s="180" t="s">
        <v>288</v>
      </c>
      <c r="C264" s="181" t="s">
        <v>288</v>
      </c>
      <c r="D264" s="180" t="s">
        <v>629</v>
      </c>
      <c r="E264" s="182">
        <v>0</v>
      </c>
    </row>
    <row r="265" spans="1:5" x14ac:dyDescent="0.25">
      <c r="A265" s="179">
        <v>2024</v>
      </c>
      <c r="B265" s="180" t="s">
        <v>289</v>
      </c>
      <c r="C265" s="181" t="s">
        <v>289</v>
      </c>
      <c r="D265" s="180" t="s">
        <v>630</v>
      </c>
      <c r="E265" s="182">
        <v>6224</v>
      </c>
    </row>
    <row r="266" spans="1:5" x14ac:dyDescent="0.25">
      <c r="A266" s="179">
        <v>2024</v>
      </c>
      <c r="B266" s="180" t="s">
        <v>290</v>
      </c>
      <c r="C266" s="181" t="s">
        <v>290</v>
      </c>
      <c r="D266" s="180" t="s">
        <v>631</v>
      </c>
      <c r="E266" s="182">
        <v>52260</v>
      </c>
    </row>
    <row r="267" spans="1:5" x14ac:dyDescent="0.25">
      <c r="A267" s="179">
        <v>2024</v>
      </c>
      <c r="B267" s="180" t="s">
        <v>284</v>
      </c>
      <c r="C267" s="181" t="s">
        <v>284</v>
      </c>
      <c r="D267" s="180" t="s">
        <v>626</v>
      </c>
      <c r="E267" s="182">
        <v>2501</v>
      </c>
    </row>
    <row r="268" spans="1:5" x14ac:dyDescent="0.25">
      <c r="A268" s="179">
        <v>2024</v>
      </c>
      <c r="B268" s="180" t="s">
        <v>286</v>
      </c>
      <c r="C268" s="181" t="s">
        <v>286</v>
      </c>
      <c r="D268" s="180" t="s">
        <v>824</v>
      </c>
      <c r="E268" s="182">
        <v>17668</v>
      </c>
    </row>
    <row r="269" spans="1:5" x14ac:dyDescent="0.25">
      <c r="A269" s="179">
        <v>2024</v>
      </c>
      <c r="B269" s="180" t="s">
        <v>291</v>
      </c>
      <c r="C269" s="181" t="s">
        <v>291</v>
      </c>
      <c r="D269" s="180" t="s">
        <v>632</v>
      </c>
      <c r="E269" s="182">
        <v>13079</v>
      </c>
    </row>
    <row r="270" spans="1:5" x14ac:dyDescent="0.25">
      <c r="A270" s="179">
        <v>2024</v>
      </c>
      <c r="B270" s="180" t="s">
        <v>292</v>
      </c>
      <c r="C270" s="181" t="s">
        <v>292</v>
      </c>
      <c r="D270" s="180" t="s">
        <v>633</v>
      </c>
      <c r="E270" s="182">
        <v>5647</v>
      </c>
    </row>
    <row r="271" spans="1:5" x14ac:dyDescent="0.25">
      <c r="A271" s="179">
        <v>2024</v>
      </c>
      <c r="B271" s="180" t="s">
        <v>293</v>
      </c>
      <c r="C271" s="181" t="s">
        <v>293</v>
      </c>
      <c r="D271" s="180" t="s">
        <v>634</v>
      </c>
      <c r="E271" s="182">
        <v>1738</v>
      </c>
    </row>
    <row r="272" spans="1:5" x14ac:dyDescent="0.25">
      <c r="A272" s="179">
        <v>2024</v>
      </c>
      <c r="B272" s="180" t="s">
        <v>267</v>
      </c>
      <c r="C272" s="181" t="s">
        <v>267</v>
      </c>
      <c r="D272" s="180" t="s">
        <v>609</v>
      </c>
      <c r="E272" s="182">
        <v>5275</v>
      </c>
    </row>
    <row r="273" spans="1:5" x14ac:dyDescent="0.25">
      <c r="A273" s="179">
        <v>2024</v>
      </c>
      <c r="B273" s="180" t="s">
        <v>294</v>
      </c>
      <c r="C273" s="181" t="s">
        <v>294</v>
      </c>
      <c r="D273" s="180" t="s">
        <v>635</v>
      </c>
      <c r="E273" s="182">
        <v>0</v>
      </c>
    </row>
    <row r="274" spans="1:5" x14ac:dyDescent="0.25">
      <c r="A274" s="179">
        <v>2024</v>
      </c>
      <c r="B274" s="180" t="s">
        <v>295</v>
      </c>
      <c r="C274" s="181" t="s">
        <v>295</v>
      </c>
      <c r="D274" s="180" t="s">
        <v>636</v>
      </c>
      <c r="E274" s="182">
        <v>0</v>
      </c>
    </row>
    <row r="275" spans="1:5" x14ac:dyDescent="0.25">
      <c r="A275" s="179">
        <v>2024</v>
      </c>
      <c r="B275" s="180" t="s">
        <v>296</v>
      </c>
      <c r="C275" s="181" t="s">
        <v>296</v>
      </c>
      <c r="D275" s="180" t="s">
        <v>637</v>
      </c>
      <c r="E275" s="182">
        <v>13376</v>
      </c>
    </row>
    <row r="276" spans="1:5" x14ac:dyDescent="0.25">
      <c r="A276" s="179">
        <v>2024</v>
      </c>
      <c r="B276" s="180" t="s">
        <v>297</v>
      </c>
      <c r="C276" s="181" t="s">
        <v>297</v>
      </c>
      <c r="D276" s="180" t="s">
        <v>638</v>
      </c>
      <c r="E276" s="182">
        <v>5184</v>
      </c>
    </row>
    <row r="277" spans="1:5" x14ac:dyDescent="0.25">
      <c r="A277" s="179">
        <v>2024</v>
      </c>
      <c r="B277" s="180" t="s">
        <v>299</v>
      </c>
      <c r="C277" s="181" t="s">
        <v>299</v>
      </c>
      <c r="D277" s="180" t="s">
        <v>640</v>
      </c>
      <c r="E277" s="182">
        <v>3390</v>
      </c>
    </row>
    <row r="278" spans="1:5" x14ac:dyDescent="0.25">
      <c r="A278" s="179">
        <v>2024</v>
      </c>
      <c r="B278" s="180" t="s">
        <v>300</v>
      </c>
      <c r="C278" s="181" t="s">
        <v>300</v>
      </c>
      <c r="D278" s="180" t="s">
        <v>641</v>
      </c>
      <c r="E278" s="182">
        <v>1958</v>
      </c>
    </row>
    <row r="279" spans="1:5" x14ac:dyDescent="0.25">
      <c r="A279" s="179">
        <v>2024</v>
      </c>
      <c r="B279" s="180" t="s">
        <v>301</v>
      </c>
      <c r="C279" s="181" t="s">
        <v>301</v>
      </c>
      <c r="D279" s="180" t="s">
        <v>642</v>
      </c>
      <c r="E279" s="182">
        <v>146</v>
      </c>
    </row>
    <row r="280" spans="1:5" x14ac:dyDescent="0.25">
      <c r="A280" s="179">
        <v>2024</v>
      </c>
      <c r="B280" s="180" t="s">
        <v>302</v>
      </c>
      <c r="C280" s="181" t="s">
        <v>302</v>
      </c>
      <c r="D280" s="180" t="s">
        <v>643</v>
      </c>
      <c r="E280" s="182">
        <v>2999</v>
      </c>
    </row>
    <row r="281" spans="1:5" x14ac:dyDescent="0.25">
      <c r="A281" s="179">
        <v>2024</v>
      </c>
      <c r="B281" s="180" t="s">
        <v>303</v>
      </c>
      <c r="C281" s="181" t="s">
        <v>303</v>
      </c>
      <c r="D281" s="180" t="s">
        <v>644</v>
      </c>
      <c r="E281" s="182">
        <v>3387</v>
      </c>
    </row>
    <row r="282" spans="1:5" x14ac:dyDescent="0.25">
      <c r="A282" s="179">
        <v>2024</v>
      </c>
      <c r="B282" s="180" t="s">
        <v>304</v>
      </c>
      <c r="C282" s="181" t="s">
        <v>304</v>
      </c>
      <c r="D282" s="180" t="s">
        <v>645</v>
      </c>
      <c r="E282" s="182">
        <v>5074</v>
      </c>
    </row>
    <row r="283" spans="1:5" x14ac:dyDescent="0.25">
      <c r="A283" s="179">
        <v>2024</v>
      </c>
      <c r="B283" s="180" t="s">
        <v>305</v>
      </c>
      <c r="C283" s="181" t="s">
        <v>305</v>
      </c>
      <c r="D283" s="180" t="s">
        <v>646</v>
      </c>
      <c r="E283" s="182">
        <v>5417</v>
      </c>
    </row>
    <row r="284" spans="1:5" x14ac:dyDescent="0.25">
      <c r="A284" s="179">
        <v>2024</v>
      </c>
      <c r="B284" s="180" t="s">
        <v>306</v>
      </c>
      <c r="C284" s="181" t="s">
        <v>306</v>
      </c>
      <c r="D284" s="180" t="s">
        <v>647</v>
      </c>
      <c r="E284" s="182">
        <v>555</v>
      </c>
    </row>
    <row r="285" spans="1:5" x14ac:dyDescent="0.25">
      <c r="A285" s="179">
        <v>2024</v>
      </c>
      <c r="B285" s="180" t="s">
        <v>307</v>
      </c>
      <c r="C285" s="181" t="s">
        <v>307</v>
      </c>
      <c r="D285" s="180" t="s">
        <v>648</v>
      </c>
      <c r="E285" s="182">
        <v>3121</v>
      </c>
    </row>
    <row r="286" spans="1:5" x14ac:dyDescent="0.25">
      <c r="A286" s="179">
        <v>2024</v>
      </c>
      <c r="B286" s="180" t="s">
        <v>308</v>
      </c>
      <c r="C286" s="181" t="s">
        <v>308</v>
      </c>
      <c r="D286" s="180" t="s">
        <v>649</v>
      </c>
      <c r="E286" s="182">
        <v>11484</v>
      </c>
    </row>
    <row r="287" spans="1:5" x14ac:dyDescent="0.25">
      <c r="A287" s="179">
        <v>2024</v>
      </c>
      <c r="B287" s="180" t="s">
        <v>112</v>
      </c>
      <c r="C287" s="181" t="s">
        <v>687</v>
      </c>
      <c r="D287" s="180" t="s">
        <v>462</v>
      </c>
      <c r="E287" s="182">
        <v>9615</v>
      </c>
    </row>
    <row r="288" spans="1:5" x14ac:dyDescent="0.25">
      <c r="A288" s="179">
        <v>2024</v>
      </c>
      <c r="B288" s="180" t="s">
        <v>309</v>
      </c>
      <c r="C288" s="181" t="s">
        <v>309</v>
      </c>
      <c r="D288" s="180" t="s">
        <v>650</v>
      </c>
      <c r="E288" s="182">
        <v>0</v>
      </c>
    </row>
    <row r="289" spans="1:5" x14ac:dyDescent="0.25">
      <c r="A289" s="179">
        <v>2024</v>
      </c>
      <c r="B289" s="180" t="s">
        <v>310</v>
      </c>
      <c r="C289" s="181" t="s">
        <v>310</v>
      </c>
      <c r="D289" s="180" t="s">
        <v>651</v>
      </c>
      <c r="E289" s="182">
        <v>43215</v>
      </c>
    </row>
    <row r="290" spans="1:5" x14ac:dyDescent="0.25">
      <c r="A290" s="179">
        <v>2024</v>
      </c>
      <c r="B290" s="180" t="s">
        <v>311</v>
      </c>
      <c r="C290" s="181" t="s">
        <v>311</v>
      </c>
      <c r="D290" s="180" t="s">
        <v>795</v>
      </c>
      <c r="E290" s="182">
        <v>5167</v>
      </c>
    </row>
    <row r="291" spans="1:5" x14ac:dyDescent="0.25">
      <c r="A291" s="179">
        <v>2024</v>
      </c>
      <c r="B291" s="180" t="s">
        <v>312</v>
      </c>
      <c r="C291" s="181" t="s">
        <v>312</v>
      </c>
      <c r="D291" s="180" t="s">
        <v>652</v>
      </c>
      <c r="E291" s="182">
        <v>4121</v>
      </c>
    </row>
    <row r="292" spans="1:5" x14ac:dyDescent="0.25">
      <c r="A292" s="179">
        <v>2024</v>
      </c>
      <c r="B292" s="180" t="s">
        <v>313</v>
      </c>
      <c r="C292" s="181" t="s">
        <v>313</v>
      </c>
      <c r="D292" s="180" t="s">
        <v>653</v>
      </c>
      <c r="E292" s="182">
        <v>5029</v>
      </c>
    </row>
    <row r="293" spans="1:5" x14ac:dyDescent="0.25">
      <c r="A293" s="179">
        <v>2024</v>
      </c>
      <c r="B293" s="180" t="s">
        <v>314</v>
      </c>
      <c r="C293" s="181" t="s">
        <v>314</v>
      </c>
      <c r="D293" s="180" t="s">
        <v>654</v>
      </c>
      <c r="E293" s="182">
        <v>24180</v>
      </c>
    </row>
    <row r="294" spans="1:5" x14ac:dyDescent="0.25">
      <c r="A294" s="179">
        <v>2024</v>
      </c>
      <c r="B294" s="180" t="s">
        <v>315</v>
      </c>
      <c r="C294" s="181" t="s">
        <v>315</v>
      </c>
      <c r="D294" s="180" t="s">
        <v>655</v>
      </c>
      <c r="E294" s="182">
        <v>2088</v>
      </c>
    </row>
    <row r="295" spans="1:5" x14ac:dyDescent="0.25">
      <c r="A295" s="179">
        <v>2024</v>
      </c>
      <c r="B295" s="180" t="s">
        <v>317</v>
      </c>
      <c r="C295" s="181" t="s">
        <v>317</v>
      </c>
      <c r="D295" s="180" t="s">
        <v>657</v>
      </c>
      <c r="E295" s="182">
        <v>5187</v>
      </c>
    </row>
    <row r="296" spans="1:5" x14ac:dyDescent="0.25">
      <c r="A296" s="179">
        <v>2024</v>
      </c>
      <c r="B296" s="180" t="s">
        <v>318</v>
      </c>
      <c r="C296" s="181" t="s">
        <v>318</v>
      </c>
      <c r="D296" s="180" t="s">
        <v>658</v>
      </c>
      <c r="E296" s="182">
        <v>6257</v>
      </c>
    </row>
    <row r="297" spans="1:5" x14ac:dyDescent="0.25">
      <c r="A297" s="179">
        <v>2024</v>
      </c>
      <c r="B297" s="180" t="s">
        <v>319</v>
      </c>
      <c r="C297" s="181" t="s">
        <v>319</v>
      </c>
      <c r="D297" s="180" t="s">
        <v>659</v>
      </c>
      <c r="E297" s="182">
        <v>15173</v>
      </c>
    </row>
    <row r="298" spans="1:5" x14ac:dyDescent="0.25">
      <c r="A298" s="179">
        <v>2024</v>
      </c>
      <c r="B298" s="180" t="s">
        <v>320</v>
      </c>
      <c r="C298" s="181" t="s">
        <v>320</v>
      </c>
      <c r="D298" s="180" t="s">
        <v>660</v>
      </c>
      <c r="E298" s="182">
        <v>0</v>
      </c>
    </row>
    <row r="299" spans="1:5" x14ac:dyDescent="0.25">
      <c r="A299" s="179">
        <v>2024</v>
      </c>
      <c r="B299" s="180" t="s">
        <v>321</v>
      </c>
      <c r="C299" s="181" t="s">
        <v>321</v>
      </c>
      <c r="D299" s="180" t="s">
        <v>661</v>
      </c>
      <c r="E299" s="182">
        <v>153267</v>
      </c>
    </row>
    <row r="300" spans="1:5" x14ac:dyDescent="0.25">
      <c r="A300" s="179">
        <v>2024</v>
      </c>
      <c r="B300" s="180" t="s">
        <v>322</v>
      </c>
      <c r="C300" s="181" t="s">
        <v>322</v>
      </c>
      <c r="D300" s="180" t="s">
        <v>662</v>
      </c>
      <c r="E300" s="182">
        <v>6259</v>
      </c>
    </row>
    <row r="301" spans="1:5" x14ac:dyDescent="0.25">
      <c r="A301" s="179">
        <v>2024</v>
      </c>
      <c r="B301" s="180" t="s">
        <v>323</v>
      </c>
      <c r="C301" s="181" t="s">
        <v>323</v>
      </c>
      <c r="D301" s="180" t="s">
        <v>663</v>
      </c>
      <c r="E301" s="182">
        <v>1373</v>
      </c>
    </row>
    <row r="302" spans="1:5" x14ac:dyDescent="0.25">
      <c r="A302" s="179">
        <v>2024</v>
      </c>
      <c r="B302" s="180" t="s">
        <v>324</v>
      </c>
      <c r="C302" s="181" t="s">
        <v>324</v>
      </c>
      <c r="D302" s="180" t="s">
        <v>664</v>
      </c>
      <c r="E302" s="182">
        <v>16793</v>
      </c>
    </row>
    <row r="303" spans="1:5" x14ac:dyDescent="0.25">
      <c r="A303" s="179">
        <v>2024</v>
      </c>
      <c r="B303" s="180" t="s">
        <v>325</v>
      </c>
      <c r="C303" s="181" t="s">
        <v>325</v>
      </c>
      <c r="D303" s="180" t="s">
        <v>665</v>
      </c>
      <c r="E303" s="182">
        <v>0</v>
      </c>
    </row>
    <row r="304" spans="1:5" x14ac:dyDescent="0.25">
      <c r="A304" s="179">
        <v>2024</v>
      </c>
      <c r="B304" s="180" t="s">
        <v>326</v>
      </c>
      <c r="C304" s="181" t="s">
        <v>326</v>
      </c>
      <c r="D304" s="180" t="s">
        <v>666</v>
      </c>
      <c r="E304" s="182">
        <v>8699</v>
      </c>
    </row>
    <row r="305" spans="1:5" x14ac:dyDescent="0.25">
      <c r="A305" s="179">
        <v>2024</v>
      </c>
      <c r="B305" s="180" t="s">
        <v>327</v>
      </c>
      <c r="C305" s="181" t="s">
        <v>327</v>
      </c>
      <c r="D305" s="180" t="s">
        <v>667</v>
      </c>
      <c r="E305" s="182">
        <v>0</v>
      </c>
    </row>
    <row r="306" spans="1:5" x14ac:dyDescent="0.25">
      <c r="A306" s="179">
        <v>2024</v>
      </c>
      <c r="B306" s="180" t="s">
        <v>328</v>
      </c>
      <c r="C306" s="181" t="s">
        <v>328</v>
      </c>
      <c r="D306" s="180" t="s">
        <v>668</v>
      </c>
      <c r="E306" s="182">
        <v>2178</v>
      </c>
    </row>
    <row r="307" spans="1:5" x14ac:dyDescent="0.25">
      <c r="A307" s="179">
        <v>2024</v>
      </c>
      <c r="B307" s="180" t="s">
        <v>298</v>
      </c>
      <c r="C307" s="181" t="s">
        <v>298</v>
      </c>
      <c r="D307" s="180" t="s">
        <v>639</v>
      </c>
      <c r="E307" s="182">
        <v>7917</v>
      </c>
    </row>
    <row r="308" spans="1:5" x14ac:dyDescent="0.25">
      <c r="A308" s="179">
        <v>2024</v>
      </c>
      <c r="B308" s="180" t="s">
        <v>329</v>
      </c>
      <c r="C308" s="181" t="s">
        <v>329</v>
      </c>
      <c r="D308" s="180" t="s">
        <v>669</v>
      </c>
      <c r="E308" s="182">
        <v>6281</v>
      </c>
    </row>
    <row r="309" spans="1:5" x14ac:dyDescent="0.25">
      <c r="A309" s="179">
        <v>2024</v>
      </c>
      <c r="B309" s="180" t="s">
        <v>330</v>
      </c>
      <c r="C309" s="181" t="s">
        <v>330</v>
      </c>
      <c r="D309" s="180" t="s">
        <v>670</v>
      </c>
      <c r="E309" s="182">
        <v>56333</v>
      </c>
    </row>
    <row r="310" spans="1:5" x14ac:dyDescent="0.25">
      <c r="A310" s="179">
        <v>2024</v>
      </c>
      <c r="B310" s="180" t="s">
        <v>273</v>
      </c>
      <c r="C310" s="181" t="s">
        <v>273</v>
      </c>
      <c r="D310" s="180" t="s">
        <v>615</v>
      </c>
      <c r="E310" s="182">
        <v>8563</v>
      </c>
    </row>
    <row r="311" spans="1:5" x14ac:dyDescent="0.25">
      <c r="A311" s="179">
        <v>2024</v>
      </c>
      <c r="B311" s="180" t="s">
        <v>55</v>
      </c>
      <c r="C311" s="181" t="s">
        <v>55</v>
      </c>
      <c r="D311" s="180" t="s">
        <v>407</v>
      </c>
      <c r="E311" s="182">
        <v>1450</v>
      </c>
    </row>
    <row r="312" spans="1:5" x14ac:dyDescent="0.25">
      <c r="A312" s="179">
        <v>2024</v>
      </c>
      <c r="B312" s="180" t="s">
        <v>332</v>
      </c>
      <c r="C312" s="181" t="s">
        <v>332</v>
      </c>
      <c r="D312" s="180" t="s">
        <v>672</v>
      </c>
      <c r="E312" s="182">
        <v>1399</v>
      </c>
    </row>
    <row r="313" spans="1:5" x14ac:dyDescent="0.25">
      <c r="A313" s="179">
        <v>2024</v>
      </c>
      <c r="B313" s="180" t="s">
        <v>333</v>
      </c>
      <c r="C313" s="181" t="s">
        <v>333</v>
      </c>
      <c r="D313" s="180" t="s">
        <v>673</v>
      </c>
      <c r="E313" s="182">
        <v>8529</v>
      </c>
    </row>
    <row r="314" spans="1:5" x14ac:dyDescent="0.25">
      <c r="A314" s="179">
        <v>2024</v>
      </c>
      <c r="B314" s="180" t="s">
        <v>334</v>
      </c>
      <c r="C314" s="181" t="s">
        <v>334</v>
      </c>
      <c r="D314" s="180" t="s">
        <v>674</v>
      </c>
      <c r="E314" s="182">
        <v>3555</v>
      </c>
    </row>
    <row r="315" spans="1:5" x14ac:dyDescent="0.25">
      <c r="A315" s="179">
        <v>2024</v>
      </c>
      <c r="B315" s="180" t="s">
        <v>335</v>
      </c>
      <c r="C315" s="181" t="s">
        <v>335</v>
      </c>
      <c r="D315" s="180" t="s">
        <v>675</v>
      </c>
      <c r="E315" s="182">
        <v>0</v>
      </c>
    </row>
    <row r="316" spans="1:5" x14ac:dyDescent="0.25">
      <c r="A316" s="179">
        <v>2024</v>
      </c>
      <c r="B316" s="180" t="s">
        <v>336</v>
      </c>
      <c r="C316" s="181" t="s">
        <v>336</v>
      </c>
      <c r="D316" s="180" t="s">
        <v>676</v>
      </c>
      <c r="E316" s="182">
        <v>0</v>
      </c>
    </row>
    <row r="317" spans="1:5" x14ac:dyDescent="0.25">
      <c r="A317" s="179">
        <v>2024</v>
      </c>
      <c r="B317" s="180" t="s">
        <v>337</v>
      </c>
      <c r="C317" s="181" t="s">
        <v>337</v>
      </c>
      <c r="D317" s="180" t="s">
        <v>677</v>
      </c>
      <c r="E317" s="182">
        <v>1118</v>
      </c>
    </row>
    <row r="318" spans="1:5" x14ac:dyDescent="0.25">
      <c r="A318" s="179">
        <v>2024</v>
      </c>
      <c r="B318" s="180" t="s">
        <v>331</v>
      </c>
      <c r="C318" s="181" t="s">
        <v>331</v>
      </c>
      <c r="D318" s="180" t="s">
        <v>671</v>
      </c>
      <c r="E318" s="182">
        <v>23010</v>
      </c>
    </row>
    <row r="319" spans="1:5" x14ac:dyDescent="0.25">
      <c r="A319" s="179">
        <v>2024</v>
      </c>
      <c r="B319" s="180" t="s">
        <v>338</v>
      </c>
      <c r="C319" s="181" t="s">
        <v>338</v>
      </c>
      <c r="D319" s="180" t="s">
        <v>678</v>
      </c>
      <c r="E319" s="182">
        <v>4902</v>
      </c>
    </row>
    <row r="320" spans="1:5" x14ac:dyDescent="0.25">
      <c r="A320" s="179">
        <v>2024</v>
      </c>
      <c r="B320" s="180" t="s">
        <v>339</v>
      </c>
      <c r="C320" s="181" t="s">
        <v>339</v>
      </c>
      <c r="D320" s="180" t="s">
        <v>679</v>
      </c>
      <c r="E320" s="182">
        <v>3748</v>
      </c>
    </row>
    <row r="321" spans="1:5" x14ac:dyDescent="0.25">
      <c r="A321" s="179">
        <v>2024</v>
      </c>
      <c r="B321" s="180" t="s">
        <v>340</v>
      </c>
      <c r="C321" s="181" t="s">
        <v>340</v>
      </c>
      <c r="D321" s="180" t="s">
        <v>680</v>
      </c>
      <c r="E321" s="182">
        <v>11974</v>
      </c>
    </row>
    <row r="322" spans="1:5" x14ac:dyDescent="0.25">
      <c r="A322" s="179">
        <v>2024</v>
      </c>
      <c r="B322" s="180" t="s">
        <v>341</v>
      </c>
      <c r="C322" s="181" t="s">
        <v>341</v>
      </c>
      <c r="D322" s="180" t="s">
        <v>681</v>
      </c>
      <c r="E322" s="182">
        <v>3469</v>
      </c>
    </row>
    <row r="323" spans="1:5" x14ac:dyDescent="0.25">
      <c r="A323" s="179">
        <v>2024</v>
      </c>
      <c r="B323" s="180" t="s">
        <v>342</v>
      </c>
      <c r="C323" s="181" t="s">
        <v>342</v>
      </c>
      <c r="D323" s="180" t="s">
        <v>682</v>
      </c>
      <c r="E323" s="182">
        <v>889</v>
      </c>
    </row>
    <row r="324" spans="1:5" x14ac:dyDescent="0.25">
      <c r="A324" s="179">
        <v>2024</v>
      </c>
      <c r="B324" s="180" t="s">
        <v>343</v>
      </c>
      <c r="C324" s="181" t="s">
        <v>343</v>
      </c>
      <c r="D324" s="180" t="s">
        <v>683</v>
      </c>
      <c r="E324" s="182">
        <v>6268</v>
      </c>
    </row>
    <row r="325" spans="1:5" x14ac:dyDescent="0.25">
      <c r="A325" s="179">
        <v>2024</v>
      </c>
      <c r="B325" s="180" t="s">
        <v>344</v>
      </c>
      <c r="C325" s="181" t="s">
        <v>344</v>
      </c>
      <c r="D325" s="180" t="s">
        <v>684</v>
      </c>
      <c r="E325" s="182">
        <v>2707</v>
      </c>
    </row>
    <row r="326" spans="1:5" x14ac:dyDescent="0.25">
      <c r="A326" s="179">
        <v>2024</v>
      </c>
      <c r="B326" s="180" t="s">
        <v>345</v>
      </c>
      <c r="C326" s="181" t="s">
        <v>345</v>
      </c>
      <c r="D326" s="180" t="s">
        <v>685</v>
      </c>
      <c r="E326" s="182">
        <v>3469</v>
      </c>
    </row>
    <row r="327" spans="1:5" x14ac:dyDescent="0.25">
      <c r="A327" s="179">
        <v>2024</v>
      </c>
      <c r="B327" s="180" t="s">
        <v>346</v>
      </c>
      <c r="C327" s="181" t="s">
        <v>346</v>
      </c>
      <c r="D327" s="180" t="s">
        <v>686</v>
      </c>
      <c r="E327" s="182">
        <v>13397</v>
      </c>
    </row>
    <row r="328" spans="1:5" ht="15.75" thickBot="1" x14ac:dyDescent="0.3">
      <c r="A328" s="144"/>
      <c r="B328" s="183" t="s">
        <v>779</v>
      </c>
      <c r="D328" s="146" t="s">
        <v>778</v>
      </c>
      <c r="E328" s="184">
        <f>SUM(E3:E327)</f>
        <v>3361624</v>
      </c>
    </row>
    <row r="329" spans="1:5" ht="15.75" thickTop="1" x14ac:dyDescent="0.25">
      <c r="A329" s="144"/>
    </row>
    <row r="330" spans="1:5" x14ac:dyDescent="0.25">
      <c r="A330" s="144"/>
    </row>
    <row r="331" spans="1:5" x14ac:dyDescent="0.25">
      <c r="A331" s="144"/>
    </row>
    <row r="332" spans="1:5" x14ac:dyDescent="0.25">
      <c r="A332" s="144"/>
    </row>
    <row r="333" spans="1:5" x14ac:dyDescent="0.25">
      <c r="A333" s="144"/>
    </row>
    <row r="334" spans="1:5" x14ac:dyDescent="0.25">
      <c r="A334" s="144"/>
    </row>
    <row r="335" spans="1:5" x14ac:dyDescent="0.25">
      <c r="A335" s="144"/>
    </row>
    <row r="336" spans="1:5" x14ac:dyDescent="0.25">
      <c r="A336" s="144"/>
    </row>
    <row r="337" spans="1:1" x14ac:dyDescent="0.25">
      <c r="A337" s="144"/>
    </row>
    <row r="338" spans="1:1" x14ac:dyDescent="0.25">
      <c r="A338" s="144"/>
    </row>
    <row r="339" spans="1:1" x14ac:dyDescent="0.25">
      <c r="A339" s="144"/>
    </row>
    <row r="340" spans="1:1" x14ac:dyDescent="0.25">
      <c r="A340" s="144"/>
    </row>
    <row r="341" spans="1:1" x14ac:dyDescent="0.25">
      <c r="A341" s="144"/>
    </row>
    <row r="342" spans="1:1" x14ac:dyDescent="0.25">
      <c r="A342" s="144"/>
    </row>
    <row r="343" spans="1:1" x14ac:dyDescent="0.25">
      <c r="A343" s="144"/>
    </row>
    <row r="344" spans="1:1" x14ac:dyDescent="0.25">
      <c r="A344" s="144"/>
    </row>
    <row r="345" spans="1:1" x14ac:dyDescent="0.25">
      <c r="A345" s="144"/>
    </row>
    <row r="346" spans="1:1" x14ac:dyDescent="0.25">
      <c r="A346" s="144"/>
    </row>
    <row r="347" spans="1:1" x14ac:dyDescent="0.25">
      <c r="A347" s="144"/>
    </row>
    <row r="348" spans="1:1" x14ac:dyDescent="0.25">
      <c r="A348" s="144"/>
    </row>
    <row r="349" spans="1:1" x14ac:dyDescent="0.25">
      <c r="A349" s="144"/>
    </row>
    <row r="350" spans="1:1" x14ac:dyDescent="0.25">
      <c r="A350" s="144"/>
    </row>
    <row r="351" spans="1:1" x14ac:dyDescent="0.25">
      <c r="A351" s="144"/>
    </row>
    <row r="352" spans="1:1" x14ac:dyDescent="0.25">
      <c r="A352" s="144"/>
    </row>
    <row r="353" spans="1:1" x14ac:dyDescent="0.25">
      <c r="A353" s="144"/>
    </row>
    <row r="354" spans="1:1" x14ac:dyDescent="0.25">
      <c r="A354" s="144"/>
    </row>
    <row r="355" spans="1:1" x14ac:dyDescent="0.25">
      <c r="A355" s="144"/>
    </row>
    <row r="356" spans="1:1" x14ac:dyDescent="0.25">
      <c r="A356" s="144"/>
    </row>
    <row r="357" spans="1:1" x14ac:dyDescent="0.25">
      <c r="A357" s="144"/>
    </row>
    <row r="358" spans="1:1" x14ac:dyDescent="0.25">
      <c r="A358" s="144"/>
    </row>
    <row r="359" spans="1:1" x14ac:dyDescent="0.25">
      <c r="A359" s="144"/>
    </row>
    <row r="360" spans="1:1" x14ac:dyDescent="0.25">
      <c r="A360" s="144"/>
    </row>
    <row r="361" spans="1:1" x14ac:dyDescent="0.25">
      <c r="A361" s="144"/>
    </row>
    <row r="362" spans="1:1" x14ac:dyDescent="0.25">
      <c r="A362" s="144"/>
    </row>
    <row r="363" spans="1:1" x14ac:dyDescent="0.25">
      <c r="A363" s="144"/>
    </row>
    <row r="364" spans="1:1" x14ac:dyDescent="0.25">
      <c r="A364" s="144"/>
    </row>
    <row r="365" spans="1:1" x14ac:dyDescent="0.25">
      <c r="A365" s="144"/>
    </row>
    <row r="366" spans="1:1" x14ac:dyDescent="0.25">
      <c r="A366" s="144"/>
    </row>
    <row r="367" spans="1:1" x14ac:dyDescent="0.25">
      <c r="A367" s="144"/>
    </row>
    <row r="368" spans="1:1" x14ac:dyDescent="0.25">
      <c r="A368" s="144"/>
    </row>
    <row r="369" spans="1:1" x14ac:dyDescent="0.25">
      <c r="A369" s="144"/>
    </row>
    <row r="370" spans="1:1" x14ac:dyDescent="0.25">
      <c r="A370" s="144"/>
    </row>
    <row r="371" spans="1:1" x14ac:dyDescent="0.25">
      <c r="A371" s="144"/>
    </row>
    <row r="372" spans="1:1" x14ac:dyDescent="0.25">
      <c r="A372" s="144"/>
    </row>
    <row r="373" spans="1:1" x14ac:dyDescent="0.25">
      <c r="A373" s="144"/>
    </row>
    <row r="374" spans="1:1" x14ac:dyDescent="0.25">
      <c r="A374" s="144"/>
    </row>
    <row r="375" spans="1:1" x14ac:dyDescent="0.25">
      <c r="A375" s="144"/>
    </row>
    <row r="376" spans="1:1" x14ac:dyDescent="0.25">
      <c r="A376" s="144"/>
    </row>
    <row r="377" spans="1:1" x14ac:dyDescent="0.25">
      <c r="A377" s="144"/>
    </row>
    <row r="378" spans="1:1" x14ac:dyDescent="0.25">
      <c r="A378" s="144"/>
    </row>
    <row r="379" spans="1:1" x14ac:dyDescent="0.25">
      <c r="A379" s="144"/>
    </row>
    <row r="380" spans="1:1" x14ac:dyDescent="0.25">
      <c r="A380" s="144"/>
    </row>
    <row r="381" spans="1:1" x14ac:dyDescent="0.25">
      <c r="A381" s="144"/>
    </row>
    <row r="382" spans="1:1" x14ac:dyDescent="0.25">
      <c r="A382" s="144"/>
    </row>
    <row r="383" spans="1:1" x14ac:dyDescent="0.25">
      <c r="A383" s="144"/>
    </row>
    <row r="384" spans="1:1" x14ac:dyDescent="0.25">
      <c r="A384" s="144"/>
    </row>
    <row r="385" spans="1:1" x14ac:dyDescent="0.25">
      <c r="A385" s="144"/>
    </row>
    <row r="386" spans="1:1" x14ac:dyDescent="0.25">
      <c r="A386" s="144"/>
    </row>
    <row r="387" spans="1:1" x14ac:dyDescent="0.25">
      <c r="A387" s="144"/>
    </row>
    <row r="388" spans="1:1" x14ac:dyDescent="0.25">
      <c r="A388" s="144"/>
    </row>
    <row r="389" spans="1:1" x14ac:dyDescent="0.25">
      <c r="A389" s="144"/>
    </row>
    <row r="390" spans="1:1" x14ac:dyDescent="0.25">
      <c r="A390" s="144"/>
    </row>
    <row r="391" spans="1:1" x14ac:dyDescent="0.25">
      <c r="A391" s="144"/>
    </row>
    <row r="392" spans="1:1" x14ac:dyDescent="0.25">
      <c r="A392" s="144"/>
    </row>
    <row r="393" spans="1:1" x14ac:dyDescent="0.25">
      <c r="A393" s="144"/>
    </row>
    <row r="394" spans="1:1" x14ac:dyDescent="0.25">
      <c r="A394" s="144"/>
    </row>
    <row r="395" spans="1:1" x14ac:dyDescent="0.25">
      <c r="A395" s="144"/>
    </row>
    <row r="396" spans="1:1" x14ac:dyDescent="0.25">
      <c r="A396" s="144"/>
    </row>
    <row r="397" spans="1:1" x14ac:dyDescent="0.25">
      <c r="A397" s="144"/>
    </row>
    <row r="398" spans="1:1" x14ac:dyDescent="0.25">
      <c r="A398" s="144"/>
    </row>
    <row r="399" spans="1:1" x14ac:dyDescent="0.25">
      <c r="A399" s="144"/>
    </row>
    <row r="400" spans="1:1" x14ac:dyDescent="0.25">
      <c r="A400" s="144"/>
    </row>
    <row r="401" spans="1:1" x14ac:dyDescent="0.25">
      <c r="A401" s="144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Budget Total</vt:lpstr>
      <vt:lpstr>Budget by Source</vt:lpstr>
      <vt:lpstr>Payment Total</vt:lpstr>
      <vt:lpstr>Payment by Source</vt:lpstr>
      <vt:lpstr>Data</vt:lpstr>
      <vt:lpstr>Notes</vt:lpstr>
      <vt:lpstr>PaymentSummary</vt:lpstr>
      <vt:lpstr>SurtaxPayment</vt:lpstr>
      <vt:lpstr>SpecialEdDeficit</vt:lpstr>
      <vt:lpstr>Districts</vt:lpstr>
      <vt:lpstr>PaymentSummary!Print_Area</vt:lpstr>
      <vt:lpstr>'Budget by Source'!Print_Titles</vt:lpstr>
      <vt:lpstr>'Budget Total'!Print_Titles</vt:lpstr>
      <vt:lpstr>'Payment by Source'!Print_Titles</vt:lpstr>
      <vt:lpstr>'Payment Total'!Print_Titles</vt:lpstr>
      <vt:lpstr>SpecialEdDeficit!Print_Titles</vt:lpstr>
      <vt:lpstr>SurtaxPayment!Print_Titles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Department of Management</dc:creator>
  <cp:lastModifiedBy>Parker, John</cp:lastModifiedBy>
  <cp:lastPrinted>2020-06-09T18:30:44Z</cp:lastPrinted>
  <dcterms:created xsi:type="dcterms:W3CDTF">2011-08-29T13:44:47Z</dcterms:created>
  <dcterms:modified xsi:type="dcterms:W3CDTF">2025-01-12T20:03:02Z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768fd3be34b04ad5a487eb79d093e626</vt:lpwstr>
  </property>
</Properties>
</file>