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F2B19D80-D75F-4101-AA13-965096DC918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N12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F19" i="6" s="1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O12" i="9"/>
  <c r="P12" i="9"/>
  <c r="Q12" i="9"/>
  <c r="R12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N25" i="9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<sst xmlns="http://schemas.openxmlformats.org/spreadsheetml/2006/main" count="983" uniqueCount="371">
  <si>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</si>
  <si>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</si>
  <si>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</si>
  <si>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</si>
  <si>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</si>
  <si>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</si>
  <si>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</si>
  <si>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</si>
  <si>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</si>
  <si>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</si>
  <si>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</si>
  <si>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</si>
  <si>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</si>
  <si>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</si>
  <si>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</si>
  <si>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</si>
  <si>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</si>
  <si>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</si>
  <si>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</si>
  <si>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</si>
  <si>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</si>
  <si>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</si>
  <si>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</si>
  <si>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</si>
  <si>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</si>
  <si>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</si>
  <si>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</si>
  <si>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</si>
  <si>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</si>
  <si>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</si>
  <si>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</si>
  <si>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</si>
  <si>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</si>
  <si>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</si>
  <si>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</si>
  <si>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</si>
  <si>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</si>
  <si>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</si>
  <si>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</si>
  <si>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</si>
  <si>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</si>
  <si>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</si>
  <si>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</si>
  <si>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</si>
  <si>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</si>
  <si>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</si>
  <si>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</si>
  <si>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</si>
  <si>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</si>
  <si>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</si>
  <si>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</si>
  <si>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</si>
  <si>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</si>
  <si>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</si>
  <si>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</si>
  <si>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</si>
  <si>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</si>
  <si>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</si>
  <si>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</si>
  <si>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</si>
  <si>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</si>
  <si>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</si>
  <si>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</si>
  <si>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</si>
  <si>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</si>
  <si>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</si>
  <si>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</si>
  <si>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</si>
  <si>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</si>
  <si>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</si>
  <si>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</si>
  <si>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</si>
  <si>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</si>
  <si>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</si>
  <si>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</si>
  <si>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</si>
  <si>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</si>
  <si>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</si>
  <si>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</si>
  <si>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</si>
  <si>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</si>
  <si>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</si>
  <si>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</si>
  <si>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</si>
  <si>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</si>
  <si>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</si>
  <si>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</si>
  <si>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</si>
  <si>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</si>
  <si>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</si>
  <si>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</si>
  <si>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</si>
  <si>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</si>
  <si>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</si>
  <si>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</si>
  <si>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</si>
  <si>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</si>
  <si>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</si>
  <si>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</si>
  <si>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</si>
  <si>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</si>
  <si>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</si>
  <si>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</si>
  <si>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</si>
  <si>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</si>
  <si>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</si>
  <si>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</si>
  <si>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</si>
  <si>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</si>
  <si>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</si>
  <si>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</si>
  <si>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</si>
  <si>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</si>
  <si>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</si>
  <si>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</si>
  <si>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</si>
  <si>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</si>
  <si>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</si>
  <si>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</si>
  <si>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</si>
  <si>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</si>
  <si>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</si>
  <si>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</si>
  <si>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</si>
  <si>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</si>
  <si>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</si>
  <si>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</si>
  <si>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</si>
  <si>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</si>
  <si>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</si>
  <si>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</si>
  <si>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</si>
  <si>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</si>
  <si>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</si>
  <si>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</si>
  <si>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Mike Cornelison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</si>
  <si>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</si>
  <si>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</si>
  <si>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</si>
  <si>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</si>
  <si>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</si>
  <si>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</si>
  <si>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</si>
  <si>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</si>
  <si>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</si>
  <si>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</si>
  <si>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</si>
  <si>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</si>
  <si>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</si>
  <si>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</si>
  <si>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</si>
  <si>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</si>
  <si>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</si>
  <si>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</si>
  <si>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</si>
  <si>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</si>
  <si>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</si>
  <si>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</si>
  <si>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</si>
  <si>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</si>
  <si>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</si>
  <si>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</si>
  <si>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</si>
  <si>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</si>
  <si>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</si>
  <si>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</si>
  <si>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</si>
  <si>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</si>
  <si>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</si>
  <si>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</si>
  <si>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</si>
  <si>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</si>
  <si>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</si>
  <si>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</si>
  <si>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</si>
  <si>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</si>
  <si>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</si>
  <si>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</si>
  <si>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</si>
  <si>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</si>
  <si>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</si>
  <si>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</si>
  <si>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</si>
  <si>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</si>
  <si>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</si>
  <si>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</si>
  <si>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</si>
  <si>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</si>
  <si>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</si>
  <si>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</si>
  <si>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</si>
  <si>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</si>
  <si>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</si>
  <si>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</si>
  <si>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</si>
  <si>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</si>
  <si>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</si>
  <si>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</si>
  <si>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</si>
  <si>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</si>
  <si>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</si>
  <si>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</si>
  <si>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</si>
  <si>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</si>
  <si>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</si>
  <si>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</si>
  <si>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</si>
  <si>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</si>
  <si>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</si>
  <si>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</si>
  <si>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</si>
  <si>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</si>
  <si>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</si>
  <si>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</si>
  <si>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</si>
  <si>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</si>
  <si>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</si>
  <si>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</si>
  <si>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</si>
  <si>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</si>
  <si>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</si>
  <si>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</si>
  <si>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</si>
  <si>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</si>
  <si>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</si>
  <si>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</si>
  <si>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</si>
  <si>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</si>
  <si>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</si>
  <si>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</si>
  <si>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</si>
  <si>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</si>
  <si>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</si>
  <si>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</si>
  <si>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</si>
  <si>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</si>
  <si>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</si>
  <si>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</si>
  <si>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</si>
  <si>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</si>
  <si>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Kristen M Rickey</t>
  </si>
  <si>
    <t>Timothy W Bower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</si>
  <si>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</si>
  <si>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</si>
  <si>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</si>
  <si>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</si>
  <si>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</si>
  <si>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</si>
  <si>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</si>
  <si>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</si>
  <si>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</si>
  <si>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</si>
  <si>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</si>
  <si>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</si>
  <si>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</si>
  <si>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</si>
  <si>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</si>
  <si>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</si>
  <si>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</si>
  <si>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</si>
  <si>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</si>
  <si>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</si>
  <si>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</si>
  <si>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</si>
  <si>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</si>
  <si>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</si>
  <si>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</si>
  <si>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</si>
  <si>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</si>
  <si>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</si>
  <si>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</si>
  <si>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</si>
  <si>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</si>
  <si>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</si>
  <si>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</si>
  <si>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</si>
  <si>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</si>
  <si>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</si>
  <si>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</si>
  <si>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</si>
  <si>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</si>
  <si>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</si>
  <si>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</si>
  <si>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139189 14000</t>
  </si>
  <si>
    <t>Eric A St Clair DOE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</si>
  <si>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</si>
  <si>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</si>
  <si>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</si>
  <si>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</si>
  <si>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</si>
  <si>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</si>
  <si>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</si>
  <si>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t>Mirela Jusic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</si>
  <si>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</si>
  <si>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139185 14000</t>
  </si>
  <si>
    <t>139186 14000</t>
  </si>
  <si>
    <t>Davis L Eidahl</t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</si>
  <si>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history &amp; background checks &amp; DIA services.</t>
    </r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</si>
  <si>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</si>
  <si>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</si>
  <si>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</si>
  <si>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</si>
  <si>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</si>
  <si>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</si>
  <si>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</si>
  <si>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</si>
  <si>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</si>
  <si>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</si>
  <si>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</si>
  <si>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</si>
  <si>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</si>
  <si>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</si>
  <si>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</si>
  <si>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</si>
  <si>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</si>
  <si>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</si>
  <si>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</si>
  <si>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</si>
  <si>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</si>
  <si>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</si>
  <si>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</si>
  <si>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</si>
  <si>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t>Michael C Lock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</si>
  <si>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</si>
  <si>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</si>
  <si>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t>Ryan M Weldon</t>
  </si>
  <si>
    <t>133187 14000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</si>
  <si>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</si>
  <si>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</si>
  <si>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</si>
  <si>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</si>
  <si>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</si>
  <si>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</si>
  <si>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</si>
  <si>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</si>
  <si>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</si>
  <si>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</si>
  <si>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</si>
  <si>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</si>
  <si>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</si>
  <si>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</si>
  <si>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</si>
  <si>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</si>
  <si>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</si>
  <si>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</si>
  <si>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</si>
  <si>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</si>
  <si>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</si>
  <si>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May, will pay next year's National Association of State Directors membership (approx. $6,000).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</si>
  <si>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</si>
  <si>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</si>
  <si>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</si>
  <si>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</si>
  <si>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</si>
  <si>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>Matthew Barron (10/25/24)</t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</si>
  <si>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</si>
  <si>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</si>
  <si>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</si>
  <si>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now paid by DE.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</si>
  <si>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</si>
  <si>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</si>
  <si>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</si>
  <si>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</si>
  <si>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</si>
  <si>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</si>
  <si>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</si>
  <si>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days. Based on timing, the 3 withdrawals happened in October.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</si>
  <si>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dates</t>
    </r>
  </si>
  <si>
    <t>Appropriation- I51</t>
  </si>
  <si>
    <t>Licensure Fees (996-2820)</t>
  </si>
  <si>
    <t>Period 6-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</si>
</sst>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3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42" fillId="8" borderId="2" xfId="0" applyFont="1" applyFill="1" applyBorder="1"/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4" fillId="0" borderId="0" xfId="0" applyFont="1"/>
    <xf numFmtId="49" fontId="45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6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7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872747.10000000009</c:v>
                </c:pt>
                <c:pt idx="1">
                  <c:v>4737.6000000000004</c:v>
                </c:pt>
                <c:pt idx="2">
                  <c:v>385.68</c:v>
                </c:pt>
                <c:pt idx="3">
                  <c:v>716.03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2484.5300000000002</c:v>
                </c:pt>
                <c:pt idx="9">
                  <c:v>7155.81</c:v>
                </c:pt>
                <c:pt idx="10">
                  <c:v>21000</c:v>
                </c:pt>
                <c:pt idx="11">
                  <c:v>870.46999999999991</c:v>
                </c:pt>
                <c:pt idx="12">
                  <c:v>1699.48</c:v>
                </c:pt>
                <c:pt idx="13">
                  <c:v>1721.6999999999998</c:v>
                </c:pt>
                <c:pt idx="14">
                  <c:v>0</c:v>
                </c:pt>
                <c:pt idx="15">
                  <c:v>101.85</c:v>
                </c:pt>
                <c:pt idx="16">
                  <c:v>5238.99</c:v>
                </c:pt>
                <c:pt idx="17">
                  <c:v>194254.63</c:v>
                </c:pt>
                <c:pt idx="18">
                  <c:v>0</c:v>
                </c:pt>
                <c:pt idx="19">
                  <c:v>37822.509999999995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295.88</c:v>
                </c:pt>
                <c:pt idx="24">
                  <c:v>14279.84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30245250229997489"/>
          <c:y val="1.6186769832895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-0.18407994714886822"/>
                  <c:y val="2.58091533826916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2.3986407202363478E-2"/>
                  <c:y val="-7.50219721376759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Communications</c:v>
                </c:pt>
                <c:pt idx="6">
                  <c:v>Reimbursements To Other Agency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872747.10000000009</c:v>
                </c:pt>
                <c:pt idx="1">
                  <c:v>194254.63</c:v>
                </c:pt>
                <c:pt idx="2">
                  <c:v>37822.509999999995</c:v>
                </c:pt>
                <c:pt idx="3">
                  <c:v>21000</c:v>
                </c:pt>
                <c:pt idx="4">
                  <c:v>14279.84</c:v>
                </c:pt>
                <c:pt idx="5">
                  <c:v>7155.81</c:v>
                </c:pt>
                <c:pt idx="6">
                  <c:v>5238.99</c:v>
                </c:pt>
                <c:pt idx="7">
                  <c:v>4737.6000000000004</c:v>
                </c:pt>
                <c:pt idx="8">
                  <c:v>8275.6199999998789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350529498294039"/>
          <c:y val="0.11949058981993659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6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16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733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7336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298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253</v>
      </c>
    </row>
    <row r="5" spans="1:16" ht="15.75" x14ac:dyDescent="0.2">
      <c r="A5" s="27" t="s">
        <v>87</v>
      </c>
      <c r="B5" s="27" t="s">
        <v>292</v>
      </c>
    </row>
    <row r="6" spans="1:16" ht="15.75" x14ac:dyDescent="0.2">
      <c r="A6" s="27"/>
      <c r="B6" s="27"/>
    </row>
    <row r="7" spans="1:16" ht="15.75" x14ac:dyDescent="0.2">
      <c r="A7" s="27" t="s">
        <v>88</v>
      </c>
      <c r="B7" s="373" t="s">
        <v>135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45658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334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370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233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220</v>
      </c>
      <c r="C19" s="88"/>
      <c r="D19" s="411">
        <f>'9397 BOEE'!O53</f>
        <v>1558714.8399999999</v>
      </c>
      <c r="F19" s="411">
        <f>-'9397 BOEE'!T9</f>
        <v>1500000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2">
        <f>SUM(D19:D19)</f>
        <v>1558714.8399999999</v>
      </c>
      <c r="E20" s="413"/>
      <c r="F20" s="412">
        <f>SUM(F19:F19)</f>
        <v>1500000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361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365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362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14" t="s">
        <v>363</v>
      </c>
      <c r="C48" s="14"/>
      <c r="D48" s="415" t="s">
        <v>364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169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170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171</v>
      </c>
      <c r="B4" s="247" t="s">
        <v>172</v>
      </c>
      <c r="C4" s="248" t="s">
        <v>2</v>
      </c>
      <c r="D4" s="249" t="s">
        <v>173</v>
      </c>
      <c r="E4" s="247" t="s">
        <v>174</v>
      </c>
      <c r="F4" s="250" t="s">
        <v>175</v>
      </c>
      <c r="G4" s="250" t="s">
        <v>176</v>
      </c>
      <c r="H4" s="250" t="s">
        <v>177</v>
      </c>
      <c r="I4" s="250" t="s">
        <v>178</v>
      </c>
      <c r="J4" s="250" t="s">
        <v>179</v>
      </c>
      <c r="K4" s="250" t="s">
        <v>180</v>
      </c>
      <c r="L4" s="250" t="s">
        <v>181</v>
      </c>
      <c r="M4" s="250" t="s">
        <v>182</v>
      </c>
      <c r="N4" s="250" t="s">
        <v>183</v>
      </c>
      <c r="O4" s="250" t="s">
        <v>184</v>
      </c>
      <c r="P4" s="250" t="s">
        <v>185</v>
      </c>
      <c r="Q4" s="250" t="s">
        <v>186</v>
      </c>
      <c r="R4" s="250" t="s">
        <v>25</v>
      </c>
      <c r="S4" s="250" t="s">
        <v>26</v>
      </c>
      <c r="T4" s="250" t="s">
        <v>187</v>
      </c>
    </row>
    <row r="5" spans="1:22" ht="15.75" x14ac:dyDescent="0.25">
      <c r="A5" s="251" t="s">
        <v>129</v>
      </c>
      <c r="B5" s="252" t="s">
        <v>249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154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155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291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157</v>
      </c>
      <c r="B9" s="258" t="s">
        <v>156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237</v>
      </c>
      <c r="B10" s="258" t="s">
        <v>245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305</v>
      </c>
      <c r="B11" s="258" t="s">
        <v>330</v>
      </c>
      <c r="C11" s="262">
        <v>9397</v>
      </c>
      <c r="D11" s="263">
        <v>1</v>
      </c>
      <c r="E11" s="259">
        <v>100000</v>
      </c>
      <c r="F11" s="366">
        <v>0</v>
      </c>
      <c r="G11" s="366">
        <v>0</v>
      </c>
      <c r="H11" s="366">
        <v>0</v>
      </c>
      <c r="I11" s="366">
        <v>0</v>
      </c>
      <c r="J11" s="366">
        <v>0</v>
      </c>
      <c r="K11" s="366">
        <v>0</v>
      </c>
      <c r="L11" s="366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158</v>
      </c>
      <c r="B12" s="255" t="s">
        <v>315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158</v>
      </c>
      <c r="B13" s="258" t="s">
        <v>332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6">
        <v>0</v>
      </c>
      <c r="R13" s="366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158</v>
      </c>
      <c r="B14" s="258" t="s">
        <v>281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158</v>
      </c>
      <c r="B15" s="255" t="s">
        <v>160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161</v>
      </c>
      <c r="B16" s="255" t="s">
        <v>159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163</v>
      </c>
      <c r="B17" s="255" t="s">
        <v>162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164</v>
      </c>
      <c r="B18" s="255" t="s">
        <v>290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165</v>
      </c>
      <c r="B19" s="255" t="s">
        <v>257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289</v>
      </c>
      <c r="B20" s="255" t="s">
        <v>301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251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250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138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139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143000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119000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114000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823895.25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55000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40000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42000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269651.25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198000</v>
      </c>
      <c r="K17" s="101">
        <f t="shared" si="7"/>
        <v>159000</v>
      </c>
      <c r="L17" s="101">
        <f t="shared" si="7"/>
        <v>156000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1093645.25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147126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147126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147126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872747.10000000009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0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0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0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4737.6000000000004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140</v>
      </c>
      <c r="B22" s="57" t="s">
        <v>141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385.68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0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716.03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142</v>
      </c>
      <c r="B26" s="57" t="s">
        <v>143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0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0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0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0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2484.5300000000002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0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0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0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7155.81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21000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0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1699.48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0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0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1721.6999999999998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101.85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0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0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0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5238.99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0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0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0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194254.63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144</v>
      </c>
      <c r="B39" s="57" t="s">
        <v>145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0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0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37822.509999999995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147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146</v>
      </c>
      <c r="B44" s="57" t="s">
        <v>148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149</v>
      </c>
      <c r="B46" s="193" t="s">
        <v>150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295.88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0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0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0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14279.84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0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157626</v>
      </c>
      <c r="K50" s="101">
        <f t="shared" si="25"/>
        <v>152376</v>
      </c>
      <c r="L50" s="101">
        <f t="shared" si="25"/>
        <v>152376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77367</v>
      </c>
      <c r="Q50" s="101">
        <f t="shared" si="25"/>
        <v>0</v>
      </c>
      <c r="R50" s="101">
        <f t="shared" si="25"/>
        <v>0</v>
      </c>
      <c r="S50" s="101">
        <f t="shared" si="25"/>
        <v>1164641.6300000001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40374</v>
      </c>
      <c r="K52" s="101">
        <f t="shared" si="26"/>
        <v>6624</v>
      </c>
      <c r="L52" s="101">
        <f t="shared" si="26"/>
        <v>3624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-77367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69377.619999999908</v>
      </c>
      <c r="K53" s="130">
        <f t="shared" ref="K53" si="28">J53+K52</f>
        <v>76001.619999999908</v>
      </c>
      <c r="L53" s="130">
        <f t="shared" ref="L53" si="29">K53+L52</f>
        <v>79625.619999999908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136</v>
      </c>
      <c r="C2" s="47"/>
      <c r="D2" s="48"/>
      <c r="E2" s="48"/>
      <c r="F2" s="48"/>
      <c r="G2" s="48"/>
      <c r="H2" s="48"/>
      <c r="I2" s="48"/>
      <c r="J2" s="133" t="s">
        <v>336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333</v>
      </c>
      <c r="V2" s="67" t="s">
        <v>359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</v>
      </c>
      <c r="W3" s="48"/>
    </row>
    <row r="4" spans="1:28" s="1" customFormat="1" ht="18" customHeight="1" x14ac:dyDescent="0.25">
      <c r="A4" s="47" t="s">
        <v>9</v>
      </c>
      <c r="B4" s="47" t="s">
        <v>299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335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340</v>
      </c>
      <c r="U6" s="53" t="s">
        <v>341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199</v>
      </c>
      <c r="C8" s="194"/>
      <c r="D8" s="383">
        <v>100000</v>
      </c>
      <c r="E8" s="383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242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-1400000</v>
      </c>
      <c r="R9" s="195"/>
      <c r="S9" s="198">
        <f>SUMIF($D$6:$R$6,$X$2,D9:R9)</f>
        <v>0</v>
      </c>
      <c r="T9" s="70">
        <f>SUM(D9:R9)</f>
        <v>-1500000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139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143000</v>
      </c>
      <c r="K12" s="70">
        <v>119000</v>
      </c>
      <c r="L12" s="70">
        <v>114000</v>
      </c>
      <c r="M12" s="70">
        <v>139000</v>
      </c>
      <c r="N12" s="70">
        <v>201000</v>
      </c>
      <c r="O12" s="70">
        <v>118000</v>
      </c>
      <c r="P12" s="70">
        <v>0</v>
      </c>
      <c r="Q12" s="70">
        <v>0</v>
      </c>
      <c r="R12" s="198">
        <v>0</v>
      </c>
      <c r="S12" s="198">
        <f>SUMIF($D$6:$R$6,$X$2,D12:R12)</f>
        <v>823895.25</v>
      </c>
      <c r="T12" s="70">
        <f>SUM(D12:R12)</f>
        <v>1657895.25</v>
      </c>
      <c r="U12" s="70">
        <v>1800000</v>
      </c>
      <c r="V12" s="199">
        <f>IF(U12=0,0,SUMIF($D$6:$R$6,$X$2,D12:R12)/U12)</f>
        <v>0.45771958333333335</v>
      </c>
      <c r="W12" s="199">
        <f>IF(U12=0,0,T12/U12)</f>
        <v>0.92105291666666667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55000</v>
      </c>
      <c r="K14" s="70">
        <v>40000</v>
      </c>
      <c r="L14" s="70">
        <v>42000</v>
      </c>
      <c r="M14" s="70">
        <v>49000</v>
      </c>
      <c r="N14" s="70">
        <v>55000</v>
      </c>
      <c r="O14" s="70">
        <v>50500</v>
      </c>
      <c r="P14" s="70">
        <v>0</v>
      </c>
      <c r="Q14" s="70">
        <v>0</v>
      </c>
      <c r="R14" s="198">
        <v>0</v>
      </c>
      <c r="S14" s="198">
        <f>SUMIF($D$6:$R$6,$X$2,D14:R14)</f>
        <v>269651.25</v>
      </c>
      <c r="T14" s="70">
        <f>SUM(D14:R14)</f>
        <v>561151.25</v>
      </c>
      <c r="U14" s="70">
        <v>590000</v>
      </c>
      <c r="V14" s="199">
        <f>IF(U14=0,0,SUMIF($D$6:$R$6,$X$2,D14:R14)/U14)</f>
        <v>0.45703601694915252</v>
      </c>
      <c r="W14" s="199">
        <f>IF(U14=0,0,T14/U14)</f>
        <v>0.95110381355932205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2">
        <f>SUM(D8:D15)</f>
        <v>324016.75</v>
      </c>
      <c r="E16" s="382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198000</v>
      </c>
      <c r="K16" s="91">
        <f t="shared" si="0"/>
        <v>159000</v>
      </c>
      <c r="L16" s="91">
        <f t="shared" si="0"/>
        <v>156000</v>
      </c>
      <c r="M16" s="91">
        <f t="shared" si="0"/>
        <v>188000</v>
      </c>
      <c r="N16" s="91">
        <f t="shared" si="0"/>
        <v>256000</v>
      </c>
      <c r="O16" s="91">
        <f t="shared" si="0"/>
        <v>168500</v>
      </c>
      <c r="P16" s="91">
        <v>-100000</v>
      </c>
      <c r="Q16" s="91">
        <v>-1400000</v>
      </c>
      <c r="R16" s="201">
        <f>SUM(R8:R15)</f>
        <v>0</v>
      </c>
      <c r="S16" s="201">
        <f t="shared" ref="S16:U16" si="1">SUM(S8:S15)</f>
        <v>2597796.94</v>
      </c>
      <c r="T16" s="91">
        <f t="shared" si="1"/>
        <v>2223296.94</v>
      </c>
      <c r="U16" s="91">
        <f t="shared" si="1"/>
        <v>2868462</v>
      </c>
      <c r="V16" s="202">
        <f>SUMIF($D$6:$R$6,$X$2,D16:R16)/U16</f>
        <v>0.90564105084885205</v>
      </c>
      <c r="W16" s="202">
        <f>T16/U16</f>
        <v>0.77508328156343009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147126</v>
      </c>
      <c r="K19" s="70">
        <v>147126</v>
      </c>
      <c r="L19" s="70">
        <v>147126</v>
      </c>
      <c r="M19" s="70">
        <v>147126</v>
      </c>
      <c r="N19" s="70">
        <v>220690</v>
      </c>
      <c r="O19" s="70">
        <v>147126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872747.10000000009</v>
      </c>
      <c r="T19" s="70">
        <f t="shared" ref="T19:T42" si="3">SUM(D19:R19)</f>
        <v>1901184.1</v>
      </c>
      <c r="U19" s="70">
        <v>1912643</v>
      </c>
      <c r="V19" s="199">
        <f>IF(U19=0,0,SUMIF($D$6:$R$6,$X$2,D19:R19)/U19)</f>
        <v>0.4563042345069101</v>
      </c>
      <c r="W19" s="199">
        <f>IF(U19=0,0,T19/U19)</f>
        <v>0.99400886626516294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0</v>
      </c>
      <c r="K20" s="198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198">
        <v>0</v>
      </c>
      <c r="R20" s="198">
        <v>0</v>
      </c>
      <c r="S20" s="198">
        <f t="shared" si="2"/>
        <v>4737.6000000000004</v>
      </c>
      <c r="T20" s="70">
        <f t="shared" si="3"/>
        <v>4737.6000000000004</v>
      </c>
      <c r="U20" s="198">
        <v>21000</v>
      </c>
      <c r="V20" s="199">
        <f t="shared" ref="V20:V42" si="4">IF(U20=0,0,SUMIF($D$6:$R$6,$X$2,D20:R20)/U20)</f>
        <v>0.22560000000000002</v>
      </c>
      <c r="W20" s="199">
        <f t="shared" ref="W20:W42" si="5">IF(U20=0,0,T20/U20)</f>
        <v>0.22560000000000002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385.68</v>
      </c>
      <c r="T21" s="70">
        <f t="shared" ref="T21" si="7">SUM(D21:R21)</f>
        <v>385.68</v>
      </c>
      <c r="U21" s="198">
        <v>20000</v>
      </c>
      <c r="V21" s="199">
        <f t="shared" ref="V21" si="8">IF(U21=0,0,SUMIF($D$6:$R$6,$X$2,D21:R21)/U21)</f>
        <v>1.9283999999999999E-2</v>
      </c>
      <c r="W21" s="199">
        <f t="shared" ref="W21" si="9">IF(U21=0,0,T21/U21)</f>
        <v>1.9283999999999999E-2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0</v>
      </c>
      <c r="L22" s="70">
        <v>0</v>
      </c>
      <c r="M22" s="70">
        <v>0</v>
      </c>
      <c r="N22" s="70">
        <v>6000</v>
      </c>
      <c r="O22" s="70">
        <v>0</v>
      </c>
      <c r="P22" s="70">
        <v>0</v>
      </c>
      <c r="Q22" s="198">
        <v>0</v>
      </c>
      <c r="R22" s="198">
        <v>0</v>
      </c>
      <c r="S22" s="198">
        <f t="shared" si="2"/>
        <v>716.03</v>
      </c>
      <c r="T22" s="70">
        <f t="shared" si="3"/>
        <v>6716.03</v>
      </c>
      <c r="U22" s="198">
        <v>10500</v>
      </c>
      <c r="V22" s="199">
        <f t="shared" si="4"/>
        <v>6.8193333333333328E-2</v>
      </c>
      <c r="W22" s="199">
        <f t="shared" si="5"/>
        <v>0.63962190476190472</v>
      </c>
      <c r="X22" s="206"/>
      <c r="Y22" s="317"/>
    </row>
    <row r="23" spans="1:28" s="14" customFormat="1" x14ac:dyDescent="0.2">
      <c r="A23" s="193" t="s">
        <v>235</v>
      </c>
      <c r="B23" s="193" t="s">
        <v>236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198">
        <v>0</v>
      </c>
      <c r="R25" s="198">
        <v>0</v>
      </c>
      <c r="S25" s="198">
        <f t="shared" si="2"/>
        <v>0</v>
      </c>
      <c r="T25" s="70">
        <f t="shared" si="3"/>
        <v>0</v>
      </c>
      <c r="U25" s="198">
        <v>3500</v>
      </c>
      <c r="V25" s="199">
        <f t="shared" si="4"/>
        <v>0</v>
      </c>
      <c r="W25" s="199">
        <f t="shared" si="5"/>
        <v>0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0</v>
      </c>
      <c r="K27" s="198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198">
        <v>0</v>
      </c>
      <c r="R27" s="198">
        <v>0</v>
      </c>
      <c r="S27" s="198">
        <f t="shared" si="2"/>
        <v>2484.5300000000002</v>
      </c>
      <c r="T27" s="70">
        <f t="shared" si="3"/>
        <v>2484.5300000000002</v>
      </c>
      <c r="U27" s="198">
        <v>12500</v>
      </c>
      <c r="V27" s="199">
        <f t="shared" si="4"/>
        <v>0.19876240000000001</v>
      </c>
      <c r="W27" s="199">
        <f t="shared" si="5"/>
        <v>0.19876240000000001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198">
        <v>0</v>
      </c>
      <c r="R28" s="198">
        <v>0</v>
      </c>
      <c r="S28" s="198">
        <f t="shared" si="2"/>
        <v>7155.81</v>
      </c>
      <c r="T28" s="70">
        <f t="shared" si="3"/>
        <v>7155.81</v>
      </c>
      <c r="U28" s="198">
        <v>20000.11</v>
      </c>
      <c r="V28" s="199">
        <f t="shared" si="4"/>
        <v>0.3577885321630731</v>
      </c>
      <c r="W28" s="199">
        <f t="shared" si="5"/>
        <v>0.3577885321630731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21000</v>
      </c>
      <c r="T29" s="70">
        <f t="shared" si="3"/>
        <v>63000</v>
      </c>
      <c r="U29" s="198">
        <v>71500</v>
      </c>
      <c r="V29" s="199">
        <f t="shared" si="4"/>
        <v>0.2937062937062937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238</v>
      </c>
      <c r="B30" s="193" t="s">
        <v>239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198">
        <v>0</v>
      </c>
      <c r="R30" s="198"/>
      <c r="S30" s="198">
        <f t="shared" ref="S30" si="18">SUMIF($D$6:$R$6,$X$2,D30:R30)</f>
        <v>870.46999999999991</v>
      </c>
      <c r="T30" s="70">
        <f t="shared" ref="T30" si="19">SUM(D30:R30)</f>
        <v>870.46999999999991</v>
      </c>
      <c r="U30" s="198">
        <v>4000.25</v>
      </c>
      <c r="V30" s="199">
        <f t="shared" ref="V30" si="20">IF(U30=0,0,SUMIF($D$6:$R$6,$X$2,D30:R30)/U30)</f>
        <v>0.21760389975626521</v>
      </c>
      <c r="W30" s="199">
        <f t="shared" ref="W30" si="21">IF(U30=0,0,T30/U30)</f>
        <v>0.21760389975626521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198">
        <v>0</v>
      </c>
      <c r="R31" s="198">
        <v>0</v>
      </c>
      <c r="S31" s="198">
        <f t="shared" si="2"/>
        <v>1699.48</v>
      </c>
      <c r="T31" s="70">
        <f t="shared" si="3"/>
        <v>1699.48</v>
      </c>
      <c r="U31" s="198">
        <v>5000</v>
      </c>
      <c r="V31" s="199">
        <f t="shared" si="4"/>
        <v>0.33989599999999998</v>
      </c>
      <c r="W31" s="199">
        <f t="shared" si="5"/>
        <v>0.33989599999999998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198">
        <v>0</v>
      </c>
      <c r="R32" s="198">
        <v>0</v>
      </c>
      <c r="S32" s="198">
        <f t="shared" si="2"/>
        <v>1721.6999999999998</v>
      </c>
      <c r="T32" s="70">
        <f t="shared" si="3"/>
        <v>1721.6999999999998</v>
      </c>
      <c r="U32" s="198">
        <v>6000</v>
      </c>
      <c r="V32" s="199">
        <f t="shared" si="4"/>
        <v>0.28694999999999998</v>
      </c>
      <c r="W32" s="199">
        <f t="shared" si="5"/>
        <v>0.28694999999999998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0</v>
      </c>
      <c r="K34" s="198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101.85</v>
      </c>
      <c r="T34" s="70">
        <f t="shared" si="3"/>
        <v>101.85</v>
      </c>
      <c r="U34" s="198">
        <v>1000</v>
      </c>
      <c r="V34" s="199">
        <f t="shared" si="4"/>
        <v>0.10185</v>
      </c>
      <c r="W34" s="199">
        <f t="shared" si="5"/>
        <v>0.10185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198">
        <v>0</v>
      </c>
      <c r="R35" s="198">
        <v>0</v>
      </c>
      <c r="S35" s="198">
        <f t="shared" si="2"/>
        <v>5238.99</v>
      </c>
      <c r="T35" s="70">
        <f t="shared" si="3"/>
        <v>5238.99</v>
      </c>
      <c r="U35" s="70">
        <v>8000</v>
      </c>
      <c r="V35" s="199">
        <f t="shared" si="4"/>
        <v>0.65487374999999992</v>
      </c>
      <c r="W35" s="199">
        <f t="shared" si="5"/>
        <v>0.65487374999999992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198">
        <v>0</v>
      </c>
      <c r="R36" s="198">
        <v>0</v>
      </c>
      <c r="S36" s="198">
        <f t="shared" si="2"/>
        <v>194254.63</v>
      </c>
      <c r="T36" s="70">
        <f t="shared" si="3"/>
        <v>194254.63</v>
      </c>
      <c r="U36" s="70">
        <v>210000</v>
      </c>
      <c r="V36" s="199">
        <f t="shared" si="4"/>
        <v>0.9250220476190476</v>
      </c>
      <c r="W36" s="199">
        <f t="shared" si="5"/>
        <v>0.9250220476190476</v>
      </c>
      <c r="X36" s="206"/>
      <c r="Y36" s="317"/>
    </row>
    <row r="37" spans="1:28" s="14" customFormat="1" x14ac:dyDescent="0.2">
      <c r="A37" s="57" t="s">
        <v>144</v>
      </c>
      <c r="B37" s="57" t="s">
        <v>145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198">
        <v>0</v>
      </c>
      <c r="R38" s="198">
        <v>0</v>
      </c>
      <c r="S38" s="198">
        <f t="shared" si="2"/>
        <v>0</v>
      </c>
      <c r="T38" s="70">
        <f t="shared" si="3"/>
        <v>0</v>
      </c>
      <c r="U38" s="70">
        <v>54000</v>
      </c>
      <c r="V38" s="199">
        <f t="shared" si="4"/>
        <v>0</v>
      </c>
      <c r="W38" s="199">
        <f t="shared" si="5"/>
        <v>0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0</v>
      </c>
      <c r="K39" s="70">
        <v>0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198">
        <v>0</v>
      </c>
      <c r="R39" s="198">
        <v>0</v>
      </c>
      <c r="S39" s="198">
        <f t="shared" si="2"/>
        <v>37822.509999999995</v>
      </c>
      <c r="T39" s="70">
        <f t="shared" si="3"/>
        <v>37822.509999999995</v>
      </c>
      <c r="U39" s="70">
        <v>320000</v>
      </c>
      <c r="V39" s="199">
        <f t="shared" si="4"/>
        <v>0.11819534374999999</v>
      </c>
      <c r="W39" s="199">
        <f t="shared" si="5"/>
        <v>0.11819534374999999</v>
      </c>
      <c r="X39" s="206"/>
      <c r="Y39" s="317"/>
    </row>
    <row r="40" spans="1:28" s="14" customFormat="1" x14ac:dyDescent="0.2">
      <c r="A40" s="193" t="s">
        <v>40</v>
      </c>
      <c r="B40" s="193" t="s">
        <v>147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146</v>
      </c>
      <c r="B41" s="320" t="s">
        <v>148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149</v>
      </c>
      <c r="B43" s="137" t="s">
        <v>150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0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295.88</v>
      </c>
      <c r="T43" s="70">
        <f t="shared" ref="T43:T46" si="31">SUM(D43:R43)</f>
        <v>295.88</v>
      </c>
      <c r="U43" s="198">
        <v>32268</v>
      </c>
      <c r="V43" s="199">
        <f t="shared" ref="V43:V46" si="32">IF(U43=0,0,SUMIF($D$6:$R$6,$X$2,D43:R43)/U43)</f>
        <v>9.1694558076112556E-3</v>
      </c>
      <c r="W43" s="199">
        <f t="shared" ref="W43:W46" si="33">IF(U43=0,0,T43/U43)</f>
        <v>9.1694558076112556E-3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198">
        <v>0</v>
      </c>
      <c r="R44" s="198">
        <v>0</v>
      </c>
      <c r="S44" s="198">
        <f t="shared" si="30"/>
        <v>14279.84</v>
      </c>
      <c r="T44" s="70">
        <f t="shared" si="31"/>
        <v>14279.84</v>
      </c>
      <c r="U44" s="198">
        <v>42000</v>
      </c>
      <c r="V44" s="199">
        <f t="shared" si="32"/>
        <v>0.33999619047619051</v>
      </c>
      <c r="W44" s="199">
        <f t="shared" si="33"/>
        <v>0.33999619047619051</v>
      </c>
      <c r="X44" s="206"/>
      <c r="Y44" s="317"/>
    </row>
    <row r="45" spans="1:28" s="14" customFormat="1" x14ac:dyDescent="0.2">
      <c r="A45" s="320" t="s">
        <v>188</v>
      </c>
      <c r="B45" s="320" t="s">
        <v>189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0</v>
      </c>
      <c r="T46" s="70">
        <f t="shared" si="31"/>
        <v>0</v>
      </c>
      <c r="U46" s="198">
        <v>5000</v>
      </c>
      <c r="V46" s="199">
        <f t="shared" si="32"/>
        <v>0</v>
      </c>
      <c r="W46" s="199">
        <f t="shared" si="33"/>
        <v>0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157626</v>
      </c>
      <c r="K48" s="201">
        <f t="shared" si="38"/>
        <v>152376</v>
      </c>
      <c r="L48" s="201">
        <f t="shared" si="38"/>
        <v>152376</v>
      </c>
      <c r="M48" s="201">
        <f t="shared" si="38"/>
        <v>152376</v>
      </c>
      <c r="N48" s="201">
        <f t="shared" si="38"/>
        <v>231940</v>
      </c>
      <c r="O48" s="201">
        <f t="shared" si="38"/>
        <v>152376</v>
      </c>
      <c r="P48" s="201">
        <f t="shared" si="38"/>
        <v>77367</v>
      </c>
      <c r="Q48" s="201">
        <f t="shared" si="38"/>
        <v>0</v>
      </c>
      <c r="R48" s="201">
        <f t="shared" si="38"/>
        <v>0</v>
      </c>
      <c r="S48" s="201">
        <f t="shared" si="38"/>
        <v>1165512.1000000001</v>
      </c>
      <c r="T48" s="91">
        <f t="shared" si="38"/>
        <v>2241949.0999999996</v>
      </c>
      <c r="U48" s="201">
        <f t="shared" si="38"/>
        <v>2785111.0300000003</v>
      </c>
      <c r="V48" s="202">
        <f>SUMIF($D$6:$R$6,$X$2,D48:R48)/U48</f>
        <v>0.41847958212279968</v>
      </c>
      <c r="W48" s="202">
        <f>T48/U48</f>
        <v>0.80497656138326357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4">
        <f t="shared" ref="D51:U51" si="39">D16-D48</f>
        <v>233835.78999999998</v>
      </c>
      <c r="E51" s="384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40374</v>
      </c>
      <c r="K51" s="201">
        <f t="shared" si="39"/>
        <v>6624</v>
      </c>
      <c r="L51" s="201">
        <f t="shared" si="39"/>
        <v>3624</v>
      </c>
      <c r="M51" s="201">
        <f t="shared" si="39"/>
        <v>35624</v>
      </c>
      <c r="N51" s="201">
        <f t="shared" si="39"/>
        <v>24060</v>
      </c>
      <c r="O51" s="201">
        <f t="shared" si="39"/>
        <v>16124</v>
      </c>
      <c r="P51" s="201">
        <f t="shared" si="39"/>
        <v>-177367</v>
      </c>
      <c r="Q51" s="201">
        <f t="shared" si="39"/>
        <v>-1400000</v>
      </c>
      <c r="R51" s="201">
        <f t="shared" si="39"/>
        <v>0</v>
      </c>
      <c r="S51" s="201">
        <f t="shared" si="39"/>
        <v>1432284.8399999999</v>
      </c>
      <c r="T51" s="91">
        <f t="shared" si="39"/>
        <v>-18652.159999999683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317</v>
      </c>
      <c r="B52" s="200"/>
      <c r="C52" s="200"/>
      <c r="D52" s="384"/>
      <c r="E52" s="384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5">
        <f>D16-D48</f>
        <v>233835.78999999998</v>
      </c>
      <c r="E53" s="385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1472658.8399999999</v>
      </c>
      <c r="K53" s="210">
        <f t="shared" si="40"/>
        <v>1479282.8399999999</v>
      </c>
      <c r="L53" s="210">
        <f t="shared" si="40"/>
        <v>1482906.8399999999</v>
      </c>
      <c r="M53" s="210">
        <f t="shared" si="40"/>
        <v>1518530.8399999999</v>
      </c>
      <c r="N53" s="210">
        <f t="shared" si="40"/>
        <v>1542590.8399999999</v>
      </c>
      <c r="O53" s="210">
        <f t="shared" si="40"/>
        <v>1558714.8399999999</v>
      </c>
      <c r="P53" s="210">
        <f t="shared" si="40"/>
        <v>1381347.8399999999</v>
      </c>
      <c r="Q53" s="210">
        <f t="shared" si="40"/>
        <v>-18652.160000000149</v>
      </c>
      <c r="R53" s="210">
        <f t="shared" si="40"/>
        <v>-18652.160000000149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3" t="s">
        <v>307</v>
      </c>
      <c r="W55" s="350" t="s">
        <v>308</v>
      </c>
      <c r="X55" s="184"/>
      <c r="Y55" s="106"/>
      <c r="Z55" s="107"/>
      <c r="AA55" s="14"/>
      <c r="AB55" s="14"/>
    </row>
    <row r="56" spans="1:28" ht="18" x14ac:dyDescent="0.25">
      <c r="A56" s="298" t="s">
        <v>243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167</v>
      </c>
      <c r="N56" s="340"/>
      <c r="O56" s="166"/>
      <c r="P56" s="341" t="s">
        <v>268</v>
      </c>
      <c r="Q56" s="175" t="s">
        <v>129</v>
      </c>
      <c r="R56" s="342"/>
      <c r="S56" s="343"/>
      <c r="T56" s="78" t="s">
        <v>316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288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264</v>
      </c>
      <c r="M57" s="163" t="s">
        <v>309</v>
      </c>
      <c r="N57" s="238"/>
      <c r="O57" s="170"/>
      <c r="P57" s="341" t="s">
        <v>270</v>
      </c>
      <c r="Q57" s="176" t="s">
        <v>129</v>
      </c>
      <c r="R57" s="342"/>
      <c r="S57" s="343"/>
      <c r="T57" s="174" t="s">
        <v>154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265</v>
      </c>
      <c r="M58" s="163" t="s">
        <v>241</v>
      </c>
      <c r="N58" s="239"/>
      <c r="O58" s="170"/>
      <c r="P58" s="341" t="s">
        <v>266</v>
      </c>
      <c r="Q58" s="176" t="s">
        <v>129</v>
      </c>
      <c r="R58" s="342"/>
      <c r="S58" s="343"/>
      <c r="T58" s="163" t="s">
        <v>155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260</v>
      </c>
      <c r="M59" s="78" t="s">
        <v>331</v>
      </c>
      <c r="N59" s="367"/>
      <c r="O59" s="174"/>
      <c r="P59" s="341" t="s">
        <v>269</v>
      </c>
      <c r="Q59" s="176" t="s">
        <v>129</v>
      </c>
      <c r="R59" s="342"/>
      <c r="S59" s="343"/>
      <c r="T59" s="163" t="s">
        <v>291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366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263</v>
      </c>
      <c r="M60" s="78" t="s">
        <v>322</v>
      </c>
      <c r="N60" s="367"/>
      <c r="O60" s="174"/>
      <c r="P60" s="345" t="s">
        <v>267</v>
      </c>
      <c r="Q60" s="176" t="s">
        <v>157</v>
      </c>
      <c r="R60" s="342"/>
      <c r="S60" s="343"/>
      <c r="T60" s="174" t="s">
        <v>156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286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261</v>
      </c>
      <c r="M61" s="78" t="s">
        <v>166</v>
      </c>
      <c r="N61" s="367"/>
      <c r="O61" s="174"/>
      <c r="P61" s="346" t="s">
        <v>271</v>
      </c>
      <c r="Q61" s="176" t="s">
        <v>237</v>
      </c>
      <c r="R61" s="342"/>
      <c r="S61" s="343"/>
      <c r="T61" s="174" t="s">
        <v>245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348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259</v>
      </c>
      <c r="M62" s="78" t="s">
        <v>296</v>
      </c>
      <c r="N62" s="367"/>
      <c r="O62" s="217"/>
      <c r="P62" s="346" t="s">
        <v>318</v>
      </c>
      <c r="Q62" s="176" t="s">
        <v>305</v>
      </c>
      <c r="R62" s="342"/>
      <c r="S62" s="343"/>
      <c r="T62" s="369" t="s">
        <v>330</v>
      </c>
      <c r="U62" s="370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328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262</v>
      </c>
      <c r="M63" s="78" t="s">
        <v>258</v>
      </c>
      <c r="N63" s="368"/>
      <c r="O63" s="181"/>
      <c r="P63" s="331" t="s">
        <v>273</v>
      </c>
      <c r="Q63" s="175" t="s">
        <v>158</v>
      </c>
      <c r="R63" s="342"/>
      <c r="S63" s="343"/>
      <c r="T63" s="163" t="s">
        <v>315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342</v>
      </c>
      <c r="C64" s="77"/>
      <c r="D64" s="34"/>
      <c r="E64" s="34"/>
      <c r="F64" s="34"/>
      <c r="G64" s="34"/>
      <c r="H64" s="34"/>
      <c r="I64" s="34"/>
      <c r="J64" s="34"/>
      <c r="K64" s="323"/>
      <c r="L64" s="331" t="s">
        <v>294</v>
      </c>
      <c r="M64" s="78" t="s">
        <v>309</v>
      </c>
      <c r="N64" s="368"/>
      <c r="O64" s="181"/>
      <c r="P64" s="331" t="s">
        <v>274</v>
      </c>
      <c r="Q64" s="175" t="s">
        <v>158</v>
      </c>
      <c r="R64" s="342"/>
      <c r="S64" s="343"/>
      <c r="T64" s="163" t="s">
        <v>346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218</v>
      </c>
      <c r="C65" s="34"/>
      <c r="D65" s="77"/>
      <c r="E65" s="77"/>
      <c r="F65" s="77"/>
      <c r="G65" s="77"/>
      <c r="H65" s="77"/>
      <c r="I65" s="77"/>
      <c r="J65" s="77"/>
      <c r="K65" s="34"/>
      <c r="L65" s="331" t="s">
        <v>295</v>
      </c>
      <c r="M65" s="78" t="s">
        <v>248</v>
      </c>
      <c r="N65" s="368"/>
      <c r="O65" s="164"/>
      <c r="P65" s="331" t="s">
        <v>275</v>
      </c>
      <c r="Q65" s="175" t="s">
        <v>158</v>
      </c>
      <c r="R65" s="342"/>
      <c r="S65" s="343"/>
      <c r="T65" s="163" t="s">
        <v>345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293</v>
      </c>
      <c r="C66" s="34"/>
      <c r="D66" s="34"/>
      <c r="E66" s="34"/>
      <c r="F66" s="34"/>
      <c r="G66" s="34"/>
      <c r="H66" s="34"/>
      <c r="I66" s="34"/>
      <c r="J66" s="34"/>
      <c r="K66" s="323"/>
      <c r="L66" s="331" t="s">
        <v>326</v>
      </c>
      <c r="M66" s="78" t="s">
        <v>240</v>
      </c>
      <c r="N66" s="367"/>
      <c r="O66" s="164"/>
      <c r="P66" s="331" t="s">
        <v>276</v>
      </c>
      <c r="Q66" s="175" t="s">
        <v>158</v>
      </c>
      <c r="R66" s="342"/>
      <c r="S66" s="343"/>
      <c r="T66" s="163" t="s">
        <v>160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358</v>
      </c>
      <c r="C67" s="34"/>
      <c r="D67" s="34"/>
      <c r="E67" s="34"/>
      <c r="F67" s="34"/>
      <c r="G67" s="34"/>
      <c r="H67" s="34"/>
      <c r="I67" s="34"/>
      <c r="J67" s="34"/>
      <c r="K67" s="323"/>
      <c r="L67" s="331" t="s">
        <v>282</v>
      </c>
      <c r="M67" s="78" t="s">
        <v>321</v>
      </c>
      <c r="N67" s="368"/>
      <c r="O67" s="164"/>
      <c r="P67" s="331" t="s">
        <v>272</v>
      </c>
      <c r="Q67" s="175" t="s">
        <v>254</v>
      </c>
      <c r="R67" s="342"/>
      <c r="S67" s="343"/>
      <c r="T67" s="174" t="s">
        <v>159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2" t="s">
        <v>347</v>
      </c>
      <c r="C68" s="34"/>
      <c r="D68" s="34"/>
      <c r="E68" s="34"/>
      <c r="F68" s="34"/>
      <c r="G68" s="34"/>
      <c r="H68" s="34"/>
      <c r="I68" s="34"/>
      <c r="J68" s="34"/>
      <c r="K68" s="34"/>
      <c r="L68" s="331" t="s">
        <v>283</v>
      </c>
      <c r="M68" s="78" t="s">
        <v>325</v>
      </c>
      <c r="N68" s="368"/>
      <c r="O68" s="164"/>
      <c r="P68" s="331" t="s">
        <v>277</v>
      </c>
      <c r="Q68" s="175" t="s">
        <v>163</v>
      </c>
      <c r="R68" s="342"/>
      <c r="S68" s="343"/>
      <c r="T68" s="163" t="s">
        <v>162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.75" x14ac:dyDescent="0.3">
      <c r="A69" s="171">
        <v>434</v>
      </c>
      <c r="B69" s="77" t="s">
        <v>297</v>
      </c>
      <c r="C69" s="34"/>
      <c r="D69" s="34"/>
      <c r="E69" s="34"/>
      <c r="F69" s="34"/>
      <c r="G69" s="34"/>
      <c r="H69" s="34"/>
      <c r="I69" s="34"/>
      <c r="J69" s="34"/>
      <c r="K69" s="323"/>
      <c r="L69" s="336"/>
      <c r="M69" s="351" t="s">
        <v>284</v>
      </c>
      <c r="N69" s="240"/>
      <c r="O69" s="164"/>
      <c r="P69" s="331" t="s">
        <v>278</v>
      </c>
      <c r="Q69" s="175" t="s">
        <v>164</v>
      </c>
      <c r="R69" s="342"/>
      <c r="S69" s="343"/>
      <c r="T69" s="174" t="s">
        <v>310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502</v>
      </c>
      <c r="B70" s="77" t="s">
        <v>343</v>
      </c>
      <c r="C70" s="34"/>
      <c r="D70" s="34"/>
      <c r="E70" s="34"/>
      <c r="F70" s="34"/>
      <c r="G70" s="34"/>
      <c r="H70" s="34"/>
      <c r="I70" s="34"/>
      <c r="J70" s="34"/>
      <c r="K70" s="34"/>
      <c r="L70" s="352"/>
      <c r="M70" s="353" t="s">
        <v>302</v>
      </c>
      <c r="N70" s="354">
        <f>COUNTA(M57:M69)</f>
        <v>13</v>
      </c>
      <c r="O70" s="164"/>
      <c r="P70" s="336" t="s">
        <v>279</v>
      </c>
      <c r="Q70" s="362" t="s">
        <v>165</v>
      </c>
      <c r="R70" s="356"/>
      <c r="S70" s="357"/>
      <c r="T70" s="359" t="s">
        <v>257</v>
      </c>
      <c r="U70" s="357"/>
      <c r="V70" s="362">
        <v>1</v>
      </c>
      <c r="W70" s="364">
        <v>1</v>
      </c>
      <c r="X70" s="184"/>
      <c r="Y70" s="14"/>
      <c r="Z70" s="14"/>
      <c r="AA70" s="14"/>
      <c r="AB70" s="14"/>
    </row>
    <row r="71" spans="1:28" ht="18" x14ac:dyDescent="0.25">
      <c r="A71" s="171">
        <v>503</v>
      </c>
      <c r="B71" s="77" t="s">
        <v>344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8"/>
      <c r="R71" s="358"/>
      <c r="S71" s="359"/>
      <c r="T71" s="359"/>
      <c r="U71" s="360" t="s">
        <v>306</v>
      </c>
      <c r="V71" s="361">
        <f>SUM(V56:V70)</f>
        <v>15</v>
      </c>
      <c r="W71" s="365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510</v>
      </c>
      <c r="B72" s="77" t="s">
        <v>360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602</v>
      </c>
      <c r="B73" s="168" t="s">
        <v>219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228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313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319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311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303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1">
        <v>414</v>
      </c>
      <c r="B86" s="78" t="s">
        <v>327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1"/>
      <c r="B87" s="78" t="s">
        <v>329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2" t="s">
        <v>304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287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320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314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324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323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312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151</v>
      </c>
      <c r="C1" s="47" t="s">
        <v>152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153</v>
      </c>
      <c r="C2" s="47"/>
      <c r="D2" s="48"/>
      <c r="E2" s="48"/>
      <c r="F2" s="48"/>
      <c r="G2" s="48"/>
      <c r="H2" s="48"/>
      <c r="I2" s="48"/>
      <c r="J2" s="133" t="s">
        <v>230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152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243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244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136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299</v>
      </c>
      <c r="C4" s="49" t="s">
        <v>137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256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190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0</v>
      </c>
      <c r="K12" s="9">
        <f>IF(K$6="Actual",'9397 BOEE'!K12,0)</f>
        <v>0</v>
      </c>
      <c r="L12" s="9">
        <f>IF(L$6="Actual",'9397 BOEE'!L12,0)</f>
        <v>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823895.25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191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0</v>
      </c>
      <c r="K14" s="9">
        <f>IF(K$6="Actual",'9397 BOEE'!K14,0)</f>
        <v>0</v>
      </c>
      <c r="L14" s="9">
        <f>IF(L$6="Actual",'9397 BOEE'!L14,0)</f>
        <v>0</v>
      </c>
      <c r="M14" s="9">
        <f>IF(M$6="Actual",'9397 BOEE'!M14,0)</f>
        <v>0</v>
      </c>
      <c r="N14" s="9">
        <f>IF(N$6="Actual",'9397 BOEE'!N14,0)</f>
        <v>0</v>
      </c>
      <c r="O14" s="9">
        <f>IF(O$6="Actual",'9397 BOEE'!O14,0)</f>
        <v>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269651.25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0</v>
      </c>
      <c r="K16" s="201">
        <f t="shared" si="2"/>
        <v>0</v>
      </c>
      <c r="L16" s="201">
        <f t="shared" si="2"/>
        <v>0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1093645.25</v>
      </c>
    </row>
    <row r="17" spans="1:21" x14ac:dyDescent="0.2">
      <c r="A17" s="14"/>
      <c r="B17" s="14"/>
      <c r="C17" s="14"/>
    </row>
    <row r="18" spans="1:21" ht="15" x14ac:dyDescent="0.2">
      <c r="A18" s="37" t="s">
        <v>221</v>
      </c>
      <c r="B18" s="37" t="s">
        <v>222</v>
      </c>
      <c r="D18" s="379"/>
      <c r="E18" s="379">
        <v>21.25</v>
      </c>
      <c r="F18" s="379"/>
      <c r="G18" s="379"/>
      <c r="H18" s="379"/>
      <c r="I18" s="379"/>
      <c r="J18" s="379"/>
      <c r="K18" s="379">
        <v>0</v>
      </c>
      <c r="L18" s="379"/>
      <c r="M18" s="379"/>
      <c r="N18" s="379"/>
      <c r="O18" s="379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223</v>
      </c>
      <c r="B19" s="37" t="s">
        <v>369</v>
      </c>
      <c r="D19" s="386">
        <v>55051.25</v>
      </c>
      <c r="E19" s="386">
        <v>64820</v>
      </c>
      <c r="F19" s="386">
        <v>37046.25</v>
      </c>
      <c r="G19" s="386">
        <v>39422.5</v>
      </c>
      <c r="H19" s="386">
        <v>30771.25</v>
      </c>
      <c r="I19" s="386">
        <v>32431.25</v>
      </c>
      <c r="J19" s="386">
        <v>0</v>
      </c>
      <c r="K19" s="386">
        <v>0</v>
      </c>
      <c r="L19" s="386">
        <v>0</v>
      </c>
      <c r="M19" s="386">
        <v>0</v>
      </c>
      <c r="N19" s="386">
        <v>0</v>
      </c>
      <c r="O19" s="386">
        <v>0</v>
      </c>
      <c r="P19" s="293"/>
      <c r="Q19" s="293"/>
      <c r="R19" s="293"/>
      <c r="S19" s="294">
        <f t="shared" si="3"/>
        <v>259542.5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224</v>
      </c>
      <c r="B21" s="295"/>
      <c r="C21" s="295"/>
      <c r="D21" s="378">
        <f>SUM(D18:D20)</f>
        <v>55051.25</v>
      </c>
      <c r="E21" s="378">
        <f t="shared" ref="E21:S21" si="4">SUM(E18:E20)</f>
        <v>64841.25</v>
      </c>
      <c r="F21" s="378">
        <f t="shared" si="4"/>
        <v>37046.25</v>
      </c>
      <c r="G21" s="378">
        <f t="shared" si="4"/>
        <v>39422.5</v>
      </c>
      <c r="H21" s="378">
        <f t="shared" si="4"/>
        <v>30771.25</v>
      </c>
      <c r="I21" s="378">
        <f t="shared" si="4"/>
        <v>32431.25</v>
      </c>
      <c r="J21" s="378">
        <f t="shared" si="4"/>
        <v>0</v>
      </c>
      <c r="K21" s="378">
        <f t="shared" si="4"/>
        <v>0</v>
      </c>
      <c r="L21" s="378">
        <f t="shared" si="4"/>
        <v>0</v>
      </c>
      <c r="M21" s="378">
        <f t="shared" si="4"/>
        <v>0</v>
      </c>
      <c r="N21" s="378">
        <f t="shared" si="4"/>
        <v>0</v>
      </c>
      <c r="O21" s="378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259563.75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225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0</v>
      </c>
      <c r="K23" s="297">
        <f t="shared" si="5"/>
        <v>0</v>
      </c>
      <c r="L23" s="297">
        <f t="shared" si="5"/>
        <v>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1353209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280</v>
      </c>
      <c r="C25" s="37"/>
      <c r="D25" s="355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 t="str">
        <f>IF(J6="Actual",SUM($D23:J23)/SUM($D50:J50)-1,"")</f>
        <v/>
      </c>
      <c r="K25" s="355" t="str">
        <f>IF(K6="Actual",SUM($D23:K23)/SUM($D50:K50)-1,"")</f>
        <v/>
      </c>
      <c r="L25" s="334" t="str">
        <f>IF(L6="Actual",SUM($D23:L23)/SUM($D50:L50)-1,"")</f>
        <v/>
      </c>
      <c r="M25" s="355" t="str">
        <f>IF(M6="Actual",SUM($D23:M23)/SUM($D50:M50)-1,"")</f>
        <v/>
      </c>
      <c r="N25" s="334" t="str">
        <f>IF(N6="Actual",SUM($D23:N23)/SUM($D50:N50)-1,"")</f>
        <v/>
      </c>
      <c r="O25" s="355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226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227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339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4"/>
      <c r="U32" s="375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190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191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6">
        <f>SUM(D37:D42)</f>
        <v>209997.5</v>
      </c>
      <c r="E43" s="376">
        <f t="shared" ref="E43:S43" si="7">SUM(E37:E42)</f>
        <v>256289.54</v>
      </c>
      <c r="F43" s="376">
        <f t="shared" si="7"/>
        <v>194831.91999999998</v>
      </c>
      <c r="G43" s="376">
        <f t="shared" si="7"/>
        <v>165304</v>
      </c>
      <c r="H43" s="376">
        <f t="shared" si="7"/>
        <v>143907.25</v>
      </c>
      <c r="I43" s="376">
        <f t="shared" si="7"/>
        <v>147163.25</v>
      </c>
      <c r="J43" s="376">
        <f t="shared" si="7"/>
        <v>198581</v>
      </c>
      <c r="K43" s="376">
        <f t="shared" si="7"/>
        <v>160173.25</v>
      </c>
      <c r="L43" s="376">
        <f t="shared" si="7"/>
        <v>156081.75</v>
      </c>
      <c r="M43" s="376">
        <f t="shared" si="7"/>
        <v>187684</v>
      </c>
      <c r="N43" s="376">
        <f t="shared" si="7"/>
        <v>255340.31</v>
      </c>
      <c r="O43" s="376">
        <f t="shared" si="7"/>
        <v>228330.25</v>
      </c>
      <c r="P43" s="376">
        <f t="shared" si="7"/>
        <v>38.139999999993016</v>
      </c>
      <c r="Q43" s="376">
        <f t="shared" si="7"/>
        <v>0</v>
      </c>
      <c r="R43" s="376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221</v>
      </c>
      <c r="B45" t="s">
        <v>222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223</v>
      </c>
      <c r="B46" t="s">
        <v>190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7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224</v>
      </c>
      <c r="B48" s="295"/>
      <c r="C48" s="295"/>
      <c r="D48" s="378">
        <f>SUM(D45:D47)</f>
        <v>48807.5</v>
      </c>
      <c r="E48" s="378">
        <f t="shared" ref="E48:R48" si="9">SUM(E45:E47)</f>
        <v>62606.25</v>
      </c>
      <c r="F48" s="378">
        <f t="shared" si="9"/>
        <v>44609.46</v>
      </c>
      <c r="G48" s="378">
        <f t="shared" si="9"/>
        <v>38545</v>
      </c>
      <c r="H48" s="378">
        <f t="shared" si="9"/>
        <v>32553.75</v>
      </c>
      <c r="I48" s="378">
        <f t="shared" si="9"/>
        <v>33685.75</v>
      </c>
      <c r="J48" s="378">
        <f t="shared" si="9"/>
        <v>45171.25</v>
      </c>
      <c r="K48" s="378">
        <f t="shared" si="9"/>
        <v>37675</v>
      </c>
      <c r="L48" s="378">
        <f t="shared" si="9"/>
        <v>35996.252999999997</v>
      </c>
      <c r="M48" s="378">
        <f t="shared" si="9"/>
        <v>43542.5</v>
      </c>
      <c r="N48" s="378">
        <f t="shared" si="9"/>
        <v>63243.69</v>
      </c>
      <c r="O48" s="378">
        <f t="shared" si="9"/>
        <v>56128.75</v>
      </c>
      <c r="P48" s="378">
        <f t="shared" si="9"/>
        <v>9.11</v>
      </c>
      <c r="Q48" s="378">
        <f t="shared" si="9"/>
        <v>0</v>
      </c>
      <c r="R48" s="378">
        <f t="shared" si="9"/>
        <v>0</v>
      </c>
      <c r="S48" s="378">
        <f t="shared" ref="S48" si="10">SUM(S45:S47)</f>
        <v>542574.26299999992</v>
      </c>
    </row>
    <row r="49" spans="1:19" ht="15" x14ac:dyDescent="0.2">
      <c r="A49" s="37"/>
      <c r="B49" s="37"/>
      <c r="C49" s="37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4"/>
    </row>
    <row r="50" spans="1:19" ht="16.5" thickBot="1" x14ac:dyDescent="0.3">
      <c r="A50" s="295" t="s">
        <v>225</v>
      </c>
      <c r="B50" s="37"/>
      <c r="C50" s="37"/>
      <c r="D50" s="380">
        <f>D43+D48</f>
        <v>258805</v>
      </c>
      <c r="E50" s="380">
        <f t="shared" ref="E50:S50" si="11">E43+E48</f>
        <v>318895.79000000004</v>
      </c>
      <c r="F50" s="380">
        <f t="shared" si="11"/>
        <v>239441.37999999998</v>
      </c>
      <c r="G50" s="380">
        <f t="shared" si="11"/>
        <v>203849</v>
      </c>
      <c r="H50" s="380">
        <f t="shared" si="11"/>
        <v>176461</v>
      </c>
      <c r="I50" s="380">
        <f t="shared" si="11"/>
        <v>180849</v>
      </c>
      <c r="J50" s="380">
        <f t="shared" si="11"/>
        <v>243752.25</v>
      </c>
      <c r="K50" s="380">
        <f t="shared" si="11"/>
        <v>197848.25</v>
      </c>
      <c r="L50" s="380">
        <f t="shared" si="11"/>
        <v>192078.003</v>
      </c>
      <c r="M50" s="380">
        <f t="shared" si="11"/>
        <v>231226.5</v>
      </c>
      <c r="N50" s="380">
        <f t="shared" si="11"/>
        <v>318584</v>
      </c>
      <c r="O50" s="380">
        <f t="shared" si="11"/>
        <v>284459</v>
      </c>
      <c r="P50" s="380">
        <f t="shared" si="11"/>
        <v>47.249999999993015</v>
      </c>
      <c r="Q50" s="380">
        <f t="shared" si="11"/>
        <v>0</v>
      </c>
      <c r="R50" s="380">
        <f t="shared" si="11"/>
        <v>0</v>
      </c>
      <c r="S50" s="381">
        <f t="shared" si="11"/>
        <v>2846296.423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B1" sqref="B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217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338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246</v>
      </c>
      <c r="D4" s="289" t="s">
        <v>194</v>
      </c>
      <c r="E4" s="290" t="s">
        <v>247</v>
      </c>
      <c r="F4" s="290"/>
      <c r="G4" s="289" t="s">
        <v>337</v>
      </c>
      <c r="H4" s="289" t="s">
        <v>200</v>
      </c>
      <c r="I4" s="291" t="s">
        <v>201</v>
      </c>
      <c r="K4" s="275"/>
      <c r="L4" s="275"/>
      <c r="M4" s="276" t="s">
        <v>202</v>
      </c>
    </row>
    <row r="5" spans="1:13" x14ac:dyDescent="0.2">
      <c r="A5" s="269" t="s">
        <v>195</v>
      </c>
      <c r="G5" s="272"/>
      <c r="I5" s="274"/>
      <c r="K5" s="279" t="s">
        <v>203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196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204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205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206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823895.25</v>
      </c>
      <c r="D9" s="9"/>
      <c r="E9" s="271">
        <f t="shared" si="1"/>
        <v>823895.25</v>
      </c>
      <c r="F9" s="271"/>
      <c r="G9" s="273">
        <f>'9397 BOEE'!U12</f>
        <v>1800000</v>
      </c>
      <c r="H9" s="9"/>
      <c r="I9" s="274"/>
      <c r="K9" s="279" t="s">
        <v>207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269651.25</v>
      </c>
      <c r="D10" s="9"/>
      <c r="E10" s="271">
        <f t="shared" si="1"/>
        <v>269651.25</v>
      </c>
      <c r="F10" s="271"/>
      <c r="G10" s="273">
        <f>'9397 BOEE'!U14</f>
        <v>590000</v>
      </c>
      <c r="H10" s="9"/>
      <c r="I10" s="274"/>
      <c r="K10" s="279" t="s">
        <v>208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197</v>
      </c>
      <c r="C11" s="281">
        <f t="shared" ref="C11:E11" si="2">SUM(C6:C10)</f>
        <v>2597796.94</v>
      </c>
      <c r="D11" s="281">
        <f t="shared" ref="D11" si="3">SUM(D6:D10)</f>
        <v>0</v>
      </c>
      <c r="E11" s="281">
        <f t="shared" si="2"/>
        <v>2597796.94</v>
      </c>
      <c r="F11" s="281"/>
      <c r="G11" s="282">
        <f>SUM(G6:G10)</f>
        <v>3950181</v>
      </c>
      <c r="H11" s="281"/>
      <c r="I11" s="274"/>
      <c r="K11" s="279" t="s">
        <v>209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198</v>
      </c>
      <c r="C12" s="283">
        <f>SUM(C8:C10)</f>
        <v>1093645.25</v>
      </c>
      <c r="D12" s="283">
        <f>SUM(D8:D10)</f>
        <v>0</v>
      </c>
      <c r="E12" s="283">
        <f>SUM(E8:E10)</f>
        <v>1093645.25</v>
      </c>
      <c r="F12" s="283"/>
      <c r="G12" s="284">
        <f>SUM(G8:G10)</f>
        <v>2396000</v>
      </c>
      <c r="H12" s="285">
        <f>G12-E12</f>
        <v>1302354.75</v>
      </c>
      <c r="I12" s="274">
        <f>IF(G12=0,0,E12/G12)</f>
        <v>0.45644626460767945</v>
      </c>
      <c r="K12" s="279" t="s">
        <v>210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211</v>
      </c>
      <c r="L13" s="277">
        <v>9</v>
      </c>
      <c r="M13" s="278">
        <f t="shared" si="0"/>
        <v>0.75</v>
      </c>
    </row>
    <row r="14" spans="1:13" x14ac:dyDescent="0.2">
      <c r="A14" s="269" t="s">
        <v>192</v>
      </c>
      <c r="C14" s="9"/>
      <c r="D14" s="9"/>
      <c r="G14" s="273"/>
      <c r="H14" s="9"/>
      <c r="I14" s="274"/>
      <c r="K14" s="279" t="s">
        <v>212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872747.10000000009</v>
      </c>
      <c r="D15" s="9"/>
      <c r="E15" s="271">
        <f t="shared" ref="E15:E42" si="4">C15+D15</f>
        <v>872747.10000000009</v>
      </c>
      <c r="F15" s="271"/>
      <c r="G15" s="273">
        <f>'9397 BOEE'!U19</f>
        <v>1912643</v>
      </c>
      <c r="H15" s="9">
        <f>G15-E15</f>
        <v>1039895.8999999999</v>
      </c>
      <c r="I15" s="274">
        <f t="shared" ref="I15:I43" si="5">IF(G15=0,0,E15/G15)</f>
        <v>0.4563042345069101</v>
      </c>
      <c r="K15" s="279" t="s">
        <v>213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4737.6000000000004</v>
      </c>
      <c r="D16" s="9"/>
      <c r="E16" s="271">
        <f t="shared" si="4"/>
        <v>4737.6000000000004</v>
      </c>
      <c r="F16" s="271"/>
      <c r="G16" s="273">
        <f>'9397 BOEE'!U20</f>
        <v>21000</v>
      </c>
      <c r="H16" s="9">
        <f t="shared" ref="H16:H42" si="6">G16-D16-C16</f>
        <v>16262.4</v>
      </c>
      <c r="I16" s="274">
        <f t="shared" si="5"/>
        <v>0.22560000000000002</v>
      </c>
      <c r="K16" s="279" t="s">
        <v>214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385.68</v>
      </c>
      <c r="D17" s="9"/>
      <c r="E17" s="271">
        <f t="shared" si="4"/>
        <v>385.68</v>
      </c>
      <c r="F17" s="271"/>
      <c r="G17" s="273">
        <f>'9397 BOEE'!U21</f>
        <v>20000</v>
      </c>
      <c r="H17" s="9">
        <f t="shared" si="6"/>
        <v>19614.32</v>
      </c>
      <c r="I17" s="274">
        <f t="shared" si="5"/>
        <v>1.9283999999999999E-2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716.03</v>
      </c>
      <c r="D18" s="9"/>
      <c r="E18" s="271">
        <f t="shared" si="4"/>
        <v>716.03</v>
      </c>
      <c r="F18" s="271"/>
      <c r="G18" s="273">
        <f>'9397 BOEE'!U22</f>
        <v>10500</v>
      </c>
      <c r="H18" s="9">
        <f t="shared" si="6"/>
        <v>9783.9699999999993</v>
      </c>
      <c r="I18" s="274">
        <f t="shared" si="5"/>
        <v>6.8193333333333328E-2</v>
      </c>
    </row>
    <row r="19" spans="1:9" x14ac:dyDescent="0.2">
      <c r="A19" s="267" t="s">
        <v>235</v>
      </c>
      <c r="B19" s="266" t="s">
        <v>236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0</v>
      </c>
      <c r="D21" s="9"/>
      <c r="E21" s="271">
        <f t="shared" si="4"/>
        <v>0</v>
      </c>
      <c r="F21" s="271"/>
      <c r="G21" s="273">
        <f>'9397 BOEE'!U25</f>
        <v>3500</v>
      </c>
      <c r="H21" s="9">
        <f t="shared" si="6"/>
        <v>3500</v>
      </c>
      <c r="I21" s="274">
        <f t="shared" si="5"/>
        <v>0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2484.5300000000002</v>
      </c>
      <c r="D23" s="9"/>
      <c r="E23" s="271">
        <f t="shared" si="4"/>
        <v>2484.5300000000002</v>
      </c>
      <c r="F23" s="271"/>
      <c r="G23" s="273">
        <f>'9397 BOEE'!U27</f>
        <v>12500</v>
      </c>
      <c r="H23" s="9">
        <f t="shared" si="6"/>
        <v>10015.469999999999</v>
      </c>
      <c r="I23" s="274">
        <f t="shared" si="5"/>
        <v>0.19876240000000001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7155.81</v>
      </c>
      <c r="D24" s="9"/>
      <c r="E24" s="271">
        <f t="shared" si="4"/>
        <v>7155.81</v>
      </c>
      <c r="F24" s="271"/>
      <c r="G24" s="273">
        <f>'9397 BOEE'!U28</f>
        <v>20000.11</v>
      </c>
      <c r="H24" s="9">
        <f t="shared" si="6"/>
        <v>12844.3</v>
      </c>
      <c r="I24" s="274">
        <f t="shared" si="5"/>
        <v>0.3577885321630731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21000</v>
      </c>
      <c r="D25" s="9"/>
      <c r="E25" s="271">
        <f t="shared" si="4"/>
        <v>21000</v>
      </c>
      <c r="F25" s="271"/>
      <c r="G25" s="273">
        <f>'9397 BOEE'!U29</f>
        <v>71500</v>
      </c>
      <c r="H25" s="9">
        <f t="shared" si="6"/>
        <v>50500</v>
      </c>
      <c r="I25" s="274">
        <f t="shared" si="5"/>
        <v>0.2937062937062937</v>
      </c>
    </row>
    <row r="26" spans="1:9" x14ac:dyDescent="0.2">
      <c r="A26" s="267" t="s">
        <v>238</v>
      </c>
      <c r="B26" s="266" t="s">
        <v>239</v>
      </c>
      <c r="C26" s="9">
        <f>'9397 BOEE'!S30</f>
        <v>870.46999999999991</v>
      </c>
      <c r="D26" s="9"/>
      <c r="E26" s="271">
        <f t="shared" ref="E26" si="11">C26+D26</f>
        <v>870.46999999999991</v>
      </c>
      <c r="F26" s="271"/>
      <c r="G26" s="273">
        <f>'9397 BOEE'!U30</f>
        <v>4000.25</v>
      </c>
      <c r="H26" s="9">
        <f t="shared" ref="H26" si="12">G26-D26-C26</f>
        <v>3129.78</v>
      </c>
      <c r="I26" s="274">
        <f t="shared" si="5"/>
        <v>0.21760389975626521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1699.48</v>
      </c>
      <c r="D27" s="9"/>
      <c r="E27" s="271">
        <f t="shared" si="4"/>
        <v>1699.48</v>
      </c>
      <c r="F27" s="271"/>
      <c r="G27" s="273">
        <f>'9397 BOEE'!U31</f>
        <v>5000</v>
      </c>
      <c r="H27" s="9">
        <f t="shared" si="6"/>
        <v>3300.52</v>
      </c>
      <c r="I27" s="274">
        <f t="shared" si="5"/>
        <v>0.33989599999999998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1721.6999999999998</v>
      </c>
      <c r="D28" s="9"/>
      <c r="E28" s="271">
        <f t="shared" si="4"/>
        <v>1721.6999999999998</v>
      </c>
      <c r="F28" s="271"/>
      <c r="G28" s="273">
        <f>'9397 BOEE'!U32</f>
        <v>6000</v>
      </c>
      <c r="H28" s="9">
        <f t="shared" si="6"/>
        <v>4278.3</v>
      </c>
      <c r="I28" s="274">
        <f t="shared" si="5"/>
        <v>0.28694999999999998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101.85</v>
      </c>
      <c r="D30" s="9"/>
      <c r="E30" s="271">
        <f t="shared" si="4"/>
        <v>101.85</v>
      </c>
      <c r="F30" s="271"/>
      <c r="G30" s="273">
        <f>'9397 BOEE'!U34</f>
        <v>1000</v>
      </c>
      <c r="H30" s="9">
        <f t="shared" si="6"/>
        <v>898.15</v>
      </c>
      <c r="I30" s="274">
        <f t="shared" si="5"/>
        <v>0.10185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5238.99</v>
      </c>
      <c r="D31" s="9"/>
      <c r="E31" s="271">
        <f t="shared" si="4"/>
        <v>5238.99</v>
      </c>
      <c r="F31" s="271"/>
      <c r="G31" s="273">
        <f>'9397 BOEE'!U35</f>
        <v>8000</v>
      </c>
      <c r="H31" s="9">
        <f t="shared" si="6"/>
        <v>2761.01</v>
      </c>
      <c r="I31" s="274">
        <f t="shared" si="5"/>
        <v>0.65487374999999992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194254.63</v>
      </c>
      <c r="D32" s="9"/>
      <c r="E32" s="271">
        <f t="shared" si="4"/>
        <v>194254.63</v>
      </c>
      <c r="F32" s="271"/>
      <c r="G32" s="273">
        <f>'9397 BOEE'!U36</f>
        <v>210000</v>
      </c>
      <c r="H32" s="9">
        <f t="shared" si="6"/>
        <v>15745.369999999995</v>
      </c>
      <c r="I32" s="274">
        <f t="shared" si="5"/>
        <v>0.9250220476190476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37822.509999999995</v>
      </c>
      <c r="D35" s="9"/>
      <c r="E35" s="271">
        <f t="shared" si="4"/>
        <v>37822.509999999995</v>
      </c>
      <c r="F35" s="271"/>
      <c r="G35" s="273">
        <f>'9397 BOEE'!U39</f>
        <v>320000</v>
      </c>
      <c r="H35" s="9">
        <f t="shared" si="6"/>
        <v>282177.49</v>
      </c>
      <c r="I35" s="274">
        <f t="shared" si="5"/>
        <v>0.11819534374999999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295.88</v>
      </c>
      <c r="D39" s="9"/>
      <c r="E39" s="271">
        <f t="shared" si="4"/>
        <v>295.88</v>
      </c>
      <c r="F39" s="271"/>
      <c r="G39" s="273">
        <f>'9397 BOEE'!U43</f>
        <v>32268</v>
      </c>
      <c r="H39" s="9">
        <f t="shared" si="6"/>
        <v>31972.12</v>
      </c>
      <c r="I39" s="274">
        <f t="shared" si="5"/>
        <v>9.1694558076112556E-3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14279.84</v>
      </c>
      <c r="D40" s="9"/>
      <c r="E40" s="271">
        <f t="shared" si="4"/>
        <v>14279.84</v>
      </c>
      <c r="F40" s="271"/>
      <c r="G40" s="273">
        <f>'9397 BOEE'!U44</f>
        <v>42000</v>
      </c>
      <c r="H40" s="9">
        <f t="shared" si="6"/>
        <v>27720.16</v>
      </c>
      <c r="I40" s="274">
        <f t="shared" si="5"/>
        <v>0.33999619047619051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0</v>
      </c>
      <c r="D42" s="9"/>
      <c r="E42" s="271">
        <f t="shared" si="4"/>
        <v>0</v>
      </c>
      <c r="F42" s="271"/>
      <c r="G42" s="273">
        <f>'9397 BOEE'!U46</f>
        <v>5000</v>
      </c>
      <c r="H42" s="9">
        <f t="shared" si="6"/>
        <v>5000</v>
      </c>
      <c r="I42" s="274">
        <f t="shared" si="5"/>
        <v>0</v>
      </c>
    </row>
    <row r="43" spans="1:9" x14ac:dyDescent="0.2">
      <c r="A43" s="266"/>
      <c r="B43" s="268" t="s">
        <v>193</v>
      </c>
      <c r="C43" s="280">
        <f>SUM(C15:C42)</f>
        <v>1165512.1000000001</v>
      </c>
      <c r="D43" s="280">
        <f>SUM(D15:D42)</f>
        <v>0</v>
      </c>
      <c r="E43" s="280">
        <f>SUM(E15:E42)</f>
        <v>1165512.1000000001</v>
      </c>
      <c r="F43" s="280"/>
      <c r="G43" s="280">
        <f>SUM(G15:G42)</f>
        <v>2785111.0300000003</v>
      </c>
      <c r="H43" s="280">
        <f>SUM(H15:H42)</f>
        <v>1618598.9299999997</v>
      </c>
      <c r="I43" s="274">
        <f t="shared" si="5"/>
        <v>0.41847958212279962</v>
      </c>
    </row>
    <row r="44" spans="1:9" x14ac:dyDescent="0.2">
      <c r="I44" s="274"/>
    </row>
    <row r="45" spans="1:9" ht="13.5" thickBot="1" x14ac:dyDescent="0.25">
      <c r="B45" s="12" t="s">
        <v>215</v>
      </c>
      <c r="C45" s="283">
        <f>C12-C43</f>
        <v>-71866.850000000093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216</v>
      </c>
      <c r="C47" s="283">
        <f>C6+C45</f>
        <v>1432284.8399999999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338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234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195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196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823895.25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269651.25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197</v>
      </c>
      <c r="D11" s="281">
        <f t="shared" ref="D11" si="0">SUM(D6:D10)</f>
        <v>2597796.94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198</v>
      </c>
      <c r="D12" s="283">
        <f>SUM(D8:D10)</f>
        <v>1093645.25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229</v>
      </c>
      <c r="B14" s="269" t="s">
        <v>192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872747.10000000009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872747.10000000009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4737.6000000000004</v>
      </c>
      <c r="F16">
        <v>2</v>
      </c>
      <c r="G16" s="308"/>
      <c r="H16" s="307" t="str">
        <f t="shared" si="2"/>
        <v>ITD Reimbursements</v>
      </c>
      <c r="I16" s="312">
        <f t="shared" si="3"/>
        <v>194254.63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14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385.68</v>
      </c>
      <c r="F17">
        <v>3</v>
      </c>
      <c r="G17" s="308"/>
      <c r="H17" s="307" t="str">
        <f t="shared" si="2"/>
        <v>Gov Transfer Other Agencies</v>
      </c>
      <c r="I17" s="312">
        <f t="shared" si="3"/>
        <v>37822.509999999995</v>
      </c>
      <c r="J17" s="303"/>
      <c r="K17" s="14"/>
      <c r="L17" s="14"/>
      <c r="M17" s="14"/>
      <c r="N17" s="14"/>
    </row>
    <row r="18" spans="1:14" x14ac:dyDescent="0.2">
      <c r="A18" s="308">
        <f t="shared" si="1"/>
        <v>13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716.03</v>
      </c>
      <c r="F18">
        <v>4</v>
      </c>
      <c r="G18" s="308"/>
      <c r="H18" s="307" t="str">
        <f t="shared" si="2"/>
        <v>Rentals</v>
      </c>
      <c r="I18" s="312">
        <f t="shared" si="3"/>
        <v>21000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17</v>
      </c>
      <c r="B19" s="267" t="s">
        <v>235</v>
      </c>
      <c r="C19" s="266" t="s">
        <v>236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14279.84</v>
      </c>
      <c r="J19" s="303"/>
      <c r="K19" s="14"/>
      <c r="L19" s="14"/>
      <c r="M19" s="14"/>
      <c r="N19" s="14"/>
    </row>
    <row r="20" spans="1:14" x14ac:dyDescent="0.2">
      <c r="A20" s="308">
        <f t="shared" si="1"/>
        <v>17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Communications</v>
      </c>
      <c r="I20" s="312">
        <f t="shared" si="3"/>
        <v>7155.81</v>
      </c>
      <c r="J20" s="303"/>
      <c r="K20" s="14"/>
      <c r="L20" s="14"/>
      <c r="M20" s="14"/>
      <c r="N20" s="14"/>
    </row>
    <row r="21" spans="1:14" x14ac:dyDescent="0.2">
      <c r="A21" s="308">
        <f t="shared" si="1"/>
        <v>17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0</v>
      </c>
      <c r="F21">
        <v>7</v>
      </c>
      <c r="G21" s="308"/>
      <c r="H21" s="307" t="str">
        <f t="shared" si="2"/>
        <v>Reimbursements To Other Agency</v>
      </c>
      <c r="I21" s="312">
        <f t="shared" si="3"/>
        <v>5238.99</v>
      </c>
      <c r="J21" s="303"/>
      <c r="K21" s="14"/>
      <c r="L21" s="14"/>
      <c r="M21" s="14"/>
      <c r="N21" s="14"/>
    </row>
    <row r="22" spans="1:14" x14ac:dyDescent="0.2">
      <c r="A22" s="308">
        <f t="shared" si="1"/>
        <v>17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4737.6000000000004</v>
      </c>
      <c r="J22" s="303"/>
      <c r="K22" s="14"/>
      <c r="L22" s="14"/>
      <c r="M22" s="14"/>
      <c r="N22" s="14"/>
    </row>
    <row r="23" spans="1:14" x14ac:dyDescent="0.2">
      <c r="A23" s="308">
        <f t="shared" si="1"/>
        <v>9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2484.5300000000002</v>
      </c>
      <c r="G23" s="308"/>
      <c r="H23" s="307" t="s">
        <v>252</v>
      </c>
      <c r="I23" s="312">
        <f>I25-SUM(I15:I22)</f>
        <v>8275.6199999998789</v>
      </c>
      <c r="J23" s="303"/>
      <c r="K23" s="14"/>
      <c r="L23" s="14"/>
      <c r="M23" s="14"/>
      <c r="N23" s="14"/>
    </row>
    <row r="24" spans="1:14" x14ac:dyDescent="0.2">
      <c r="A24" s="308">
        <f t="shared" si="1"/>
        <v>6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7155.81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21000</v>
      </c>
      <c r="G25" s="308"/>
      <c r="H25" s="307" t="s">
        <v>193</v>
      </c>
      <c r="I25" s="312">
        <f>D43</f>
        <v>1165512.1000000001</v>
      </c>
      <c r="J25" s="303"/>
      <c r="K25" s="14"/>
      <c r="L25" s="14"/>
      <c r="M25" s="14"/>
      <c r="N25" s="14"/>
    </row>
    <row r="26" spans="1:14" x14ac:dyDescent="0.2">
      <c r="A26" s="308">
        <f t="shared" si="1"/>
        <v>12</v>
      </c>
      <c r="B26" s="267" t="s">
        <v>238</v>
      </c>
      <c r="C26" s="266" t="s">
        <v>239</v>
      </c>
      <c r="D26" s="9">
        <f>'Obligations vs Bgt'!E26</f>
        <v>870.46999999999991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11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1699.48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10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1721.6999999999998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17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101.85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7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5238.99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194254.63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17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17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37822.509999999995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17</v>
      </c>
      <c r="B36" s="267" t="s">
        <v>40</v>
      </c>
      <c r="C36" s="266" t="s">
        <v>147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17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17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15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295.88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14279.84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17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17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193</v>
      </c>
      <c r="D43" s="280">
        <f>SUM(D15:D42)</f>
        <v>1165512.1000000001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215</v>
      </c>
      <c r="D45" s="283">
        <f>D12-D43</f>
        <v>-71866.850000000093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216</v>
      </c>
      <c r="D47" s="283">
        <f>D6+D45</f>
        <v>1432284.8399999999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9"/>
  <sheetViews>
    <sheetView zoomScale="80" zoomScaleNormal="80" workbookViewId="0">
      <selection activeCell="I7" sqref="I7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349</v>
      </c>
      <c r="C2" s="47"/>
      <c r="D2" s="48"/>
      <c r="E2" s="48"/>
      <c r="F2" s="48"/>
      <c r="G2" s="48"/>
      <c r="H2" s="48"/>
      <c r="I2" s="48"/>
      <c r="J2" s="133" t="s">
        <v>336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333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0.5</v>
      </c>
      <c r="W3" s="48"/>
      <c r="X3" s="1"/>
      <c r="Y3" s="1"/>
    </row>
    <row r="4" spans="1:25" ht="15.75" x14ac:dyDescent="0.25">
      <c r="A4" s="47" t="s">
        <v>9</v>
      </c>
      <c r="B4" s="47" t="s">
        <v>299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63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335</v>
      </c>
      <c r="V5" s="53" t="s">
        <v>31</v>
      </c>
      <c r="W5" s="53" t="s">
        <v>31</v>
      </c>
      <c r="X5" s="1"/>
      <c r="Y5" s="1"/>
    </row>
    <row r="6" spans="1:25" ht="47.2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1</v>
      </c>
      <c r="K6" s="69" t="s">
        <v>1</v>
      </c>
      <c r="L6" s="69" t="s">
        <v>1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340</v>
      </c>
      <c r="U6" s="53" t="s">
        <v>341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368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4">
        <f t="shared" ref="D11:O11" si="0">SUM(D8:D10)</f>
        <v>0</v>
      </c>
      <c r="E11" s="384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17935</v>
      </c>
      <c r="K14" s="70">
        <v>17935</v>
      </c>
      <c r="L14" s="70">
        <v>17935</v>
      </c>
      <c r="M14" s="70">
        <v>17935</v>
      </c>
      <c r="N14" s="70">
        <v>26901</v>
      </c>
      <c r="O14" s="70">
        <v>17935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38111.480000000003</v>
      </c>
      <c r="T14" s="70">
        <f t="shared" ref="T14:T18" si="2">SUM(D14:R14)</f>
        <v>163654.48000000001</v>
      </c>
      <c r="U14" s="70">
        <v>233152</v>
      </c>
      <c r="V14" s="71">
        <f>IF(U14=0,0,SUMIF($D$6:$R$6,$X$2,D14:R14)/U14)</f>
        <v>0.16346194757068352</v>
      </c>
      <c r="W14" s="199">
        <f>IF(U14=0,0,T14/U14)</f>
        <v>0.70192183639857264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f t="shared" si="1"/>
        <v>0</v>
      </c>
      <c r="T17" s="70">
        <f t="shared" si="2"/>
        <v>0</v>
      </c>
      <c r="U17" s="70">
        <v>24</v>
      </c>
      <c r="V17" s="71">
        <f t="shared" si="3"/>
        <v>0</v>
      </c>
      <c r="W17" s="199">
        <f t="shared" si="4"/>
        <v>0</v>
      </c>
      <c r="X17" s="206"/>
      <c r="Y17" s="317"/>
    </row>
    <row r="18" spans="1:25" ht="15" x14ac:dyDescent="0.2">
      <c r="A18" s="320" t="s">
        <v>149</v>
      </c>
      <c r="B18" s="320" t="s">
        <v>150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5"/>
      <c r="H19" s="405"/>
      <c r="I19" s="405"/>
      <c r="J19" s="70"/>
      <c r="K19" s="405"/>
      <c r="L19" s="405"/>
      <c r="M19" s="406"/>
      <c r="N19" s="405"/>
      <c r="O19" s="405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17935</v>
      </c>
      <c r="K20" s="91">
        <f t="shared" si="5"/>
        <v>17935</v>
      </c>
      <c r="L20" s="91">
        <f t="shared" si="5"/>
        <v>17935</v>
      </c>
      <c r="M20" s="91">
        <f t="shared" si="5"/>
        <v>17935</v>
      </c>
      <c r="N20" s="91">
        <f t="shared" si="5"/>
        <v>26901</v>
      </c>
      <c r="O20" s="91">
        <f t="shared" si="5"/>
        <v>17935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38111.480000000003</v>
      </c>
      <c r="T20" s="91">
        <f t="shared" si="5"/>
        <v>163654.48000000001</v>
      </c>
      <c r="U20" s="91">
        <f t="shared" si="5"/>
        <v>239176</v>
      </c>
      <c r="V20" s="92">
        <f>SUMIF($D$6:$R$6,$X$2,D20:R20)/U20</f>
        <v>0.1593449175502559</v>
      </c>
      <c r="W20" s="202">
        <f>T20/U20</f>
        <v>0.68424290062548088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4">
        <f t="shared" ref="D23:U23" si="6">D11-D20</f>
        <v>0</v>
      </c>
      <c r="E23" s="384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-17935</v>
      </c>
      <c r="K23" s="91">
        <f t="shared" si="6"/>
        <v>-17935</v>
      </c>
      <c r="L23" s="91">
        <f t="shared" si="6"/>
        <v>-17935</v>
      </c>
      <c r="M23" s="91">
        <f t="shared" si="6"/>
        <v>-17935</v>
      </c>
      <c r="N23" s="91">
        <f t="shared" si="6"/>
        <v>-26901</v>
      </c>
      <c r="O23" s="91">
        <f t="shared" si="6"/>
        <v>-17935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-38111.480000000003</v>
      </c>
      <c r="T23" s="91">
        <f t="shared" si="6"/>
        <v>-163654.48000000001</v>
      </c>
      <c r="U23" s="91">
        <f t="shared" si="6"/>
        <v>0</v>
      </c>
      <c r="V23" s="410"/>
      <c r="W23" s="209"/>
      <c r="X23" s="184"/>
      <c r="Y23" s="14"/>
    </row>
    <row r="24" spans="1:25" ht="15.75" x14ac:dyDescent="0.2">
      <c r="A24" s="90" t="s">
        <v>317</v>
      </c>
      <c r="B24" s="90"/>
      <c r="C24" s="90"/>
      <c r="D24" s="384"/>
      <c r="E24" s="384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10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5">
        <f>D11-D20</f>
        <v>0</v>
      </c>
      <c r="E25" s="385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-56046.48</v>
      </c>
      <c r="K25" s="130">
        <f t="shared" si="7"/>
        <v>-73981.48000000001</v>
      </c>
      <c r="L25" s="130">
        <f t="shared" si="7"/>
        <v>-91916.48000000001</v>
      </c>
      <c r="M25" s="130">
        <f t="shared" si="7"/>
        <v>-109851.48000000001</v>
      </c>
      <c r="N25" s="130">
        <f t="shared" si="7"/>
        <v>-136752.48000000001</v>
      </c>
      <c r="O25" s="130">
        <f t="shared" si="7"/>
        <v>-154687.48000000001</v>
      </c>
      <c r="P25" s="130">
        <f t="shared" si="7"/>
        <v>-163654.48000000001</v>
      </c>
      <c r="Q25" s="130">
        <f t="shared" si="7"/>
        <v>-163654.48000000001</v>
      </c>
      <c r="R25" s="130">
        <f t="shared" si="7"/>
        <v>-163654.48000000001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7" t="s">
        <v>117</v>
      </c>
      <c r="B26" s="408"/>
      <c r="C26" s="408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3"/>
      <c r="U26" s="393"/>
      <c r="V26" s="393"/>
      <c r="W26" s="72"/>
      <c r="X26" s="184"/>
      <c r="Y26" s="106"/>
    </row>
    <row r="27" spans="1:25" ht="36" x14ac:dyDescent="0.25">
      <c r="A27" s="407"/>
      <c r="B27" s="408"/>
      <c r="C27" s="408"/>
      <c r="D27" s="86"/>
      <c r="E27" s="86"/>
      <c r="F27" s="86"/>
      <c r="G27" s="86"/>
      <c r="H27" s="86"/>
      <c r="I27" s="86"/>
      <c r="J27" s="86"/>
      <c r="K27" s="86"/>
      <c r="L27" s="34"/>
      <c r="M27" s="379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3" t="s">
        <v>307</v>
      </c>
      <c r="W27" s="350" t="s">
        <v>308</v>
      </c>
      <c r="X27" s="184"/>
      <c r="Y27" s="106"/>
    </row>
    <row r="28" spans="1:25" ht="18" x14ac:dyDescent="0.25">
      <c r="A28" s="409" t="s">
        <v>243</v>
      </c>
      <c r="B28" s="77"/>
      <c r="C28" s="408"/>
      <c r="D28" s="86"/>
      <c r="E28" s="86"/>
      <c r="F28" s="86"/>
      <c r="G28" s="86"/>
      <c r="H28" s="86"/>
      <c r="I28" s="86"/>
      <c r="J28" s="86"/>
      <c r="K28" s="86"/>
      <c r="L28" s="402"/>
      <c r="M28" s="387"/>
      <c r="N28" s="85"/>
      <c r="O28" s="85"/>
      <c r="P28" s="389" t="s">
        <v>351</v>
      </c>
      <c r="Q28" s="176" t="s">
        <v>305</v>
      </c>
      <c r="R28" s="342"/>
      <c r="S28" s="343"/>
      <c r="T28" s="174" t="s">
        <v>350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8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3"/>
      <c r="P29" s="346" t="s">
        <v>355</v>
      </c>
      <c r="Q29" s="176" t="s">
        <v>305</v>
      </c>
      <c r="R29" s="342"/>
      <c r="S29" s="343"/>
      <c r="T29" s="369" t="s">
        <v>354</v>
      </c>
      <c r="U29" s="370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8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8"/>
      <c r="O30" s="403"/>
      <c r="P30" s="390"/>
      <c r="Q30" s="391"/>
      <c r="R30" s="73"/>
      <c r="S30" s="370"/>
      <c r="T30" s="78"/>
      <c r="U30" s="370"/>
      <c r="V30" s="79"/>
      <c r="W30" s="392"/>
      <c r="X30" s="184"/>
      <c r="Y30" s="106"/>
    </row>
    <row r="31" spans="1:25" ht="18" x14ac:dyDescent="0.25">
      <c r="A31" s="407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8"/>
      <c r="O31" s="369"/>
      <c r="P31" s="390"/>
      <c r="Q31" s="391"/>
      <c r="R31" s="73"/>
      <c r="S31" s="370"/>
      <c r="T31" s="78" t="s">
        <v>306</v>
      </c>
      <c r="U31" s="370"/>
      <c r="V31" s="79">
        <f>SUM(V28:V30)</f>
        <v>2</v>
      </c>
      <c r="W31" s="392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367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8"/>
      <c r="O32" s="369"/>
      <c r="P32" s="395"/>
      <c r="Q32" s="396"/>
      <c r="R32" s="397"/>
      <c r="S32" s="398"/>
      <c r="T32" s="399"/>
      <c r="U32" s="398"/>
      <c r="V32" s="400"/>
      <c r="W32" s="401"/>
      <c r="X32" s="184"/>
      <c r="Y32" s="14"/>
    </row>
    <row r="33" spans="1:25" ht="18" x14ac:dyDescent="0.25">
      <c r="A33" s="171">
        <v>202</v>
      </c>
      <c r="B33" s="75" t="s">
        <v>352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8"/>
      <c r="O33" s="369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353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8"/>
      <c r="O34" s="404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357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70"/>
      <c r="T35" s="369"/>
      <c r="U35" s="370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356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3"/>
      <c r="U36" s="393"/>
      <c r="V36" s="393"/>
      <c r="W36" s="394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3"/>
      <c r="U37" s="393"/>
      <c r="V37" s="393"/>
      <c r="W37" s="394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3"/>
      <c r="U38" s="393"/>
      <c r="V38" s="393"/>
      <c r="W38" s="394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136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168</v>
      </c>
      <c r="C4" s="49" t="s">
        <v>137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285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190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191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300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190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191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231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190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191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232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190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191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Loder, Amanda [IDOE]</cp:lastModifiedBy>
  <cp:lastPrinted>2024-09-05T21:15:09Z</cp:lastPrinted>
  <dcterms:created xsi:type="dcterms:W3CDTF">2015-04-28T12:49:55Z</dcterms:created>
  <dcterms:modified xsi:type="dcterms:W3CDTF">2025-01-15T22:27:32Z</dcterms:modified>
</cp:coreProperties>
</file>