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My Drive\PAY\FY2025\"/>
    </mc:Choice>
  </mc:AlternateContent>
  <xr:revisionPtr revIDLastSave="0" documentId="13_ncr:1_{0875AC09-8616-4236-BA74-839546BD1544}" xr6:coauthVersionLast="47" xr6:coauthVersionMax="47" xr10:uidLastSave="{00000000-0000-0000-0000-000000000000}"/>
  <bookViews>
    <workbookView xWindow="57480" yWindow="-120" windowWidth="29040" windowHeight="15840" tabRatio="757" firstSheet="2" activeTab="2" xr2:uid="{00000000-000D-0000-FFFF-FFFF00000000}"/>
  </bookViews>
  <sheets>
    <sheet name="Notes" sheetId="8" state="hidden" r:id="rId1"/>
    <sheet name="cfo" sheetId="17" state="hidden" r:id="rId2"/>
    <sheet name="SurtaxPayment" sheetId="1" r:id="rId3"/>
    <sheet name="SurtaxRatesSAS" sheetId="9" state="hidden" r:id="rId4"/>
    <sheet name="PriorYear" sheetId="13" state="hidden" r:id="rId5"/>
    <sheet name="Dec100%_DOR PDF" sheetId="6" state="hidden" r:id="rId6"/>
    <sheet name="Accounts - DOR Dec Payments" sheetId="22" state="hidden" r:id="rId7"/>
    <sheet name="DistrictsMatchNametoNum" sheetId="21" state="hidden" r:id="rId8"/>
    <sheet name="ShowsHowDeltwithDisolution" sheetId="2" state="hidden" r:id="rId9"/>
    <sheet name="ShowsHowDeltWithDisolution2" sheetId="5" state="hidden" r:id="rId10"/>
  </sheets>
  <definedNames>
    <definedName name="_xlnm.Print_Area" localSheetId="4">PriorYear!$C$1:$U$333</definedName>
    <definedName name="_xlnm.Print_Area" localSheetId="2">SurtaxPayment!$C$1:$U$331</definedName>
    <definedName name="_xlnm.Print_Titles" localSheetId="4">PriorYear!$1:$5</definedName>
    <definedName name="_xlnm.Print_Titles" localSheetId="2">SurtaxPayment!$1:$5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8" l="1"/>
  <c r="D23" i="8" s="1"/>
  <c r="F23" i="8"/>
  <c r="B23" i="8"/>
  <c r="B22" i="8"/>
  <c r="K4" i="1"/>
  <c r="C20" i="8"/>
  <c r="D20" i="8" s="1"/>
  <c r="B20" i="8"/>
  <c r="B18" i="8"/>
  <c r="B21" i="8"/>
  <c r="B17" i="8"/>
  <c r="B1" i="6"/>
  <c r="E2" i="22"/>
  <c r="D3" i="22"/>
  <c r="D4" i="22"/>
  <c r="D5" i="22"/>
  <c r="D6" i="22"/>
  <c r="D7" i="22"/>
  <c r="D8" i="22"/>
  <c r="D9" i="22"/>
  <c r="D10" i="22"/>
  <c r="D11" i="22"/>
  <c r="D12" i="22"/>
  <c r="D13" i="22"/>
  <c r="D14" i="22"/>
  <c r="D15" i="22"/>
  <c r="D16" i="22"/>
  <c r="D17" i="22"/>
  <c r="D18" i="22"/>
  <c r="D19" i="22"/>
  <c r="D20" i="22"/>
  <c r="D21" i="22"/>
  <c r="D22" i="22"/>
  <c r="D23" i="22"/>
  <c r="D24" i="22"/>
  <c r="D25" i="22"/>
  <c r="D26" i="22"/>
  <c r="D27" i="22"/>
  <c r="D28" i="22"/>
  <c r="D29" i="22"/>
  <c r="D30" i="22"/>
  <c r="D31" i="22"/>
  <c r="D32" i="22"/>
  <c r="D33" i="22"/>
  <c r="D35" i="22"/>
  <c r="D36" i="22"/>
  <c r="D37" i="22"/>
  <c r="D38" i="22"/>
  <c r="D39" i="22"/>
  <c r="D40" i="22"/>
  <c r="D41" i="22"/>
  <c r="D42" i="22"/>
  <c r="D43" i="22"/>
  <c r="D44" i="22"/>
  <c r="D45" i="22"/>
  <c r="D46" i="22"/>
  <c r="D47" i="22"/>
  <c r="D48" i="22"/>
  <c r="D49" i="22"/>
  <c r="D50" i="22"/>
  <c r="D51" i="22"/>
  <c r="D52" i="22"/>
  <c r="D53" i="22"/>
  <c r="D54" i="22"/>
  <c r="D55" i="22"/>
  <c r="D56" i="22"/>
  <c r="D57" i="22"/>
  <c r="D58" i="22"/>
  <c r="D59" i="22"/>
  <c r="D60" i="22"/>
  <c r="D61" i="22"/>
  <c r="D62" i="22"/>
  <c r="D63" i="22"/>
  <c r="D64" i="22"/>
  <c r="D65" i="22"/>
  <c r="D66" i="22"/>
  <c r="D67" i="22"/>
  <c r="D68" i="22"/>
  <c r="D69" i="22"/>
  <c r="D70" i="22"/>
  <c r="D71" i="22"/>
  <c r="D72" i="22"/>
  <c r="D73" i="22"/>
  <c r="D74" i="22"/>
  <c r="D75" i="22"/>
  <c r="D76" i="22"/>
  <c r="D77" i="22"/>
  <c r="D78" i="22"/>
  <c r="D79" i="22"/>
  <c r="D80" i="22"/>
  <c r="D81" i="22"/>
  <c r="D82" i="22"/>
  <c r="D83" i="22"/>
  <c r="D84" i="22"/>
  <c r="D85" i="22"/>
  <c r="D86" i="22"/>
  <c r="D87" i="22"/>
  <c r="D88" i="22"/>
  <c r="D89" i="22"/>
  <c r="D90" i="22"/>
  <c r="D91" i="22"/>
  <c r="D92" i="22"/>
  <c r="D93" i="22"/>
  <c r="D94" i="22"/>
  <c r="D95" i="22"/>
  <c r="D96" i="22"/>
  <c r="D97" i="22"/>
  <c r="D98" i="22"/>
  <c r="D99" i="22"/>
  <c r="D100" i="22"/>
  <c r="D101" i="22"/>
  <c r="D102" i="22"/>
  <c r="D103" i="22"/>
  <c r="D104" i="22"/>
  <c r="D105" i="22"/>
  <c r="D106" i="22"/>
  <c r="D107" i="22"/>
  <c r="D108" i="22"/>
  <c r="D109" i="22"/>
  <c r="D110" i="22"/>
  <c r="D111" i="22"/>
  <c r="D112" i="22"/>
  <c r="D113" i="22"/>
  <c r="D114" i="22"/>
  <c r="D115" i="22"/>
  <c r="D116" i="22"/>
  <c r="D117" i="22"/>
  <c r="D118" i="22"/>
  <c r="D119" i="22"/>
  <c r="D120" i="22"/>
  <c r="D121" i="22"/>
  <c r="D122" i="22"/>
  <c r="D123" i="22"/>
  <c r="D124" i="22"/>
  <c r="D125" i="22"/>
  <c r="D126" i="22"/>
  <c r="D127" i="22"/>
  <c r="D128" i="22"/>
  <c r="D129" i="22"/>
  <c r="D130" i="22"/>
  <c r="D131" i="22"/>
  <c r="D132" i="22"/>
  <c r="D133" i="22"/>
  <c r="D134" i="22"/>
  <c r="D135" i="22"/>
  <c r="D136" i="22"/>
  <c r="D137" i="22"/>
  <c r="D138" i="22"/>
  <c r="D139" i="22"/>
  <c r="D140" i="22"/>
  <c r="D141" i="22"/>
  <c r="D142" i="22"/>
  <c r="D143" i="22"/>
  <c r="D144" i="22"/>
  <c r="D145" i="22"/>
  <c r="D146" i="22"/>
  <c r="D147" i="22"/>
  <c r="D148" i="22"/>
  <c r="D149" i="22"/>
  <c r="D150" i="22"/>
  <c r="D151" i="22"/>
  <c r="D152" i="22"/>
  <c r="D153" i="22"/>
  <c r="D154" i="22"/>
  <c r="D155" i="22"/>
  <c r="D156" i="22"/>
  <c r="D157" i="22"/>
  <c r="D158" i="22"/>
  <c r="D159" i="22"/>
  <c r="D160" i="22"/>
  <c r="D161" i="22"/>
  <c r="D162" i="22"/>
  <c r="D163" i="22"/>
  <c r="D164" i="22"/>
  <c r="D165" i="22"/>
  <c r="D166" i="22"/>
  <c r="D167" i="22"/>
  <c r="D168" i="22"/>
  <c r="D169" i="22"/>
  <c r="D170" i="22"/>
  <c r="D171" i="22"/>
  <c r="D172" i="22"/>
  <c r="D173" i="22"/>
  <c r="D174" i="22"/>
  <c r="D175" i="22"/>
  <c r="D176" i="22"/>
  <c r="D177" i="22"/>
  <c r="D178" i="22"/>
  <c r="D179" i="22"/>
  <c r="D180" i="22"/>
  <c r="D181" i="22"/>
  <c r="D182" i="22"/>
  <c r="D183" i="22"/>
  <c r="D184" i="22"/>
  <c r="D185" i="22"/>
  <c r="D186" i="22"/>
  <c r="D187" i="22"/>
  <c r="D188" i="22"/>
  <c r="D189" i="22"/>
  <c r="D191" i="22"/>
  <c r="D192" i="22"/>
  <c r="D193" i="22"/>
  <c r="D194" i="22"/>
  <c r="D195" i="22"/>
  <c r="D196" i="22"/>
  <c r="D197" i="22"/>
  <c r="D198" i="22"/>
  <c r="D199" i="22"/>
  <c r="D200" i="22"/>
  <c r="D201" i="22"/>
  <c r="D202" i="22"/>
  <c r="D203" i="22"/>
  <c r="D204" i="22"/>
  <c r="D205" i="22"/>
  <c r="D206" i="22"/>
  <c r="D207" i="22"/>
  <c r="D208" i="22"/>
  <c r="D209" i="22"/>
  <c r="D210" i="22"/>
  <c r="D211" i="22"/>
  <c r="D212" i="22"/>
  <c r="D213" i="22"/>
  <c r="D214" i="22"/>
  <c r="D215" i="22"/>
  <c r="D216" i="22"/>
  <c r="D217" i="22"/>
  <c r="D218" i="22"/>
  <c r="D219" i="22"/>
  <c r="D220" i="22"/>
  <c r="D221" i="22"/>
  <c r="D222" i="22"/>
  <c r="D223" i="22"/>
  <c r="D224" i="22"/>
  <c r="D225" i="22"/>
  <c r="D226" i="22"/>
  <c r="D227" i="22"/>
  <c r="D228" i="22"/>
  <c r="D229" i="22"/>
  <c r="D230" i="22"/>
  <c r="D231" i="22"/>
  <c r="D232" i="22"/>
  <c r="D233" i="22"/>
  <c r="D234" i="22"/>
  <c r="D235" i="22"/>
  <c r="D236" i="22"/>
  <c r="D237" i="22"/>
  <c r="D238" i="22"/>
  <c r="D239" i="22"/>
  <c r="D240" i="22"/>
  <c r="D241" i="22"/>
  <c r="D242" i="22"/>
  <c r="D243" i="22"/>
  <c r="D244" i="22"/>
  <c r="D245" i="22"/>
  <c r="D246" i="22"/>
  <c r="D247" i="22"/>
  <c r="D248" i="22"/>
  <c r="D249" i="22"/>
  <c r="D250" i="22"/>
  <c r="D251" i="22"/>
  <c r="D252" i="22"/>
  <c r="D253" i="22"/>
  <c r="D254" i="22"/>
  <c r="D256" i="22"/>
  <c r="D257" i="22"/>
  <c r="D258" i="22"/>
  <c r="D259" i="22"/>
  <c r="D260" i="22"/>
  <c r="D261" i="22"/>
  <c r="D262" i="22"/>
  <c r="D263" i="22"/>
  <c r="D264" i="22"/>
  <c r="D265" i="22"/>
  <c r="D266" i="22"/>
  <c r="D267" i="22"/>
  <c r="D268" i="22"/>
  <c r="D269" i="22"/>
  <c r="D270" i="22"/>
  <c r="D271" i="22"/>
  <c r="D272" i="22"/>
  <c r="D273" i="22"/>
  <c r="D274" i="22"/>
  <c r="D275" i="22"/>
  <c r="D276" i="22"/>
  <c r="D277" i="22"/>
  <c r="D278" i="22"/>
  <c r="D279" i="22"/>
  <c r="D280" i="22"/>
  <c r="D281" i="22"/>
  <c r="D282" i="22"/>
  <c r="D283" i="22"/>
  <c r="D284" i="22"/>
  <c r="D285" i="22"/>
  <c r="D286" i="22"/>
  <c r="D287" i="22"/>
  <c r="D2" i="22"/>
  <c r="G288" i="9"/>
  <c r="F288" i="9"/>
  <c r="H288" i="9" l="1"/>
  <c r="I288" i="9" s="1"/>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 i="9"/>
  <c r="F282" i="6"/>
  <c r="F283" i="6"/>
  <c r="F284" i="6"/>
  <c r="F285" i="6"/>
  <c r="F286" i="6"/>
  <c r="F287" i="6"/>
  <c r="E282" i="6"/>
  <c r="E283" i="6"/>
  <c r="E284" i="6"/>
  <c r="E285" i="6"/>
  <c r="E286" i="6"/>
  <c r="E287"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3" i="6"/>
  <c r="F3" i="6" s="1"/>
  <c r="E34" i="22"/>
  <c r="E190" i="22"/>
  <c r="E256" i="22"/>
  <c r="E3" i="22"/>
  <c r="E4" i="22"/>
  <c r="E5" i="22"/>
  <c r="E6" i="22"/>
  <c r="E7" i="22"/>
  <c r="E8" i="22"/>
  <c r="E9" i="22"/>
  <c r="E10" i="22"/>
  <c r="E11" i="22"/>
  <c r="E12" i="22"/>
  <c r="E13" i="22"/>
  <c r="E14" i="22"/>
  <c r="E15" i="22"/>
  <c r="E16" i="22"/>
  <c r="E17" i="22"/>
  <c r="E18" i="22"/>
  <c r="E19" i="22"/>
  <c r="E20" i="22"/>
  <c r="E21" i="22"/>
  <c r="E22" i="22"/>
  <c r="E23" i="22"/>
  <c r="E24" i="22"/>
  <c r="E25" i="22"/>
  <c r="E26" i="22"/>
  <c r="E27" i="22"/>
  <c r="E28" i="22"/>
  <c r="E29" i="22"/>
  <c r="E30" i="22"/>
  <c r="E31" i="22"/>
  <c r="E32" i="22"/>
  <c r="E33" i="22"/>
  <c r="E35" i="22"/>
  <c r="E36" i="22"/>
  <c r="E37" i="22"/>
  <c r="E38" i="22"/>
  <c r="E39" i="22"/>
  <c r="E40" i="22"/>
  <c r="E41" i="22"/>
  <c r="E42" i="22"/>
  <c r="E43" i="22"/>
  <c r="E44" i="22"/>
  <c r="E45" i="22"/>
  <c r="E46" i="22"/>
  <c r="E47" i="22"/>
  <c r="E48" i="22"/>
  <c r="E49" i="22"/>
  <c r="E50" i="22"/>
  <c r="E51" i="22"/>
  <c r="E52" i="22"/>
  <c r="E53"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0" i="22"/>
  <c r="E91" i="22"/>
  <c r="E92" i="22"/>
  <c r="E93" i="22"/>
  <c r="E94" i="22"/>
  <c r="E95" i="22"/>
  <c r="E96" i="22"/>
  <c r="E97" i="22"/>
  <c r="E98" i="22"/>
  <c r="E99" i="22"/>
  <c r="E100" i="22"/>
  <c r="E101" i="22"/>
  <c r="E102" i="22"/>
  <c r="E103" i="22"/>
  <c r="E104" i="22"/>
  <c r="E105" i="22"/>
  <c r="E106" i="22"/>
  <c r="E107" i="22"/>
  <c r="E108" i="22"/>
  <c r="E109" i="22"/>
  <c r="E110" i="22"/>
  <c r="E111" i="22"/>
  <c r="E112" i="22"/>
  <c r="E113" i="22"/>
  <c r="E114" i="22"/>
  <c r="E115"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3" i="22"/>
  <c r="E144" i="22"/>
  <c r="E145" i="22"/>
  <c r="E146" i="22"/>
  <c r="E147" i="22"/>
  <c r="E148" i="22"/>
  <c r="E149" i="22"/>
  <c r="E150" i="22"/>
  <c r="E151" i="22"/>
  <c r="E152" i="22"/>
  <c r="E153" i="22"/>
  <c r="E154" i="22"/>
  <c r="E155"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79" i="22"/>
  <c r="E180" i="22"/>
  <c r="E181" i="22"/>
  <c r="E182" i="22"/>
  <c r="E183" i="22"/>
  <c r="E184" i="22"/>
  <c r="E185" i="22"/>
  <c r="E186" i="22"/>
  <c r="E187" i="22"/>
  <c r="E188" i="22"/>
  <c r="E189" i="22"/>
  <c r="E191" i="22"/>
  <c r="E192" i="22"/>
  <c r="E193" i="22"/>
  <c r="E194" i="22"/>
  <c r="E195" i="22"/>
  <c r="E196" i="22"/>
  <c r="E197" i="22"/>
  <c r="E198" i="22"/>
  <c r="E199" i="22"/>
  <c r="E200" i="22"/>
  <c r="E201" i="22"/>
  <c r="E202" i="22"/>
  <c r="E203" i="22"/>
  <c r="E204" i="22"/>
  <c r="E205" i="22"/>
  <c r="E206" i="22"/>
  <c r="E207" i="22"/>
  <c r="E208" i="22"/>
  <c r="E209" i="22"/>
  <c r="E210" i="22"/>
  <c r="E211" i="22"/>
  <c r="E212" i="22"/>
  <c r="E213" i="22"/>
  <c r="E214" i="22"/>
  <c r="E215" i="22"/>
  <c r="E216" i="22"/>
  <c r="E217" i="22"/>
  <c r="E218" i="22"/>
  <c r="E219" i="22"/>
  <c r="E220" i="22"/>
  <c r="E221" i="22"/>
  <c r="E222" i="22"/>
  <c r="E223" i="22"/>
  <c r="E224" i="22"/>
  <c r="E225" i="22"/>
  <c r="E226" i="22"/>
  <c r="E227" i="22"/>
  <c r="E228" i="22"/>
  <c r="E229" i="22"/>
  <c r="E230" i="22"/>
  <c r="E231" i="22"/>
  <c r="E232" i="22"/>
  <c r="E233" i="22"/>
  <c r="E234" i="22"/>
  <c r="E235" i="22"/>
  <c r="E236" i="22"/>
  <c r="E237" i="22"/>
  <c r="E238" i="22"/>
  <c r="E239" i="22"/>
  <c r="E240" i="22"/>
  <c r="E241" i="22"/>
  <c r="E242" i="22"/>
  <c r="E243" i="22"/>
  <c r="E244" i="22"/>
  <c r="E245" i="22"/>
  <c r="E246" i="22"/>
  <c r="E247" i="22"/>
  <c r="E248" i="22"/>
  <c r="E249" i="22"/>
  <c r="E250" i="22"/>
  <c r="E251" i="22"/>
  <c r="E252" i="22"/>
  <c r="E253" i="22"/>
  <c r="E254" i="22"/>
  <c r="E255" i="22"/>
  <c r="E257" i="22"/>
  <c r="E258" i="22"/>
  <c r="E259" i="22"/>
  <c r="E260" i="22"/>
  <c r="E261" i="22"/>
  <c r="E262" i="22"/>
  <c r="E263" i="22"/>
  <c r="E264" i="22"/>
  <c r="E265" i="22"/>
  <c r="E266" i="22"/>
  <c r="E267" i="22"/>
  <c r="E268" i="22"/>
  <c r="E269" i="22"/>
  <c r="E270" i="22"/>
  <c r="E271" i="22"/>
  <c r="E272" i="22"/>
  <c r="E273" i="22"/>
  <c r="E274" i="22"/>
  <c r="E275" i="22"/>
  <c r="E276" i="22"/>
  <c r="E277" i="22"/>
  <c r="E278" i="22"/>
  <c r="E279" i="22"/>
  <c r="E280" i="22"/>
  <c r="E281" i="22"/>
  <c r="E282" i="22"/>
  <c r="E283" i="22"/>
  <c r="E284" i="22"/>
  <c r="E285" i="22"/>
  <c r="E286" i="22"/>
  <c r="F81" i="6" l="1"/>
  <c r="F89" i="6"/>
  <c r="F19" i="6"/>
  <c r="F27" i="6"/>
  <c r="F42" i="6"/>
  <c r="F50" i="6"/>
  <c r="F4" i="6"/>
  <c r="F21" i="6"/>
  <c r="F58" i="6"/>
  <c r="F66" i="6"/>
  <c r="F74" i="6"/>
  <c r="H3" i="21"/>
  <c r="H4" i="21"/>
  <c r="H5" i="21"/>
  <c r="H6" i="21"/>
  <c r="F12" i="6" s="1"/>
  <c r="H7" i="21"/>
  <c r="H8" i="21"/>
  <c r="H9" i="21"/>
  <c r="H10" i="21"/>
  <c r="H11" i="21"/>
  <c r="H12" i="21"/>
  <c r="H13" i="21"/>
  <c r="H14" i="21"/>
  <c r="H15" i="21"/>
  <c r="H16" i="21"/>
  <c r="H17" i="21"/>
  <c r="H18" i="21"/>
  <c r="H19" i="21"/>
  <c r="H20" i="21"/>
  <c r="H21" i="21"/>
  <c r="H22" i="21"/>
  <c r="H23" i="21"/>
  <c r="H24" i="21"/>
  <c r="H25" i="21"/>
  <c r="H26" i="21"/>
  <c r="H27" i="21"/>
  <c r="H28" i="21"/>
  <c r="H29" i="21"/>
  <c r="H30" i="21"/>
  <c r="H31" i="21"/>
  <c r="H32" i="21"/>
  <c r="H33" i="21"/>
  <c r="H34" i="21"/>
  <c r="H35" i="21"/>
  <c r="H36" i="21"/>
  <c r="H37" i="21"/>
  <c r="H38" i="21"/>
  <c r="H39" i="21"/>
  <c r="H40" i="21"/>
  <c r="H41" i="21"/>
  <c r="H42" i="21"/>
  <c r="H43" i="21"/>
  <c r="H44" i="21"/>
  <c r="H45" i="21"/>
  <c r="H46" i="21"/>
  <c r="H47" i="21"/>
  <c r="H48" i="21"/>
  <c r="H49" i="21"/>
  <c r="H50" i="21"/>
  <c r="H51" i="21"/>
  <c r="H52" i="21"/>
  <c r="H53" i="21"/>
  <c r="H54" i="21"/>
  <c r="H55" i="21"/>
  <c r="H56" i="21"/>
  <c r="H57" i="21"/>
  <c r="H58" i="21"/>
  <c r="H59" i="21"/>
  <c r="H60" i="21"/>
  <c r="H61" i="21"/>
  <c r="H62" i="21"/>
  <c r="H63" i="21"/>
  <c r="H64" i="21"/>
  <c r="H65" i="21"/>
  <c r="H66" i="21"/>
  <c r="H67" i="21"/>
  <c r="H68" i="21"/>
  <c r="H69" i="21"/>
  <c r="H70" i="21"/>
  <c r="H71" i="21"/>
  <c r="H72" i="21"/>
  <c r="H73" i="21"/>
  <c r="H74" i="21"/>
  <c r="H75" i="21"/>
  <c r="H76" i="21"/>
  <c r="H77" i="21"/>
  <c r="H78" i="21"/>
  <c r="H79" i="21"/>
  <c r="H80" i="21"/>
  <c r="H81" i="21"/>
  <c r="H82" i="21"/>
  <c r="H83" i="21"/>
  <c r="H84" i="21"/>
  <c r="H85" i="21"/>
  <c r="H86" i="21"/>
  <c r="H87" i="21"/>
  <c r="H88" i="21"/>
  <c r="H89" i="21"/>
  <c r="H90" i="21"/>
  <c r="H91" i="21"/>
  <c r="H92" i="21"/>
  <c r="H93" i="21"/>
  <c r="H94" i="21"/>
  <c r="H95" i="21"/>
  <c r="H96" i="21"/>
  <c r="H97" i="21"/>
  <c r="H98" i="21"/>
  <c r="H99" i="21"/>
  <c r="H100" i="21"/>
  <c r="H101" i="21"/>
  <c r="H102" i="21"/>
  <c r="H103" i="21"/>
  <c r="H104" i="21"/>
  <c r="H105" i="21"/>
  <c r="H106" i="21"/>
  <c r="H107" i="21"/>
  <c r="H108" i="21"/>
  <c r="H109" i="21"/>
  <c r="H110" i="21"/>
  <c r="H111" i="21"/>
  <c r="H112" i="21"/>
  <c r="H113" i="21"/>
  <c r="H114" i="21"/>
  <c r="H115" i="21"/>
  <c r="H116" i="21"/>
  <c r="H117" i="21"/>
  <c r="H118" i="21"/>
  <c r="H119" i="21"/>
  <c r="H120" i="21"/>
  <c r="H121" i="21"/>
  <c r="H122" i="21"/>
  <c r="H123" i="21"/>
  <c r="H124" i="21"/>
  <c r="H125" i="21"/>
  <c r="H126" i="21"/>
  <c r="H127" i="21"/>
  <c r="H128" i="21"/>
  <c r="H129" i="21"/>
  <c r="H130" i="21"/>
  <c r="H131" i="21"/>
  <c r="H132" i="21"/>
  <c r="H133" i="21"/>
  <c r="H134" i="21"/>
  <c r="H135" i="21"/>
  <c r="H136" i="21"/>
  <c r="H137" i="21"/>
  <c r="H138" i="21"/>
  <c r="H139" i="21"/>
  <c r="H140" i="21"/>
  <c r="H141" i="21"/>
  <c r="H142" i="21"/>
  <c r="H143" i="21"/>
  <c r="H144" i="21"/>
  <c r="H145" i="21"/>
  <c r="H146" i="21"/>
  <c r="H147" i="21"/>
  <c r="H148" i="21"/>
  <c r="H149" i="21"/>
  <c r="H150" i="21"/>
  <c r="H151" i="21"/>
  <c r="H152" i="21"/>
  <c r="H153" i="21"/>
  <c r="H154" i="21"/>
  <c r="H155" i="21"/>
  <c r="H156" i="21"/>
  <c r="H157" i="21"/>
  <c r="H158" i="21"/>
  <c r="H159" i="21"/>
  <c r="H160" i="21"/>
  <c r="H161" i="21"/>
  <c r="H162" i="21"/>
  <c r="H163" i="21"/>
  <c r="H164" i="21"/>
  <c r="H165" i="21"/>
  <c r="H166" i="21"/>
  <c r="H167" i="21"/>
  <c r="H168" i="21"/>
  <c r="H169" i="21"/>
  <c r="H170" i="21"/>
  <c r="H171" i="21"/>
  <c r="H172" i="21"/>
  <c r="H173" i="21"/>
  <c r="H174" i="21"/>
  <c r="H175" i="21"/>
  <c r="H176" i="21"/>
  <c r="H177" i="21"/>
  <c r="H178" i="21"/>
  <c r="H179" i="21"/>
  <c r="H180" i="21"/>
  <c r="H181" i="21"/>
  <c r="H182" i="21"/>
  <c r="H183" i="21"/>
  <c r="H184" i="21"/>
  <c r="H185" i="21"/>
  <c r="H186" i="21"/>
  <c r="H187" i="21"/>
  <c r="H188" i="21"/>
  <c r="H189" i="21"/>
  <c r="H190" i="21"/>
  <c r="H191" i="21"/>
  <c r="H192" i="21"/>
  <c r="H193" i="21"/>
  <c r="H194" i="21"/>
  <c r="H195" i="21"/>
  <c r="H196" i="21"/>
  <c r="H197" i="21"/>
  <c r="H198" i="21"/>
  <c r="H199" i="21"/>
  <c r="H200" i="21"/>
  <c r="H201" i="21"/>
  <c r="H202" i="21"/>
  <c r="H203" i="21"/>
  <c r="H204" i="21"/>
  <c r="H205" i="21"/>
  <c r="H206" i="21"/>
  <c r="H207" i="21"/>
  <c r="H208" i="21"/>
  <c r="H209" i="21"/>
  <c r="H210" i="21"/>
  <c r="H211" i="21"/>
  <c r="H212" i="21"/>
  <c r="H213" i="21"/>
  <c r="H214" i="21"/>
  <c r="H215" i="21"/>
  <c r="H216" i="21"/>
  <c r="H217" i="21"/>
  <c r="H218" i="21"/>
  <c r="H219" i="21"/>
  <c r="H220" i="21"/>
  <c r="H221" i="21"/>
  <c r="H222" i="21"/>
  <c r="H223" i="21"/>
  <c r="H224" i="21"/>
  <c r="H225" i="21"/>
  <c r="H226" i="21"/>
  <c r="H227" i="21"/>
  <c r="H228" i="21"/>
  <c r="H229" i="21"/>
  <c r="H230" i="21"/>
  <c r="H231" i="21"/>
  <c r="H232" i="21"/>
  <c r="H233" i="21"/>
  <c r="H234" i="21"/>
  <c r="H235" i="21"/>
  <c r="H236" i="21"/>
  <c r="H237" i="21"/>
  <c r="H238" i="21"/>
  <c r="H239" i="21"/>
  <c r="H240" i="21"/>
  <c r="H241" i="21"/>
  <c r="H242" i="21"/>
  <c r="H243" i="21"/>
  <c r="H244" i="21"/>
  <c r="H245" i="21"/>
  <c r="H246" i="21"/>
  <c r="H247" i="21"/>
  <c r="H248" i="21"/>
  <c r="H249" i="21"/>
  <c r="H250" i="21"/>
  <c r="H251" i="21"/>
  <c r="H252" i="21"/>
  <c r="H253" i="21"/>
  <c r="H254" i="21"/>
  <c r="H255" i="21"/>
  <c r="H256" i="21"/>
  <c r="H257" i="21"/>
  <c r="H258" i="21"/>
  <c r="H259" i="21"/>
  <c r="H260" i="21"/>
  <c r="H261" i="21"/>
  <c r="H262" i="21"/>
  <c r="H263" i="21"/>
  <c r="H264" i="21"/>
  <c r="H265" i="21"/>
  <c r="H266" i="21"/>
  <c r="H267" i="21"/>
  <c r="H268" i="21"/>
  <c r="H269" i="21"/>
  <c r="H270" i="21"/>
  <c r="H271" i="21"/>
  <c r="H272" i="21"/>
  <c r="H273" i="21"/>
  <c r="H274" i="21"/>
  <c r="H275" i="21"/>
  <c r="H276" i="21"/>
  <c r="H277" i="21"/>
  <c r="H278" i="21"/>
  <c r="H279" i="21"/>
  <c r="H280" i="21"/>
  <c r="H281" i="21"/>
  <c r="H282" i="21"/>
  <c r="H283" i="21"/>
  <c r="H284" i="21"/>
  <c r="H285" i="21"/>
  <c r="H286" i="21"/>
  <c r="H287" i="21"/>
  <c r="H288" i="21"/>
  <c r="H289" i="21"/>
  <c r="H290" i="21"/>
  <c r="H291" i="21"/>
  <c r="H292" i="21"/>
  <c r="H293" i="21"/>
  <c r="H294" i="21"/>
  <c r="H295" i="21"/>
  <c r="H296" i="21"/>
  <c r="H297" i="21"/>
  <c r="H298" i="21"/>
  <c r="H299" i="21"/>
  <c r="H300" i="21"/>
  <c r="H301" i="21"/>
  <c r="H302" i="21"/>
  <c r="H303" i="21"/>
  <c r="H304" i="21"/>
  <c r="H305" i="21"/>
  <c r="H306" i="21"/>
  <c r="H307" i="21"/>
  <c r="H308" i="21"/>
  <c r="H309" i="21"/>
  <c r="H310" i="21"/>
  <c r="H311" i="21"/>
  <c r="H312" i="21"/>
  <c r="H313" i="21"/>
  <c r="H314" i="21"/>
  <c r="H315" i="21"/>
  <c r="H316" i="21"/>
  <c r="H317" i="21"/>
  <c r="H318" i="21"/>
  <c r="H319" i="21"/>
  <c r="H320" i="21"/>
  <c r="H321" i="21"/>
  <c r="H322" i="21"/>
  <c r="H323" i="21"/>
  <c r="H324" i="21"/>
  <c r="H325" i="21"/>
  <c r="H326" i="21"/>
  <c r="H2" i="21"/>
  <c r="F144" i="6" l="1"/>
  <c r="F152" i="6"/>
  <c r="F269" i="6"/>
  <c r="F206" i="6"/>
  <c r="F261" i="6"/>
  <c r="F198" i="6"/>
  <c r="F136" i="6"/>
  <c r="F253" i="6"/>
  <c r="F191" i="6"/>
  <c r="F128" i="6"/>
  <c r="F245" i="6"/>
  <c r="F183" i="6"/>
  <c r="F120" i="6"/>
  <c r="F237" i="6"/>
  <c r="F175" i="6"/>
  <c r="F113" i="6"/>
  <c r="F230" i="6"/>
  <c r="F167" i="6"/>
  <c r="F105" i="6"/>
  <c r="F222" i="6"/>
  <c r="F159" i="6"/>
  <c r="F97" i="6"/>
  <c r="F276" i="6"/>
  <c r="F214" i="6"/>
  <c r="F35" i="6"/>
  <c r="F11" i="6"/>
  <c r="F275" i="6"/>
  <c r="F268" i="6"/>
  <c r="F260" i="6"/>
  <c r="F252" i="6"/>
  <c r="F244" i="6"/>
  <c r="F236" i="6"/>
  <c r="F229" i="6"/>
  <c r="F221" i="6"/>
  <c r="F213" i="6"/>
  <c r="F205" i="6"/>
  <c r="F197" i="6"/>
  <c r="F190" i="6"/>
  <c r="F182" i="6"/>
  <c r="F174" i="6"/>
  <c r="F166" i="6"/>
  <c r="F158" i="6"/>
  <c r="F151" i="6"/>
  <c r="F143" i="6"/>
  <c r="F135" i="6"/>
  <c r="F127" i="6"/>
  <c r="F119" i="6"/>
  <c r="F112" i="6"/>
  <c r="F104" i="6"/>
  <c r="F96" i="6"/>
  <c r="F88" i="6"/>
  <c r="F80" i="6"/>
  <c r="F73" i="6"/>
  <c r="F65" i="6"/>
  <c r="F57" i="6"/>
  <c r="F49" i="6"/>
  <c r="F41" i="6"/>
  <c r="F34" i="6"/>
  <c r="F26" i="6"/>
  <c r="F18" i="6"/>
  <c r="F10" i="6"/>
  <c r="F274" i="6"/>
  <c r="F267" i="6"/>
  <c r="F259" i="6"/>
  <c r="F251" i="6"/>
  <c r="F243" i="6"/>
  <c r="F235" i="6"/>
  <c r="F228" i="6"/>
  <c r="F220" i="6"/>
  <c r="F212" i="6"/>
  <c r="F204" i="6"/>
  <c r="F196" i="6"/>
  <c r="F189" i="6"/>
  <c r="F181" i="6"/>
  <c r="F173" i="6"/>
  <c r="F165" i="6"/>
  <c r="F157" i="6"/>
  <c r="F150" i="6"/>
  <c r="F142" i="6"/>
  <c r="F134" i="6"/>
  <c r="F126" i="6"/>
  <c r="F118" i="6"/>
  <c r="F111" i="6"/>
  <c r="F103" i="6"/>
  <c r="F95" i="6"/>
  <c r="F87" i="6"/>
  <c r="F79" i="6"/>
  <c r="F72" i="6"/>
  <c r="F64" i="6"/>
  <c r="F56" i="6"/>
  <c r="F48" i="6"/>
  <c r="F40" i="6"/>
  <c r="F33" i="6"/>
  <c r="F25" i="6"/>
  <c r="F17" i="6"/>
  <c r="F9" i="6"/>
  <c r="F281" i="6"/>
  <c r="F266" i="6"/>
  <c r="F258" i="6"/>
  <c r="F250" i="6"/>
  <c r="F242" i="6"/>
  <c r="F227" i="6"/>
  <c r="F219" i="6"/>
  <c r="F211" i="6"/>
  <c r="F203" i="6"/>
  <c r="F188" i="6"/>
  <c r="F180" i="6"/>
  <c r="F172" i="6"/>
  <c r="F164" i="6"/>
  <c r="F149" i="6"/>
  <c r="F141" i="6"/>
  <c r="F133" i="6"/>
  <c r="F125" i="6"/>
  <c r="F110" i="6"/>
  <c r="F102" i="6"/>
  <c r="F94" i="6"/>
  <c r="F86" i="6"/>
  <c r="F71" i="6"/>
  <c r="F63" i="6"/>
  <c r="F55" i="6"/>
  <c r="F47" i="6"/>
  <c r="F32" i="6"/>
  <c r="F24" i="6"/>
  <c r="F16" i="6"/>
  <c r="F8" i="6"/>
  <c r="F280" i="6"/>
  <c r="F273" i="6"/>
  <c r="F265" i="6"/>
  <c r="F257" i="6"/>
  <c r="F249" i="6"/>
  <c r="F241" i="6"/>
  <c r="F234" i="6"/>
  <c r="F226" i="6"/>
  <c r="F218" i="6"/>
  <c r="F210" i="6"/>
  <c r="F202" i="6"/>
  <c r="F195" i="6"/>
  <c r="F187" i="6"/>
  <c r="F179" i="6"/>
  <c r="F171" i="6"/>
  <c r="F163" i="6"/>
  <c r="F156" i="6"/>
  <c r="F148" i="6"/>
  <c r="F140" i="6"/>
  <c r="F132" i="6"/>
  <c r="F124" i="6"/>
  <c r="F117" i="6"/>
  <c r="F109" i="6"/>
  <c r="F101" i="6"/>
  <c r="F93" i="6"/>
  <c r="F85" i="6"/>
  <c r="F78" i="6"/>
  <c r="F70" i="6"/>
  <c r="F62" i="6"/>
  <c r="F54" i="6"/>
  <c r="F46" i="6"/>
  <c r="F39" i="6"/>
  <c r="F31" i="6"/>
  <c r="F23" i="6"/>
  <c r="F15" i="6"/>
  <c r="F279" i="6"/>
  <c r="F272" i="6"/>
  <c r="F264" i="6"/>
  <c r="F256" i="6"/>
  <c r="F248" i="6"/>
  <c r="F240" i="6"/>
  <c r="F233" i="6"/>
  <c r="F225" i="6"/>
  <c r="F217" i="6"/>
  <c r="F209" i="6"/>
  <c r="F201" i="6"/>
  <c r="F194" i="6"/>
  <c r="F186" i="6"/>
  <c r="F178" i="6"/>
  <c r="F170" i="6"/>
  <c r="F162" i="6"/>
  <c r="F155" i="6"/>
  <c r="F147" i="6"/>
  <c r="F139" i="6"/>
  <c r="F131" i="6"/>
  <c r="F123" i="6"/>
  <c r="F116" i="6"/>
  <c r="F108" i="6"/>
  <c r="F100" i="6"/>
  <c r="F92" i="6"/>
  <c r="F84" i="6"/>
  <c r="F77" i="6"/>
  <c r="F69" i="6"/>
  <c r="F61" i="6"/>
  <c r="F53" i="6"/>
  <c r="F45" i="6"/>
  <c r="F38" i="6"/>
  <c r="F30" i="6"/>
  <c r="F22" i="6"/>
  <c r="F14" i="6"/>
  <c r="F7" i="6"/>
  <c r="F278" i="6"/>
  <c r="F271" i="6"/>
  <c r="F263" i="6"/>
  <c r="F255" i="6"/>
  <c r="F247" i="6"/>
  <c r="F239" i="6"/>
  <c r="F232" i="6"/>
  <c r="F224" i="6"/>
  <c r="F216" i="6"/>
  <c r="F208" i="6"/>
  <c r="F200" i="6"/>
  <c r="F193" i="6"/>
  <c r="F185" i="6"/>
  <c r="F177" i="6"/>
  <c r="F169" i="6"/>
  <c r="F161" i="6"/>
  <c r="F154" i="6"/>
  <c r="F146" i="6"/>
  <c r="F138" i="6"/>
  <c r="F130" i="6"/>
  <c r="F122" i="6"/>
  <c r="F115" i="6"/>
  <c r="F107" i="6"/>
  <c r="F99" i="6"/>
  <c r="F91" i="6"/>
  <c r="F83" i="6"/>
  <c r="F76" i="6"/>
  <c r="F68" i="6"/>
  <c r="F60" i="6"/>
  <c r="F52" i="6"/>
  <c r="F44" i="6"/>
  <c r="F37" i="6"/>
  <c r="F29" i="6"/>
  <c r="F13" i="6"/>
  <c r="F6" i="6"/>
  <c r="F277" i="6"/>
  <c r="F270" i="6"/>
  <c r="F262" i="6"/>
  <c r="F254" i="6"/>
  <c r="F246" i="6"/>
  <c r="F238" i="6"/>
  <c r="F231" i="6"/>
  <c r="F223" i="6"/>
  <c r="F215" i="6"/>
  <c r="F207" i="6"/>
  <c r="F199" i="6"/>
  <c r="F192" i="6"/>
  <c r="F184" i="6"/>
  <c r="F176" i="6"/>
  <c r="F168" i="6"/>
  <c r="F160" i="6"/>
  <c r="F153" i="6"/>
  <c r="F145" i="6"/>
  <c r="F137" i="6"/>
  <c r="F129" i="6"/>
  <c r="F121" i="6"/>
  <c r="F114" i="6"/>
  <c r="F106" i="6"/>
  <c r="F98" i="6"/>
  <c r="F90" i="6"/>
  <c r="F82" i="6"/>
  <c r="F75" i="6"/>
  <c r="F67" i="6"/>
  <c r="F59" i="6"/>
  <c r="F51" i="6"/>
  <c r="F43" i="6"/>
  <c r="F36" i="6"/>
  <c r="F20" i="6"/>
  <c r="F5" i="6"/>
  <c r="F28" i="6" l="1"/>
  <c r="G248" i="9" s="1"/>
  <c r="G116" i="9" l="1"/>
  <c r="G219" i="9"/>
  <c r="G158" i="9"/>
  <c r="G201" i="9"/>
  <c r="G54" i="9"/>
  <c r="G164" i="9"/>
  <c r="G275" i="9"/>
  <c r="G97" i="9"/>
  <c r="G57" i="9"/>
  <c r="G198" i="9"/>
  <c r="G221" i="9"/>
  <c r="G44" i="9"/>
  <c r="G35" i="9"/>
  <c r="G106" i="9"/>
  <c r="G202" i="9"/>
  <c r="G94" i="9"/>
  <c r="G259" i="9"/>
  <c r="G154" i="9"/>
  <c r="G159" i="9"/>
  <c r="G176" i="9"/>
  <c r="G261" i="9"/>
  <c r="G223" i="9"/>
  <c r="G189" i="9"/>
  <c r="G51" i="9"/>
  <c r="G79" i="9"/>
  <c r="G185" i="9"/>
  <c r="G180" i="9"/>
  <c r="G215" i="9"/>
  <c r="G188" i="9"/>
  <c r="G163" i="9"/>
  <c r="G170" i="9"/>
  <c r="G269" i="9"/>
  <c r="G222" i="9"/>
  <c r="G227" i="9"/>
  <c r="G214" i="9"/>
  <c r="G143" i="9"/>
  <c r="G225" i="9"/>
  <c r="G89" i="9"/>
  <c r="G80" i="9"/>
  <c r="G175" i="9"/>
  <c r="G191" i="9"/>
  <c r="G112" i="9"/>
  <c r="G3" i="9"/>
  <c r="G220" i="9"/>
  <c r="G252" i="9"/>
  <c r="G110" i="9"/>
  <c r="G125" i="9"/>
  <c r="G280" i="9"/>
  <c r="G137" i="9"/>
  <c r="G140" i="9"/>
  <c r="G207" i="9"/>
  <c r="G254" i="9"/>
  <c r="G253" i="9"/>
  <c r="G64" i="9"/>
  <c r="G22" i="9"/>
  <c r="G10" i="9"/>
  <c r="G217" i="9"/>
  <c r="G144" i="9"/>
  <c r="G240" i="9"/>
  <c r="G232" i="9"/>
  <c r="G26" i="9"/>
  <c r="G209" i="9"/>
  <c r="G77" i="9"/>
  <c r="G162" i="9"/>
  <c r="G62" i="9"/>
  <c r="G43" i="9"/>
  <c r="G19" i="9"/>
  <c r="G122" i="9"/>
  <c r="G40" i="9"/>
  <c r="G30" i="9"/>
  <c r="G282" i="9"/>
  <c r="G150" i="9"/>
  <c r="G85" i="9"/>
  <c r="G115" i="9"/>
  <c r="G21" i="9"/>
  <c r="G285" i="9"/>
  <c r="G48" i="9"/>
  <c r="G117" i="9"/>
  <c r="G90" i="9"/>
  <c r="G17" i="9"/>
  <c r="G126" i="9"/>
  <c r="G226" i="9"/>
  <c r="G165" i="9"/>
  <c r="G25" i="9"/>
  <c r="G258" i="9"/>
  <c r="G83" i="9"/>
  <c r="G186" i="9"/>
  <c r="G267" i="9"/>
  <c r="G8" i="9"/>
  <c r="G86" i="9"/>
  <c r="G242" i="9"/>
  <c r="G102" i="9"/>
  <c r="G24" i="9"/>
  <c r="G108" i="9"/>
  <c r="G236" i="9"/>
  <c r="G179" i="9"/>
  <c r="G272" i="9"/>
  <c r="G28" i="9"/>
  <c r="G278" i="9"/>
  <c r="G155" i="9"/>
  <c r="G166" i="9"/>
  <c r="G128" i="9"/>
  <c r="G190" i="9"/>
  <c r="G245" i="9"/>
  <c r="G11" i="9"/>
  <c r="G78" i="9"/>
  <c r="G273" i="9"/>
  <c r="G70" i="9"/>
  <c r="G239" i="9"/>
  <c r="G124" i="9"/>
  <c r="G244" i="9"/>
  <c r="G56" i="9"/>
  <c r="G92" i="9"/>
  <c r="G53" i="9"/>
  <c r="G246" i="9"/>
  <c r="G113" i="9"/>
  <c r="G75" i="9"/>
  <c r="G9" i="9"/>
  <c r="G276" i="9"/>
  <c r="G152" i="9"/>
  <c r="G118" i="9"/>
  <c r="G153" i="9"/>
  <c r="G133" i="9"/>
  <c r="G2" i="9"/>
  <c r="G241" i="9"/>
  <c r="G156" i="9"/>
  <c r="G149" i="9"/>
  <c r="G218" i="9"/>
  <c r="G96" i="9"/>
  <c r="G142" i="9"/>
  <c r="G67" i="9"/>
  <c r="G36" i="9"/>
  <c r="G161" i="9"/>
  <c r="G247" i="9"/>
  <c r="G72" i="9"/>
  <c r="G204" i="9"/>
  <c r="G119" i="9"/>
  <c r="G39" i="9"/>
  <c r="G211" i="9"/>
  <c r="G45" i="9"/>
  <c r="G88" i="9"/>
  <c r="G27" i="9"/>
  <c r="G182" i="9"/>
  <c r="G171" i="9"/>
  <c r="G71" i="9"/>
  <c r="G18" i="9"/>
  <c r="G109" i="9"/>
  <c r="G279" i="9"/>
  <c r="G283" i="9"/>
  <c r="G172" i="9"/>
  <c r="G46" i="9"/>
  <c r="G66" i="9"/>
  <c r="G127" i="9"/>
  <c r="G192" i="9"/>
  <c r="G131" i="9"/>
  <c r="G52" i="9"/>
  <c r="G55" i="9"/>
  <c r="G145" i="9"/>
  <c r="G136" i="9"/>
  <c r="G68" i="9"/>
  <c r="G206" i="9"/>
  <c r="G103" i="9"/>
  <c r="G50" i="9"/>
  <c r="G173" i="9"/>
  <c r="G129" i="9"/>
  <c r="G284" i="9"/>
  <c r="G205" i="9"/>
  <c r="G135" i="9"/>
  <c r="G82" i="9"/>
  <c r="G41" i="9"/>
  <c r="G238" i="9"/>
  <c r="G274" i="9"/>
  <c r="G120" i="9"/>
  <c r="G59" i="9"/>
  <c r="G4" i="9"/>
  <c r="G174" i="9"/>
  <c r="G196" i="9"/>
  <c r="G194" i="9"/>
  <c r="G168" i="9"/>
  <c r="G23" i="9"/>
  <c r="G257" i="9"/>
  <c r="G195" i="9"/>
  <c r="G13" i="9"/>
  <c r="G262" i="9"/>
  <c r="G32" i="9"/>
  <c r="G255" i="9"/>
  <c r="G271" i="9"/>
  <c r="G200" i="9"/>
  <c r="G139" i="9"/>
  <c r="G38" i="9"/>
  <c r="G84" i="9"/>
  <c r="G277" i="9"/>
  <c r="G167" i="9"/>
  <c r="G114" i="9"/>
  <c r="G105" i="9"/>
  <c r="G33" i="9"/>
  <c r="G5" i="9"/>
  <c r="G216" i="9"/>
  <c r="G121" i="9"/>
  <c r="G183" i="9"/>
  <c r="G263" i="9"/>
  <c r="G93" i="9"/>
  <c r="G101" i="9"/>
  <c r="G235" i="9"/>
  <c r="G60" i="9"/>
  <c r="G91" i="9"/>
  <c r="G208" i="9"/>
  <c r="G147" i="9"/>
  <c r="G132" i="9"/>
  <c r="G251" i="9"/>
  <c r="G212" i="9"/>
  <c r="G138" i="9"/>
  <c r="G199" i="9"/>
  <c r="G146" i="9"/>
  <c r="G169" i="9"/>
  <c r="G177" i="9"/>
  <c r="G69" i="9"/>
  <c r="G184" i="9"/>
  <c r="G123" i="9"/>
  <c r="G181" i="9"/>
  <c r="G20" i="9"/>
  <c r="G61" i="9"/>
  <c r="G99" i="9"/>
  <c r="G74" i="9"/>
  <c r="G87" i="9"/>
  <c r="G34" i="9"/>
  <c r="G260" i="9"/>
  <c r="G141" i="9"/>
  <c r="G49" i="9"/>
  <c r="G224" i="9"/>
  <c r="G193" i="9"/>
  <c r="G31" i="9"/>
  <c r="G265" i="9"/>
  <c r="G203" i="9"/>
  <c r="G29" i="9"/>
  <c r="G6" i="9"/>
  <c r="G63" i="9"/>
  <c r="G231" i="9"/>
  <c r="G178" i="9"/>
  <c r="G233" i="9"/>
  <c r="G100" i="9"/>
  <c r="G47" i="9"/>
  <c r="G281" i="9"/>
  <c r="G250" i="9"/>
  <c r="G160" i="9"/>
  <c r="G228" i="9"/>
  <c r="G14" i="9"/>
  <c r="G7" i="9"/>
  <c r="G264" i="9"/>
  <c r="G210" i="9"/>
  <c r="G12" i="9"/>
  <c r="G197" i="9"/>
  <c r="G15" i="9"/>
  <c r="G249" i="9"/>
  <c r="G187" i="9"/>
  <c r="G148" i="9"/>
  <c r="G213" i="9"/>
  <c r="G65" i="9"/>
  <c r="G266" i="9"/>
  <c r="G107" i="9"/>
  <c r="G151" i="9"/>
  <c r="G98" i="9"/>
  <c r="G73" i="9"/>
  <c r="G270" i="9"/>
  <c r="G229" i="9"/>
  <c r="G130" i="9"/>
  <c r="G256" i="9"/>
  <c r="G95" i="9"/>
  <c r="G42" i="9"/>
  <c r="G268" i="9"/>
  <c r="G157" i="9"/>
  <c r="G81" i="9"/>
  <c r="G104" i="9"/>
  <c r="G16" i="9"/>
  <c r="G243" i="9"/>
  <c r="G76" i="9"/>
  <c r="G134" i="9"/>
  <c r="G111" i="9"/>
  <c r="G58" i="9"/>
  <c r="G237" i="9"/>
  <c r="G234" i="9"/>
  <c r="G37" i="9"/>
  <c r="G230" i="9"/>
  <c r="O4" i="1" l="1"/>
  <c r="C16" i="8" l="1"/>
  <c r="F32" i="8"/>
  <c r="B36" i="8"/>
  <c r="K19" i="9"/>
  <c r="L19" i="9" s="1"/>
  <c r="K181" i="9"/>
  <c r="L181" i="9" s="1"/>
  <c r="K141" i="9"/>
  <c r="L141" i="9" s="1"/>
  <c r="K54" i="9"/>
  <c r="L54" i="9" s="1"/>
  <c r="K277" i="9" l="1"/>
  <c r="L277" i="9" s="1"/>
  <c r="K245" i="9"/>
  <c r="L245" i="9" s="1"/>
  <c r="K213" i="9"/>
  <c r="L213" i="9" s="1"/>
  <c r="K149" i="9"/>
  <c r="L149" i="9" s="1"/>
  <c r="K117" i="9"/>
  <c r="L117" i="9" s="1"/>
  <c r="K79" i="9"/>
  <c r="L79" i="9" s="1"/>
  <c r="K276" i="9"/>
  <c r="L276" i="9" s="1"/>
  <c r="K244" i="9"/>
  <c r="L244" i="9" s="1"/>
  <c r="K212" i="9"/>
  <c r="L212" i="9" s="1"/>
  <c r="K180" i="9"/>
  <c r="L180" i="9" s="1"/>
  <c r="K148" i="9"/>
  <c r="L148" i="9" s="1"/>
  <c r="K116" i="9"/>
  <c r="L116" i="9" s="1"/>
  <c r="K78" i="9"/>
  <c r="L78" i="9" s="1"/>
  <c r="K18" i="9"/>
  <c r="L18" i="9" s="1"/>
  <c r="K268" i="9"/>
  <c r="L268" i="9" s="1"/>
  <c r="K236" i="9"/>
  <c r="L236" i="9" s="1"/>
  <c r="K204" i="9"/>
  <c r="L204" i="9" s="1"/>
  <c r="K172" i="9"/>
  <c r="L172" i="9" s="1"/>
  <c r="K140" i="9"/>
  <c r="L140" i="9" s="1"/>
  <c r="K108" i="9"/>
  <c r="L108" i="9" s="1"/>
  <c r="K66" i="9"/>
  <c r="L66" i="9" s="1"/>
  <c r="C34" i="8"/>
  <c r="B35" i="8"/>
  <c r="B32" i="8"/>
  <c r="K173" i="9"/>
  <c r="L173" i="9" s="1"/>
  <c r="K109" i="9"/>
  <c r="L109" i="9" s="1"/>
  <c r="K261" i="9"/>
  <c r="L261" i="9" s="1"/>
  <c r="K229" i="9"/>
  <c r="L229" i="9" s="1"/>
  <c r="K197" i="9"/>
  <c r="L197" i="9" s="1"/>
  <c r="K165" i="9"/>
  <c r="L165" i="9" s="1"/>
  <c r="K133" i="9"/>
  <c r="L133" i="9" s="1"/>
  <c r="K101" i="9"/>
  <c r="L101" i="9" s="1"/>
  <c r="K269" i="9"/>
  <c r="L269" i="9" s="1"/>
  <c r="K205" i="9"/>
  <c r="L205" i="9" s="1"/>
  <c r="K67" i="9"/>
  <c r="L67" i="9" s="1"/>
  <c r="K8" i="9"/>
  <c r="L8" i="9" s="1"/>
  <c r="K16" i="9"/>
  <c r="L16" i="9" s="1"/>
  <c r="K24" i="9"/>
  <c r="L24" i="9" s="1"/>
  <c r="K32" i="9"/>
  <c r="L32" i="9" s="1"/>
  <c r="K40" i="9"/>
  <c r="L40" i="9" s="1"/>
  <c r="K48" i="9"/>
  <c r="L48" i="9" s="1"/>
  <c r="K56" i="9"/>
  <c r="L56" i="9" s="1"/>
  <c r="K64" i="9"/>
  <c r="L64" i="9" s="1"/>
  <c r="K72" i="9"/>
  <c r="L72" i="9" s="1"/>
  <c r="K80" i="9"/>
  <c r="L80" i="9" s="1"/>
  <c r="K88" i="9"/>
  <c r="L88" i="9" s="1"/>
  <c r="K9" i="9"/>
  <c r="L9" i="9" s="1"/>
  <c r="K17" i="9"/>
  <c r="L17" i="9" s="1"/>
  <c r="K25" i="9"/>
  <c r="L25" i="9" s="1"/>
  <c r="K33" i="9"/>
  <c r="L33" i="9" s="1"/>
  <c r="K41" i="9"/>
  <c r="L41" i="9" s="1"/>
  <c r="K49" i="9"/>
  <c r="L49" i="9" s="1"/>
  <c r="K57" i="9"/>
  <c r="L57" i="9" s="1"/>
  <c r="K65" i="9"/>
  <c r="L65" i="9" s="1"/>
  <c r="K73" i="9"/>
  <c r="L73" i="9" s="1"/>
  <c r="K81" i="9"/>
  <c r="L81" i="9" s="1"/>
  <c r="K89" i="9"/>
  <c r="L89" i="9" s="1"/>
  <c r="K5" i="9"/>
  <c r="L5" i="9" s="1"/>
  <c r="K13" i="9"/>
  <c r="L13" i="9" s="1"/>
  <c r="K21" i="9"/>
  <c r="L21" i="9" s="1"/>
  <c r="K29" i="9"/>
  <c r="L29" i="9" s="1"/>
  <c r="K37" i="9"/>
  <c r="L37" i="9" s="1"/>
  <c r="K45" i="9"/>
  <c r="L45" i="9" s="1"/>
  <c r="K53" i="9"/>
  <c r="L53" i="9" s="1"/>
  <c r="K61" i="9"/>
  <c r="L61" i="9" s="1"/>
  <c r="K69" i="9"/>
  <c r="L69" i="9" s="1"/>
  <c r="K77" i="9"/>
  <c r="L77" i="9" s="1"/>
  <c r="K85" i="9"/>
  <c r="L85" i="9" s="1"/>
  <c r="K93" i="9"/>
  <c r="L93" i="9" s="1"/>
  <c r="K6" i="9"/>
  <c r="L6" i="9" s="1"/>
  <c r="K14" i="9"/>
  <c r="L14" i="9" s="1"/>
  <c r="K22" i="9"/>
  <c r="L22" i="9" s="1"/>
  <c r="K30" i="9"/>
  <c r="L30" i="9" s="1"/>
  <c r="K38" i="9"/>
  <c r="L38" i="9" s="1"/>
  <c r="K7" i="9"/>
  <c r="L7" i="9" s="1"/>
  <c r="K15" i="9"/>
  <c r="L15" i="9" s="1"/>
  <c r="K23" i="9"/>
  <c r="L23" i="9" s="1"/>
  <c r="K31" i="9"/>
  <c r="L31" i="9" s="1"/>
  <c r="K39" i="9"/>
  <c r="L39" i="9" s="1"/>
  <c r="K20" i="9"/>
  <c r="L20" i="9" s="1"/>
  <c r="K43" i="9"/>
  <c r="L43" i="9" s="1"/>
  <c r="K55" i="9"/>
  <c r="L55" i="9" s="1"/>
  <c r="K68" i="9"/>
  <c r="L68" i="9" s="1"/>
  <c r="K82" i="9"/>
  <c r="L82" i="9" s="1"/>
  <c r="K94" i="9"/>
  <c r="L94" i="9" s="1"/>
  <c r="K102" i="9"/>
  <c r="L102" i="9" s="1"/>
  <c r="K110" i="9"/>
  <c r="L110" i="9" s="1"/>
  <c r="K118" i="9"/>
  <c r="L118" i="9" s="1"/>
  <c r="K126" i="9"/>
  <c r="L126" i="9" s="1"/>
  <c r="K134" i="9"/>
  <c r="L134" i="9" s="1"/>
  <c r="K142" i="9"/>
  <c r="L142" i="9" s="1"/>
  <c r="K150" i="9"/>
  <c r="L150" i="9" s="1"/>
  <c r="K158" i="9"/>
  <c r="L158" i="9" s="1"/>
  <c r="K166" i="9"/>
  <c r="L166" i="9" s="1"/>
  <c r="K174" i="9"/>
  <c r="L174" i="9" s="1"/>
  <c r="K182" i="9"/>
  <c r="L182" i="9" s="1"/>
  <c r="K190" i="9"/>
  <c r="L190" i="9" s="1"/>
  <c r="K198" i="9"/>
  <c r="L198" i="9" s="1"/>
  <c r="K206" i="9"/>
  <c r="L206" i="9" s="1"/>
  <c r="K214" i="9"/>
  <c r="L214" i="9" s="1"/>
  <c r="K222" i="9"/>
  <c r="L222" i="9" s="1"/>
  <c r="K230" i="9"/>
  <c r="L230" i="9" s="1"/>
  <c r="K238" i="9"/>
  <c r="L238" i="9" s="1"/>
  <c r="K246" i="9"/>
  <c r="L246" i="9" s="1"/>
  <c r="K254" i="9"/>
  <c r="L254" i="9" s="1"/>
  <c r="K262" i="9"/>
  <c r="L262" i="9" s="1"/>
  <c r="K270" i="9"/>
  <c r="L270" i="9" s="1"/>
  <c r="K278" i="9"/>
  <c r="L278" i="9" s="1"/>
  <c r="K3" i="9"/>
  <c r="L3" i="9" s="1"/>
  <c r="K26" i="9"/>
  <c r="L26" i="9" s="1"/>
  <c r="K44" i="9"/>
  <c r="L44" i="9" s="1"/>
  <c r="K58" i="9"/>
  <c r="L58" i="9" s="1"/>
  <c r="K70" i="9"/>
  <c r="L70" i="9" s="1"/>
  <c r="K83" i="9"/>
  <c r="L83" i="9" s="1"/>
  <c r="K95" i="9"/>
  <c r="L95" i="9" s="1"/>
  <c r="K103" i="9"/>
  <c r="L103" i="9" s="1"/>
  <c r="K111" i="9"/>
  <c r="L111" i="9" s="1"/>
  <c r="K119" i="9"/>
  <c r="L119" i="9" s="1"/>
  <c r="K127" i="9"/>
  <c r="L127" i="9" s="1"/>
  <c r="K135" i="9"/>
  <c r="L135" i="9" s="1"/>
  <c r="K143" i="9"/>
  <c r="L143" i="9" s="1"/>
  <c r="K151" i="9"/>
  <c r="L151" i="9" s="1"/>
  <c r="K159" i="9"/>
  <c r="L159" i="9" s="1"/>
  <c r="K167" i="9"/>
  <c r="L167" i="9" s="1"/>
  <c r="K175" i="9"/>
  <c r="L175" i="9" s="1"/>
  <c r="K183" i="9"/>
  <c r="L183" i="9" s="1"/>
  <c r="K191" i="9"/>
  <c r="L191" i="9" s="1"/>
  <c r="K199" i="9"/>
  <c r="L199" i="9" s="1"/>
  <c r="K207" i="9"/>
  <c r="L207" i="9" s="1"/>
  <c r="K215" i="9"/>
  <c r="L215" i="9" s="1"/>
  <c r="K223" i="9"/>
  <c r="L223" i="9" s="1"/>
  <c r="K231" i="9"/>
  <c r="L231" i="9" s="1"/>
  <c r="K239" i="9"/>
  <c r="L239" i="9" s="1"/>
  <c r="K247" i="9"/>
  <c r="L247" i="9" s="1"/>
  <c r="K255" i="9"/>
  <c r="L255" i="9" s="1"/>
  <c r="K263" i="9"/>
  <c r="L263" i="9" s="1"/>
  <c r="K271" i="9"/>
  <c r="L271" i="9" s="1"/>
  <c r="K279" i="9"/>
  <c r="L279" i="9" s="1"/>
  <c r="K4" i="9"/>
  <c r="L4" i="9" s="1"/>
  <c r="K27" i="9"/>
  <c r="L27" i="9" s="1"/>
  <c r="K46" i="9"/>
  <c r="L46" i="9" s="1"/>
  <c r="K59" i="9"/>
  <c r="L59" i="9" s="1"/>
  <c r="K71" i="9"/>
  <c r="L71" i="9" s="1"/>
  <c r="K84" i="9"/>
  <c r="L84" i="9" s="1"/>
  <c r="K96" i="9"/>
  <c r="L96" i="9" s="1"/>
  <c r="K104" i="9"/>
  <c r="L104" i="9" s="1"/>
  <c r="K112" i="9"/>
  <c r="L112" i="9" s="1"/>
  <c r="K120" i="9"/>
  <c r="L120" i="9" s="1"/>
  <c r="K128" i="9"/>
  <c r="L128" i="9" s="1"/>
  <c r="K136" i="9"/>
  <c r="L136" i="9" s="1"/>
  <c r="K144" i="9"/>
  <c r="L144" i="9" s="1"/>
  <c r="K152" i="9"/>
  <c r="L152" i="9" s="1"/>
  <c r="K160" i="9"/>
  <c r="L160" i="9" s="1"/>
  <c r="K168" i="9"/>
  <c r="L168" i="9" s="1"/>
  <c r="K176" i="9"/>
  <c r="L176" i="9" s="1"/>
  <c r="K184" i="9"/>
  <c r="L184" i="9" s="1"/>
  <c r="K192" i="9"/>
  <c r="L192" i="9" s="1"/>
  <c r="K200" i="9"/>
  <c r="L200" i="9" s="1"/>
  <c r="K208" i="9"/>
  <c r="L208" i="9" s="1"/>
  <c r="K216" i="9"/>
  <c r="L216" i="9" s="1"/>
  <c r="K224" i="9"/>
  <c r="L224" i="9" s="1"/>
  <c r="K232" i="9"/>
  <c r="L232" i="9" s="1"/>
  <c r="K240" i="9"/>
  <c r="L240" i="9" s="1"/>
  <c r="K248" i="9"/>
  <c r="L248" i="9" s="1"/>
  <c r="K256" i="9"/>
  <c r="L256" i="9" s="1"/>
  <c r="K264" i="9"/>
  <c r="L264" i="9" s="1"/>
  <c r="K272" i="9"/>
  <c r="L272" i="9" s="1"/>
  <c r="K280" i="9"/>
  <c r="L280" i="9" s="1"/>
  <c r="K10" i="9"/>
  <c r="L10" i="9" s="1"/>
  <c r="K28" i="9"/>
  <c r="L28" i="9" s="1"/>
  <c r="K47" i="9"/>
  <c r="L47" i="9" s="1"/>
  <c r="K60" i="9"/>
  <c r="L60" i="9" s="1"/>
  <c r="K74" i="9"/>
  <c r="L74" i="9" s="1"/>
  <c r="K86" i="9"/>
  <c r="L86" i="9" s="1"/>
  <c r="K97" i="9"/>
  <c r="L97" i="9" s="1"/>
  <c r="K105" i="9"/>
  <c r="L105" i="9" s="1"/>
  <c r="K113" i="9"/>
  <c r="L113" i="9" s="1"/>
  <c r="K121" i="9"/>
  <c r="L121" i="9" s="1"/>
  <c r="K129" i="9"/>
  <c r="L129" i="9" s="1"/>
  <c r="K137" i="9"/>
  <c r="L137" i="9" s="1"/>
  <c r="K145" i="9"/>
  <c r="L145" i="9" s="1"/>
  <c r="K153" i="9"/>
  <c r="L153" i="9" s="1"/>
  <c r="K161" i="9"/>
  <c r="L161" i="9" s="1"/>
  <c r="K169" i="9"/>
  <c r="L169" i="9" s="1"/>
  <c r="K177" i="9"/>
  <c r="L177" i="9" s="1"/>
  <c r="K185" i="9"/>
  <c r="L185" i="9" s="1"/>
  <c r="K193" i="9"/>
  <c r="L193" i="9" s="1"/>
  <c r="K201" i="9"/>
  <c r="L201" i="9" s="1"/>
  <c r="K209" i="9"/>
  <c r="L209" i="9" s="1"/>
  <c r="K217" i="9"/>
  <c r="L217" i="9" s="1"/>
  <c r="K225" i="9"/>
  <c r="L225" i="9" s="1"/>
  <c r="K233" i="9"/>
  <c r="L233" i="9" s="1"/>
  <c r="K241" i="9"/>
  <c r="L241" i="9" s="1"/>
  <c r="K249" i="9"/>
  <c r="L249" i="9" s="1"/>
  <c r="K257" i="9"/>
  <c r="L257" i="9" s="1"/>
  <c r="K265" i="9"/>
  <c r="L265" i="9" s="1"/>
  <c r="K273" i="9"/>
  <c r="L273" i="9" s="1"/>
  <c r="K281" i="9"/>
  <c r="L281" i="9" s="1"/>
  <c r="K2" i="9"/>
  <c r="K11" i="9"/>
  <c r="L11" i="9" s="1"/>
  <c r="K34" i="9"/>
  <c r="L34" i="9" s="1"/>
  <c r="K50" i="9"/>
  <c r="L50" i="9" s="1"/>
  <c r="K62" i="9"/>
  <c r="L62" i="9" s="1"/>
  <c r="K75" i="9"/>
  <c r="L75" i="9" s="1"/>
  <c r="K87" i="9"/>
  <c r="L87" i="9" s="1"/>
  <c r="K98" i="9"/>
  <c r="L98" i="9" s="1"/>
  <c r="K106" i="9"/>
  <c r="L106" i="9" s="1"/>
  <c r="K114" i="9"/>
  <c r="L114" i="9" s="1"/>
  <c r="K122" i="9"/>
  <c r="L122" i="9" s="1"/>
  <c r="K130" i="9"/>
  <c r="L130" i="9" s="1"/>
  <c r="K138" i="9"/>
  <c r="L138" i="9" s="1"/>
  <c r="K146" i="9"/>
  <c r="L146" i="9" s="1"/>
  <c r="K154" i="9"/>
  <c r="L154" i="9" s="1"/>
  <c r="K162" i="9"/>
  <c r="L162" i="9" s="1"/>
  <c r="K170" i="9"/>
  <c r="L170" i="9" s="1"/>
  <c r="K178" i="9"/>
  <c r="L178" i="9" s="1"/>
  <c r="K186" i="9"/>
  <c r="L186" i="9" s="1"/>
  <c r="K194" i="9"/>
  <c r="L194" i="9" s="1"/>
  <c r="K202" i="9"/>
  <c r="L202" i="9" s="1"/>
  <c r="K210" i="9"/>
  <c r="L210" i="9" s="1"/>
  <c r="K218" i="9"/>
  <c r="L218" i="9" s="1"/>
  <c r="K226" i="9"/>
  <c r="L226" i="9" s="1"/>
  <c r="K234" i="9"/>
  <c r="L234" i="9" s="1"/>
  <c r="K242" i="9"/>
  <c r="L242" i="9" s="1"/>
  <c r="K250" i="9"/>
  <c r="L250" i="9" s="1"/>
  <c r="K258" i="9"/>
  <c r="L258" i="9" s="1"/>
  <c r="K266" i="9"/>
  <c r="L266" i="9" s="1"/>
  <c r="K274" i="9"/>
  <c r="L274" i="9" s="1"/>
  <c r="K282" i="9"/>
  <c r="L282" i="9" s="1"/>
  <c r="K12" i="9"/>
  <c r="L12" i="9" s="1"/>
  <c r="K35" i="9"/>
  <c r="L35" i="9" s="1"/>
  <c r="K51" i="9"/>
  <c r="L51" i="9" s="1"/>
  <c r="K63" i="9"/>
  <c r="L63" i="9" s="1"/>
  <c r="K76" i="9"/>
  <c r="L76" i="9" s="1"/>
  <c r="K90" i="9"/>
  <c r="L90" i="9" s="1"/>
  <c r="K99" i="9"/>
  <c r="L99" i="9" s="1"/>
  <c r="K107" i="9"/>
  <c r="L107" i="9" s="1"/>
  <c r="K115" i="9"/>
  <c r="L115" i="9" s="1"/>
  <c r="K123" i="9"/>
  <c r="L123" i="9" s="1"/>
  <c r="K131" i="9"/>
  <c r="L131" i="9" s="1"/>
  <c r="K139" i="9"/>
  <c r="L139" i="9" s="1"/>
  <c r="K147" i="9"/>
  <c r="L147" i="9" s="1"/>
  <c r="K155" i="9"/>
  <c r="L155" i="9" s="1"/>
  <c r="K163" i="9"/>
  <c r="L163" i="9" s="1"/>
  <c r="K171" i="9"/>
  <c r="L171" i="9" s="1"/>
  <c r="K179" i="9"/>
  <c r="L179" i="9" s="1"/>
  <c r="K187" i="9"/>
  <c r="L187" i="9" s="1"/>
  <c r="K195" i="9"/>
  <c r="L195" i="9" s="1"/>
  <c r="K203" i="9"/>
  <c r="L203" i="9" s="1"/>
  <c r="K211" i="9"/>
  <c r="L211" i="9" s="1"/>
  <c r="K219" i="9"/>
  <c r="L219" i="9" s="1"/>
  <c r="K227" i="9"/>
  <c r="L227" i="9" s="1"/>
  <c r="K235" i="9"/>
  <c r="L235" i="9" s="1"/>
  <c r="K243" i="9"/>
  <c r="L243" i="9" s="1"/>
  <c r="K251" i="9"/>
  <c r="L251" i="9" s="1"/>
  <c r="K259" i="9"/>
  <c r="L259" i="9" s="1"/>
  <c r="K267" i="9"/>
  <c r="L267" i="9" s="1"/>
  <c r="K275" i="9"/>
  <c r="L275" i="9" s="1"/>
  <c r="K283" i="9"/>
  <c r="L283" i="9" s="1"/>
  <c r="K260" i="9"/>
  <c r="L260" i="9" s="1"/>
  <c r="K228" i="9"/>
  <c r="L228" i="9" s="1"/>
  <c r="K196" i="9"/>
  <c r="L196" i="9" s="1"/>
  <c r="K164" i="9"/>
  <c r="L164" i="9" s="1"/>
  <c r="K132" i="9"/>
  <c r="L132" i="9" s="1"/>
  <c r="K100" i="9"/>
  <c r="L100" i="9" s="1"/>
  <c r="K52" i="9"/>
  <c r="L52" i="9" s="1"/>
  <c r="K237" i="9"/>
  <c r="L237" i="9" s="1"/>
  <c r="K285" i="9"/>
  <c r="L285" i="9" s="1"/>
  <c r="K253" i="9"/>
  <c r="L253" i="9" s="1"/>
  <c r="K221" i="9"/>
  <c r="L221" i="9" s="1"/>
  <c r="K189" i="9"/>
  <c r="L189" i="9" s="1"/>
  <c r="K157" i="9"/>
  <c r="L157" i="9" s="1"/>
  <c r="K125" i="9"/>
  <c r="L125" i="9" s="1"/>
  <c r="K92" i="9"/>
  <c r="L92" i="9" s="1"/>
  <c r="K42" i="9"/>
  <c r="L42" i="9" s="1"/>
  <c r="B34" i="8"/>
  <c r="B33" i="8"/>
  <c r="R17" i="9"/>
  <c r="K284" i="9"/>
  <c r="L284" i="9" s="1"/>
  <c r="K252" i="9"/>
  <c r="L252" i="9" s="1"/>
  <c r="K220" i="9"/>
  <c r="L220" i="9" s="1"/>
  <c r="K188" i="9"/>
  <c r="L188" i="9" s="1"/>
  <c r="K156" i="9"/>
  <c r="L156" i="9" s="1"/>
  <c r="K124" i="9"/>
  <c r="L124" i="9" s="1"/>
  <c r="K91" i="9"/>
  <c r="L91" i="9" s="1"/>
  <c r="K36" i="9"/>
  <c r="L36" i="9" s="1"/>
  <c r="R18" i="9" l="1"/>
  <c r="L2" i="9"/>
  <c r="D34" i="8"/>
  <c r="M2" i="9" l="1"/>
  <c r="N2" i="9" s="1"/>
  <c r="H285" i="9" l="1"/>
  <c r="I285" i="9" s="1"/>
  <c r="M285" i="9"/>
  <c r="N285" i="9" s="1"/>
  <c r="H66" i="9" l="1"/>
  <c r="H284" i="9"/>
  <c r="H250" i="9"/>
  <c r="H186" i="9"/>
  <c r="H197" i="9"/>
  <c r="H203" i="9"/>
  <c r="H215" i="9"/>
  <c r="H216" i="9"/>
  <c r="H221" i="9"/>
  <c r="H227" i="9"/>
  <c r="H233" i="9"/>
  <c r="H239" i="9"/>
  <c r="H110" i="9"/>
  <c r="H114" i="9"/>
  <c r="H115" i="9"/>
  <c r="H116" i="9"/>
  <c r="H119" i="9"/>
  <c r="I119" i="9" s="1"/>
  <c r="H120" i="9"/>
  <c r="H122" i="9"/>
  <c r="H123" i="9"/>
  <c r="H125" i="9"/>
  <c r="I125" i="9" s="1"/>
  <c r="H129" i="9"/>
  <c r="H132" i="9"/>
  <c r="H135" i="9"/>
  <c r="H138" i="9"/>
  <c r="H144" i="9"/>
  <c r="I144" i="9" s="1"/>
  <c r="H151" i="9"/>
  <c r="H152" i="9"/>
  <c r="H157" i="9"/>
  <c r="H158" i="9"/>
  <c r="H162" i="9"/>
  <c r="I162" i="9" s="1"/>
  <c r="H164" i="9"/>
  <c r="H168" i="9"/>
  <c r="H171" i="9"/>
  <c r="I171" i="9" s="1"/>
  <c r="H174" i="9"/>
  <c r="M234" i="9" l="1"/>
  <c r="N234" i="9" s="1"/>
  <c r="M228" i="9"/>
  <c r="N228" i="9" s="1"/>
  <c r="M222" i="9"/>
  <c r="N222" i="9" s="1"/>
  <c r="M198" i="9"/>
  <c r="N198" i="9" s="1"/>
  <c r="M192" i="9"/>
  <c r="N192" i="9" s="1"/>
  <c r="M209" i="9"/>
  <c r="N209" i="9" s="1"/>
  <c r="H121" i="9"/>
  <c r="I121" i="9" s="1"/>
  <c r="H283" i="9"/>
  <c r="I283" i="9" s="1"/>
  <c r="M283" i="9"/>
  <c r="N283" i="9" s="1"/>
  <c r="M216" i="9"/>
  <c r="N216" i="9" s="1"/>
  <c r="H179" i="9"/>
  <c r="I179" i="9" s="1"/>
  <c r="H155" i="9"/>
  <c r="I155" i="9" s="1"/>
  <c r="H149" i="9"/>
  <c r="I149" i="9" s="1"/>
  <c r="H131" i="9"/>
  <c r="I131" i="9" s="1"/>
  <c r="H178" i="9"/>
  <c r="I178" i="9" s="1"/>
  <c r="H154" i="9"/>
  <c r="I154" i="9" s="1"/>
  <c r="H130" i="9"/>
  <c r="I130" i="9" s="1"/>
  <c r="H118" i="9"/>
  <c r="I118" i="9" s="1"/>
  <c r="H112" i="9"/>
  <c r="I112" i="9" s="1"/>
  <c r="H161" i="9"/>
  <c r="I161" i="9" s="1"/>
  <c r="M245" i="9"/>
  <c r="N245" i="9" s="1"/>
  <c r="H160" i="9"/>
  <c r="I160" i="9" s="1"/>
  <c r="H142" i="9"/>
  <c r="I142" i="9" s="1"/>
  <c r="H173" i="9"/>
  <c r="I173" i="9" s="1"/>
  <c r="H143" i="9"/>
  <c r="I143" i="9" s="1"/>
  <c r="H166" i="9"/>
  <c r="I166" i="9" s="1"/>
  <c r="H148" i="9"/>
  <c r="I148" i="9" s="1"/>
  <c r="H124" i="9"/>
  <c r="I124" i="9" s="1"/>
  <c r="H177" i="9"/>
  <c r="I177" i="9" s="1"/>
  <c r="H159" i="9"/>
  <c r="I159" i="9" s="1"/>
  <c r="H153" i="9"/>
  <c r="I153" i="9" s="1"/>
  <c r="H147" i="9"/>
  <c r="I147" i="9" s="1"/>
  <c r="H141" i="9"/>
  <c r="I141" i="9" s="1"/>
  <c r="H117" i="9"/>
  <c r="I117" i="9" s="1"/>
  <c r="H111" i="9"/>
  <c r="I111" i="9" s="1"/>
  <c r="H182" i="9"/>
  <c r="I182" i="9" s="1"/>
  <c r="H176" i="9"/>
  <c r="I176" i="9" s="1"/>
  <c r="H170" i="9"/>
  <c r="I170" i="9" s="1"/>
  <c r="H146" i="9"/>
  <c r="I146" i="9" s="1"/>
  <c r="H140" i="9"/>
  <c r="I140" i="9" s="1"/>
  <c r="H134" i="9"/>
  <c r="I134" i="9" s="1"/>
  <c r="H167" i="9"/>
  <c r="I167" i="9" s="1"/>
  <c r="H137" i="9"/>
  <c r="I137" i="9" s="1"/>
  <c r="H181" i="9"/>
  <c r="I181" i="9" s="1"/>
  <c r="H175" i="9"/>
  <c r="I175" i="9" s="1"/>
  <c r="H169" i="9"/>
  <c r="I169" i="9" s="1"/>
  <c r="H163" i="9"/>
  <c r="I163" i="9" s="1"/>
  <c r="H145" i="9"/>
  <c r="I145" i="9" s="1"/>
  <c r="H139" i="9"/>
  <c r="I139" i="9" s="1"/>
  <c r="H133" i="9"/>
  <c r="I133" i="9" s="1"/>
  <c r="H127" i="9"/>
  <c r="I127" i="9" s="1"/>
  <c r="M238" i="9"/>
  <c r="N238" i="9" s="1"/>
  <c r="H180" i="9"/>
  <c r="I180" i="9" s="1"/>
  <c r="H249" i="9"/>
  <c r="I249" i="9" s="1"/>
  <c r="H237" i="9"/>
  <c r="I237" i="9" s="1"/>
  <c r="H231" i="9"/>
  <c r="I231" i="9" s="1"/>
  <c r="H225" i="9"/>
  <c r="I225" i="9" s="1"/>
  <c r="H219" i="9"/>
  <c r="I219" i="9" s="1"/>
  <c r="H213" i="9"/>
  <c r="I213" i="9" s="1"/>
  <c r="H207" i="9"/>
  <c r="I207" i="9" s="1"/>
  <c r="H201" i="9"/>
  <c r="I201" i="9" s="1"/>
  <c r="H195" i="9"/>
  <c r="I195" i="9" s="1"/>
  <c r="H183" i="9"/>
  <c r="I183" i="9" s="1"/>
  <c r="H278" i="9"/>
  <c r="I278" i="9" s="1"/>
  <c r="H272" i="9"/>
  <c r="I272" i="9" s="1"/>
  <c r="H266" i="9"/>
  <c r="I266" i="9" s="1"/>
  <c r="H260" i="9"/>
  <c r="I260" i="9" s="1"/>
  <c r="H254" i="9"/>
  <c r="I254" i="9" s="1"/>
  <c r="H273" i="9"/>
  <c r="I273" i="9" s="1"/>
  <c r="H196" i="9"/>
  <c r="I196" i="9" s="1"/>
  <c r="H165" i="9"/>
  <c r="I165" i="9" s="1"/>
  <c r="H150" i="9"/>
  <c r="I150" i="9" s="1"/>
  <c r="H156" i="9"/>
  <c r="I156" i="9" s="1"/>
  <c r="H113" i="9"/>
  <c r="I113" i="9" s="1"/>
  <c r="I168" i="9"/>
  <c r="I129" i="9"/>
  <c r="H248" i="9"/>
  <c r="I248" i="9" s="1"/>
  <c r="H242" i="9"/>
  <c r="I242" i="9" s="1"/>
  <c r="H236" i="9"/>
  <c r="I236" i="9" s="1"/>
  <c r="H230" i="9"/>
  <c r="I230" i="9" s="1"/>
  <c r="H224" i="9"/>
  <c r="I224" i="9" s="1"/>
  <c r="H218" i="9"/>
  <c r="I218" i="9" s="1"/>
  <c r="H212" i="9"/>
  <c r="I212" i="9" s="1"/>
  <c r="H206" i="9"/>
  <c r="I206" i="9" s="1"/>
  <c r="H200" i="9"/>
  <c r="I200" i="9" s="1"/>
  <c r="H194" i="9"/>
  <c r="I194" i="9" s="1"/>
  <c r="H188" i="9"/>
  <c r="I188" i="9" s="1"/>
  <c r="H244" i="9"/>
  <c r="I244" i="9" s="1"/>
  <c r="H226" i="9"/>
  <c r="I226" i="9" s="1"/>
  <c r="H208" i="9"/>
  <c r="I208" i="9" s="1"/>
  <c r="H190" i="9"/>
  <c r="I190" i="9" s="1"/>
  <c r="H189" i="9"/>
  <c r="I189" i="9" s="1"/>
  <c r="M202" i="9"/>
  <c r="N202" i="9" s="1"/>
  <c r="I122" i="9"/>
  <c r="H232" i="9"/>
  <c r="I232" i="9" s="1"/>
  <c r="I164" i="9"/>
  <c r="H172" i="9"/>
  <c r="I172" i="9" s="1"/>
  <c r="I151" i="9"/>
  <c r="I157" i="9"/>
  <c r="I115" i="9"/>
  <c r="H247" i="9"/>
  <c r="I247" i="9" s="1"/>
  <c r="H241" i="9"/>
  <c r="I241" i="9" s="1"/>
  <c r="H235" i="9"/>
  <c r="I235" i="9" s="1"/>
  <c r="H229" i="9"/>
  <c r="I229" i="9" s="1"/>
  <c r="H223" i="9"/>
  <c r="I223" i="9" s="1"/>
  <c r="H217" i="9"/>
  <c r="I217" i="9" s="1"/>
  <c r="H211" i="9"/>
  <c r="I211" i="9" s="1"/>
  <c r="H205" i="9"/>
  <c r="I205" i="9" s="1"/>
  <c r="H199" i="9"/>
  <c r="I199" i="9" s="1"/>
  <c r="H193" i="9"/>
  <c r="I193" i="9" s="1"/>
  <c r="H187" i="9"/>
  <c r="I187" i="9" s="1"/>
  <c r="I158" i="9"/>
  <c r="H214" i="9"/>
  <c r="I214" i="9" s="1"/>
  <c r="H243" i="9"/>
  <c r="I243" i="9" s="1"/>
  <c r="H128" i="9"/>
  <c r="I128" i="9" s="1"/>
  <c r="I174" i="9"/>
  <c r="H246" i="9"/>
  <c r="I246" i="9" s="1"/>
  <c r="H238" i="9"/>
  <c r="I238" i="9" s="1"/>
  <c r="H220" i="9"/>
  <c r="I220" i="9" s="1"/>
  <c r="H202" i="9"/>
  <c r="I202" i="9" s="1"/>
  <c r="H184" i="9"/>
  <c r="I184" i="9" s="1"/>
  <c r="I138" i="9"/>
  <c r="I132" i="9"/>
  <c r="I120" i="9"/>
  <c r="I114" i="9"/>
  <c r="I152" i="9"/>
  <c r="I116" i="9"/>
  <c r="H136" i="9"/>
  <c r="I136" i="9" s="1"/>
  <c r="H126" i="9"/>
  <c r="I126" i="9" s="1"/>
  <c r="I135" i="9"/>
  <c r="I123" i="9"/>
  <c r="I239" i="9"/>
  <c r="I233" i="9"/>
  <c r="I227" i="9"/>
  <c r="I221" i="9"/>
  <c r="I215" i="9"/>
  <c r="I203" i="9"/>
  <c r="I197" i="9"/>
  <c r="H191" i="9"/>
  <c r="I191" i="9" s="1"/>
  <c r="H185" i="9"/>
  <c r="I185" i="9" s="1"/>
  <c r="H245" i="9"/>
  <c r="I245" i="9" s="1"/>
  <c r="H209" i="9"/>
  <c r="I209" i="9" s="1"/>
  <c r="H192" i="9"/>
  <c r="I192" i="9" s="1"/>
  <c r="I216" i="9"/>
  <c r="I250" i="9"/>
  <c r="H262" i="9"/>
  <c r="I262" i="9" s="1"/>
  <c r="M259" i="9"/>
  <c r="N259" i="9" s="1"/>
  <c r="I284" i="9"/>
  <c r="H240" i="9"/>
  <c r="I240" i="9" s="1"/>
  <c r="H234" i="9"/>
  <c r="I234" i="9" s="1"/>
  <c r="H228" i="9"/>
  <c r="I228" i="9" s="1"/>
  <c r="H222" i="9"/>
  <c r="I222" i="9" s="1"/>
  <c r="H210" i="9"/>
  <c r="I210" i="9" s="1"/>
  <c r="H204" i="9"/>
  <c r="I204" i="9" s="1"/>
  <c r="H198" i="9"/>
  <c r="I198" i="9" s="1"/>
  <c r="I186" i="9"/>
  <c r="H279" i="9"/>
  <c r="I279" i="9" s="1"/>
  <c r="H255" i="9"/>
  <c r="I255" i="9" s="1"/>
  <c r="H256" i="9"/>
  <c r="I256" i="9" s="1"/>
  <c r="M253" i="9"/>
  <c r="N253" i="9" s="1"/>
  <c r="I66" i="9"/>
  <c r="H277" i="9"/>
  <c r="I277" i="9" s="1"/>
  <c r="H271" i="9"/>
  <c r="I271" i="9" s="1"/>
  <c r="H267" i="9"/>
  <c r="I267" i="9" s="1"/>
  <c r="H280" i="9"/>
  <c r="I280" i="9" s="1"/>
  <c r="H281" i="9"/>
  <c r="I281" i="9" s="1"/>
  <c r="H67" i="9"/>
  <c r="I67" i="9" s="1"/>
  <c r="H276" i="9"/>
  <c r="I276" i="9" s="1"/>
  <c r="H270" i="9"/>
  <c r="I270" i="9" s="1"/>
  <c r="H264" i="9"/>
  <c r="I264" i="9" s="1"/>
  <c r="H258" i="9"/>
  <c r="I258" i="9" s="1"/>
  <c r="H252" i="9"/>
  <c r="I252" i="9" s="1"/>
  <c r="H274" i="9"/>
  <c r="I274" i="9" s="1"/>
  <c r="H275" i="9"/>
  <c r="I275" i="9" s="1"/>
  <c r="H269" i="9"/>
  <c r="I269" i="9" s="1"/>
  <c r="H263" i="9"/>
  <c r="I263" i="9" s="1"/>
  <c r="H257" i="9"/>
  <c r="I257" i="9" s="1"/>
  <c r="H251" i="9"/>
  <c r="I251" i="9" s="1"/>
  <c r="H261" i="9"/>
  <c r="I261" i="9" s="1"/>
  <c r="H268" i="9"/>
  <c r="I268" i="9" s="1"/>
  <c r="M265" i="9"/>
  <c r="N265" i="9" s="1"/>
  <c r="H282" i="9"/>
  <c r="I282" i="9" s="1"/>
  <c r="H65" i="9"/>
  <c r="I65" i="9" s="1"/>
  <c r="H265" i="9"/>
  <c r="I265" i="9" s="1"/>
  <c r="H259" i="9"/>
  <c r="I259" i="9" s="1"/>
  <c r="H253" i="9"/>
  <c r="I253" i="9" s="1"/>
  <c r="M252" i="9" l="1"/>
  <c r="N252" i="9" s="1"/>
  <c r="M267" i="9"/>
  <c r="N267" i="9" s="1"/>
  <c r="M204" i="9"/>
  <c r="N204" i="9" s="1"/>
  <c r="M231" i="9"/>
  <c r="N231" i="9" s="1"/>
  <c r="M190" i="9"/>
  <c r="N190" i="9" s="1"/>
  <c r="M213" i="9"/>
  <c r="N213" i="9" s="1"/>
  <c r="M257" i="9"/>
  <c r="N257" i="9" s="1"/>
  <c r="M275" i="9"/>
  <c r="N275" i="9" s="1"/>
  <c r="M281" i="9"/>
  <c r="N281" i="9" s="1"/>
  <c r="M210" i="9"/>
  <c r="N210" i="9" s="1"/>
  <c r="M284" i="9"/>
  <c r="N284" i="9" s="1"/>
  <c r="M250" i="9"/>
  <c r="N250" i="9" s="1"/>
  <c r="M268" i="9"/>
  <c r="N268" i="9" s="1"/>
  <c r="M240" i="9"/>
  <c r="N240" i="9" s="1"/>
  <c r="M185" i="9"/>
  <c r="N185" i="9" s="1"/>
  <c r="M221" i="9"/>
  <c r="N221" i="9" s="1"/>
  <c r="M239" i="9"/>
  <c r="N239" i="9" s="1"/>
  <c r="M220" i="9"/>
  <c r="N220" i="9" s="1"/>
  <c r="M205" i="9"/>
  <c r="N205" i="9" s="1"/>
  <c r="M217" i="9"/>
  <c r="N217" i="9" s="1"/>
  <c r="M229" i="9"/>
  <c r="N229" i="9" s="1"/>
  <c r="M218" i="9"/>
  <c r="N218" i="9" s="1"/>
  <c r="M230" i="9"/>
  <c r="N230" i="9" s="1"/>
  <c r="M242" i="9"/>
  <c r="N242" i="9" s="1"/>
  <c r="M189" i="9"/>
  <c r="N189" i="9" s="1"/>
  <c r="M219" i="9"/>
  <c r="N219" i="9" s="1"/>
  <c r="M249" i="9"/>
  <c r="N249" i="9" s="1"/>
  <c r="M264" i="9"/>
  <c r="N264" i="9" s="1"/>
  <c r="M279" i="9"/>
  <c r="N279" i="9" s="1"/>
  <c r="M197" i="9"/>
  <c r="N197" i="9" s="1"/>
  <c r="M241" i="9"/>
  <c r="N241" i="9" s="1"/>
  <c r="M226" i="9"/>
  <c r="N226" i="9" s="1"/>
  <c r="M200" i="9"/>
  <c r="N200" i="9" s="1"/>
  <c r="M201" i="9"/>
  <c r="N201" i="9" s="1"/>
  <c r="M277" i="9"/>
  <c r="N277" i="9" s="1"/>
  <c r="M203" i="9"/>
  <c r="N203" i="9" s="1"/>
  <c r="M184" i="9"/>
  <c r="N184" i="9" s="1"/>
  <c r="M214" i="9"/>
  <c r="N214" i="9" s="1"/>
  <c r="M193" i="9"/>
  <c r="N193" i="9" s="1"/>
  <c r="M248" i="9"/>
  <c r="N248" i="9" s="1"/>
  <c r="M254" i="9"/>
  <c r="N254" i="9" s="1"/>
  <c r="M266" i="9"/>
  <c r="N266" i="9" s="1"/>
  <c r="M278" i="9"/>
  <c r="N278" i="9" s="1"/>
  <c r="M255" i="9"/>
  <c r="N255" i="9" s="1"/>
  <c r="M282" i="9"/>
  <c r="N282" i="9" s="1"/>
  <c r="M271" i="9"/>
  <c r="N271" i="9" s="1"/>
  <c r="M274" i="9"/>
  <c r="N274" i="9" s="1"/>
  <c r="M247" i="9"/>
  <c r="N247" i="9" s="1"/>
  <c r="M224" i="9"/>
  <c r="N224" i="9" s="1"/>
  <c r="M191" i="9"/>
  <c r="N191" i="9" s="1"/>
  <c r="M195" i="9"/>
  <c r="N195" i="9" s="1"/>
  <c r="M199" i="9"/>
  <c r="N199" i="9" s="1"/>
  <c r="M211" i="9"/>
  <c r="N211" i="9" s="1"/>
  <c r="M223" i="9"/>
  <c r="N223" i="9" s="1"/>
  <c r="M212" i="9"/>
  <c r="N212" i="9" s="1"/>
  <c r="M236" i="9"/>
  <c r="N236" i="9" s="1"/>
  <c r="M183" i="9"/>
  <c r="N183" i="9" s="1"/>
  <c r="M207" i="9"/>
  <c r="N207" i="9" s="1"/>
  <c r="M225" i="9"/>
  <c r="N225" i="9" s="1"/>
  <c r="M237" i="9"/>
  <c r="N237" i="9" s="1"/>
  <c r="M276" i="9"/>
  <c r="N276" i="9" s="1"/>
  <c r="M263" i="9"/>
  <c r="N263" i="9" s="1"/>
  <c r="M258" i="9"/>
  <c r="N258" i="9" s="1"/>
  <c r="M270" i="9"/>
  <c r="N270" i="9" s="1"/>
  <c r="M256" i="9"/>
  <c r="N256" i="9" s="1"/>
  <c r="M227" i="9"/>
  <c r="N227" i="9" s="1"/>
  <c r="M235" i="9"/>
  <c r="N235" i="9" s="1"/>
  <c r="M232" i="9"/>
  <c r="N232" i="9" s="1"/>
  <c r="M194" i="9"/>
  <c r="N194" i="9" s="1"/>
  <c r="M206" i="9"/>
  <c r="N206" i="9" s="1"/>
  <c r="M261" i="9"/>
  <c r="N261" i="9" s="1"/>
  <c r="M251" i="9"/>
  <c r="N251" i="9" s="1"/>
  <c r="M269" i="9"/>
  <c r="N269" i="9" s="1"/>
  <c r="M186" i="9"/>
  <c r="N186" i="9" s="1"/>
  <c r="M262" i="9"/>
  <c r="N262" i="9" s="1"/>
  <c r="M280" i="9"/>
  <c r="N280" i="9" s="1"/>
  <c r="M215" i="9"/>
  <c r="N215" i="9" s="1"/>
  <c r="M233" i="9"/>
  <c r="N233" i="9" s="1"/>
  <c r="M188" i="9"/>
  <c r="N188" i="9" s="1"/>
  <c r="M246" i="9"/>
  <c r="N246" i="9" s="1"/>
  <c r="M243" i="9"/>
  <c r="N243" i="9" s="1"/>
  <c r="M187" i="9"/>
  <c r="N187" i="9" s="1"/>
  <c r="M208" i="9"/>
  <c r="N208" i="9" s="1"/>
  <c r="M244" i="9"/>
  <c r="N244" i="9" s="1"/>
  <c r="M196" i="9"/>
  <c r="N196" i="9" s="1"/>
  <c r="M273" i="9"/>
  <c r="N273" i="9" s="1"/>
  <c r="M260" i="9"/>
  <c r="N260" i="9" s="1"/>
  <c r="M272" i="9"/>
  <c r="N272" i="9" s="1"/>
  <c r="D16" i="8"/>
  <c r="Q21" i="1" l="1"/>
  <c r="Q35" i="1"/>
  <c r="Q41" i="1"/>
  <c r="Q45" i="1"/>
  <c r="Q47" i="1"/>
  <c r="Q53" i="1"/>
  <c r="Q69" i="1"/>
  <c r="Q74" i="1"/>
  <c r="Q80" i="1"/>
  <c r="Q82" i="1"/>
  <c r="Q84" i="1"/>
  <c r="Q90" i="1"/>
  <c r="Q93" i="1"/>
  <c r="Q97" i="1"/>
  <c r="Q121" i="1"/>
  <c r="Q154" i="1"/>
  <c r="Q155" i="1"/>
  <c r="Q254" i="1"/>
  <c r="Q291" i="1"/>
  <c r="Q294" i="1"/>
  <c r="Q7" i="1"/>
  <c r="Q11" i="1"/>
  <c r="P7" i="1"/>
  <c r="P11" i="1"/>
  <c r="P21" i="1"/>
  <c r="P35" i="1"/>
  <c r="P41" i="1"/>
  <c r="P45" i="1"/>
  <c r="P47" i="1"/>
  <c r="P53" i="1"/>
  <c r="P69" i="1"/>
  <c r="P74" i="1"/>
  <c r="P80" i="1"/>
  <c r="P82" i="1"/>
  <c r="P84" i="1"/>
  <c r="P90" i="1"/>
  <c r="P93" i="1"/>
  <c r="P97" i="1"/>
  <c r="P121" i="1"/>
  <c r="P154" i="1"/>
  <c r="P155" i="1"/>
  <c r="P254" i="1"/>
  <c r="P291" i="1"/>
  <c r="P294" i="1"/>
  <c r="O7" i="1"/>
  <c r="O11" i="1"/>
  <c r="O21" i="1"/>
  <c r="O35" i="1"/>
  <c r="O41" i="1"/>
  <c r="O45" i="1"/>
  <c r="O47" i="1"/>
  <c r="O53" i="1"/>
  <c r="O69" i="1"/>
  <c r="O74" i="1"/>
  <c r="O80" i="1"/>
  <c r="O82" i="1"/>
  <c r="O84" i="1"/>
  <c r="O90" i="1"/>
  <c r="O93" i="1"/>
  <c r="O97" i="1"/>
  <c r="O121" i="1"/>
  <c r="O154" i="1"/>
  <c r="O155" i="1"/>
  <c r="O254" i="1"/>
  <c r="O291" i="1"/>
  <c r="O294" i="1"/>
  <c r="R19" i="9" l="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H6" i="1"/>
  <c r="H7" i="1"/>
  <c r="H8" i="1"/>
  <c r="H9" i="1"/>
  <c r="W9" i="13" s="1"/>
  <c r="X9" i="13" s="1"/>
  <c r="H10" i="1"/>
  <c r="H11" i="1"/>
  <c r="H12" i="1"/>
  <c r="W12" i="13" s="1"/>
  <c r="X12" i="13" s="1"/>
  <c r="H13" i="1"/>
  <c r="H14" i="1"/>
  <c r="H15" i="1"/>
  <c r="H16" i="1"/>
  <c r="W16" i="13" s="1"/>
  <c r="X16" i="13" s="1"/>
  <c r="H17" i="1"/>
  <c r="W17" i="13" s="1"/>
  <c r="X17" i="13" s="1"/>
  <c r="H18" i="1"/>
  <c r="H19" i="1"/>
  <c r="H20" i="1"/>
  <c r="H21" i="1"/>
  <c r="H22" i="1"/>
  <c r="H23" i="1"/>
  <c r="H24" i="1"/>
  <c r="W24" i="13" s="1"/>
  <c r="X24" i="13" s="1"/>
  <c r="H25" i="1"/>
  <c r="H26" i="1"/>
  <c r="H27" i="1"/>
  <c r="H28" i="1"/>
  <c r="W28" i="13" s="1"/>
  <c r="X28" i="13" s="1"/>
  <c r="H29" i="1"/>
  <c r="H30" i="1"/>
  <c r="H31" i="1"/>
  <c r="H32" i="1"/>
  <c r="H33" i="1"/>
  <c r="W33" i="13" s="1"/>
  <c r="X33" i="13" s="1"/>
  <c r="H34" i="1"/>
  <c r="H35" i="1"/>
  <c r="H36" i="1"/>
  <c r="W36" i="13" s="1"/>
  <c r="X36" i="13" s="1"/>
  <c r="H37" i="1"/>
  <c r="H38" i="1"/>
  <c r="H39" i="1"/>
  <c r="H40" i="1"/>
  <c r="W40" i="13" s="1"/>
  <c r="X40" i="13" s="1"/>
  <c r="H41" i="1"/>
  <c r="W41" i="13" s="1"/>
  <c r="X41" i="13" s="1"/>
  <c r="H42" i="1"/>
  <c r="H43" i="1"/>
  <c r="H44" i="1"/>
  <c r="H45" i="1"/>
  <c r="H46" i="1"/>
  <c r="H47" i="1"/>
  <c r="H48" i="1"/>
  <c r="W48" i="13" s="1"/>
  <c r="X48" i="13" s="1"/>
  <c r="H49" i="1"/>
  <c r="H50" i="1"/>
  <c r="H51" i="1"/>
  <c r="H52" i="1"/>
  <c r="H53" i="1"/>
  <c r="H54" i="1"/>
  <c r="H55" i="1"/>
  <c r="H56" i="1"/>
  <c r="H57" i="1"/>
  <c r="W57" i="13" s="1"/>
  <c r="X57" i="13" s="1"/>
  <c r="H58" i="1"/>
  <c r="H59" i="1"/>
  <c r="H60" i="1"/>
  <c r="H61" i="1"/>
  <c r="H62" i="1"/>
  <c r="H63" i="1"/>
  <c r="H64" i="1"/>
  <c r="W64" i="13" s="1"/>
  <c r="X64" i="13" s="1"/>
  <c r="H65" i="1"/>
  <c r="W65" i="13" s="1"/>
  <c r="X65" i="13" s="1"/>
  <c r="H66" i="1"/>
  <c r="H67" i="1"/>
  <c r="H68" i="1"/>
  <c r="H69" i="1"/>
  <c r="H70" i="1"/>
  <c r="H71" i="1"/>
  <c r="H72" i="1"/>
  <c r="W72" i="13" s="1"/>
  <c r="X72" i="13" s="1"/>
  <c r="H73" i="1"/>
  <c r="H74" i="1"/>
  <c r="H75" i="1"/>
  <c r="H76" i="1"/>
  <c r="H77" i="1"/>
  <c r="H78" i="1"/>
  <c r="H79" i="1"/>
  <c r="H80" i="1"/>
  <c r="H81" i="1"/>
  <c r="W81" i="13" s="1"/>
  <c r="X81" i="13" s="1"/>
  <c r="H82" i="1"/>
  <c r="H83" i="1"/>
  <c r="H84" i="1"/>
  <c r="H85" i="1"/>
  <c r="H86" i="1"/>
  <c r="H87" i="1"/>
  <c r="H88" i="1"/>
  <c r="W88" i="13" s="1"/>
  <c r="X88" i="13" s="1"/>
  <c r="H89" i="1"/>
  <c r="W89" i="13" s="1"/>
  <c r="X89" i="13" s="1"/>
  <c r="H90" i="1"/>
  <c r="H91" i="1"/>
  <c r="H92" i="1"/>
  <c r="H93" i="1"/>
  <c r="H94" i="1"/>
  <c r="H95" i="1"/>
  <c r="H96" i="1"/>
  <c r="W96" i="13" s="1"/>
  <c r="X96" i="13" s="1"/>
  <c r="H97" i="1"/>
  <c r="H98" i="1"/>
  <c r="H99" i="1"/>
  <c r="H100" i="1"/>
  <c r="H101" i="1"/>
  <c r="H102" i="1"/>
  <c r="H103" i="1"/>
  <c r="H104" i="1"/>
  <c r="H105" i="1"/>
  <c r="W105" i="13" s="1"/>
  <c r="X105" i="13" s="1"/>
  <c r="H106" i="1"/>
  <c r="H107" i="1"/>
  <c r="H108" i="1"/>
  <c r="H109" i="1"/>
  <c r="H110" i="1"/>
  <c r="H111" i="1"/>
  <c r="H112" i="1"/>
  <c r="W112" i="13" s="1"/>
  <c r="X112" i="13" s="1"/>
  <c r="H113" i="1"/>
  <c r="W113" i="13" s="1"/>
  <c r="X113" i="13" s="1"/>
  <c r="H114" i="1"/>
  <c r="H115" i="1"/>
  <c r="H116" i="1"/>
  <c r="H117" i="1"/>
  <c r="H118" i="1"/>
  <c r="H119" i="1"/>
  <c r="H120" i="1"/>
  <c r="W120" i="13" s="1"/>
  <c r="X120" i="13" s="1"/>
  <c r="H121" i="1"/>
  <c r="H122" i="1"/>
  <c r="H123" i="1"/>
  <c r="H124" i="1"/>
  <c r="H125" i="1"/>
  <c r="H126" i="1"/>
  <c r="H127" i="1"/>
  <c r="H128" i="1"/>
  <c r="H129" i="1"/>
  <c r="W129" i="13" s="1"/>
  <c r="X129" i="13" s="1"/>
  <c r="H130" i="1"/>
  <c r="H131" i="1"/>
  <c r="H132" i="1"/>
  <c r="H133" i="1"/>
  <c r="H134" i="1"/>
  <c r="H135" i="1"/>
  <c r="H136" i="1"/>
  <c r="H137" i="1"/>
  <c r="W137" i="13" s="1"/>
  <c r="X137" i="13" s="1"/>
  <c r="H138" i="1"/>
  <c r="H139" i="1"/>
  <c r="H140" i="1"/>
  <c r="H141" i="1"/>
  <c r="H142" i="1"/>
  <c r="H143" i="1"/>
  <c r="H144" i="1"/>
  <c r="H145" i="1"/>
  <c r="H146" i="1"/>
  <c r="H147" i="1"/>
  <c r="H148" i="1"/>
  <c r="H149" i="1"/>
  <c r="H150" i="1"/>
  <c r="H151" i="1"/>
  <c r="H152" i="1"/>
  <c r="H153" i="1"/>
  <c r="W153" i="13" s="1"/>
  <c r="X153" i="13" s="1"/>
  <c r="H154" i="1"/>
  <c r="H155" i="1"/>
  <c r="H156" i="1"/>
  <c r="H157" i="1"/>
  <c r="H158" i="1"/>
  <c r="H159" i="1"/>
  <c r="H160" i="1"/>
  <c r="H161" i="1"/>
  <c r="W161" i="13" s="1"/>
  <c r="X161" i="13" s="1"/>
  <c r="H162" i="1"/>
  <c r="H163" i="1"/>
  <c r="H164" i="1"/>
  <c r="H165" i="1"/>
  <c r="H166" i="1"/>
  <c r="H167" i="1"/>
  <c r="H168" i="1"/>
  <c r="H169" i="1"/>
  <c r="H170" i="1"/>
  <c r="H171" i="1"/>
  <c r="W171" i="13" s="1"/>
  <c r="X171" i="13" s="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6" i="1"/>
  <c r="H227" i="1"/>
  <c r="H228" i="1"/>
  <c r="H229" i="1"/>
  <c r="H230" i="1"/>
  <c r="H231" i="1"/>
  <c r="H232" i="1"/>
  <c r="H233" i="1"/>
  <c r="H234" i="1"/>
  <c r="H235" i="1"/>
  <c r="H236" i="1"/>
  <c r="H237" i="1"/>
  <c r="H238" i="1"/>
  <c r="H239" i="1"/>
  <c r="H240" i="1"/>
  <c r="H241" i="1"/>
  <c r="W241" i="13" s="1"/>
  <c r="X241" i="13" s="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I225" i="1"/>
  <c r="H225" i="1"/>
  <c r="W235" i="13" l="1"/>
  <c r="X235" i="13" s="1"/>
  <c r="W210" i="13"/>
  <c r="X210" i="13" s="1"/>
  <c r="W202" i="13"/>
  <c r="X202" i="13" s="1"/>
  <c r="W186" i="13"/>
  <c r="X186" i="13" s="1"/>
  <c r="W178" i="13"/>
  <c r="X178" i="13" s="1"/>
  <c r="W156" i="13"/>
  <c r="X156" i="13" s="1"/>
  <c r="W148" i="13"/>
  <c r="X148" i="13" s="1"/>
  <c r="W132" i="13"/>
  <c r="X132" i="13" s="1"/>
  <c r="W124" i="13"/>
  <c r="X124" i="13" s="1"/>
  <c r="W108" i="13"/>
  <c r="X108" i="13" s="1"/>
  <c r="W100" i="13"/>
  <c r="X100" i="13" s="1"/>
  <c r="W84" i="13"/>
  <c r="X84" i="13" s="1"/>
  <c r="W76" i="13"/>
  <c r="X76" i="13" s="1"/>
  <c r="W60" i="13"/>
  <c r="X60" i="13" s="1"/>
  <c r="W52" i="13"/>
  <c r="X52" i="13" s="1"/>
  <c r="W155" i="13"/>
  <c r="X155" i="13" s="1"/>
  <c r="W147" i="13"/>
  <c r="X147" i="13" s="1"/>
  <c r="W131" i="13"/>
  <c r="X131" i="13" s="1"/>
  <c r="W123" i="13"/>
  <c r="X123" i="13" s="1"/>
  <c r="W107" i="13"/>
  <c r="X107" i="13" s="1"/>
  <c r="W99" i="13"/>
  <c r="X99" i="13" s="1"/>
  <c r="W83" i="13"/>
  <c r="X83" i="13" s="1"/>
  <c r="W75" i="13"/>
  <c r="X75" i="13" s="1"/>
  <c r="W59" i="13"/>
  <c r="X59" i="13" s="1"/>
  <c r="W51" i="13"/>
  <c r="X51" i="13" s="1"/>
  <c r="W35" i="13"/>
  <c r="X35" i="13" s="1"/>
  <c r="W27" i="13"/>
  <c r="X27" i="13" s="1"/>
  <c r="W11" i="13"/>
  <c r="X11" i="13" s="1"/>
  <c r="W307" i="13"/>
  <c r="X307" i="13" s="1"/>
  <c r="W291" i="13"/>
  <c r="X291" i="13" s="1"/>
  <c r="W259" i="13"/>
  <c r="X259" i="13" s="1"/>
  <c r="W243" i="13"/>
  <c r="X243" i="13" s="1"/>
  <c r="W315" i="13"/>
  <c r="X315" i="13" s="1"/>
  <c r="W283" i="13"/>
  <c r="X283" i="13" s="1"/>
  <c r="W267" i="13"/>
  <c r="X267" i="13" s="1"/>
  <c r="W328" i="13"/>
  <c r="X328" i="13" s="1"/>
  <c r="W326" i="13"/>
  <c r="X326" i="13" s="1"/>
  <c r="W318" i="13"/>
  <c r="X318" i="13" s="1"/>
  <c r="W310" i="13"/>
  <c r="X310" i="13" s="1"/>
  <c r="W302" i="13"/>
  <c r="X302" i="13" s="1"/>
  <c r="W294" i="13"/>
  <c r="X294" i="13" s="1"/>
  <c r="W286" i="13"/>
  <c r="X286" i="13" s="1"/>
  <c r="W278" i="13"/>
  <c r="X278" i="13" s="1"/>
  <c r="W270" i="13"/>
  <c r="X270" i="13" s="1"/>
  <c r="W262" i="13"/>
  <c r="X262" i="13" s="1"/>
  <c r="W254" i="13"/>
  <c r="X254" i="13" s="1"/>
  <c r="W246" i="13"/>
  <c r="X246" i="13" s="1"/>
  <c r="W220" i="13"/>
  <c r="X220" i="13" s="1"/>
  <c r="W204" i="13"/>
  <c r="X204" i="13" s="1"/>
  <c r="W196" i="13"/>
  <c r="X196" i="13" s="1"/>
  <c r="W180" i="13"/>
  <c r="X180" i="13" s="1"/>
  <c r="W172" i="13"/>
  <c r="X172" i="13" s="1"/>
  <c r="W162" i="13"/>
  <c r="X162" i="13" s="1"/>
  <c r="W154" i="13"/>
  <c r="X154" i="13" s="1"/>
  <c r="W138" i="13"/>
  <c r="X138" i="13" s="1"/>
  <c r="W130" i="13"/>
  <c r="X130" i="13" s="1"/>
  <c r="W114" i="13"/>
  <c r="X114" i="13" s="1"/>
  <c r="W106" i="13"/>
  <c r="X106" i="13" s="1"/>
  <c r="W90" i="13"/>
  <c r="X90" i="13" s="1"/>
  <c r="W82" i="13"/>
  <c r="X82" i="13" s="1"/>
  <c r="W66" i="13"/>
  <c r="X66" i="13" s="1"/>
  <c r="W58" i="13"/>
  <c r="X58" i="13" s="1"/>
  <c r="W42" i="13"/>
  <c r="X42" i="13" s="1"/>
  <c r="W34" i="13"/>
  <c r="X34" i="13" s="1"/>
  <c r="W18" i="13"/>
  <c r="X18" i="13" s="1"/>
  <c r="W10" i="13"/>
  <c r="X10" i="13" s="1"/>
  <c r="W332" i="13"/>
  <c r="X332" i="13" s="1"/>
  <c r="W324" i="13"/>
  <c r="X324" i="13" s="1"/>
  <c r="W316" i="13"/>
  <c r="X316" i="13" s="1"/>
  <c r="W308" i="13"/>
  <c r="X308" i="13" s="1"/>
  <c r="W300" i="13"/>
  <c r="X300" i="13" s="1"/>
  <c r="W292" i="13"/>
  <c r="X292" i="13" s="1"/>
  <c r="W284" i="13"/>
  <c r="X284" i="13" s="1"/>
  <c r="W276" i="13"/>
  <c r="X276" i="13" s="1"/>
  <c r="W268" i="13"/>
  <c r="X268" i="13" s="1"/>
  <c r="W260" i="13"/>
  <c r="X260" i="13" s="1"/>
  <c r="W252" i="13"/>
  <c r="X252" i="13" s="1"/>
  <c r="W244" i="13"/>
  <c r="X244" i="13" s="1"/>
  <c r="W236" i="13"/>
  <c r="X236" i="13" s="1"/>
  <c r="W228" i="13"/>
  <c r="X228" i="13" s="1"/>
  <c r="W219" i="13"/>
  <c r="X219" i="13" s="1"/>
  <c r="W203" i="13"/>
  <c r="X203" i="13" s="1"/>
  <c r="W195" i="13"/>
  <c r="X195" i="13" s="1"/>
  <c r="W179" i="13"/>
  <c r="X179" i="13" s="1"/>
  <c r="W331" i="13"/>
  <c r="X331" i="13" s="1"/>
  <c r="W330" i="13"/>
  <c r="X330" i="13" s="1"/>
  <c r="W322" i="13"/>
  <c r="X322" i="13" s="1"/>
  <c r="W314" i="13"/>
  <c r="X314" i="13" s="1"/>
  <c r="W306" i="13"/>
  <c r="X306" i="13" s="1"/>
  <c r="W298" i="13"/>
  <c r="X298" i="13" s="1"/>
  <c r="W290" i="13"/>
  <c r="X290" i="13" s="1"/>
  <c r="W282" i="13"/>
  <c r="X282" i="13" s="1"/>
  <c r="W274" i="13"/>
  <c r="X274" i="13" s="1"/>
  <c r="W266" i="13"/>
  <c r="X266" i="13" s="1"/>
  <c r="W258" i="13"/>
  <c r="X258" i="13" s="1"/>
  <c r="W250" i="13"/>
  <c r="X250" i="13" s="1"/>
  <c r="W242" i="13"/>
  <c r="X242" i="13" s="1"/>
  <c r="W234" i="13"/>
  <c r="X234" i="13" s="1"/>
  <c r="W226" i="13"/>
  <c r="X226" i="13" s="1"/>
  <c r="W209" i="13"/>
  <c r="X209" i="13" s="1"/>
  <c r="W201" i="13"/>
  <c r="X201" i="13" s="1"/>
  <c r="W185" i="13"/>
  <c r="X185" i="13" s="1"/>
  <c r="W177" i="13"/>
  <c r="X177" i="13" s="1"/>
  <c r="W321" i="13"/>
  <c r="X321" i="13" s="1"/>
  <c r="W313" i="13"/>
  <c r="X313" i="13" s="1"/>
  <c r="W297" i="13"/>
  <c r="X297" i="13" s="1"/>
  <c r="W289" i="13"/>
  <c r="X289" i="13" s="1"/>
  <c r="W273" i="13"/>
  <c r="X273" i="13" s="1"/>
  <c r="W265" i="13"/>
  <c r="X265" i="13" s="1"/>
  <c r="W249" i="13"/>
  <c r="X249" i="13" s="1"/>
  <c r="W320" i="13"/>
  <c r="X320" i="13" s="1"/>
  <c r="W312" i="13"/>
  <c r="X312" i="13" s="1"/>
  <c r="W304" i="13"/>
  <c r="X304" i="13" s="1"/>
  <c r="W296" i="13"/>
  <c r="X296" i="13" s="1"/>
  <c r="W288" i="13"/>
  <c r="X288" i="13" s="1"/>
  <c r="W280" i="13"/>
  <c r="X280" i="13" s="1"/>
  <c r="W272" i="13"/>
  <c r="X272" i="13" s="1"/>
  <c r="W264" i="13"/>
  <c r="X264" i="13" s="1"/>
  <c r="W256" i="13"/>
  <c r="X256" i="13" s="1"/>
  <c r="W248" i="13"/>
  <c r="X248" i="13" s="1"/>
  <c r="W240" i="13"/>
  <c r="X240" i="13" s="1"/>
  <c r="W232" i="13"/>
  <c r="X232" i="13" s="1"/>
  <c r="W207" i="13"/>
  <c r="X207" i="13" s="1"/>
  <c r="W191" i="13"/>
  <c r="X191" i="13" s="1"/>
  <c r="W183" i="13"/>
  <c r="X183" i="13" s="1"/>
  <c r="W167" i="13"/>
  <c r="X167" i="13" s="1"/>
  <c r="W159" i="13"/>
  <c r="X159" i="13" s="1"/>
  <c r="W143" i="13"/>
  <c r="X143" i="13" s="1"/>
  <c r="W135" i="13"/>
  <c r="X135" i="13" s="1"/>
  <c r="W119" i="13"/>
  <c r="X119" i="13" s="1"/>
  <c r="W111" i="13"/>
  <c r="X111" i="13" s="1"/>
  <c r="W95" i="13"/>
  <c r="X95" i="13" s="1"/>
  <c r="W87" i="13"/>
  <c r="X87" i="13" s="1"/>
  <c r="W71" i="13"/>
  <c r="X71" i="13" s="1"/>
  <c r="W63" i="13"/>
  <c r="X63" i="13" s="1"/>
  <c r="W47" i="13"/>
  <c r="X47" i="13" s="1"/>
  <c r="W39" i="13"/>
  <c r="X39" i="13" s="1"/>
  <c r="W23" i="13"/>
  <c r="X23" i="13" s="1"/>
  <c r="W15" i="13"/>
  <c r="X15" i="13" s="1"/>
  <c r="W319" i="13"/>
  <c r="X319" i="13" s="1"/>
  <c r="W303" i="13"/>
  <c r="X303" i="13" s="1"/>
  <c r="W271" i="13"/>
  <c r="X271" i="13" s="1"/>
  <c r="W255" i="13"/>
  <c r="X255" i="13" s="1"/>
  <c r="W247" i="13"/>
  <c r="X247" i="13" s="1"/>
  <c r="W231" i="13"/>
  <c r="X231" i="13" s="1"/>
  <c r="W327" i="13"/>
  <c r="X327" i="13" s="1"/>
  <c r="W295" i="13"/>
  <c r="X295" i="13" s="1"/>
  <c r="W279" i="13"/>
  <c r="X279" i="13" s="1"/>
  <c r="W238" i="13"/>
  <c r="X238" i="13" s="1"/>
  <c r="W230" i="13"/>
  <c r="X230" i="13" s="1"/>
  <c r="W325" i="13"/>
  <c r="X325" i="13" s="1"/>
  <c r="W309" i="13"/>
  <c r="X309" i="13" s="1"/>
  <c r="W301" i="13"/>
  <c r="X301" i="13" s="1"/>
  <c r="W285" i="13"/>
  <c r="X285" i="13" s="1"/>
  <c r="W6" i="13"/>
  <c r="X6" i="13" s="1"/>
  <c r="W277" i="13"/>
  <c r="X277" i="13" s="1"/>
  <c r="W261" i="13"/>
  <c r="X261" i="13" s="1"/>
  <c r="W253" i="13"/>
  <c r="X253" i="13" s="1"/>
  <c r="W237" i="13"/>
  <c r="X237" i="13" s="1"/>
  <c r="W229" i="13"/>
  <c r="X229" i="13" s="1"/>
  <c r="W221" i="13"/>
  <c r="X221" i="13" s="1"/>
  <c r="W213" i="13"/>
  <c r="X213" i="13" s="1"/>
  <c r="W197" i="13"/>
  <c r="X197" i="13" s="1"/>
  <c r="W189" i="13"/>
  <c r="X189" i="13" s="1"/>
  <c r="W173" i="13"/>
  <c r="X173" i="13" s="1"/>
  <c r="W165" i="13"/>
  <c r="X165" i="13" s="1"/>
  <c r="W149" i="13"/>
  <c r="X149" i="13" s="1"/>
  <c r="W141" i="13"/>
  <c r="X141" i="13" s="1"/>
  <c r="W125" i="13"/>
  <c r="X125" i="13" s="1"/>
  <c r="W117" i="13"/>
  <c r="X117" i="13" s="1"/>
  <c r="W101" i="13"/>
  <c r="X101" i="13" s="1"/>
  <c r="W93" i="13"/>
  <c r="X93" i="13" s="1"/>
  <c r="W77" i="13"/>
  <c r="X77" i="13" s="1"/>
  <c r="W69" i="13"/>
  <c r="X69" i="13" s="1"/>
  <c r="W53" i="13"/>
  <c r="X53" i="13" s="1"/>
  <c r="W45" i="13"/>
  <c r="X45" i="13" s="1"/>
  <c r="W29" i="13"/>
  <c r="X29" i="13" s="1"/>
  <c r="W21" i="13"/>
  <c r="X21" i="13" s="1"/>
  <c r="W216" i="13"/>
  <c r="X216" i="13" s="1"/>
  <c r="W208" i="13"/>
  <c r="X208" i="13" s="1"/>
  <c r="W192" i="13"/>
  <c r="X192" i="13" s="1"/>
  <c r="W184" i="13"/>
  <c r="X184" i="13" s="1"/>
  <c r="W168" i="13"/>
  <c r="X168" i="13" s="1"/>
  <c r="W160" i="13"/>
  <c r="X160" i="13" s="1"/>
  <c r="W144" i="13"/>
  <c r="X144" i="13" s="1"/>
  <c r="W136" i="13"/>
  <c r="X136" i="13" s="1"/>
  <c r="W78" i="13"/>
  <c r="X78" i="13" s="1"/>
  <c r="W70" i="13"/>
  <c r="X70" i="13" s="1"/>
  <c r="W54" i="13"/>
  <c r="X54" i="13" s="1"/>
  <c r="W46" i="13"/>
  <c r="X46" i="13" s="1"/>
  <c r="W30" i="13"/>
  <c r="X30" i="13" s="1"/>
  <c r="W22" i="13"/>
  <c r="X22" i="13" s="1"/>
  <c r="W215" i="13"/>
  <c r="X215" i="13" s="1"/>
  <c r="W222" i="13"/>
  <c r="X222" i="13" s="1"/>
  <c r="W214" i="13"/>
  <c r="X214" i="13" s="1"/>
  <c r="W198" i="13"/>
  <c r="X198" i="13" s="1"/>
  <c r="W190" i="13"/>
  <c r="X190" i="13" s="1"/>
  <c r="W174" i="13"/>
  <c r="X174" i="13" s="1"/>
  <c r="W166" i="13"/>
  <c r="X166" i="13" s="1"/>
  <c r="W150" i="13"/>
  <c r="X150" i="13" s="1"/>
  <c r="W142" i="13"/>
  <c r="X142" i="13" s="1"/>
  <c r="W126" i="13"/>
  <c r="X126" i="13" s="1"/>
  <c r="W118" i="13"/>
  <c r="X118" i="13" s="1"/>
  <c r="W102" i="13"/>
  <c r="X102" i="13" s="1"/>
  <c r="W94" i="13"/>
  <c r="X94" i="13" s="1"/>
  <c r="W217" i="13"/>
  <c r="X217" i="13" s="1"/>
  <c r="W225" i="13"/>
  <c r="X225" i="13" s="1"/>
  <c r="W223" i="13"/>
  <c r="X223" i="13" s="1"/>
  <c r="W205" i="13"/>
  <c r="X205" i="13" s="1"/>
  <c r="W199" i="13"/>
  <c r="X199" i="13" s="1"/>
  <c r="W193" i="13"/>
  <c r="X193" i="13" s="1"/>
  <c r="W187" i="13"/>
  <c r="X187" i="13" s="1"/>
  <c r="W181" i="13"/>
  <c r="X181" i="13" s="1"/>
  <c r="W175" i="13"/>
  <c r="X175" i="13" s="1"/>
  <c r="W169" i="13"/>
  <c r="X169" i="13" s="1"/>
  <c r="W163" i="13"/>
  <c r="X163" i="13" s="1"/>
  <c r="W157" i="13"/>
  <c r="X157" i="13" s="1"/>
  <c r="W151" i="13"/>
  <c r="X151" i="13" s="1"/>
  <c r="W145" i="13"/>
  <c r="X145" i="13" s="1"/>
  <c r="W139" i="13"/>
  <c r="X139" i="13" s="1"/>
  <c r="W133" i="13"/>
  <c r="X133" i="13" s="1"/>
  <c r="W127" i="13"/>
  <c r="X127" i="13" s="1"/>
  <c r="W121" i="13"/>
  <c r="X121" i="13" s="1"/>
  <c r="W115" i="13"/>
  <c r="X115" i="13" s="1"/>
  <c r="W109" i="13"/>
  <c r="X109" i="13" s="1"/>
  <c r="W103" i="13"/>
  <c r="X103" i="13" s="1"/>
  <c r="W97" i="13"/>
  <c r="X97" i="13" s="1"/>
  <c r="W91" i="13"/>
  <c r="X91" i="13" s="1"/>
  <c r="W85" i="13"/>
  <c r="X85" i="13" s="1"/>
  <c r="W79" i="13"/>
  <c r="X79" i="13" s="1"/>
  <c r="W73" i="13"/>
  <c r="X73" i="13" s="1"/>
  <c r="W67" i="13"/>
  <c r="X67" i="13" s="1"/>
  <c r="W61" i="13"/>
  <c r="X61" i="13" s="1"/>
  <c r="W55" i="13"/>
  <c r="X55" i="13" s="1"/>
  <c r="W49" i="13"/>
  <c r="X49" i="13" s="1"/>
  <c r="W43" i="13"/>
  <c r="X43" i="13" s="1"/>
  <c r="W37" i="13"/>
  <c r="X37" i="13" s="1"/>
  <c r="W31" i="13"/>
  <c r="X31" i="13" s="1"/>
  <c r="W25" i="13"/>
  <c r="X25" i="13" s="1"/>
  <c r="W19" i="13"/>
  <c r="X19" i="13" s="1"/>
  <c r="W13" i="13"/>
  <c r="X13" i="13" s="1"/>
  <c r="W7" i="13"/>
  <c r="X7" i="13" s="1"/>
  <c r="W211" i="13"/>
  <c r="X211" i="13" s="1"/>
  <c r="W323" i="13"/>
  <c r="X323" i="13" s="1"/>
  <c r="W299" i="13"/>
  <c r="X299" i="13" s="1"/>
  <c r="W281" i="13"/>
  <c r="X281" i="13" s="1"/>
  <c r="W269" i="13"/>
  <c r="X269" i="13" s="1"/>
  <c r="W251" i="13"/>
  <c r="X251" i="13" s="1"/>
  <c r="W233" i="13"/>
  <c r="X233" i="13" s="1"/>
  <c r="W329" i="13"/>
  <c r="X329" i="13" s="1"/>
  <c r="W305" i="13"/>
  <c r="X305" i="13" s="1"/>
  <c r="W287" i="13"/>
  <c r="X287" i="13" s="1"/>
  <c r="W263" i="13"/>
  <c r="X263" i="13" s="1"/>
  <c r="W245" i="13"/>
  <c r="X245" i="13" s="1"/>
  <c r="W227" i="13"/>
  <c r="X227" i="13" s="1"/>
  <c r="W311" i="13"/>
  <c r="X311" i="13" s="1"/>
  <c r="W293" i="13"/>
  <c r="X293" i="13" s="1"/>
  <c r="W275" i="13"/>
  <c r="X275" i="13" s="1"/>
  <c r="W257" i="13"/>
  <c r="X257" i="13" s="1"/>
  <c r="W239" i="13"/>
  <c r="X239" i="13" s="1"/>
  <c r="W224" i="13"/>
  <c r="X224" i="13" s="1"/>
  <c r="W218" i="13"/>
  <c r="X218" i="13" s="1"/>
  <c r="W212" i="13"/>
  <c r="X212" i="13" s="1"/>
  <c r="W206" i="13"/>
  <c r="X206" i="13" s="1"/>
  <c r="W200" i="13"/>
  <c r="X200" i="13" s="1"/>
  <c r="W194" i="13"/>
  <c r="X194" i="13" s="1"/>
  <c r="W188" i="13"/>
  <c r="X188" i="13" s="1"/>
  <c r="W182" i="13"/>
  <c r="X182" i="13" s="1"/>
  <c r="W176" i="13"/>
  <c r="X176" i="13" s="1"/>
  <c r="W170" i="13"/>
  <c r="X170" i="13" s="1"/>
  <c r="W164" i="13"/>
  <c r="X164" i="13" s="1"/>
  <c r="W158" i="13"/>
  <c r="X158" i="13" s="1"/>
  <c r="W152" i="13"/>
  <c r="X152" i="13" s="1"/>
  <c r="W146" i="13"/>
  <c r="X146" i="13" s="1"/>
  <c r="W140" i="13"/>
  <c r="X140" i="13" s="1"/>
  <c r="W134" i="13"/>
  <c r="X134" i="13" s="1"/>
  <c r="W128" i="13"/>
  <c r="X128" i="13" s="1"/>
  <c r="W122" i="13"/>
  <c r="X122" i="13" s="1"/>
  <c r="W116" i="13"/>
  <c r="X116" i="13" s="1"/>
  <c r="W110" i="13"/>
  <c r="X110" i="13" s="1"/>
  <c r="W104" i="13"/>
  <c r="X104" i="13" s="1"/>
  <c r="W98" i="13"/>
  <c r="X98" i="13" s="1"/>
  <c r="W92" i="13"/>
  <c r="X92" i="13" s="1"/>
  <c r="W86" i="13"/>
  <c r="X86" i="13" s="1"/>
  <c r="W80" i="13"/>
  <c r="X80" i="13" s="1"/>
  <c r="W74" i="13"/>
  <c r="X74" i="13" s="1"/>
  <c r="W68" i="13"/>
  <c r="X68" i="13" s="1"/>
  <c r="W62" i="13"/>
  <c r="X62" i="13" s="1"/>
  <c r="W56" i="13"/>
  <c r="X56" i="13" s="1"/>
  <c r="W50" i="13"/>
  <c r="X50" i="13" s="1"/>
  <c r="W44" i="13"/>
  <c r="X44" i="13" s="1"/>
  <c r="W38" i="13"/>
  <c r="X38" i="13" s="1"/>
  <c r="W32" i="13"/>
  <c r="X32" i="13" s="1"/>
  <c r="W26" i="13"/>
  <c r="X26" i="13" s="1"/>
  <c r="W20" i="13"/>
  <c r="X20" i="13" s="1"/>
  <c r="W14" i="13"/>
  <c r="X14" i="13" s="1"/>
  <c r="W8" i="13"/>
  <c r="X8" i="13" s="1"/>
  <c r="W317" i="13"/>
  <c r="X317" i="13" s="1"/>
  <c r="M294" i="1"/>
  <c r="U294" i="1" s="1"/>
  <c r="L294" i="1"/>
  <c r="T294" i="1" s="1"/>
  <c r="M7" i="1"/>
  <c r="U7" i="1" s="1"/>
  <c r="M11" i="1"/>
  <c r="U11" i="1" s="1"/>
  <c r="M21" i="1"/>
  <c r="U21" i="1" s="1"/>
  <c r="M35" i="1"/>
  <c r="U35" i="1" s="1"/>
  <c r="M41" i="1"/>
  <c r="U41" i="1" s="1"/>
  <c r="M45" i="1"/>
  <c r="U45" i="1" s="1"/>
  <c r="M47" i="1"/>
  <c r="U47" i="1" s="1"/>
  <c r="M53" i="1"/>
  <c r="U53" i="1" s="1"/>
  <c r="M69" i="1"/>
  <c r="U69" i="1" s="1"/>
  <c r="M74" i="1"/>
  <c r="U74" i="1" s="1"/>
  <c r="M80" i="1"/>
  <c r="U80" i="1" s="1"/>
  <c r="M82" i="1"/>
  <c r="U82" i="1" s="1"/>
  <c r="M84" i="1"/>
  <c r="U84" i="1" s="1"/>
  <c r="M90" i="1"/>
  <c r="U90" i="1" s="1"/>
  <c r="M93" i="1"/>
  <c r="U93" i="1" s="1"/>
  <c r="M97" i="1"/>
  <c r="U97" i="1" s="1"/>
  <c r="M121" i="1"/>
  <c r="U121" i="1" s="1"/>
  <c r="M154" i="1"/>
  <c r="U154" i="1" s="1"/>
  <c r="M155" i="1"/>
  <c r="U155" i="1" s="1"/>
  <c r="M254" i="1"/>
  <c r="U254" i="1" s="1"/>
  <c r="M291" i="1"/>
  <c r="U291" i="1" s="1"/>
  <c r="L7" i="1"/>
  <c r="T7" i="1" s="1"/>
  <c r="L11" i="1"/>
  <c r="T11" i="1" s="1"/>
  <c r="L21" i="1"/>
  <c r="T21" i="1" s="1"/>
  <c r="L35" i="1"/>
  <c r="T35" i="1" s="1"/>
  <c r="L41" i="1"/>
  <c r="T41" i="1" s="1"/>
  <c r="L45" i="1"/>
  <c r="T45" i="1" s="1"/>
  <c r="L47" i="1"/>
  <c r="T47" i="1" s="1"/>
  <c r="L53" i="1"/>
  <c r="T53" i="1" s="1"/>
  <c r="L69" i="1"/>
  <c r="T69" i="1" s="1"/>
  <c r="L74" i="1"/>
  <c r="T74" i="1" s="1"/>
  <c r="L80" i="1"/>
  <c r="T80" i="1" s="1"/>
  <c r="L82" i="1"/>
  <c r="T82" i="1" s="1"/>
  <c r="L84" i="1"/>
  <c r="T84" i="1" s="1"/>
  <c r="L90" i="1"/>
  <c r="T90" i="1" s="1"/>
  <c r="L93" i="1"/>
  <c r="T93" i="1" s="1"/>
  <c r="L97" i="1"/>
  <c r="T97" i="1" s="1"/>
  <c r="L121" i="1"/>
  <c r="T121" i="1" s="1"/>
  <c r="L154" i="1"/>
  <c r="T154" i="1" s="1"/>
  <c r="L155" i="1"/>
  <c r="T155" i="1" s="1"/>
  <c r="L254" i="1"/>
  <c r="T254" i="1" s="1"/>
  <c r="L291" i="1"/>
  <c r="T291" i="1" s="1"/>
  <c r="K7" i="1"/>
  <c r="K11" i="1"/>
  <c r="K21" i="1"/>
  <c r="K35" i="1"/>
  <c r="K41" i="1"/>
  <c r="K45" i="1"/>
  <c r="K47" i="1"/>
  <c r="K53" i="1"/>
  <c r="K69" i="1"/>
  <c r="K74" i="1"/>
  <c r="K80" i="1"/>
  <c r="K82" i="1"/>
  <c r="K84" i="1"/>
  <c r="K90" i="1"/>
  <c r="K93" i="1"/>
  <c r="K97" i="1"/>
  <c r="K121" i="1"/>
  <c r="K154" i="1"/>
  <c r="K155" i="1"/>
  <c r="K254" i="1"/>
  <c r="K291" i="1"/>
  <c r="K294" i="1"/>
  <c r="X90" i="1" l="1"/>
  <c r="X45" i="1"/>
  <c r="X291" i="1"/>
  <c r="X84" i="1"/>
  <c r="X41" i="1"/>
  <c r="X254" i="1"/>
  <c r="X82" i="1"/>
  <c r="X35" i="1"/>
  <c r="X155" i="1"/>
  <c r="X80" i="1"/>
  <c r="X21" i="1"/>
  <c r="X154" i="1"/>
  <c r="X74" i="1"/>
  <c r="X11" i="1"/>
  <c r="X121" i="1"/>
  <c r="X69" i="1"/>
  <c r="X7" i="1"/>
  <c r="X294" i="1"/>
  <c r="X97" i="1"/>
  <c r="X53" i="1"/>
  <c r="X93" i="1"/>
  <c r="X47" i="1"/>
  <c r="W93" i="1"/>
  <c r="W254" i="1"/>
  <c r="W45" i="1"/>
  <c r="W155" i="1"/>
  <c r="W41" i="1"/>
  <c r="W7" i="1"/>
  <c r="W82" i="1"/>
  <c r="W80" i="1"/>
  <c r="W154" i="1"/>
  <c r="W35" i="1"/>
  <c r="W74" i="1"/>
  <c r="W21" i="1"/>
  <c r="W97" i="1"/>
  <c r="W69" i="1"/>
  <c r="W11" i="1"/>
  <c r="W121" i="1"/>
  <c r="W90" i="1"/>
  <c r="W53" i="1"/>
  <c r="W291" i="1"/>
  <c r="W84" i="1"/>
  <c r="W47" i="1"/>
  <c r="W294" i="1"/>
  <c r="S154" i="1"/>
  <c r="Y154" i="13"/>
  <c r="Z154" i="13" s="1"/>
  <c r="S82" i="1"/>
  <c r="Y82" i="13"/>
  <c r="Z82" i="13" s="1"/>
  <c r="S53" i="1"/>
  <c r="Y53" i="13"/>
  <c r="Z53" i="13" s="1"/>
  <c r="S21" i="1"/>
  <c r="Y21" i="13"/>
  <c r="Z21" i="13" s="1"/>
  <c r="S254" i="1"/>
  <c r="S121" i="1"/>
  <c r="Y121" i="13"/>
  <c r="Z121" i="13" s="1"/>
  <c r="S80" i="1"/>
  <c r="Y80" i="13"/>
  <c r="Z80" i="13" s="1"/>
  <c r="S11" i="1"/>
  <c r="Y11" i="13"/>
  <c r="Z11" i="13" s="1"/>
  <c r="S294" i="1"/>
  <c r="S97" i="1"/>
  <c r="Y97" i="13"/>
  <c r="Z97" i="13" s="1"/>
  <c r="S47" i="1"/>
  <c r="Y47" i="13"/>
  <c r="Z47" i="13" s="1"/>
  <c r="S7" i="1"/>
  <c r="Y7" i="13"/>
  <c r="Z7" i="13" s="1"/>
  <c r="S291" i="1"/>
  <c r="S93" i="1"/>
  <c r="Y93" i="13"/>
  <c r="Z93" i="13" s="1"/>
  <c r="S74" i="1"/>
  <c r="Y74" i="13"/>
  <c r="Z74" i="13" s="1"/>
  <c r="S45" i="1"/>
  <c r="Y45" i="13"/>
  <c r="Z45" i="13" s="1"/>
  <c r="S90" i="1"/>
  <c r="Y90" i="13"/>
  <c r="Z90" i="13" s="1"/>
  <c r="S69" i="1"/>
  <c r="Y69" i="13"/>
  <c r="Z69" i="13" s="1"/>
  <c r="S41" i="1"/>
  <c r="Y41" i="13"/>
  <c r="Z41" i="13" s="1"/>
  <c r="S155" i="1"/>
  <c r="Y155" i="13"/>
  <c r="Z155" i="13" s="1"/>
  <c r="S84" i="1"/>
  <c r="Y84" i="13"/>
  <c r="Z84" i="13" s="1"/>
  <c r="S35" i="1"/>
  <c r="Y35" i="13"/>
  <c r="Z35" i="13" s="1"/>
  <c r="O49" i="1" l="1"/>
  <c r="K49" i="1"/>
  <c r="F38" i="22" s="1"/>
  <c r="G38" i="22" s="1"/>
  <c r="O76" i="1"/>
  <c r="K76" i="1"/>
  <c r="F62" i="22" s="1"/>
  <c r="G62" i="22" s="1"/>
  <c r="M182" i="9"/>
  <c r="N182" i="9" s="1"/>
  <c r="O65" i="1"/>
  <c r="K65" i="1"/>
  <c r="F53" i="22" s="1"/>
  <c r="G53" i="22" s="1"/>
  <c r="O268" i="1"/>
  <c r="K268" i="1"/>
  <c r="O313" i="1"/>
  <c r="K313" i="1"/>
  <c r="K178" i="1"/>
  <c r="F148" i="22" s="1"/>
  <c r="G148" i="22" s="1"/>
  <c r="O317" i="1"/>
  <c r="K317" i="1"/>
  <c r="F274" i="22" s="1"/>
  <c r="G274" i="22" s="1"/>
  <c r="O257" i="1"/>
  <c r="K257" i="1"/>
  <c r="O140" i="1"/>
  <c r="K137" i="1"/>
  <c r="F115" i="22" s="1"/>
  <c r="G115" i="22" s="1"/>
  <c r="O240" i="1"/>
  <c r="K240" i="1"/>
  <c r="O233" i="1"/>
  <c r="K233" i="1"/>
  <c r="F202" i="22" s="1"/>
  <c r="G202" i="22" s="1"/>
  <c r="O224" i="1"/>
  <c r="K224" i="1"/>
  <c r="F193" i="22" s="1"/>
  <c r="G193" i="22" s="1"/>
  <c r="O181" i="1"/>
  <c r="K181" i="1"/>
  <c r="F151" i="22" s="1"/>
  <c r="G151" i="22" s="1"/>
  <c r="O167" i="1"/>
  <c r="K167" i="1"/>
  <c r="F138" i="22" s="1"/>
  <c r="G138" i="22" s="1"/>
  <c r="O143" i="1"/>
  <c r="K143" i="1"/>
  <c r="F120" i="22" s="1"/>
  <c r="G120" i="22" s="1"/>
  <c r="O289" i="1"/>
  <c r="K289" i="1"/>
  <c r="O144" i="1"/>
  <c r="K149" i="1"/>
  <c r="F125" i="22" s="1"/>
  <c r="G125" i="22" s="1"/>
  <c r="K297" i="1"/>
  <c r="K164" i="1"/>
  <c r="F136" i="22" s="1"/>
  <c r="G136" i="22" s="1"/>
  <c r="O307" i="1"/>
  <c r="K307" i="1"/>
  <c r="F266" i="22" s="1"/>
  <c r="G266" i="22" s="1"/>
  <c r="O306" i="1"/>
  <c r="K306" i="1"/>
  <c r="O302" i="1"/>
  <c r="K302" i="1"/>
  <c r="O229" i="1"/>
  <c r="K229" i="1"/>
  <c r="F198" i="22" s="1"/>
  <c r="G198" i="22" s="1"/>
  <c r="O311" i="1"/>
  <c r="K311" i="1"/>
  <c r="F269" i="22" s="1"/>
  <c r="G269" i="22" s="1"/>
  <c r="O250" i="1"/>
  <c r="K250" i="1"/>
  <c r="O156" i="1"/>
  <c r="K156" i="1"/>
  <c r="F129" i="22" s="1"/>
  <c r="G129" i="22" s="1"/>
  <c r="O75" i="1"/>
  <c r="K75" i="1"/>
  <c r="F61" i="22" s="1"/>
  <c r="G61" i="22" s="1"/>
  <c r="O242" i="1"/>
  <c r="K242" i="1"/>
  <c r="F211" i="22" s="1"/>
  <c r="G211" i="22" s="1"/>
  <c r="O265" i="1"/>
  <c r="K265" i="1"/>
  <c r="O324" i="1"/>
  <c r="O283" i="1"/>
  <c r="O246" i="1"/>
  <c r="O232" i="1"/>
  <c r="O330" i="1"/>
  <c r="O323" i="1"/>
  <c r="O314" i="1"/>
  <c r="O304" i="1"/>
  <c r="O298" i="1"/>
  <c r="O287" i="1"/>
  <c r="O282" i="1"/>
  <c r="O273" i="1"/>
  <c r="O267" i="1"/>
  <c r="O280" i="1"/>
  <c r="O245" i="1"/>
  <c r="O238" i="1"/>
  <c r="O223" i="1"/>
  <c r="O214" i="1"/>
  <c r="O205" i="1"/>
  <c r="M179" i="9"/>
  <c r="O200" i="1"/>
  <c r="M173" i="9"/>
  <c r="N173" i="9" s="1"/>
  <c r="O194" i="1"/>
  <c r="M167" i="9"/>
  <c r="O188" i="1"/>
  <c r="M161" i="9"/>
  <c r="O182" i="1"/>
  <c r="M155" i="9"/>
  <c r="O100" i="1"/>
  <c r="M149" i="9"/>
  <c r="N149" i="9" s="1"/>
  <c r="O169" i="1"/>
  <c r="M143" i="9"/>
  <c r="O163" i="1"/>
  <c r="M137" i="9"/>
  <c r="O157" i="1"/>
  <c r="M131" i="9"/>
  <c r="O150" i="1"/>
  <c r="M119" i="9"/>
  <c r="O133" i="1"/>
  <c r="M113" i="9"/>
  <c r="N113" i="9" s="1"/>
  <c r="O126" i="1"/>
  <c r="M107" i="9"/>
  <c r="O122" i="1"/>
  <c r="M101" i="9"/>
  <c r="N101" i="9" s="1"/>
  <c r="O115" i="1"/>
  <c r="M95" i="9"/>
  <c r="O109" i="1"/>
  <c r="M89" i="9"/>
  <c r="N89" i="9" s="1"/>
  <c r="O102" i="1"/>
  <c r="M83" i="9"/>
  <c r="O39" i="1"/>
  <c r="M77" i="9"/>
  <c r="N77" i="9" s="1"/>
  <c r="O87" i="1"/>
  <c r="M71" i="9"/>
  <c r="O78" i="1"/>
  <c r="M65" i="9"/>
  <c r="N65" i="9" s="1"/>
  <c r="O68" i="1"/>
  <c r="M59" i="9"/>
  <c r="O61" i="1"/>
  <c r="M53" i="9"/>
  <c r="O57" i="1"/>
  <c r="M47" i="9"/>
  <c r="O43" i="1"/>
  <c r="M41" i="9"/>
  <c r="N41" i="9" s="1"/>
  <c r="O38" i="1"/>
  <c r="M35" i="9"/>
  <c r="O32" i="1"/>
  <c r="M29" i="9"/>
  <c r="N29" i="9" s="1"/>
  <c r="O26" i="1"/>
  <c r="M22" i="9"/>
  <c r="N22" i="9" s="1"/>
  <c r="O22" i="1"/>
  <c r="M15" i="9"/>
  <c r="P22" i="1" s="1"/>
  <c r="M8" i="9"/>
  <c r="K17" i="1"/>
  <c r="F11" i="22" s="1"/>
  <c r="G11" i="22" s="1"/>
  <c r="O305" i="1"/>
  <c r="O275" i="1"/>
  <c r="O329" i="1"/>
  <c r="O322" i="1"/>
  <c r="O312" i="1"/>
  <c r="O303" i="1"/>
  <c r="O296" i="1"/>
  <c r="O286" i="1"/>
  <c r="O281" i="1"/>
  <c r="O272" i="1"/>
  <c r="O266" i="1"/>
  <c r="O259" i="1"/>
  <c r="O253" i="1"/>
  <c r="O244" i="1"/>
  <c r="O237" i="1"/>
  <c r="O230" i="1"/>
  <c r="O215" i="1"/>
  <c r="O204" i="1"/>
  <c r="M178" i="9"/>
  <c r="O199" i="1"/>
  <c r="M172" i="9"/>
  <c r="O193" i="1"/>
  <c r="M166" i="9"/>
  <c r="O187" i="1"/>
  <c r="M160" i="9"/>
  <c r="O180" i="1"/>
  <c r="M154" i="9"/>
  <c r="N154" i="9" s="1"/>
  <c r="O174" i="1"/>
  <c r="M148" i="9"/>
  <c r="O168" i="1"/>
  <c r="M142" i="9"/>
  <c r="O162" i="1"/>
  <c r="M136" i="9"/>
  <c r="O128" i="1"/>
  <c r="M130" i="9"/>
  <c r="O148" i="1"/>
  <c r="M124" i="9"/>
  <c r="O139" i="1"/>
  <c r="M118" i="9"/>
  <c r="N118" i="9" s="1"/>
  <c r="O141" i="1"/>
  <c r="O208" i="1"/>
  <c r="M106" i="9"/>
  <c r="O120" i="1"/>
  <c r="M100" i="9"/>
  <c r="O114" i="1"/>
  <c r="M94" i="9"/>
  <c r="O108" i="1"/>
  <c r="M88" i="9"/>
  <c r="O104" i="1"/>
  <c r="M82" i="9"/>
  <c r="N82" i="9" s="1"/>
  <c r="O94" i="1"/>
  <c r="M76" i="9"/>
  <c r="M70" i="9"/>
  <c r="O77" i="1"/>
  <c r="M64" i="9"/>
  <c r="O67" i="1"/>
  <c r="O60" i="1"/>
  <c r="M52" i="9"/>
  <c r="P65" i="1" s="1"/>
  <c r="O52" i="1"/>
  <c r="M46" i="9"/>
  <c r="N46" i="9" s="1"/>
  <c r="O42" i="1"/>
  <c r="M40" i="9"/>
  <c r="O37" i="1"/>
  <c r="M34" i="9"/>
  <c r="O31" i="1"/>
  <c r="M28" i="9"/>
  <c r="O9" i="1"/>
  <c r="M21" i="9"/>
  <c r="N21" i="9" s="1"/>
  <c r="O20" i="1"/>
  <c r="M14" i="9"/>
  <c r="P20" i="1" s="1"/>
  <c r="O14" i="1"/>
  <c r="M7" i="9"/>
  <c r="O316" i="1"/>
  <c r="O274" i="1"/>
  <c r="O328" i="1"/>
  <c r="O321" i="1"/>
  <c r="O310" i="1"/>
  <c r="O101" i="1"/>
  <c r="O293" i="1"/>
  <c r="O285" i="1"/>
  <c r="O279" i="1"/>
  <c r="O271" i="1"/>
  <c r="O264" i="1"/>
  <c r="O318" i="1"/>
  <c r="O252" i="1"/>
  <c r="O236" i="1"/>
  <c r="O270" i="1"/>
  <c r="O218" i="1"/>
  <c r="O222" i="1"/>
  <c r="O206" i="1"/>
  <c r="M177" i="9"/>
  <c r="M171" i="9"/>
  <c r="O198" i="1"/>
  <c r="M165" i="9"/>
  <c r="O192" i="1"/>
  <c r="O185" i="1"/>
  <c r="M159" i="9"/>
  <c r="O179" i="1"/>
  <c r="M153" i="9"/>
  <c r="M147" i="9"/>
  <c r="O210" i="1"/>
  <c r="M141" i="9"/>
  <c r="O161" i="1"/>
  <c r="M135" i="9"/>
  <c r="N135" i="9" s="1"/>
  <c r="O153" i="1"/>
  <c r="M129" i="9"/>
  <c r="O147" i="1"/>
  <c r="M123" i="9"/>
  <c r="O138" i="1"/>
  <c r="M117" i="9"/>
  <c r="O132" i="1"/>
  <c r="M111" i="9"/>
  <c r="O127" i="1"/>
  <c r="M105" i="9"/>
  <c r="O119" i="1"/>
  <c r="M99" i="9"/>
  <c r="O113" i="1"/>
  <c r="M93" i="9"/>
  <c r="O107" i="1"/>
  <c r="M87" i="9"/>
  <c r="O98" i="1"/>
  <c r="M81" i="9"/>
  <c r="O92" i="1"/>
  <c r="M75" i="9"/>
  <c r="O85" i="1"/>
  <c r="M69" i="9"/>
  <c r="O73" i="1"/>
  <c r="M63" i="9"/>
  <c r="N63" i="9" s="1"/>
  <c r="O66" i="1"/>
  <c r="M57" i="9"/>
  <c r="O58" i="1"/>
  <c r="M51" i="9"/>
  <c r="N51" i="9" s="1"/>
  <c r="O51" i="1"/>
  <c r="M45" i="9"/>
  <c r="O44" i="1"/>
  <c r="M39" i="9"/>
  <c r="O36" i="1"/>
  <c r="M33" i="9"/>
  <c r="O30" i="1"/>
  <c r="M27" i="9"/>
  <c r="N27" i="9" s="1"/>
  <c r="O25" i="1"/>
  <c r="M19" i="9"/>
  <c r="O19" i="1"/>
  <c r="M13" i="9"/>
  <c r="P19" i="1" s="1"/>
  <c r="O13" i="1"/>
  <c r="M6" i="9"/>
  <c r="O231" i="1"/>
  <c r="K225" i="1"/>
  <c r="F194" i="22" s="1"/>
  <c r="G194" i="22" s="1"/>
  <c r="O299" i="1"/>
  <c r="O261" i="1"/>
  <c r="O327" i="1"/>
  <c r="O320" i="1"/>
  <c r="O309" i="1"/>
  <c r="O301" i="1"/>
  <c r="O292" i="1"/>
  <c r="O315" i="1"/>
  <c r="O278" i="1"/>
  <c r="O276" i="1"/>
  <c r="O263" i="1"/>
  <c r="O258" i="1"/>
  <c r="O251" i="1"/>
  <c r="P251" i="1"/>
  <c r="O243" i="1"/>
  <c r="O235" i="1"/>
  <c r="P240" i="1"/>
  <c r="O227" i="1"/>
  <c r="O217" i="1"/>
  <c r="O221" i="1"/>
  <c r="P221" i="1"/>
  <c r="O203" i="1"/>
  <c r="M176" i="9"/>
  <c r="N176" i="9" s="1"/>
  <c r="O197" i="1"/>
  <c r="M170" i="9"/>
  <c r="O191" i="1"/>
  <c r="M164" i="9"/>
  <c r="O184" i="1"/>
  <c r="M158" i="9"/>
  <c r="O177" i="1"/>
  <c r="M152" i="9"/>
  <c r="O172" i="1"/>
  <c r="O166" i="1"/>
  <c r="M140" i="9"/>
  <c r="N140" i="9" s="1"/>
  <c r="O160" i="1"/>
  <c r="M128" i="9"/>
  <c r="O145" i="1"/>
  <c r="M122" i="9"/>
  <c r="O136" i="1"/>
  <c r="O131" i="1"/>
  <c r="M110" i="9"/>
  <c r="O125" i="1"/>
  <c r="M104" i="9"/>
  <c r="O118" i="1"/>
  <c r="M98" i="9"/>
  <c r="O112" i="1"/>
  <c r="M92" i="9"/>
  <c r="O106" i="1"/>
  <c r="M86" i="9"/>
  <c r="O96" i="1"/>
  <c r="M80" i="9"/>
  <c r="N80" i="9" s="1"/>
  <c r="O91" i="1"/>
  <c r="M74" i="9"/>
  <c r="O83" i="1"/>
  <c r="M68" i="9"/>
  <c r="N68" i="9" s="1"/>
  <c r="O72" i="1"/>
  <c r="M62" i="9"/>
  <c r="P76" i="1" s="1"/>
  <c r="O64" i="1"/>
  <c r="M56" i="9"/>
  <c r="O56" i="1"/>
  <c r="M50" i="9"/>
  <c r="O50" i="1"/>
  <c r="M44" i="9"/>
  <c r="N44" i="9" s="1"/>
  <c r="O212" i="1"/>
  <c r="M38" i="9"/>
  <c r="P49" i="1" s="1"/>
  <c r="O105" i="1"/>
  <c r="M32" i="9"/>
  <c r="O29" i="1"/>
  <c r="M26" i="9"/>
  <c r="O24" i="1"/>
  <c r="M18" i="9"/>
  <c r="O18" i="1"/>
  <c r="M12" i="9"/>
  <c r="P18" i="1" s="1"/>
  <c r="O12" i="1"/>
  <c r="M5" i="9"/>
  <c r="O220" i="1"/>
  <c r="K211" i="1"/>
  <c r="F181" i="22" s="1"/>
  <c r="G181" i="22" s="1"/>
  <c r="H23" i="9"/>
  <c r="O325" i="1"/>
  <c r="O326" i="1"/>
  <c r="O308" i="1"/>
  <c r="O300" i="1"/>
  <c r="O290" i="1"/>
  <c r="O284" i="1"/>
  <c r="P284" i="1"/>
  <c r="O277" i="1"/>
  <c r="O269" i="1"/>
  <c r="O262" i="1"/>
  <c r="O256" i="1"/>
  <c r="O247" i="1"/>
  <c r="O241" i="1"/>
  <c r="O234" i="1"/>
  <c r="O226" i="1"/>
  <c r="O216" i="1"/>
  <c r="O59" i="1"/>
  <c r="M181" i="9"/>
  <c r="O202" i="1"/>
  <c r="M175" i="9"/>
  <c r="O196" i="1"/>
  <c r="M169" i="9"/>
  <c r="O186" i="1"/>
  <c r="M163" i="9"/>
  <c r="O190" i="1"/>
  <c r="M157" i="9"/>
  <c r="O176" i="1"/>
  <c r="M151" i="9"/>
  <c r="O171" i="1"/>
  <c r="M145" i="9"/>
  <c r="O165" i="1"/>
  <c r="M139" i="9"/>
  <c r="O159" i="1"/>
  <c r="M133" i="9"/>
  <c r="O152" i="1"/>
  <c r="M127" i="9"/>
  <c r="O135" i="1"/>
  <c r="M115" i="9"/>
  <c r="O130" i="1"/>
  <c r="M109" i="9"/>
  <c r="O124" i="1"/>
  <c r="M103" i="9"/>
  <c r="O117" i="1"/>
  <c r="M97" i="9"/>
  <c r="O111" i="1"/>
  <c r="M91" i="9"/>
  <c r="O248" i="1"/>
  <c r="M85" i="9"/>
  <c r="O295" i="1"/>
  <c r="M79" i="9"/>
  <c r="O89" i="1"/>
  <c r="M73" i="9"/>
  <c r="O81" i="1"/>
  <c r="M67" i="9"/>
  <c r="O71" i="1"/>
  <c r="M61" i="9"/>
  <c r="O63" i="1"/>
  <c r="M55" i="9"/>
  <c r="O55" i="1"/>
  <c r="M49" i="9"/>
  <c r="O48" i="1"/>
  <c r="M43" i="9"/>
  <c r="O40" i="1"/>
  <c r="M37" i="9"/>
  <c r="O34" i="1"/>
  <c r="M31" i="9"/>
  <c r="P302" i="1" s="1"/>
  <c r="O28" i="1"/>
  <c r="M25" i="9"/>
  <c r="O23" i="1"/>
  <c r="M17" i="9"/>
  <c r="O209" i="1"/>
  <c r="M10" i="9"/>
  <c r="O10" i="1"/>
  <c r="M4" i="9"/>
  <c r="M23" i="9"/>
  <c r="N23" i="9" s="1"/>
  <c r="H20" i="9"/>
  <c r="I20" i="9" s="1"/>
  <c r="O288" i="1"/>
  <c r="O255" i="1"/>
  <c r="O239" i="1"/>
  <c r="O249" i="1"/>
  <c r="O213" i="1"/>
  <c r="O207" i="1"/>
  <c r="M180" i="9"/>
  <c r="O201" i="1"/>
  <c r="M174" i="9"/>
  <c r="O195" i="1"/>
  <c r="M168" i="9"/>
  <c r="O189" i="1"/>
  <c r="M162" i="9"/>
  <c r="O183" i="1"/>
  <c r="M156" i="9"/>
  <c r="N156" i="9" s="1"/>
  <c r="O175" i="1"/>
  <c r="M150" i="9"/>
  <c r="O170" i="1"/>
  <c r="O99" i="1"/>
  <c r="M138" i="9"/>
  <c r="O158" i="1"/>
  <c r="M132" i="9"/>
  <c r="M126" i="9"/>
  <c r="O142" i="1"/>
  <c r="M120" i="9"/>
  <c r="N120" i="9" s="1"/>
  <c r="O134" i="1"/>
  <c r="M114" i="9"/>
  <c r="O129" i="1"/>
  <c r="M108" i="9"/>
  <c r="O123" i="1"/>
  <c r="M102" i="9"/>
  <c r="O116" i="1"/>
  <c r="M96" i="9"/>
  <c r="N96" i="9" s="1"/>
  <c r="O110" i="1"/>
  <c r="M90" i="9"/>
  <c r="O103" i="1"/>
  <c r="M84" i="9"/>
  <c r="O95" i="1"/>
  <c r="M78" i="9"/>
  <c r="O88" i="1"/>
  <c r="M72" i="9"/>
  <c r="O79" i="1"/>
  <c r="M66" i="9"/>
  <c r="O70" i="1"/>
  <c r="M60" i="9"/>
  <c r="N60" i="9" s="1"/>
  <c r="O62" i="1"/>
  <c r="M54" i="9"/>
  <c r="O54" i="1"/>
  <c r="M48" i="9"/>
  <c r="O46" i="1"/>
  <c r="M42" i="9"/>
  <c r="O319" i="1"/>
  <c r="M36" i="9"/>
  <c r="O33" i="1"/>
  <c r="M30" i="9"/>
  <c r="O27" i="1"/>
  <c r="M24" i="9"/>
  <c r="N24" i="9" s="1"/>
  <c r="O219" i="1"/>
  <c r="M16" i="9"/>
  <c r="P325" i="1" s="1"/>
  <c r="O16" i="1"/>
  <c r="M9" i="9"/>
  <c r="M3" i="9"/>
  <c r="M20" i="9"/>
  <c r="N20" i="9" s="1"/>
  <c r="H11" i="9"/>
  <c r="L17" i="1" s="1"/>
  <c r="K328" i="1"/>
  <c r="K300" i="1"/>
  <c r="K279" i="1"/>
  <c r="F245" i="22" s="1"/>
  <c r="G245" i="22" s="1"/>
  <c r="K260" i="1"/>
  <c r="K270" i="1"/>
  <c r="K322" i="1"/>
  <c r="F279" i="22" s="1"/>
  <c r="G279" i="22" s="1"/>
  <c r="K309" i="1"/>
  <c r="K292" i="1"/>
  <c r="K278" i="1"/>
  <c r="F244" i="22" s="1"/>
  <c r="G244" i="22" s="1"/>
  <c r="K263" i="1"/>
  <c r="K251" i="1"/>
  <c r="K235" i="1"/>
  <c r="F204" i="22" s="1"/>
  <c r="G204" i="22" s="1"/>
  <c r="K217" i="1"/>
  <c r="F187" i="22" s="1"/>
  <c r="G187" i="22" s="1"/>
  <c r="K199" i="1"/>
  <c r="F169" i="22" s="1"/>
  <c r="G169" i="22" s="1"/>
  <c r="K183" i="1"/>
  <c r="F153" i="22" s="1"/>
  <c r="G153" i="22" s="1"/>
  <c r="K170" i="1"/>
  <c r="F141" i="22" s="1"/>
  <c r="G141" i="22" s="1"/>
  <c r="K162" i="1"/>
  <c r="F135" i="22" s="1"/>
  <c r="G135" i="22" s="1"/>
  <c r="K148" i="1"/>
  <c r="K136" i="1"/>
  <c r="L143" i="1"/>
  <c r="K129" i="1"/>
  <c r="F108" i="22" s="1"/>
  <c r="G108" i="22" s="1"/>
  <c r="H108" i="9"/>
  <c r="K112" i="1"/>
  <c r="F92" i="22" s="1"/>
  <c r="G92" i="22" s="1"/>
  <c r="H92" i="9"/>
  <c r="K330" i="1"/>
  <c r="K321" i="1"/>
  <c r="K308" i="1"/>
  <c r="K298" i="1"/>
  <c r="K285" i="1"/>
  <c r="K282" i="1"/>
  <c r="F248" i="22" s="1"/>
  <c r="G248" i="22" s="1"/>
  <c r="K277" i="1"/>
  <c r="F243" i="22" s="1"/>
  <c r="G243" i="22" s="1"/>
  <c r="K271" i="1"/>
  <c r="F236" i="22" s="1"/>
  <c r="G236" i="22" s="1"/>
  <c r="K267" i="1"/>
  <c r="F233" i="22" s="1"/>
  <c r="G233" i="22" s="1"/>
  <c r="K262" i="1"/>
  <c r="F228" i="22" s="1"/>
  <c r="G228" i="22" s="1"/>
  <c r="K318" i="1"/>
  <c r="K280" i="1"/>
  <c r="K247" i="1"/>
  <c r="K236" i="1"/>
  <c r="K238" i="1"/>
  <c r="F206" i="22" s="1"/>
  <c r="G206" i="22" s="1"/>
  <c r="K234" i="1"/>
  <c r="F203" i="22" s="1"/>
  <c r="G203" i="22" s="1"/>
  <c r="K228" i="1"/>
  <c r="F197" i="22" s="1"/>
  <c r="G197" i="22" s="1"/>
  <c r="K223" i="1"/>
  <c r="F192" i="22" s="1"/>
  <c r="G192" i="22" s="1"/>
  <c r="K216" i="1"/>
  <c r="F186" i="22" s="1"/>
  <c r="G186" i="22" s="1"/>
  <c r="K222" i="1"/>
  <c r="F191" i="22" s="1"/>
  <c r="G191" i="22" s="1"/>
  <c r="K205" i="1"/>
  <c r="F175" i="22" s="1"/>
  <c r="G175" i="22" s="1"/>
  <c r="K202" i="1"/>
  <c r="F172" i="22" s="1"/>
  <c r="G172" i="22" s="1"/>
  <c r="K198" i="1"/>
  <c r="F168" i="22" s="1"/>
  <c r="G168" i="22" s="1"/>
  <c r="K194" i="1"/>
  <c r="F164" i="22" s="1"/>
  <c r="G164" i="22" s="1"/>
  <c r="K186" i="1"/>
  <c r="F156" i="22" s="1"/>
  <c r="G156" i="22" s="1"/>
  <c r="K185" i="1"/>
  <c r="F155" i="22" s="1"/>
  <c r="G155" i="22" s="1"/>
  <c r="K182" i="1"/>
  <c r="F152" i="22" s="1"/>
  <c r="G152" i="22" s="1"/>
  <c r="K176" i="1"/>
  <c r="K173" i="1"/>
  <c r="F144" i="22" s="1"/>
  <c r="G144" i="22" s="1"/>
  <c r="K169" i="1"/>
  <c r="F140" i="22" s="1"/>
  <c r="G140" i="22" s="1"/>
  <c r="K165" i="1"/>
  <c r="F137" i="22" s="1"/>
  <c r="G137" i="22" s="1"/>
  <c r="K161" i="1"/>
  <c r="F134" i="22" s="1"/>
  <c r="G134" i="22" s="1"/>
  <c r="K157" i="1"/>
  <c r="F130" i="22" s="1"/>
  <c r="G130" i="22" s="1"/>
  <c r="K152" i="1"/>
  <c r="F128" i="22" s="1"/>
  <c r="G128" i="22" s="1"/>
  <c r="K147" i="1"/>
  <c r="F124" i="22" s="1"/>
  <c r="G124" i="22" s="1"/>
  <c r="K140" i="1"/>
  <c r="F118" i="22" s="1"/>
  <c r="G118" i="22" s="1"/>
  <c r="K135" i="1"/>
  <c r="F114" i="22" s="1"/>
  <c r="G114" i="22" s="1"/>
  <c r="K132" i="1"/>
  <c r="F111" i="22" s="1"/>
  <c r="G111" i="22" s="1"/>
  <c r="K126" i="1"/>
  <c r="F105" i="22" s="1"/>
  <c r="G105" i="22" s="1"/>
  <c r="H107" i="9"/>
  <c r="K124" i="1"/>
  <c r="F103" i="22" s="1"/>
  <c r="G103" i="22" s="1"/>
  <c r="H103" i="9"/>
  <c r="K119" i="1"/>
  <c r="F99" i="22" s="1"/>
  <c r="G99" i="22" s="1"/>
  <c r="H99" i="9"/>
  <c r="K115" i="1"/>
  <c r="F95" i="22" s="1"/>
  <c r="G95" i="22" s="1"/>
  <c r="H95" i="9"/>
  <c r="K111" i="1"/>
  <c r="F91" i="22" s="1"/>
  <c r="G91" i="22" s="1"/>
  <c r="H91" i="9"/>
  <c r="K107" i="1"/>
  <c r="F87" i="22" s="1"/>
  <c r="G87" i="22" s="1"/>
  <c r="H87" i="9"/>
  <c r="K102" i="1"/>
  <c r="F82" i="22" s="1"/>
  <c r="G82" i="22" s="1"/>
  <c r="H83" i="9"/>
  <c r="K295" i="1"/>
  <c r="H79" i="9"/>
  <c r="K92" i="1"/>
  <c r="F74" i="22" s="1"/>
  <c r="G74" i="22" s="1"/>
  <c r="H75" i="9"/>
  <c r="K87" i="1"/>
  <c r="F70" i="22" s="1"/>
  <c r="G70" i="22" s="1"/>
  <c r="H71" i="9"/>
  <c r="K81" i="1"/>
  <c r="F66" i="22" s="1"/>
  <c r="G66" i="22" s="1"/>
  <c r="K73" i="1"/>
  <c r="F60" i="22" s="1"/>
  <c r="G60" i="22" s="1"/>
  <c r="H63" i="9"/>
  <c r="K68" i="1"/>
  <c r="F56" i="22" s="1"/>
  <c r="G56" i="22" s="1"/>
  <c r="H59" i="9"/>
  <c r="K63" i="1"/>
  <c r="F51" i="22" s="1"/>
  <c r="G51" i="22" s="1"/>
  <c r="H55" i="9"/>
  <c r="K58" i="1"/>
  <c r="F46" i="22" s="1"/>
  <c r="G46" i="22" s="1"/>
  <c r="H51" i="9"/>
  <c r="K57" i="1"/>
  <c r="F45" i="22" s="1"/>
  <c r="G45" i="22" s="1"/>
  <c r="H47" i="9"/>
  <c r="K48" i="1"/>
  <c r="F37" i="22" s="1"/>
  <c r="G37" i="22" s="1"/>
  <c r="H43" i="9"/>
  <c r="K44" i="1"/>
  <c r="F35" i="22" s="1"/>
  <c r="G35" i="22" s="1"/>
  <c r="H39" i="9"/>
  <c r="K38" i="1"/>
  <c r="F30" i="22" s="1"/>
  <c r="G30" i="22" s="1"/>
  <c r="H35" i="9"/>
  <c r="K34" i="1"/>
  <c r="F27" i="22" s="1"/>
  <c r="G27" i="22" s="1"/>
  <c r="H31" i="9"/>
  <c r="K30" i="1"/>
  <c r="F23" i="22" s="1"/>
  <c r="G23" i="22" s="1"/>
  <c r="H27" i="9"/>
  <c r="K26" i="1"/>
  <c r="F19" i="22" s="1"/>
  <c r="G19" i="22" s="1"/>
  <c r="H22" i="9"/>
  <c r="K23" i="1"/>
  <c r="F16" i="22" s="1"/>
  <c r="G16" i="22" s="1"/>
  <c r="H17" i="9"/>
  <c r="K19" i="1"/>
  <c r="F13" i="22" s="1"/>
  <c r="G13" i="22" s="1"/>
  <c r="H13" i="9"/>
  <c r="L19" i="1" s="1"/>
  <c r="H8" i="9"/>
  <c r="K10" i="1"/>
  <c r="F5" i="22" s="1"/>
  <c r="G5" i="22" s="1"/>
  <c r="H4" i="9"/>
  <c r="K310" i="1"/>
  <c r="K287" i="1"/>
  <c r="K269" i="1"/>
  <c r="F235" i="22" s="1"/>
  <c r="G235" i="22" s="1"/>
  <c r="K252" i="1"/>
  <c r="K226" i="1"/>
  <c r="F195" i="22" s="1"/>
  <c r="G195" i="22" s="1"/>
  <c r="K316" i="1"/>
  <c r="F273" i="22" s="1"/>
  <c r="G273" i="22" s="1"/>
  <c r="K299" i="1"/>
  <c r="F261" i="22" s="1"/>
  <c r="G261" i="22" s="1"/>
  <c r="K283" i="1"/>
  <c r="K275" i="1"/>
  <c r="K259" i="1"/>
  <c r="F225" i="22" s="1"/>
  <c r="G225" i="22" s="1"/>
  <c r="K244" i="1"/>
  <c r="F213" i="22" s="1"/>
  <c r="G213" i="22" s="1"/>
  <c r="K230" i="1"/>
  <c r="F199" i="22" s="1"/>
  <c r="G199" i="22" s="1"/>
  <c r="K215" i="1"/>
  <c r="F185" i="22" s="1"/>
  <c r="G185" i="22" s="1"/>
  <c r="K195" i="1"/>
  <c r="F165" i="22" s="1"/>
  <c r="G165" i="22" s="1"/>
  <c r="K187" i="1"/>
  <c r="F157" i="22" s="1"/>
  <c r="G157" i="22" s="1"/>
  <c r="K174" i="1"/>
  <c r="F145" i="22" s="1"/>
  <c r="G145" i="22" s="1"/>
  <c r="K158" i="1"/>
  <c r="F131" i="22" s="1"/>
  <c r="G131" i="22" s="1"/>
  <c r="K108" i="1"/>
  <c r="F88" i="22" s="1"/>
  <c r="G88" i="22" s="1"/>
  <c r="H88" i="9"/>
  <c r="K325" i="1"/>
  <c r="K314" i="1"/>
  <c r="K101" i="1"/>
  <c r="F81" i="22" s="1"/>
  <c r="G81" i="22" s="1"/>
  <c r="K290" i="1"/>
  <c r="F254" i="22" s="1"/>
  <c r="G254" i="22" s="1"/>
  <c r="K329" i="1"/>
  <c r="F286" i="22" s="1"/>
  <c r="G286" i="22" s="1"/>
  <c r="K324" i="1"/>
  <c r="F281" i="22" s="1"/>
  <c r="G281" i="22" s="1"/>
  <c r="K320" i="1"/>
  <c r="F277" i="22" s="1"/>
  <c r="G277" i="22" s="1"/>
  <c r="K312" i="1"/>
  <c r="K305" i="1"/>
  <c r="K301" i="1"/>
  <c r="K296" i="1"/>
  <c r="F259" i="22" s="1"/>
  <c r="G259" i="22" s="1"/>
  <c r="K288" i="1"/>
  <c r="F253" i="22" s="1"/>
  <c r="G253" i="22" s="1"/>
  <c r="K315" i="1"/>
  <c r="K281" i="1"/>
  <c r="K274" i="1"/>
  <c r="K276" i="1"/>
  <c r="F242" i="22" s="1"/>
  <c r="G242" i="22" s="1"/>
  <c r="K266" i="1"/>
  <c r="F232" i="22" s="1"/>
  <c r="G232" i="22" s="1"/>
  <c r="K261" i="1"/>
  <c r="F227" i="22" s="1"/>
  <c r="G227" i="22" s="1"/>
  <c r="K258" i="1"/>
  <c r="F224" i="22" s="1"/>
  <c r="G224" i="22" s="1"/>
  <c r="K253" i="1"/>
  <c r="F219" i="22" s="1"/>
  <c r="G219" i="22" s="1"/>
  <c r="K246" i="1"/>
  <c r="F214" i="22" s="1"/>
  <c r="G214" i="22" s="1"/>
  <c r="K243" i="1"/>
  <c r="F212" i="22" s="1"/>
  <c r="G212" i="22" s="1"/>
  <c r="K237" i="1"/>
  <c r="F205" i="22" s="1"/>
  <c r="G205" i="22" s="1"/>
  <c r="K232" i="1"/>
  <c r="F201" i="22" s="1"/>
  <c r="G201" i="22" s="1"/>
  <c r="K227" i="1"/>
  <c r="F196" i="22" s="1"/>
  <c r="G196" i="22" s="1"/>
  <c r="L233" i="1"/>
  <c r="K220" i="1"/>
  <c r="K213" i="1"/>
  <c r="F183" i="22" s="1"/>
  <c r="G183" i="22" s="1"/>
  <c r="K221" i="1"/>
  <c r="F190" i="22" s="1"/>
  <c r="G190" i="22" s="1"/>
  <c r="K204" i="1"/>
  <c r="F174" i="22" s="1"/>
  <c r="G174" i="22" s="1"/>
  <c r="K201" i="1"/>
  <c r="F171" i="22" s="1"/>
  <c r="G171" i="22" s="1"/>
  <c r="K197" i="1"/>
  <c r="F167" i="22" s="1"/>
  <c r="G167" i="22" s="1"/>
  <c r="K193" i="1"/>
  <c r="F163" i="22" s="1"/>
  <c r="G163" i="22" s="1"/>
  <c r="K189" i="1"/>
  <c r="F159" i="22" s="1"/>
  <c r="G159" i="22" s="1"/>
  <c r="K184" i="1"/>
  <c r="F154" i="22" s="1"/>
  <c r="G154" i="22" s="1"/>
  <c r="K180" i="1"/>
  <c r="F150" i="22" s="1"/>
  <c r="G150" i="22" s="1"/>
  <c r="K175" i="1"/>
  <c r="F146" i="22" s="1"/>
  <c r="G146" i="22" s="1"/>
  <c r="K172" i="1"/>
  <c r="F143" i="22" s="1"/>
  <c r="G143" i="22" s="1"/>
  <c r="L181" i="1"/>
  <c r="K168" i="1"/>
  <c r="F139" i="22" s="1"/>
  <c r="G139" i="22" s="1"/>
  <c r="K99" i="1"/>
  <c r="F79" i="22" s="1"/>
  <c r="G79" i="22" s="1"/>
  <c r="K160" i="1"/>
  <c r="F133" i="22" s="1"/>
  <c r="G133" i="22" s="1"/>
  <c r="L167" i="1"/>
  <c r="K128" i="1"/>
  <c r="F107" i="22" s="1"/>
  <c r="G107" i="22" s="1"/>
  <c r="K151" i="1"/>
  <c r="F127" i="22" s="1"/>
  <c r="G127" i="22" s="1"/>
  <c r="K145" i="1"/>
  <c r="F122" i="22" s="1"/>
  <c r="G122" i="22" s="1"/>
  <c r="K139" i="1"/>
  <c r="F117" i="22" s="1"/>
  <c r="G117" i="22" s="1"/>
  <c r="K134" i="1"/>
  <c r="F113" i="22" s="1"/>
  <c r="G113" i="22" s="1"/>
  <c r="K131" i="1"/>
  <c r="F110" i="22" s="1"/>
  <c r="G110" i="22" s="1"/>
  <c r="K208" i="1"/>
  <c r="F178" i="22" s="1"/>
  <c r="G178" i="22" s="1"/>
  <c r="H106" i="9"/>
  <c r="K123" i="1"/>
  <c r="F102" i="22" s="1"/>
  <c r="G102" i="22" s="1"/>
  <c r="H102" i="9"/>
  <c r="K118" i="1"/>
  <c r="F98" i="22" s="1"/>
  <c r="G98" i="22" s="1"/>
  <c r="H98" i="9"/>
  <c r="K114" i="1"/>
  <c r="F94" i="22" s="1"/>
  <c r="G94" i="22" s="1"/>
  <c r="H94" i="9"/>
  <c r="K110" i="1"/>
  <c r="F90" i="22" s="1"/>
  <c r="G90" i="22" s="1"/>
  <c r="H90" i="9"/>
  <c r="K106" i="1"/>
  <c r="F86" i="22" s="1"/>
  <c r="G86" i="22" s="1"/>
  <c r="H86" i="9"/>
  <c r="K104" i="1"/>
  <c r="F84" i="22" s="1"/>
  <c r="G84" i="22" s="1"/>
  <c r="H82" i="9"/>
  <c r="K95" i="1"/>
  <c r="F76" i="22" s="1"/>
  <c r="G76" i="22" s="1"/>
  <c r="H78" i="9"/>
  <c r="K91" i="1"/>
  <c r="F73" i="22" s="1"/>
  <c r="G73" i="22" s="1"/>
  <c r="H74" i="9"/>
  <c r="K86" i="1"/>
  <c r="F69" i="22" s="1"/>
  <c r="G69" i="22" s="1"/>
  <c r="H70" i="9"/>
  <c r="K79" i="1"/>
  <c r="F65" i="22" s="1"/>
  <c r="G65" i="22" s="1"/>
  <c r="K72" i="1"/>
  <c r="F59" i="22" s="1"/>
  <c r="G59" i="22" s="1"/>
  <c r="H62" i="9"/>
  <c r="K67" i="1"/>
  <c r="F55" i="22" s="1"/>
  <c r="G55" i="22" s="1"/>
  <c r="H58" i="9"/>
  <c r="K62" i="1"/>
  <c r="F50" i="22" s="1"/>
  <c r="G50" i="22" s="1"/>
  <c r="H54" i="9"/>
  <c r="K56" i="1"/>
  <c r="F44" i="22" s="1"/>
  <c r="G44" i="22" s="1"/>
  <c r="H50" i="9"/>
  <c r="K52" i="1"/>
  <c r="F41" i="22" s="1"/>
  <c r="G41" i="22" s="1"/>
  <c r="H46" i="9"/>
  <c r="K46" i="1"/>
  <c r="F36" i="22" s="1"/>
  <c r="G36" i="22" s="1"/>
  <c r="H42" i="9"/>
  <c r="K212" i="1"/>
  <c r="F182" i="22" s="1"/>
  <c r="G182" i="22" s="1"/>
  <c r="H38" i="9"/>
  <c r="K37" i="1"/>
  <c r="F29" i="22" s="1"/>
  <c r="G29" i="22" s="1"/>
  <c r="H34" i="9"/>
  <c r="K33" i="1"/>
  <c r="F26" i="22" s="1"/>
  <c r="G26" i="22" s="1"/>
  <c r="H30" i="9"/>
  <c r="K29" i="1"/>
  <c r="F22" i="22" s="1"/>
  <c r="G22" i="22" s="1"/>
  <c r="H26" i="9"/>
  <c r="K9" i="1"/>
  <c r="F4" i="22" s="1"/>
  <c r="G4" i="22" s="1"/>
  <c r="H21" i="9"/>
  <c r="K219" i="1"/>
  <c r="F189" i="22" s="1"/>
  <c r="G189" i="22" s="1"/>
  <c r="H16" i="9"/>
  <c r="L325" i="1" s="1"/>
  <c r="K18" i="1"/>
  <c r="F12" i="22" s="1"/>
  <c r="G12" i="22" s="1"/>
  <c r="H12" i="9"/>
  <c r="L18" i="1" s="1"/>
  <c r="K326" i="1"/>
  <c r="K293" i="1"/>
  <c r="L297" i="1"/>
  <c r="K273" i="1"/>
  <c r="F239" i="22" s="1"/>
  <c r="G239" i="22" s="1"/>
  <c r="K256" i="1"/>
  <c r="F222" i="22" s="1"/>
  <c r="G222" i="22" s="1"/>
  <c r="K241" i="1"/>
  <c r="K231" i="1"/>
  <c r="F200" i="22" s="1"/>
  <c r="G200" i="22" s="1"/>
  <c r="K214" i="1"/>
  <c r="F184" i="22" s="1"/>
  <c r="G184" i="22" s="1"/>
  <c r="K59" i="1"/>
  <c r="F47" i="22" s="1"/>
  <c r="G47" i="22" s="1"/>
  <c r="K206" i="1"/>
  <c r="F176" i="22" s="1"/>
  <c r="G176" i="22" s="1"/>
  <c r="L206" i="1"/>
  <c r="K200" i="1"/>
  <c r="F170" i="22" s="1"/>
  <c r="G170" i="22" s="1"/>
  <c r="K196" i="1"/>
  <c r="F166" i="22" s="1"/>
  <c r="G166" i="22" s="1"/>
  <c r="L196" i="1"/>
  <c r="K192" i="1"/>
  <c r="F162" i="22" s="1"/>
  <c r="G162" i="22" s="1"/>
  <c r="L192" i="1"/>
  <c r="K188" i="1"/>
  <c r="F158" i="22" s="1"/>
  <c r="G158" i="22" s="1"/>
  <c r="K190" i="1"/>
  <c r="F160" i="22" s="1"/>
  <c r="G160" i="22" s="1"/>
  <c r="K179" i="1"/>
  <c r="F149" i="22" s="1"/>
  <c r="G149" i="22" s="1"/>
  <c r="K100" i="1"/>
  <c r="F80" i="22" s="1"/>
  <c r="G80" i="22" s="1"/>
  <c r="K171" i="1"/>
  <c r="F142" i="22" s="1"/>
  <c r="G142" i="22" s="1"/>
  <c r="K210" i="1"/>
  <c r="F180" i="22" s="1"/>
  <c r="G180" i="22" s="1"/>
  <c r="K163" i="1"/>
  <c r="L163" i="1"/>
  <c r="K159" i="1"/>
  <c r="F132" i="22" s="1"/>
  <c r="G132" i="22" s="1"/>
  <c r="K153" i="1"/>
  <c r="L153" i="1"/>
  <c r="K150" i="1"/>
  <c r="F126" i="22" s="1"/>
  <c r="G126" i="22" s="1"/>
  <c r="K144" i="1"/>
  <c r="F121" i="22" s="1"/>
  <c r="G121" i="22" s="1"/>
  <c r="K138" i="1"/>
  <c r="F116" i="22" s="1"/>
  <c r="G116" i="22" s="1"/>
  <c r="K133" i="1"/>
  <c r="F112" i="22" s="1"/>
  <c r="G112" i="22" s="1"/>
  <c r="K130" i="1"/>
  <c r="F109" i="22" s="1"/>
  <c r="G109" i="22" s="1"/>
  <c r="H109" i="9"/>
  <c r="K127" i="1"/>
  <c r="F106" i="22" s="1"/>
  <c r="G106" i="22" s="1"/>
  <c r="H105" i="9"/>
  <c r="K122" i="1"/>
  <c r="F101" i="22" s="1"/>
  <c r="G101" i="22" s="1"/>
  <c r="H101" i="9"/>
  <c r="K117" i="1"/>
  <c r="F97" i="22" s="1"/>
  <c r="G97" i="22" s="1"/>
  <c r="H97" i="9"/>
  <c r="K113" i="1"/>
  <c r="F93" i="22" s="1"/>
  <c r="G93" i="22" s="1"/>
  <c r="H93" i="9"/>
  <c r="K109" i="1"/>
  <c r="F89" i="22" s="1"/>
  <c r="G89" i="22" s="1"/>
  <c r="H89" i="9"/>
  <c r="K248" i="1"/>
  <c r="F216" i="22" s="1"/>
  <c r="G216" i="22" s="1"/>
  <c r="H85" i="9"/>
  <c r="L248" i="1" s="1"/>
  <c r="K98" i="1"/>
  <c r="F78" i="22" s="1"/>
  <c r="G78" i="22" s="1"/>
  <c r="H81" i="9"/>
  <c r="K39" i="1"/>
  <c r="F31" i="22" s="1"/>
  <c r="G31" i="22" s="1"/>
  <c r="H77" i="9"/>
  <c r="K89" i="1"/>
  <c r="F72" i="22" s="1"/>
  <c r="G72" i="22" s="1"/>
  <c r="H73" i="9"/>
  <c r="K85" i="1"/>
  <c r="F68" i="22" s="1"/>
  <c r="G68" i="22" s="1"/>
  <c r="H69" i="9"/>
  <c r="K78" i="1"/>
  <c r="F64" i="22" s="1"/>
  <c r="G64" i="22" s="1"/>
  <c r="K71" i="1"/>
  <c r="F58" i="22" s="1"/>
  <c r="G58" i="22" s="1"/>
  <c r="H61" i="9"/>
  <c r="K66" i="1"/>
  <c r="F54" i="22" s="1"/>
  <c r="G54" i="22" s="1"/>
  <c r="H57" i="9"/>
  <c r="K61" i="1"/>
  <c r="F49" i="22" s="1"/>
  <c r="G49" i="22" s="1"/>
  <c r="H53" i="9"/>
  <c r="K55" i="1"/>
  <c r="F43" i="22" s="1"/>
  <c r="G43" i="22" s="1"/>
  <c r="H49" i="9"/>
  <c r="K51" i="1"/>
  <c r="F40" i="22" s="1"/>
  <c r="G40" i="22" s="1"/>
  <c r="H45" i="9"/>
  <c r="K43" i="1"/>
  <c r="F34" i="22" s="1"/>
  <c r="G34" i="22" s="1"/>
  <c r="H41" i="9"/>
  <c r="K40" i="1"/>
  <c r="F32" i="22" s="1"/>
  <c r="G32" i="22" s="1"/>
  <c r="H37" i="9"/>
  <c r="K36" i="1"/>
  <c r="F28" i="22" s="1"/>
  <c r="G28" i="22" s="1"/>
  <c r="H33" i="9"/>
  <c r="K32" i="1"/>
  <c r="F25" i="22" s="1"/>
  <c r="G25" i="22" s="1"/>
  <c r="H29" i="9"/>
  <c r="L306" i="1" s="1"/>
  <c r="K28" i="1"/>
  <c r="F21" i="22" s="1"/>
  <c r="G21" i="22" s="1"/>
  <c r="H25" i="9"/>
  <c r="L313" i="1" s="1"/>
  <c r="K25" i="1"/>
  <c r="F18" i="22" s="1"/>
  <c r="G18" i="22" s="1"/>
  <c r="H19" i="9"/>
  <c r="K209" i="1"/>
  <c r="F179" i="22" s="1"/>
  <c r="G179" i="22" s="1"/>
  <c r="H10" i="9"/>
  <c r="K13" i="1"/>
  <c r="F7" i="22" s="1"/>
  <c r="G7" i="22" s="1"/>
  <c r="H6" i="9"/>
  <c r="K323" i="1"/>
  <c r="F280" i="22" s="1"/>
  <c r="G280" i="22" s="1"/>
  <c r="K304" i="1"/>
  <c r="F264" i="22" s="1"/>
  <c r="G264" i="22" s="1"/>
  <c r="K284" i="1"/>
  <c r="F250" i="22" s="1"/>
  <c r="G250" i="22" s="1"/>
  <c r="K264" i="1"/>
  <c r="F230" i="22" s="1"/>
  <c r="G230" i="22" s="1"/>
  <c r="K245" i="1"/>
  <c r="K218" i="1"/>
  <c r="F188" i="22" s="1"/>
  <c r="G188" i="22" s="1"/>
  <c r="K327" i="1"/>
  <c r="F284" i="22" s="1"/>
  <c r="G284" i="22" s="1"/>
  <c r="K303" i="1"/>
  <c r="F263" i="22" s="1"/>
  <c r="G263" i="22" s="1"/>
  <c r="K286" i="1"/>
  <c r="K272" i="1"/>
  <c r="F238" i="22" s="1"/>
  <c r="G238" i="22" s="1"/>
  <c r="L272" i="1"/>
  <c r="K255" i="1"/>
  <c r="K239" i="1"/>
  <c r="F207" i="22" s="1"/>
  <c r="G207" i="22" s="1"/>
  <c r="K249" i="1"/>
  <c r="K207" i="1"/>
  <c r="F177" i="22" s="1"/>
  <c r="G177" i="22" s="1"/>
  <c r="K203" i="1"/>
  <c r="F173" i="22" s="1"/>
  <c r="G173" i="22" s="1"/>
  <c r="L203" i="1"/>
  <c r="K191" i="1"/>
  <c r="F161" i="22" s="1"/>
  <c r="G161" i="22" s="1"/>
  <c r="L191" i="1"/>
  <c r="K177" i="1"/>
  <c r="F147" i="22" s="1"/>
  <c r="G147" i="22" s="1"/>
  <c r="L177" i="1"/>
  <c r="K166" i="1"/>
  <c r="L166" i="1"/>
  <c r="K146" i="1"/>
  <c r="F123" i="22" s="1"/>
  <c r="G123" i="22" s="1"/>
  <c r="K142" i="1"/>
  <c r="K141" i="1"/>
  <c r="F119" i="22" s="1"/>
  <c r="G119" i="22" s="1"/>
  <c r="K125" i="1"/>
  <c r="F104" i="22" s="1"/>
  <c r="G104" i="22" s="1"/>
  <c r="H104" i="9"/>
  <c r="K120" i="1"/>
  <c r="F100" i="22" s="1"/>
  <c r="G100" i="22" s="1"/>
  <c r="H100" i="9"/>
  <c r="K116" i="1"/>
  <c r="F96" i="22" s="1"/>
  <c r="G96" i="22" s="1"/>
  <c r="H96" i="9"/>
  <c r="K103" i="1"/>
  <c r="F83" i="22" s="1"/>
  <c r="G83" i="22" s="1"/>
  <c r="H84" i="9"/>
  <c r="K96" i="1"/>
  <c r="F77" i="22" s="1"/>
  <c r="G77" i="22" s="1"/>
  <c r="H80" i="9"/>
  <c r="K94" i="1"/>
  <c r="F75" i="22" s="1"/>
  <c r="G75" i="22" s="1"/>
  <c r="H76" i="9"/>
  <c r="K88" i="1"/>
  <c r="F71" i="22" s="1"/>
  <c r="G71" i="22" s="1"/>
  <c r="H72" i="9"/>
  <c r="L243" i="1" s="1"/>
  <c r="K83" i="1"/>
  <c r="F67" i="22" s="1"/>
  <c r="G67" i="22" s="1"/>
  <c r="H68" i="9"/>
  <c r="L83" i="1" s="1"/>
  <c r="K77" i="1"/>
  <c r="F63" i="22" s="1"/>
  <c r="G63" i="22" s="1"/>
  <c r="H64" i="9"/>
  <c r="K70" i="1"/>
  <c r="F57" i="22" s="1"/>
  <c r="G57" i="22" s="1"/>
  <c r="H60" i="9"/>
  <c r="K64" i="1"/>
  <c r="F52" i="22" s="1"/>
  <c r="G52" i="22" s="1"/>
  <c r="H56" i="9"/>
  <c r="K60" i="1"/>
  <c r="F48" i="22" s="1"/>
  <c r="G48" i="22" s="1"/>
  <c r="H52" i="9"/>
  <c r="K54" i="1"/>
  <c r="F42" i="22" s="1"/>
  <c r="G42" i="22" s="1"/>
  <c r="H48" i="9"/>
  <c r="K50" i="1"/>
  <c r="F39" i="22" s="1"/>
  <c r="G39" i="22" s="1"/>
  <c r="H44" i="9"/>
  <c r="K42" i="1"/>
  <c r="F33" i="22" s="1"/>
  <c r="G33" i="22" s="1"/>
  <c r="H40" i="9"/>
  <c r="L286" i="1" s="1"/>
  <c r="K319" i="1"/>
  <c r="F276" i="22" s="1"/>
  <c r="G276" i="22" s="1"/>
  <c r="H36" i="9"/>
  <c r="L319" i="1" s="1"/>
  <c r="K105" i="1"/>
  <c r="F85" i="22" s="1"/>
  <c r="G85" i="22" s="1"/>
  <c r="H32" i="9"/>
  <c r="K31" i="1"/>
  <c r="F24" i="22" s="1"/>
  <c r="G24" i="22" s="1"/>
  <c r="H28" i="9"/>
  <c r="K27" i="1"/>
  <c r="F20" i="22" s="1"/>
  <c r="G20" i="22" s="1"/>
  <c r="H24" i="9"/>
  <c r="K24" i="1"/>
  <c r="F17" i="22" s="1"/>
  <c r="G17" i="22" s="1"/>
  <c r="H18" i="9"/>
  <c r="K20" i="1"/>
  <c r="F14" i="22" s="1"/>
  <c r="G14" i="22" s="1"/>
  <c r="H14" i="9"/>
  <c r="L20" i="1" s="1"/>
  <c r="K16" i="1"/>
  <c r="F10" i="22" s="1"/>
  <c r="G10" i="22" s="1"/>
  <c r="H9" i="9"/>
  <c r="K12" i="1"/>
  <c r="F6" i="22" s="1"/>
  <c r="G6" i="22" s="1"/>
  <c r="H5" i="9"/>
  <c r="K14" i="1"/>
  <c r="F8" i="22" s="1"/>
  <c r="G8" i="22" s="1"/>
  <c r="H7" i="9"/>
  <c r="H3" i="9"/>
  <c r="O15" i="1"/>
  <c r="K22" i="1"/>
  <c r="F15" i="22" s="1"/>
  <c r="G15" i="22" s="1"/>
  <c r="H15" i="9"/>
  <c r="L22" i="1" s="1"/>
  <c r="F272" i="22" l="1"/>
  <c r="G272" i="22" s="1"/>
  <c r="F249" i="22"/>
  <c r="G249" i="22" s="1"/>
  <c r="F231" i="22"/>
  <c r="G231" i="22" s="1"/>
  <c r="F217" i="22"/>
  <c r="G217" i="22" s="1"/>
  <c r="F223" i="22"/>
  <c r="G223" i="22" s="1"/>
  <c r="F221" i="22"/>
  <c r="G221" i="22" s="1"/>
  <c r="F220" i="22"/>
  <c r="G220" i="22" s="1"/>
  <c r="F267" i="22"/>
  <c r="G267" i="22" s="1"/>
  <c r="F256" i="22"/>
  <c r="G256" i="22" s="1"/>
  <c r="F255" i="22"/>
  <c r="G255" i="22" s="1"/>
  <c r="F271" i="22"/>
  <c r="G271" i="22" s="1"/>
  <c r="F258" i="22"/>
  <c r="G258" i="22" s="1"/>
  <c r="F257" i="22"/>
  <c r="G257" i="22" s="1"/>
  <c r="F215" i="22"/>
  <c r="G215" i="22" s="1"/>
  <c r="F251" i="22"/>
  <c r="G251" i="22" s="1"/>
  <c r="F237" i="22"/>
  <c r="G237" i="22" s="1"/>
  <c r="F283" i="22"/>
  <c r="G283" i="22" s="1"/>
  <c r="F265" i="22"/>
  <c r="G265" i="22" s="1"/>
  <c r="F282" i="22"/>
  <c r="G282" i="22" s="1"/>
  <c r="F246" i="22"/>
  <c r="G246" i="22" s="1"/>
  <c r="F260" i="22"/>
  <c r="G260" i="22" s="1"/>
  <c r="F226" i="22"/>
  <c r="G226" i="22" s="1"/>
  <c r="F209" i="22"/>
  <c r="G209" i="22" s="1"/>
  <c r="F208" i="22"/>
  <c r="G208" i="22" s="1"/>
  <c r="F275" i="22"/>
  <c r="G275" i="22" s="1"/>
  <c r="F218" i="22"/>
  <c r="G218" i="22" s="1"/>
  <c r="F270" i="22"/>
  <c r="G270" i="22" s="1"/>
  <c r="F240" i="22"/>
  <c r="G240" i="22" s="1"/>
  <c r="F252" i="22"/>
  <c r="G252" i="22" s="1"/>
  <c r="F278" i="22"/>
  <c r="G278" i="22" s="1"/>
  <c r="W321" i="1"/>
  <c r="F229" i="22"/>
  <c r="G229" i="22" s="1"/>
  <c r="F262" i="22"/>
  <c r="G262" i="22" s="1"/>
  <c r="F210" i="22"/>
  <c r="G210" i="22" s="1"/>
  <c r="F247" i="22"/>
  <c r="G247" i="22" s="1"/>
  <c r="F241" i="22"/>
  <c r="G241" i="22" s="1"/>
  <c r="F268" i="22"/>
  <c r="G268" i="22" s="1"/>
  <c r="F285" i="22"/>
  <c r="G285" i="22" s="1"/>
  <c r="F234" i="22"/>
  <c r="G234" i="22" s="1"/>
  <c r="P177" i="1"/>
  <c r="L27" i="1"/>
  <c r="L49" i="1"/>
  <c r="L76" i="1"/>
  <c r="X27" i="1"/>
  <c r="X13" i="1"/>
  <c r="X18" i="1"/>
  <c r="X274" i="1"/>
  <c r="X147" i="1"/>
  <c r="X166" i="1"/>
  <c r="X249" i="1"/>
  <c r="X218" i="1"/>
  <c r="X78" i="1"/>
  <c r="X98" i="1"/>
  <c r="X117" i="1"/>
  <c r="X138" i="1"/>
  <c r="X210" i="1"/>
  <c r="X241" i="1"/>
  <c r="X79" i="1"/>
  <c r="X104" i="1"/>
  <c r="X118" i="1"/>
  <c r="X145" i="1"/>
  <c r="X172" i="1"/>
  <c r="X204" i="1"/>
  <c r="X243" i="1"/>
  <c r="X281" i="1"/>
  <c r="X324" i="1"/>
  <c r="X158" i="1"/>
  <c r="X275" i="1"/>
  <c r="X310" i="1"/>
  <c r="X23" i="1"/>
  <c r="X38" i="1"/>
  <c r="X58" i="1"/>
  <c r="X152" i="1"/>
  <c r="X185" i="1"/>
  <c r="X223" i="1"/>
  <c r="X262" i="1"/>
  <c r="X321" i="1"/>
  <c r="X148" i="1"/>
  <c r="X263" i="1"/>
  <c r="X300" i="1"/>
  <c r="X17" i="1"/>
  <c r="X156" i="1"/>
  <c r="X302" i="1"/>
  <c r="X149" i="1"/>
  <c r="X181" i="1"/>
  <c r="X137" i="1"/>
  <c r="X207" i="1"/>
  <c r="X192" i="1"/>
  <c r="X81" i="1"/>
  <c r="X136" i="1"/>
  <c r="X22" i="1"/>
  <c r="X50" i="1"/>
  <c r="X94" i="1"/>
  <c r="X245" i="1"/>
  <c r="X36" i="1"/>
  <c r="X55" i="1"/>
  <c r="X144" i="1"/>
  <c r="X171" i="1"/>
  <c r="X196" i="1"/>
  <c r="X256" i="1"/>
  <c r="X219" i="1"/>
  <c r="X37" i="1"/>
  <c r="X56" i="1"/>
  <c r="X151" i="1"/>
  <c r="X175" i="1"/>
  <c r="X221" i="1"/>
  <c r="X246" i="1"/>
  <c r="X315" i="1"/>
  <c r="X329" i="1"/>
  <c r="X174" i="1"/>
  <c r="X283" i="1"/>
  <c r="X87" i="1"/>
  <c r="X107" i="1"/>
  <c r="X124" i="1"/>
  <c r="X157" i="1"/>
  <c r="X186" i="1"/>
  <c r="X228" i="1"/>
  <c r="X267" i="1"/>
  <c r="X330" i="1"/>
  <c r="X162" i="1"/>
  <c r="X278" i="1"/>
  <c r="X328" i="1"/>
  <c r="X268" i="1"/>
  <c r="X88" i="1"/>
  <c r="X133" i="1"/>
  <c r="X72" i="1"/>
  <c r="X287" i="1"/>
  <c r="X308" i="1"/>
  <c r="X70" i="1"/>
  <c r="X120" i="1"/>
  <c r="X239" i="1"/>
  <c r="X209" i="1"/>
  <c r="X177" i="1"/>
  <c r="X255" i="1"/>
  <c r="X264" i="1"/>
  <c r="X85" i="1"/>
  <c r="X248" i="1"/>
  <c r="X122" i="1"/>
  <c r="X150" i="1"/>
  <c r="X100" i="1"/>
  <c r="X200" i="1"/>
  <c r="X273" i="1"/>
  <c r="X86" i="1"/>
  <c r="X106" i="1"/>
  <c r="X123" i="1"/>
  <c r="X128" i="1"/>
  <c r="X180" i="1"/>
  <c r="X213" i="1"/>
  <c r="X253" i="1"/>
  <c r="X288" i="1"/>
  <c r="X290" i="1"/>
  <c r="X187" i="1"/>
  <c r="X299" i="1"/>
  <c r="X26" i="1"/>
  <c r="X44" i="1"/>
  <c r="X63" i="1"/>
  <c r="X161" i="1"/>
  <c r="X194" i="1"/>
  <c r="X234" i="1"/>
  <c r="X271" i="1"/>
  <c r="X170" i="1"/>
  <c r="X292" i="1"/>
  <c r="X265" i="1"/>
  <c r="X250" i="1"/>
  <c r="X306" i="1"/>
  <c r="X289" i="1"/>
  <c r="X224" i="1"/>
  <c r="X257" i="1"/>
  <c r="X116" i="1"/>
  <c r="X71" i="1"/>
  <c r="X139" i="1"/>
  <c r="X259" i="1"/>
  <c r="X318" i="1"/>
  <c r="X31" i="1"/>
  <c r="X105" i="1"/>
  <c r="X77" i="1"/>
  <c r="X125" i="1"/>
  <c r="X284" i="1"/>
  <c r="X25" i="1"/>
  <c r="X40" i="1"/>
  <c r="X61" i="1"/>
  <c r="X179" i="1"/>
  <c r="X9" i="1"/>
  <c r="X212" i="1"/>
  <c r="X62" i="1"/>
  <c r="X184" i="1"/>
  <c r="X220" i="1"/>
  <c r="X258" i="1"/>
  <c r="X296" i="1"/>
  <c r="X101" i="1"/>
  <c r="X195" i="1"/>
  <c r="X316" i="1"/>
  <c r="X10" i="1"/>
  <c r="X92" i="1"/>
  <c r="X111" i="1"/>
  <c r="X126" i="1"/>
  <c r="X165" i="1"/>
  <c r="X198" i="1"/>
  <c r="X238" i="1"/>
  <c r="X277" i="1"/>
  <c r="X112" i="1"/>
  <c r="X183" i="1"/>
  <c r="X309" i="1"/>
  <c r="X65" i="1"/>
  <c r="X163" i="1"/>
  <c r="X201" i="1"/>
  <c r="X102" i="1"/>
  <c r="X251" i="1"/>
  <c r="X16" i="1"/>
  <c r="X20" i="1"/>
  <c r="X54" i="1"/>
  <c r="X96" i="1"/>
  <c r="X141" i="1"/>
  <c r="X191" i="1"/>
  <c r="X272" i="1"/>
  <c r="X304" i="1"/>
  <c r="X89" i="1"/>
  <c r="X109" i="1"/>
  <c r="X127" i="1"/>
  <c r="X153" i="1"/>
  <c r="X190" i="1"/>
  <c r="X206" i="1"/>
  <c r="X293" i="1"/>
  <c r="X91" i="1"/>
  <c r="X110" i="1"/>
  <c r="X208" i="1"/>
  <c r="X160" i="1"/>
  <c r="X189" i="1"/>
  <c r="X261" i="1"/>
  <c r="X301" i="1"/>
  <c r="S314" i="1"/>
  <c r="X314" i="1"/>
  <c r="X215" i="1"/>
  <c r="X226" i="1"/>
  <c r="X30" i="1"/>
  <c r="X48" i="1"/>
  <c r="X68" i="1"/>
  <c r="X132" i="1"/>
  <c r="X169" i="1"/>
  <c r="X202" i="1"/>
  <c r="X236" i="1"/>
  <c r="X282" i="1"/>
  <c r="X199" i="1"/>
  <c r="X322" i="1"/>
  <c r="X225" i="1"/>
  <c r="X242" i="1"/>
  <c r="X311" i="1"/>
  <c r="X307" i="1"/>
  <c r="X143" i="1"/>
  <c r="X233" i="1"/>
  <c r="X317" i="1"/>
  <c r="X76" i="1"/>
  <c r="X42" i="1"/>
  <c r="X32" i="1"/>
  <c r="X33" i="1"/>
  <c r="X320" i="1"/>
  <c r="X182" i="1"/>
  <c r="X14" i="1"/>
  <c r="X319" i="1"/>
  <c r="X103" i="1"/>
  <c r="X323" i="1"/>
  <c r="X43" i="1"/>
  <c r="X66" i="1"/>
  <c r="X159" i="1"/>
  <c r="X188" i="1"/>
  <c r="X59" i="1"/>
  <c r="X326" i="1"/>
  <c r="X29" i="1"/>
  <c r="X46" i="1"/>
  <c r="X67" i="1"/>
  <c r="X131" i="1"/>
  <c r="X99" i="1"/>
  <c r="X193" i="1"/>
  <c r="X227" i="1"/>
  <c r="X266" i="1"/>
  <c r="X305" i="1"/>
  <c r="X325" i="1"/>
  <c r="X230" i="1"/>
  <c r="X252" i="1"/>
  <c r="X295" i="1"/>
  <c r="X115" i="1"/>
  <c r="X135" i="1"/>
  <c r="X173" i="1"/>
  <c r="X205" i="1"/>
  <c r="X247" i="1"/>
  <c r="X285" i="1"/>
  <c r="X129" i="1"/>
  <c r="X217" i="1"/>
  <c r="X270" i="1"/>
  <c r="X64" i="1"/>
  <c r="X51" i="1"/>
  <c r="X52" i="1"/>
  <c r="X108" i="1"/>
  <c r="X216" i="1"/>
  <c r="X24" i="1"/>
  <c r="X60" i="1"/>
  <c r="X83" i="1"/>
  <c r="X142" i="1"/>
  <c r="X286" i="1"/>
  <c r="X28" i="1"/>
  <c r="X146" i="1"/>
  <c r="X203" i="1"/>
  <c r="X303" i="1"/>
  <c r="X39" i="1"/>
  <c r="X113" i="1"/>
  <c r="X130" i="1"/>
  <c r="X214" i="1"/>
  <c r="X95" i="1"/>
  <c r="X114" i="1"/>
  <c r="X134" i="1"/>
  <c r="X168" i="1"/>
  <c r="X197" i="1"/>
  <c r="X232" i="1"/>
  <c r="X276" i="1"/>
  <c r="X312" i="1"/>
  <c r="X244" i="1"/>
  <c r="X269" i="1"/>
  <c r="X19" i="1"/>
  <c r="X34" i="1"/>
  <c r="X57" i="1"/>
  <c r="X73" i="1"/>
  <c r="X140" i="1"/>
  <c r="X176" i="1"/>
  <c r="X222" i="1"/>
  <c r="X280" i="1"/>
  <c r="X298" i="1"/>
  <c r="X235" i="1"/>
  <c r="X260" i="1"/>
  <c r="X75" i="1"/>
  <c r="X229" i="1"/>
  <c r="X164" i="1"/>
  <c r="X167" i="1"/>
  <c r="X240" i="1"/>
  <c r="X178" i="1"/>
  <c r="X49" i="1"/>
  <c r="X12" i="1"/>
  <c r="X327" i="1"/>
  <c r="X231" i="1"/>
  <c r="X237" i="1"/>
  <c r="X119" i="1"/>
  <c r="X279" i="1"/>
  <c r="X211" i="1"/>
  <c r="X297" i="1"/>
  <c r="X313" i="1"/>
  <c r="L99" i="1"/>
  <c r="O173" i="1"/>
  <c r="Y294" i="13"/>
  <c r="Z294" i="13" s="1"/>
  <c r="Y291" i="13"/>
  <c r="Z291" i="13" s="1"/>
  <c r="Y254" i="13"/>
  <c r="Z254" i="13" s="1"/>
  <c r="T49" i="1"/>
  <c r="T76" i="1"/>
  <c r="P44" i="1"/>
  <c r="W76" i="1"/>
  <c r="S76" i="1"/>
  <c r="Y76" i="13"/>
  <c r="Z76" i="13" s="1"/>
  <c r="O149" i="1"/>
  <c r="O137" i="1"/>
  <c r="W49" i="1"/>
  <c r="S49" i="1"/>
  <c r="Y49" i="13"/>
  <c r="Z49" i="13" s="1"/>
  <c r="L250" i="1"/>
  <c r="P315" i="1"/>
  <c r="K15" i="1"/>
  <c r="P12" i="1"/>
  <c r="L89" i="1"/>
  <c r="L28" i="1"/>
  <c r="Y146" i="13"/>
  <c r="Z146" i="13" s="1"/>
  <c r="W146" i="1"/>
  <c r="Y153" i="13"/>
  <c r="Z153" i="13" s="1"/>
  <c r="W153" i="1"/>
  <c r="Y189" i="13"/>
  <c r="Z189" i="13" s="1"/>
  <c r="W189" i="1"/>
  <c r="Y116" i="13"/>
  <c r="Z116" i="13" s="1"/>
  <c r="W116" i="1"/>
  <c r="W67" i="1"/>
  <c r="Y113" i="13"/>
  <c r="Z113" i="13" s="1"/>
  <c r="W113" i="1"/>
  <c r="Y114" i="13"/>
  <c r="Z114" i="13" s="1"/>
  <c r="W114" i="1"/>
  <c r="Y177" i="13"/>
  <c r="Z177" i="13" s="1"/>
  <c r="W177" i="1"/>
  <c r="W78" i="1"/>
  <c r="Y138" i="13"/>
  <c r="Z138" i="13" s="1"/>
  <c r="W138" i="1"/>
  <c r="Y210" i="13"/>
  <c r="Z210" i="13" s="1"/>
  <c r="W210" i="1"/>
  <c r="Y79" i="13"/>
  <c r="Z79" i="13" s="1"/>
  <c r="W79" i="1"/>
  <c r="Y145" i="13"/>
  <c r="Z145" i="13" s="1"/>
  <c r="W145" i="1"/>
  <c r="Y204" i="13"/>
  <c r="Z204" i="13" s="1"/>
  <c r="W204" i="1"/>
  <c r="Y274" i="13"/>
  <c r="Z274" i="13" s="1"/>
  <c r="W274" i="1"/>
  <c r="W230" i="1"/>
  <c r="Y111" i="13"/>
  <c r="Z111" i="13" s="1"/>
  <c r="W111" i="1"/>
  <c r="W198" i="1"/>
  <c r="Y170" i="13"/>
  <c r="Z170" i="13" s="1"/>
  <c r="W170" i="1"/>
  <c r="Y105" i="13"/>
  <c r="Z105" i="13" s="1"/>
  <c r="W105" i="1"/>
  <c r="Y141" i="13"/>
  <c r="Z141" i="13" s="1"/>
  <c r="W141" i="1"/>
  <c r="Y191" i="13"/>
  <c r="Z191" i="13" s="1"/>
  <c r="W191" i="1"/>
  <c r="W272" i="1"/>
  <c r="W264" i="1"/>
  <c r="Y85" i="13"/>
  <c r="Z85" i="13" s="1"/>
  <c r="W85" i="1"/>
  <c r="Y248" i="13"/>
  <c r="Z248" i="13" s="1"/>
  <c r="W248" i="1"/>
  <c r="W122" i="1"/>
  <c r="W150" i="1"/>
  <c r="Y100" i="13"/>
  <c r="Z100" i="13" s="1"/>
  <c r="W100" i="1"/>
  <c r="W200" i="1"/>
  <c r="W273" i="1"/>
  <c r="Y86" i="13"/>
  <c r="Z86" i="13" s="1"/>
  <c r="W86" i="1"/>
  <c r="Y106" i="13"/>
  <c r="Z106" i="13" s="1"/>
  <c r="W106" i="1"/>
  <c r="Y123" i="13"/>
  <c r="Z123" i="13" s="1"/>
  <c r="W123" i="1"/>
  <c r="Y128" i="13"/>
  <c r="Z128" i="13" s="1"/>
  <c r="W128" i="1"/>
  <c r="W180" i="1"/>
  <c r="Y213" i="13"/>
  <c r="Z213" i="13" s="1"/>
  <c r="W213" i="1"/>
  <c r="Y246" i="13"/>
  <c r="Z246" i="13" s="1"/>
  <c r="W246" i="1"/>
  <c r="Y315" i="13"/>
  <c r="Z315" i="13" s="1"/>
  <c r="W315" i="1"/>
  <c r="Y324" i="13"/>
  <c r="Z324" i="13" s="1"/>
  <c r="W324" i="1"/>
  <c r="Y108" i="13"/>
  <c r="Z108" i="13" s="1"/>
  <c r="W108" i="1"/>
  <c r="Y259" i="13"/>
  <c r="Z259" i="13" s="1"/>
  <c r="W259" i="1"/>
  <c r="W269" i="1"/>
  <c r="Y295" i="13"/>
  <c r="Z295" i="13" s="1"/>
  <c r="W295" i="1"/>
  <c r="Y115" i="13"/>
  <c r="Z115" i="13" s="1"/>
  <c r="W115" i="1"/>
  <c r="Y135" i="13"/>
  <c r="Z135" i="13" s="1"/>
  <c r="W135" i="1"/>
  <c r="Y173" i="13"/>
  <c r="Z173" i="13" s="1"/>
  <c r="W173" i="1"/>
  <c r="W205" i="1"/>
  <c r="Y247" i="13"/>
  <c r="Z247" i="13" s="1"/>
  <c r="W247" i="1"/>
  <c r="W285" i="1"/>
  <c r="W199" i="1"/>
  <c r="W322" i="1"/>
  <c r="Y225" i="13"/>
  <c r="Z225" i="13" s="1"/>
  <c r="W225" i="1"/>
  <c r="Y156" i="13"/>
  <c r="Z156" i="13" s="1"/>
  <c r="W156" i="1"/>
  <c r="Y302" i="13"/>
  <c r="Z302" i="13" s="1"/>
  <c r="W302" i="1"/>
  <c r="Y297" i="13"/>
  <c r="Z297" i="13" s="1"/>
  <c r="W297" i="1"/>
  <c r="Y89" i="13"/>
  <c r="Z89" i="13" s="1"/>
  <c r="W89" i="1"/>
  <c r="Y110" i="13"/>
  <c r="Z110" i="13" s="1"/>
  <c r="W110" i="1"/>
  <c r="Y64" i="13"/>
  <c r="Z64" i="13" s="1"/>
  <c r="W64" i="1"/>
  <c r="Y28" i="13"/>
  <c r="Z28" i="13" s="1"/>
  <c r="W28" i="1"/>
  <c r="Y326" i="13"/>
  <c r="Z326" i="13" s="1"/>
  <c r="W326" i="1"/>
  <c r="W327" i="1"/>
  <c r="Y214" i="13"/>
  <c r="Z214" i="13" s="1"/>
  <c r="W214" i="1"/>
  <c r="Y168" i="13"/>
  <c r="Z168" i="13" s="1"/>
  <c r="W168" i="1"/>
  <c r="Y117" i="13"/>
  <c r="Z117" i="13" s="1"/>
  <c r="W117" i="1"/>
  <c r="Y241" i="13"/>
  <c r="Z241" i="13" s="1"/>
  <c r="W241" i="1"/>
  <c r="Y118" i="13"/>
  <c r="Z118" i="13" s="1"/>
  <c r="W118" i="1"/>
  <c r="W325" i="1"/>
  <c r="Y14" i="13"/>
  <c r="Z14" i="13" s="1"/>
  <c r="W14" i="1"/>
  <c r="Y24" i="13"/>
  <c r="Z24" i="13" s="1"/>
  <c r="W24" i="1"/>
  <c r="Y319" i="13"/>
  <c r="Z319" i="13" s="1"/>
  <c r="W319" i="1"/>
  <c r="W60" i="1"/>
  <c r="Y83" i="13"/>
  <c r="Z83" i="13" s="1"/>
  <c r="W83" i="1"/>
  <c r="Y103" i="13"/>
  <c r="Z103" i="13" s="1"/>
  <c r="W103" i="1"/>
  <c r="Y142" i="13"/>
  <c r="Z142" i="13" s="1"/>
  <c r="W142" i="1"/>
  <c r="W284" i="1"/>
  <c r="Y25" i="13"/>
  <c r="Z25" i="13" s="1"/>
  <c r="W25" i="1"/>
  <c r="Y40" i="13"/>
  <c r="Z40" i="13" s="1"/>
  <c r="W40" i="1"/>
  <c r="Y61" i="13"/>
  <c r="Z61" i="13" s="1"/>
  <c r="W61" i="1"/>
  <c r="Y179" i="13"/>
  <c r="Z179" i="13" s="1"/>
  <c r="W179" i="1"/>
  <c r="W9" i="1"/>
  <c r="Y212" i="13"/>
  <c r="Z212" i="13" s="1"/>
  <c r="W212" i="1"/>
  <c r="Y62" i="13"/>
  <c r="Z62" i="13" s="1"/>
  <c r="W62" i="1"/>
  <c r="Y184" i="13"/>
  <c r="Z184" i="13" s="1"/>
  <c r="W184" i="1"/>
  <c r="Y220" i="13"/>
  <c r="Z220" i="13" s="1"/>
  <c r="W220" i="1"/>
  <c r="Y253" i="13"/>
  <c r="Z253" i="13" s="1"/>
  <c r="W253" i="1"/>
  <c r="Y288" i="13"/>
  <c r="Z288" i="13" s="1"/>
  <c r="W288" i="1"/>
  <c r="W329" i="1"/>
  <c r="Y158" i="13"/>
  <c r="Z158" i="13" s="1"/>
  <c r="W158" i="1"/>
  <c r="Y275" i="13"/>
  <c r="Z275" i="13" s="1"/>
  <c r="W275" i="1"/>
  <c r="Y287" i="13"/>
  <c r="Z287" i="13" s="1"/>
  <c r="W287" i="1"/>
  <c r="Y19" i="13"/>
  <c r="Z19" i="13" s="1"/>
  <c r="W19" i="1"/>
  <c r="Y34" i="13"/>
  <c r="Z34" i="13" s="1"/>
  <c r="W34" i="1"/>
  <c r="W57" i="1"/>
  <c r="Y73" i="13"/>
  <c r="Z73" i="13" s="1"/>
  <c r="W73" i="1"/>
  <c r="W140" i="1"/>
  <c r="Y176" i="13"/>
  <c r="Z176" i="13" s="1"/>
  <c r="W176" i="1"/>
  <c r="Y222" i="13"/>
  <c r="Z222" i="13" s="1"/>
  <c r="W222" i="1"/>
  <c r="W280" i="1"/>
  <c r="Y298" i="13"/>
  <c r="Z298" i="13" s="1"/>
  <c r="W298" i="1"/>
  <c r="Y129" i="13"/>
  <c r="Z129" i="13" s="1"/>
  <c r="W129" i="1"/>
  <c r="Y217" i="13"/>
  <c r="Z217" i="13" s="1"/>
  <c r="W217" i="1"/>
  <c r="Y270" i="13"/>
  <c r="Z270" i="13" s="1"/>
  <c r="W270" i="1"/>
  <c r="Y211" i="13"/>
  <c r="Z211" i="13" s="1"/>
  <c r="W211" i="1"/>
  <c r="Y149" i="13"/>
  <c r="Z149" i="13" s="1"/>
  <c r="W149" i="1"/>
  <c r="Y181" i="13"/>
  <c r="Z181" i="13" s="1"/>
  <c r="W181" i="1"/>
  <c r="Y137" i="13"/>
  <c r="Z137" i="13" s="1"/>
  <c r="W137" i="1"/>
  <c r="Y313" i="13"/>
  <c r="Z313" i="13" s="1"/>
  <c r="W313" i="1"/>
  <c r="Y127" i="13"/>
  <c r="Z127" i="13" s="1"/>
  <c r="W127" i="1"/>
  <c r="Y160" i="13"/>
  <c r="Z160" i="13" s="1"/>
  <c r="W160" i="1"/>
  <c r="Y258" i="13"/>
  <c r="Z258" i="13" s="1"/>
  <c r="W258" i="1"/>
  <c r="Y296" i="13"/>
  <c r="Z296" i="13" s="1"/>
  <c r="W296" i="1"/>
  <c r="Y290" i="13"/>
  <c r="Z290" i="13" s="1"/>
  <c r="W290" i="1"/>
  <c r="Y174" i="13"/>
  <c r="Z174" i="13" s="1"/>
  <c r="W174" i="1"/>
  <c r="W283" i="1"/>
  <c r="Y310" i="13"/>
  <c r="Z310" i="13" s="1"/>
  <c r="W310" i="1"/>
  <c r="Y81" i="13"/>
  <c r="Z81" i="13" s="1"/>
  <c r="W81" i="1"/>
  <c r="W102" i="1"/>
  <c r="Y119" i="13"/>
  <c r="Z119" i="13" s="1"/>
  <c r="W119" i="1"/>
  <c r="W147" i="1"/>
  <c r="W182" i="1"/>
  <c r="Y216" i="13"/>
  <c r="Z216" i="13" s="1"/>
  <c r="W216" i="1"/>
  <c r="Y318" i="13"/>
  <c r="Z318" i="13" s="1"/>
  <c r="W318" i="1"/>
  <c r="Y235" i="13"/>
  <c r="Z235" i="13" s="1"/>
  <c r="W235" i="1"/>
  <c r="W260" i="1"/>
  <c r="Y265" i="13"/>
  <c r="Z265" i="13" s="1"/>
  <c r="W265" i="1"/>
  <c r="Y250" i="13"/>
  <c r="Z250" i="13" s="1"/>
  <c r="W250" i="1"/>
  <c r="Y306" i="13"/>
  <c r="Z306" i="13" s="1"/>
  <c r="W306" i="1"/>
  <c r="W109" i="1"/>
  <c r="Y208" i="13"/>
  <c r="Z208" i="13" s="1"/>
  <c r="W208" i="1"/>
  <c r="Y88" i="13"/>
  <c r="Z88" i="13" s="1"/>
  <c r="W88" i="1"/>
  <c r="Y43" i="13"/>
  <c r="Z43" i="13" s="1"/>
  <c r="W43" i="1"/>
  <c r="Y29" i="13"/>
  <c r="Z29" i="13" s="1"/>
  <c r="W29" i="1"/>
  <c r="Y131" i="13"/>
  <c r="Z131" i="13" s="1"/>
  <c r="W131" i="1"/>
  <c r="Y99" i="13"/>
  <c r="Z99" i="13" s="1"/>
  <c r="W99" i="1"/>
  <c r="Y193" i="13"/>
  <c r="Z193" i="13" s="1"/>
  <c r="W193" i="1"/>
  <c r="Y227" i="13"/>
  <c r="Z227" i="13" s="1"/>
  <c r="W227" i="1"/>
  <c r="Y261" i="13"/>
  <c r="Z261" i="13" s="1"/>
  <c r="W261" i="1"/>
  <c r="Y101" i="13"/>
  <c r="Z101" i="13" s="1"/>
  <c r="W101" i="1"/>
  <c r="Y187" i="13"/>
  <c r="Z187" i="13" s="1"/>
  <c r="W187" i="1"/>
  <c r="Y299" i="13"/>
  <c r="Z299" i="13" s="1"/>
  <c r="W299" i="1"/>
  <c r="Y23" i="13"/>
  <c r="Z23" i="13" s="1"/>
  <c r="W23" i="1"/>
  <c r="Y38" i="13"/>
  <c r="Z38" i="13" s="1"/>
  <c r="W38" i="1"/>
  <c r="W58" i="1"/>
  <c r="Y152" i="13"/>
  <c r="Z152" i="13" s="1"/>
  <c r="W152" i="1"/>
  <c r="W185" i="1"/>
  <c r="W223" i="1"/>
  <c r="Y262" i="13"/>
  <c r="Z262" i="13" s="1"/>
  <c r="W262" i="1"/>
  <c r="Y308" i="13"/>
  <c r="Z308" i="13" s="1"/>
  <c r="W308" i="1"/>
  <c r="Y136" i="13"/>
  <c r="Z136" i="13" s="1"/>
  <c r="W136" i="1"/>
  <c r="Y251" i="13"/>
  <c r="Z251" i="13" s="1"/>
  <c r="W251" i="1"/>
  <c r="Y279" i="13"/>
  <c r="Z279" i="13" s="1"/>
  <c r="W279" i="1"/>
  <c r="Y289" i="13"/>
  <c r="Z289" i="13" s="1"/>
  <c r="W289" i="1"/>
  <c r="Y224" i="13"/>
  <c r="Z224" i="13" s="1"/>
  <c r="W224" i="1"/>
  <c r="Y257" i="13"/>
  <c r="Z257" i="13" s="1"/>
  <c r="W257" i="1"/>
  <c r="Y268" i="13"/>
  <c r="Z268" i="13" s="1"/>
  <c r="W268" i="1"/>
  <c r="Y286" i="13"/>
  <c r="Z286" i="13" s="1"/>
  <c r="W286" i="1"/>
  <c r="Y206" i="13"/>
  <c r="Z206" i="13" s="1"/>
  <c r="W206" i="1"/>
  <c r="Y12" i="13"/>
  <c r="Z12" i="13" s="1"/>
  <c r="W12" i="1"/>
  <c r="Y207" i="13"/>
  <c r="Z207" i="13" s="1"/>
  <c r="W207" i="1"/>
  <c r="Y159" i="13"/>
  <c r="Z159" i="13" s="1"/>
  <c r="W159" i="1"/>
  <c r="Y130" i="13"/>
  <c r="Z130" i="13" s="1"/>
  <c r="W130" i="1"/>
  <c r="Y95" i="13"/>
  <c r="Z95" i="13" s="1"/>
  <c r="W95" i="1"/>
  <c r="Y232" i="13"/>
  <c r="Z232" i="13" s="1"/>
  <c r="W232" i="1"/>
  <c r="Y314" i="13"/>
  <c r="Z314" i="13" s="1"/>
  <c r="W314" i="1"/>
  <c r="W316" i="1"/>
  <c r="W107" i="1"/>
  <c r="Y124" i="13"/>
  <c r="Z124" i="13" s="1"/>
  <c r="W124" i="1"/>
  <c r="Y157" i="13"/>
  <c r="Z157" i="13" s="1"/>
  <c r="W157" i="1"/>
  <c r="Y186" i="13"/>
  <c r="Z186" i="13" s="1"/>
  <c r="W186" i="1"/>
  <c r="W228" i="1"/>
  <c r="Y267" i="13"/>
  <c r="Z267" i="13" s="1"/>
  <c r="W267" i="1"/>
  <c r="Y321" i="13"/>
  <c r="Z321" i="13" s="1"/>
  <c r="Y148" i="13"/>
  <c r="Z148" i="13" s="1"/>
  <c r="W148" i="1"/>
  <c r="Y263" i="13"/>
  <c r="Z263" i="13" s="1"/>
  <c r="W263" i="1"/>
  <c r="W300" i="1"/>
  <c r="Y242" i="13"/>
  <c r="Z242" i="13" s="1"/>
  <c r="W242" i="1"/>
  <c r="Y311" i="13"/>
  <c r="Z311" i="13" s="1"/>
  <c r="W311" i="1"/>
  <c r="Y307" i="13"/>
  <c r="Z307" i="13" s="1"/>
  <c r="W307" i="1"/>
  <c r="Y203" i="13"/>
  <c r="Z203" i="13" s="1"/>
  <c r="W203" i="1"/>
  <c r="Y190" i="13"/>
  <c r="Z190" i="13" s="1"/>
  <c r="W190" i="1"/>
  <c r="Y66" i="13"/>
  <c r="Z66" i="13" s="1"/>
  <c r="W66" i="1"/>
  <c r="Y46" i="13"/>
  <c r="Z46" i="13" s="1"/>
  <c r="W46" i="1"/>
  <c r="Y39" i="13"/>
  <c r="Z39" i="13" s="1"/>
  <c r="W39" i="1"/>
  <c r="Y197" i="13"/>
  <c r="Z197" i="13" s="1"/>
  <c r="W197" i="1"/>
  <c r="Y301" i="13"/>
  <c r="Z301" i="13" s="1"/>
  <c r="W301" i="1"/>
  <c r="Y195" i="13"/>
  <c r="Z195" i="13" s="1"/>
  <c r="W195" i="1"/>
  <c r="Y87" i="13"/>
  <c r="Z87" i="13" s="1"/>
  <c r="W87" i="1"/>
  <c r="Y22" i="13"/>
  <c r="Z22" i="13" s="1"/>
  <c r="W22" i="1"/>
  <c r="Y16" i="13"/>
  <c r="Z16" i="13" s="1"/>
  <c r="W16" i="1"/>
  <c r="Y31" i="13"/>
  <c r="Z31" i="13" s="1"/>
  <c r="W31" i="1"/>
  <c r="Y50" i="13"/>
  <c r="Z50" i="13" s="1"/>
  <c r="W50" i="1"/>
  <c r="Y70" i="13"/>
  <c r="Z70" i="13" s="1"/>
  <c r="W70" i="1"/>
  <c r="Y94" i="13"/>
  <c r="Z94" i="13" s="1"/>
  <c r="W94" i="1"/>
  <c r="W120" i="1"/>
  <c r="Y239" i="13"/>
  <c r="Z239" i="13" s="1"/>
  <c r="W239" i="1"/>
  <c r="Y218" i="13"/>
  <c r="Z218" i="13" s="1"/>
  <c r="W218" i="1"/>
  <c r="Y13" i="13"/>
  <c r="Z13" i="13" s="1"/>
  <c r="W13" i="1"/>
  <c r="W32" i="1"/>
  <c r="Y51" i="13"/>
  <c r="Z51" i="13" s="1"/>
  <c r="W51" i="1"/>
  <c r="Y71" i="13"/>
  <c r="Z71" i="13" s="1"/>
  <c r="W71" i="1"/>
  <c r="Y133" i="13"/>
  <c r="Z133" i="13" s="1"/>
  <c r="W133" i="1"/>
  <c r="W163" i="1"/>
  <c r="Y192" i="13"/>
  <c r="Z192" i="13" s="1"/>
  <c r="W192" i="1"/>
  <c r="Y231" i="13"/>
  <c r="Z231" i="13" s="1"/>
  <c r="W231" i="1"/>
  <c r="Y18" i="13"/>
  <c r="Z18" i="13" s="1"/>
  <c r="W18" i="1"/>
  <c r="Y33" i="13"/>
  <c r="Z33" i="13" s="1"/>
  <c r="W33" i="1"/>
  <c r="Y52" i="13"/>
  <c r="Z52" i="13" s="1"/>
  <c r="W52" i="1"/>
  <c r="Y72" i="13"/>
  <c r="Z72" i="13" s="1"/>
  <c r="W72" i="1"/>
  <c r="W139" i="1"/>
  <c r="Y201" i="13"/>
  <c r="Z201" i="13" s="1"/>
  <c r="W201" i="1"/>
  <c r="Y237" i="13"/>
  <c r="Z237" i="13" s="1"/>
  <c r="W237" i="1"/>
  <c r="Y276" i="13"/>
  <c r="Z276" i="13" s="1"/>
  <c r="W276" i="1"/>
  <c r="W305" i="1"/>
  <c r="Y215" i="13"/>
  <c r="Z215" i="13" s="1"/>
  <c r="W215" i="1"/>
  <c r="Y10" i="13"/>
  <c r="Z10" i="13" s="1"/>
  <c r="W10" i="1"/>
  <c r="Y26" i="13"/>
  <c r="Z26" i="13" s="1"/>
  <c r="W26" i="1"/>
  <c r="Y44" i="13"/>
  <c r="Z44" i="13" s="1"/>
  <c r="W44" i="1"/>
  <c r="Y63" i="13"/>
  <c r="Z63" i="13" s="1"/>
  <c r="W63" i="1"/>
  <c r="Y161" i="13"/>
  <c r="Z161" i="13" s="1"/>
  <c r="W161" i="1"/>
  <c r="Y194" i="13"/>
  <c r="Z194" i="13" s="1"/>
  <c r="W194" i="1"/>
  <c r="Y234" i="13"/>
  <c r="Z234" i="13" s="1"/>
  <c r="W234" i="1"/>
  <c r="Y271" i="13"/>
  <c r="Z271" i="13" s="1"/>
  <c r="W271" i="1"/>
  <c r="W330" i="1"/>
  <c r="W162" i="1"/>
  <c r="Y278" i="13"/>
  <c r="Z278" i="13" s="1"/>
  <c r="W278" i="1"/>
  <c r="W328" i="1"/>
  <c r="Y17" i="13"/>
  <c r="Z17" i="13" s="1"/>
  <c r="W17" i="1"/>
  <c r="Y143" i="13"/>
  <c r="Z143" i="13" s="1"/>
  <c r="W143" i="1"/>
  <c r="Y233" i="13"/>
  <c r="Z233" i="13" s="1"/>
  <c r="W233" i="1"/>
  <c r="Y317" i="13"/>
  <c r="Z317" i="13" s="1"/>
  <c r="W317" i="1"/>
  <c r="W65" i="1"/>
  <c r="W304" i="1"/>
  <c r="Y293" i="13"/>
  <c r="Z293" i="13" s="1"/>
  <c r="W293" i="1"/>
  <c r="Y27" i="13"/>
  <c r="Z27" i="13" s="1"/>
  <c r="W27" i="1"/>
  <c r="Y303" i="13"/>
  <c r="Z303" i="13" s="1"/>
  <c r="W303" i="1"/>
  <c r="W188" i="1"/>
  <c r="Y166" i="13"/>
  <c r="Z166" i="13" s="1"/>
  <c r="W166" i="1"/>
  <c r="Y134" i="13"/>
  <c r="Z134" i="13" s="1"/>
  <c r="W134" i="1"/>
  <c r="W266" i="1"/>
  <c r="Y255" i="13"/>
  <c r="Z255" i="13" s="1"/>
  <c r="W255" i="1"/>
  <c r="Y98" i="13"/>
  <c r="Z98" i="13" s="1"/>
  <c r="W98" i="1"/>
  <c r="W104" i="1"/>
  <c r="Y172" i="13"/>
  <c r="Z172" i="13" s="1"/>
  <c r="W172" i="1"/>
  <c r="W312" i="1"/>
  <c r="Y226" i="13"/>
  <c r="Z226" i="13" s="1"/>
  <c r="W226" i="1"/>
  <c r="Y126" i="13"/>
  <c r="Z126" i="13" s="1"/>
  <c r="W126" i="1"/>
  <c r="Y238" i="13"/>
  <c r="Z238" i="13" s="1"/>
  <c r="W238" i="1"/>
  <c r="Y292" i="13"/>
  <c r="Z292" i="13" s="1"/>
  <c r="W292" i="1"/>
  <c r="Y75" i="13"/>
  <c r="Z75" i="13" s="1"/>
  <c r="W75" i="1"/>
  <c r="Y229" i="13"/>
  <c r="Z229" i="13" s="1"/>
  <c r="W229" i="1"/>
  <c r="Y164" i="13"/>
  <c r="Z164" i="13" s="1"/>
  <c r="W164" i="1"/>
  <c r="Y91" i="13"/>
  <c r="Z91" i="13" s="1"/>
  <c r="W91" i="1"/>
  <c r="Y42" i="13"/>
  <c r="Z42" i="13" s="1"/>
  <c r="W42" i="1"/>
  <c r="Y323" i="13"/>
  <c r="Z323" i="13" s="1"/>
  <c r="W323" i="1"/>
  <c r="Y59" i="13"/>
  <c r="Z59" i="13" s="1"/>
  <c r="W59" i="1"/>
  <c r="Y249" i="13"/>
  <c r="Z249" i="13" s="1"/>
  <c r="W249" i="1"/>
  <c r="Y92" i="13"/>
  <c r="Z92" i="13" s="1"/>
  <c r="W92" i="1"/>
  <c r="Y165" i="13"/>
  <c r="Z165" i="13" s="1"/>
  <c r="W165" i="1"/>
  <c r="Y277" i="13"/>
  <c r="Z277" i="13" s="1"/>
  <c r="W277" i="1"/>
  <c r="W20" i="1"/>
  <c r="Y54" i="13"/>
  <c r="Z54" i="13" s="1"/>
  <c r="W54" i="1"/>
  <c r="Y77" i="13"/>
  <c r="Z77" i="13" s="1"/>
  <c r="W77" i="1"/>
  <c r="Y96" i="13"/>
  <c r="Z96" i="13" s="1"/>
  <c r="W96" i="1"/>
  <c r="Y125" i="13"/>
  <c r="Z125" i="13" s="1"/>
  <c r="W125" i="1"/>
  <c r="Y245" i="13"/>
  <c r="Z245" i="13" s="1"/>
  <c r="W245" i="1"/>
  <c r="Y209" i="13"/>
  <c r="Z209" i="13" s="1"/>
  <c r="W209" i="1"/>
  <c r="Y36" i="13"/>
  <c r="Z36" i="13" s="1"/>
  <c r="W36" i="1"/>
  <c r="Y55" i="13"/>
  <c r="Z55" i="13" s="1"/>
  <c r="W55" i="1"/>
  <c r="Y144" i="13"/>
  <c r="Z144" i="13" s="1"/>
  <c r="W144" i="1"/>
  <c r="Y171" i="13"/>
  <c r="Z171" i="13" s="1"/>
  <c r="W171" i="1"/>
  <c r="Y196" i="13"/>
  <c r="Z196" i="13" s="1"/>
  <c r="W196" i="1"/>
  <c r="Y256" i="13"/>
  <c r="Z256" i="13" s="1"/>
  <c r="W256" i="1"/>
  <c r="Y219" i="13"/>
  <c r="Z219" i="13" s="1"/>
  <c r="W219" i="1"/>
  <c r="W37" i="1"/>
  <c r="Y56" i="13"/>
  <c r="Z56" i="13" s="1"/>
  <c r="W56" i="1"/>
  <c r="Y151" i="13"/>
  <c r="Z151" i="13" s="1"/>
  <c r="W151" i="1"/>
  <c r="Y175" i="13"/>
  <c r="Z175" i="13" s="1"/>
  <c r="W175" i="1"/>
  <c r="Y221" i="13"/>
  <c r="Z221" i="13" s="1"/>
  <c r="W221" i="1"/>
  <c r="Y243" i="13"/>
  <c r="Z243" i="13" s="1"/>
  <c r="W243" i="1"/>
  <c r="Y281" i="13"/>
  <c r="Z281" i="13" s="1"/>
  <c r="W281" i="1"/>
  <c r="Y320" i="13"/>
  <c r="Z320" i="13" s="1"/>
  <c r="W320" i="1"/>
  <c r="W244" i="1"/>
  <c r="Y252" i="13"/>
  <c r="Z252" i="13" s="1"/>
  <c r="W252" i="1"/>
  <c r="Y30" i="13"/>
  <c r="Z30" i="13" s="1"/>
  <c r="W30" i="1"/>
  <c r="Y48" i="13"/>
  <c r="Z48" i="13" s="1"/>
  <c r="W48" i="1"/>
  <c r="Y68" i="13"/>
  <c r="Z68" i="13" s="1"/>
  <c r="W68" i="1"/>
  <c r="Y132" i="13"/>
  <c r="Z132" i="13" s="1"/>
  <c r="W132" i="1"/>
  <c r="W169" i="1"/>
  <c r="Y202" i="13"/>
  <c r="Z202" i="13" s="1"/>
  <c r="W202" i="1"/>
  <c r="Y236" i="13"/>
  <c r="Z236" i="13" s="1"/>
  <c r="W236" i="1"/>
  <c r="W282" i="1"/>
  <c r="Y112" i="13"/>
  <c r="Z112" i="13" s="1"/>
  <c r="W112" i="1"/>
  <c r="Y183" i="13"/>
  <c r="Z183" i="13" s="1"/>
  <c r="W183" i="1"/>
  <c r="Y309" i="13"/>
  <c r="Z309" i="13" s="1"/>
  <c r="W309" i="1"/>
  <c r="Y167" i="13"/>
  <c r="Z167" i="13" s="1"/>
  <c r="W167" i="1"/>
  <c r="Y240" i="13"/>
  <c r="Z240" i="13" s="1"/>
  <c r="W240" i="1"/>
  <c r="Y178" i="13"/>
  <c r="Z178" i="13" s="1"/>
  <c r="W178" i="1"/>
  <c r="Y327" i="13"/>
  <c r="Z327" i="13" s="1"/>
  <c r="Y329" i="13"/>
  <c r="Z329" i="13" s="1"/>
  <c r="Y332" i="13"/>
  <c r="Z332" i="13" s="1"/>
  <c r="Y328" i="13"/>
  <c r="Z328" i="13" s="1"/>
  <c r="L55" i="1"/>
  <c r="L30" i="1"/>
  <c r="M121" i="9"/>
  <c r="P145" i="1" s="1"/>
  <c r="L98" i="1"/>
  <c r="L64" i="1"/>
  <c r="L40" i="1"/>
  <c r="M146" i="9"/>
  <c r="N146" i="9" s="1"/>
  <c r="O164" i="1"/>
  <c r="P89" i="1"/>
  <c r="O146" i="1"/>
  <c r="M134" i="9"/>
  <c r="P167" i="1" s="1"/>
  <c r="T167" i="1" s="1"/>
  <c r="L14" i="1"/>
  <c r="L77" i="1"/>
  <c r="L94" i="1"/>
  <c r="L116" i="1"/>
  <c r="L43" i="1"/>
  <c r="L29" i="1"/>
  <c r="O151" i="1"/>
  <c r="T325" i="1"/>
  <c r="P286" i="1"/>
  <c r="T286" i="1" s="1"/>
  <c r="P277" i="1"/>
  <c r="P181" i="1"/>
  <c r="T181" i="1" s="1"/>
  <c r="O260" i="1"/>
  <c r="L311" i="1"/>
  <c r="S122" i="1"/>
  <c r="Y122" i="13"/>
  <c r="Z122" i="13" s="1"/>
  <c r="S150" i="1"/>
  <c r="Y150" i="13"/>
  <c r="Z150" i="13" s="1"/>
  <c r="S163" i="1"/>
  <c r="Y163" i="13"/>
  <c r="Z163" i="13" s="1"/>
  <c r="S188" i="1"/>
  <c r="Y188" i="13"/>
  <c r="Z188" i="13" s="1"/>
  <c r="S37" i="1"/>
  <c r="Y37" i="13"/>
  <c r="Z37" i="13" s="1"/>
  <c r="S139" i="1"/>
  <c r="Y139" i="13"/>
  <c r="Z139" i="13" s="1"/>
  <c r="S312" i="1"/>
  <c r="Y312" i="13"/>
  <c r="Z312" i="13" s="1"/>
  <c r="S283" i="1"/>
  <c r="Y283" i="13"/>
  <c r="Z283" i="13" s="1"/>
  <c r="S269" i="1"/>
  <c r="Y269" i="13"/>
  <c r="Z269" i="13" s="1"/>
  <c r="O6" i="1"/>
  <c r="H2" i="9"/>
  <c r="L302" i="1"/>
  <c r="T302" i="1" s="1"/>
  <c r="L178" i="1"/>
  <c r="L224" i="1"/>
  <c r="P289" i="1"/>
  <c r="S325" i="1"/>
  <c r="Y325" i="13"/>
  <c r="Z325" i="13" s="1"/>
  <c r="S330" i="1"/>
  <c r="Y330" i="13"/>
  <c r="Z330" i="13" s="1"/>
  <c r="Y260" i="13"/>
  <c r="Z260" i="13" s="1"/>
  <c r="S120" i="1"/>
  <c r="Y120" i="13"/>
  <c r="Z120" i="13" s="1"/>
  <c r="S272" i="1"/>
  <c r="Y272" i="13"/>
  <c r="Z272" i="13" s="1"/>
  <c r="S264" i="1"/>
  <c r="Y264" i="13"/>
  <c r="Z264" i="13" s="1"/>
  <c r="S273" i="1"/>
  <c r="Y273" i="13"/>
  <c r="Z273" i="13" s="1"/>
  <c r="L60" i="1"/>
  <c r="L65" i="1"/>
  <c r="T65" i="1" s="1"/>
  <c r="L305" i="1"/>
  <c r="L275" i="1"/>
  <c r="L68" i="1"/>
  <c r="L240" i="1"/>
  <c r="T240" i="1" s="1"/>
  <c r="P195" i="1"/>
  <c r="P176" i="1"/>
  <c r="P196" i="1"/>
  <c r="T196" i="1" s="1"/>
  <c r="S60" i="1"/>
  <c r="Y60" i="13"/>
  <c r="Z60" i="13" s="1"/>
  <c r="S284" i="1"/>
  <c r="Y284" i="13"/>
  <c r="Z284" i="13" s="1"/>
  <c r="S305" i="1"/>
  <c r="Y305" i="13"/>
  <c r="Z305" i="13" s="1"/>
  <c r="S230" i="1"/>
  <c r="Y230" i="13"/>
  <c r="Z230" i="13" s="1"/>
  <c r="S316" i="1"/>
  <c r="Y316" i="13"/>
  <c r="Z316" i="13" s="1"/>
  <c r="S57" i="1"/>
  <c r="Y57" i="13"/>
  <c r="Z57" i="13" s="1"/>
  <c r="S102" i="1"/>
  <c r="Y102" i="13"/>
  <c r="Z102" i="13" s="1"/>
  <c r="S140" i="1"/>
  <c r="Y140" i="13"/>
  <c r="Z140" i="13" s="1"/>
  <c r="S169" i="1"/>
  <c r="Y169" i="13"/>
  <c r="Z169" i="13" s="1"/>
  <c r="S182" i="1"/>
  <c r="Y182" i="13"/>
  <c r="Z182" i="13" s="1"/>
  <c r="S205" i="1"/>
  <c r="Y205" i="13"/>
  <c r="Z205" i="13" s="1"/>
  <c r="S223" i="1"/>
  <c r="Y223" i="13"/>
  <c r="Z223" i="13" s="1"/>
  <c r="S280" i="1"/>
  <c r="Y280" i="13"/>
  <c r="Z280" i="13" s="1"/>
  <c r="S282" i="1"/>
  <c r="Y282" i="13"/>
  <c r="Z282" i="13" s="1"/>
  <c r="S322" i="1"/>
  <c r="Y322" i="13"/>
  <c r="Z322" i="13" s="1"/>
  <c r="P85" i="1"/>
  <c r="P107" i="1"/>
  <c r="S20" i="1"/>
  <c r="Y20" i="13"/>
  <c r="Z20" i="13" s="1"/>
  <c r="L209" i="1"/>
  <c r="L156" i="1"/>
  <c r="L257" i="1"/>
  <c r="L317" i="1"/>
  <c r="L164" i="1"/>
  <c r="L289" i="1"/>
  <c r="P327" i="1"/>
  <c r="O228" i="1"/>
  <c r="P328" i="1"/>
  <c r="S65" i="1"/>
  <c r="Y65" i="13"/>
  <c r="Z65" i="13" s="1"/>
  <c r="S304" i="1"/>
  <c r="Y304" i="13"/>
  <c r="Z304" i="13" s="1"/>
  <c r="S32" i="1"/>
  <c r="Y32" i="13"/>
  <c r="Z32" i="13" s="1"/>
  <c r="S78" i="1"/>
  <c r="Y78" i="13"/>
  <c r="Z78" i="13" s="1"/>
  <c r="S109" i="1"/>
  <c r="Y109" i="13"/>
  <c r="Z109" i="13" s="1"/>
  <c r="S200" i="1"/>
  <c r="Y200" i="13"/>
  <c r="Z200" i="13" s="1"/>
  <c r="S9" i="1"/>
  <c r="Y9" i="13"/>
  <c r="Z9" i="13" s="1"/>
  <c r="S67" i="1"/>
  <c r="Y67" i="13"/>
  <c r="Z67" i="13" s="1"/>
  <c r="S104" i="1"/>
  <c r="Y104" i="13"/>
  <c r="Z104" i="13" s="1"/>
  <c r="S180" i="1"/>
  <c r="Y180" i="13"/>
  <c r="Z180" i="13" s="1"/>
  <c r="S266" i="1"/>
  <c r="Y266" i="13"/>
  <c r="Z266" i="13" s="1"/>
  <c r="S244" i="1"/>
  <c r="Y244" i="13"/>
  <c r="Z244" i="13" s="1"/>
  <c r="Y331" i="13"/>
  <c r="Z331" i="13" s="1"/>
  <c r="S58" i="1"/>
  <c r="Y58" i="13"/>
  <c r="Z58" i="13" s="1"/>
  <c r="S107" i="1"/>
  <c r="Y107" i="13"/>
  <c r="Z107" i="13" s="1"/>
  <c r="S147" i="1"/>
  <c r="Y147" i="13"/>
  <c r="Z147" i="13" s="1"/>
  <c r="S185" i="1"/>
  <c r="Y185" i="13"/>
  <c r="Z185" i="13" s="1"/>
  <c r="S198" i="1"/>
  <c r="Y198" i="13"/>
  <c r="Z198" i="13" s="1"/>
  <c r="Y228" i="13"/>
  <c r="Z228" i="13" s="1"/>
  <c r="S285" i="1"/>
  <c r="Y285" i="13"/>
  <c r="Z285" i="13" s="1"/>
  <c r="S162" i="1"/>
  <c r="Y162" i="13"/>
  <c r="Z162" i="13" s="1"/>
  <c r="S199" i="1"/>
  <c r="Y199" i="13"/>
  <c r="Z199" i="13" s="1"/>
  <c r="S300" i="1"/>
  <c r="Y300" i="13"/>
  <c r="Z300" i="13" s="1"/>
  <c r="P132" i="1"/>
  <c r="P68" i="1"/>
  <c r="O297" i="1"/>
  <c r="O178" i="1"/>
  <c r="S96" i="1"/>
  <c r="T19" i="1"/>
  <c r="S87" i="1"/>
  <c r="S126" i="1"/>
  <c r="S105" i="1"/>
  <c r="S83" i="1"/>
  <c r="S142" i="1"/>
  <c r="S52" i="1"/>
  <c r="S125" i="1"/>
  <c r="S192" i="1"/>
  <c r="S106" i="1"/>
  <c r="S309" i="1"/>
  <c r="S14" i="1"/>
  <c r="S31" i="1"/>
  <c r="S279" i="1"/>
  <c r="S36" i="1"/>
  <c r="S127" i="1"/>
  <c r="S206" i="1"/>
  <c r="P112" i="1"/>
  <c r="P131" i="1"/>
  <c r="S327" i="1"/>
  <c r="S85" i="1"/>
  <c r="S210" i="1"/>
  <c r="S77" i="1"/>
  <c r="S166" i="1"/>
  <c r="S203" i="1"/>
  <c r="S101" i="1"/>
  <c r="S252" i="1"/>
  <c r="P202" i="1"/>
  <c r="S207" i="1"/>
  <c r="P117" i="1"/>
  <c r="P241" i="1"/>
  <c r="P94" i="1"/>
  <c r="S89" i="1"/>
  <c r="S130" i="1"/>
  <c r="S171" i="1"/>
  <c r="S59" i="1"/>
  <c r="T177" i="1"/>
  <c r="P124" i="1"/>
  <c r="P290" i="1"/>
  <c r="M58" i="9"/>
  <c r="N58" i="9" s="1"/>
  <c r="P105" i="1"/>
  <c r="S231" i="1"/>
  <c r="S239" i="1"/>
  <c r="S40" i="1"/>
  <c r="S189" i="1"/>
  <c r="S157" i="1"/>
  <c r="S194" i="1"/>
  <c r="S238" i="1"/>
  <c r="P29" i="1"/>
  <c r="P119" i="1"/>
  <c r="S100" i="1"/>
  <c r="S237" i="1"/>
  <c r="S329" i="1"/>
  <c r="S303" i="1"/>
  <c r="S214" i="1"/>
  <c r="S281" i="1"/>
  <c r="S25" i="1"/>
  <c r="S259" i="1"/>
  <c r="S94" i="1"/>
  <c r="S141" i="1"/>
  <c r="S218" i="1"/>
  <c r="S13" i="1"/>
  <c r="S293" i="1"/>
  <c r="S26" i="1"/>
  <c r="S68" i="1"/>
  <c r="S115" i="1"/>
  <c r="S267" i="1"/>
  <c r="M112" i="9"/>
  <c r="P133" i="1" s="1"/>
  <c r="S193" i="1"/>
  <c r="S30" i="1"/>
  <c r="S73" i="1"/>
  <c r="S119" i="1"/>
  <c r="S236" i="1"/>
  <c r="S177" i="1"/>
  <c r="S245" i="1"/>
  <c r="S43" i="1"/>
  <c r="S39" i="1"/>
  <c r="S114" i="1"/>
  <c r="S128" i="1"/>
  <c r="S161" i="1"/>
  <c r="S12" i="1"/>
  <c r="S50" i="1"/>
  <c r="S133" i="1"/>
  <c r="P16" i="1"/>
  <c r="S323" i="1"/>
  <c r="S51" i="1"/>
  <c r="S98" i="1"/>
  <c r="S138" i="1"/>
  <c r="S179" i="1"/>
  <c r="S197" i="1"/>
  <c r="S320" i="1"/>
  <c r="S174" i="1"/>
  <c r="S215" i="1"/>
  <c r="P255" i="1"/>
  <c r="P295" i="1"/>
  <c r="P250" i="1"/>
  <c r="P83" i="1"/>
  <c r="T83" i="1" s="1"/>
  <c r="P125" i="1"/>
  <c r="T18" i="1"/>
  <c r="P189" i="1"/>
  <c r="P106" i="1"/>
  <c r="S16" i="1"/>
  <c r="S54" i="1"/>
  <c r="S88" i="1"/>
  <c r="S103" i="1"/>
  <c r="S191" i="1"/>
  <c r="S249" i="1"/>
  <c r="S18" i="1"/>
  <c r="S29" i="1"/>
  <c r="S56" i="1"/>
  <c r="S72" i="1"/>
  <c r="S118" i="1"/>
  <c r="S145" i="1"/>
  <c r="S160" i="1"/>
  <c r="S184" i="1"/>
  <c r="S227" i="1"/>
  <c r="S276" i="1"/>
  <c r="S290" i="1"/>
  <c r="S299" i="1"/>
  <c r="S226" i="1"/>
  <c r="S328" i="1"/>
  <c r="P62" i="1"/>
  <c r="P88" i="1"/>
  <c r="P110" i="1"/>
  <c r="P129" i="1"/>
  <c r="P146" i="1"/>
  <c r="P66" i="1"/>
  <c r="P92" i="1"/>
  <c r="M125" i="9"/>
  <c r="P156" i="1" s="1"/>
  <c r="S42" i="1"/>
  <c r="S286" i="1"/>
  <c r="S55" i="1"/>
  <c r="S248" i="1"/>
  <c r="S144" i="1"/>
  <c r="S190" i="1"/>
  <c r="S33" i="1"/>
  <c r="S79" i="1"/>
  <c r="S123" i="1"/>
  <c r="S99" i="1"/>
  <c r="S232" i="1"/>
  <c r="S288" i="1"/>
  <c r="S324" i="1"/>
  <c r="S275" i="1"/>
  <c r="P209" i="1"/>
  <c r="P126" i="1"/>
  <c r="S319" i="1"/>
  <c r="S219" i="1"/>
  <c r="S62" i="1"/>
  <c r="S110" i="1"/>
  <c r="S201" i="1"/>
  <c r="P147" i="1"/>
  <c r="P210" i="1"/>
  <c r="N39" i="9"/>
  <c r="S257" i="1"/>
  <c r="S313" i="1"/>
  <c r="S246" i="1"/>
  <c r="S261" i="1"/>
  <c r="S274" i="1"/>
  <c r="S108" i="1"/>
  <c r="S187" i="1"/>
  <c r="S310" i="1"/>
  <c r="S38" i="1"/>
  <c r="S148" i="1"/>
  <c r="S61" i="1"/>
  <c r="S208" i="1"/>
  <c r="S168" i="1"/>
  <c r="S204" i="1"/>
  <c r="S44" i="1"/>
  <c r="S92" i="1"/>
  <c r="S132" i="1"/>
  <c r="S173" i="1"/>
  <c r="S222" i="1"/>
  <c r="S270" i="1"/>
  <c r="S156" i="1"/>
  <c r="S229" i="1"/>
  <c r="S307" i="1"/>
  <c r="S149" i="1"/>
  <c r="S167" i="1"/>
  <c r="S233" i="1"/>
  <c r="S22" i="1"/>
  <c r="S255" i="1"/>
  <c r="S66" i="1"/>
  <c r="S153" i="1"/>
  <c r="S243" i="1"/>
  <c r="S217" i="1"/>
  <c r="S263" i="1"/>
  <c r="S113" i="1"/>
  <c r="S315" i="1"/>
  <c r="T20" i="1"/>
  <c r="T22" i="1"/>
  <c r="S296" i="1"/>
  <c r="S318" i="1"/>
  <c r="S253" i="1"/>
  <c r="S287" i="1"/>
  <c r="S250" i="1"/>
  <c r="S302" i="1"/>
  <c r="S289" i="1"/>
  <c r="S181" i="1"/>
  <c r="S240" i="1"/>
  <c r="S317" i="1"/>
  <c r="S268" i="1"/>
  <c r="S195" i="1"/>
  <c r="S19" i="1"/>
  <c r="S271" i="1"/>
  <c r="S321" i="1"/>
  <c r="N132" i="9"/>
  <c r="P213" i="1"/>
  <c r="P28" i="1"/>
  <c r="P313" i="1"/>
  <c r="T313" i="1" s="1"/>
  <c r="P191" i="1"/>
  <c r="T191" i="1" s="1"/>
  <c r="P306" i="1"/>
  <c r="T306" i="1" s="1"/>
  <c r="P297" i="1"/>
  <c r="T297" i="1" s="1"/>
  <c r="P321" i="1"/>
  <c r="O86" i="1"/>
  <c r="P280" i="1"/>
  <c r="S311" i="1"/>
  <c r="S306" i="1"/>
  <c r="S143" i="1"/>
  <c r="S224" i="1"/>
  <c r="L249" i="1"/>
  <c r="L229" i="1"/>
  <c r="P141" i="1"/>
  <c r="S27" i="1"/>
  <c r="S91" i="1"/>
  <c r="S131" i="1"/>
  <c r="S172" i="1"/>
  <c r="S221" i="1"/>
  <c r="S258" i="1"/>
  <c r="S301" i="1"/>
  <c r="S34" i="1"/>
  <c r="S81" i="1"/>
  <c r="S124" i="1"/>
  <c r="S165" i="1"/>
  <c r="S202" i="1"/>
  <c r="S247" i="1"/>
  <c r="S298" i="1"/>
  <c r="S136" i="1"/>
  <c r="P54" i="1"/>
  <c r="P249" i="1"/>
  <c r="P229" i="1"/>
  <c r="P118" i="1"/>
  <c r="M116" i="9"/>
  <c r="P143" i="1" s="1"/>
  <c r="T143" i="1" s="1"/>
  <c r="P197" i="1"/>
  <c r="P268" i="1"/>
  <c r="P101" i="1"/>
  <c r="P307" i="1"/>
  <c r="P312" i="1"/>
  <c r="P317" i="1"/>
  <c r="P275" i="1"/>
  <c r="S70" i="1"/>
  <c r="L141" i="1"/>
  <c r="L137" i="1"/>
  <c r="L218" i="1"/>
  <c r="L71" i="1"/>
  <c r="L144" i="1"/>
  <c r="L149" i="1"/>
  <c r="L159" i="1"/>
  <c r="L246" i="1"/>
  <c r="L261" i="1"/>
  <c r="L307" i="1"/>
  <c r="L268" i="1"/>
  <c r="S28" i="1"/>
  <c r="S117" i="1"/>
  <c r="S196" i="1"/>
  <c r="S241" i="1"/>
  <c r="S46" i="1"/>
  <c r="S134" i="1"/>
  <c r="S175" i="1"/>
  <c r="S213" i="1"/>
  <c r="S235" i="1"/>
  <c r="P319" i="1"/>
  <c r="T319" i="1" s="1"/>
  <c r="M144" i="9"/>
  <c r="P239" i="1"/>
  <c r="P63" i="1"/>
  <c r="P171" i="1"/>
  <c r="P256" i="1"/>
  <c r="P233" i="1"/>
  <c r="T233" i="1" s="1"/>
  <c r="P274" i="1"/>
  <c r="P253" i="1"/>
  <c r="P257" i="1"/>
  <c r="S116" i="1"/>
  <c r="S71" i="1"/>
  <c r="S159" i="1"/>
  <c r="S95" i="1"/>
  <c r="L195" i="1"/>
  <c r="L244" i="1"/>
  <c r="S216" i="1"/>
  <c r="S24" i="1"/>
  <c r="S64" i="1"/>
  <c r="S212" i="1"/>
  <c r="P77" i="1"/>
  <c r="P293" i="1"/>
  <c r="P208" i="1"/>
  <c r="L44" i="1"/>
  <c r="L107" i="1"/>
  <c r="L119" i="1"/>
  <c r="L132" i="1"/>
  <c r="L171" i="1"/>
  <c r="L190" i="1"/>
  <c r="L59" i="1"/>
  <c r="L259" i="1"/>
  <c r="L216" i="1"/>
  <c r="N48" i="9"/>
  <c r="N168" i="9"/>
  <c r="P10" i="1"/>
  <c r="P153" i="1"/>
  <c r="T153" i="1" s="1"/>
  <c r="L24" i="1"/>
  <c r="L142" i="1"/>
  <c r="L39" i="1"/>
  <c r="L188" i="1"/>
  <c r="L9" i="1"/>
  <c r="L128" i="1"/>
  <c r="S10" i="1"/>
  <c r="S48" i="1"/>
  <c r="S295" i="1"/>
  <c r="S135" i="1"/>
  <c r="S176" i="1"/>
  <c r="S262" i="1"/>
  <c r="S277" i="1"/>
  <c r="S170" i="1"/>
  <c r="S292" i="1"/>
  <c r="P201" i="1"/>
  <c r="P34" i="1"/>
  <c r="P81" i="1"/>
  <c r="P269" i="1"/>
  <c r="P326" i="1"/>
  <c r="P136" i="1"/>
  <c r="P301" i="1"/>
  <c r="P14" i="1"/>
  <c r="S308" i="1"/>
  <c r="S112" i="1"/>
  <c r="P33" i="1"/>
  <c r="P279" i="1"/>
  <c r="K6" i="1"/>
  <c r="L42" i="1"/>
  <c r="L130" i="1"/>
  <c r="L33" i="1"/>
  <c r="L46" i="1"/>
  <c r="L95" i="1"/>
  <c r="L110" i="1"/>
  <c r="L123" i="1"/>
  <c r="L151" i="1"/>
  <c r="L175" i="1"/>
  <c r="L189" i="1"/>
  <c r="L201" i="1"/>
  <c r="L232" i="1"/>
  <c r="L324" i="1"/>
  <c r="L290" i="1"/>
  <c r="P95" i="1"/>
  <c r="N10" i="9"/>
  <c r="P278" i="1"/>
  <c r="P13" i="1"/>
  <c r="P37" i="1"/>
  <c r="P139" i="1"/>
  <c r="P163" i="1"/>
  <c r="T163" i="1" s="1"/>
  <c r="L239" i="1"/>
  <c r="L117" i="1"/>
  <c r="P219" i="1"/>
  <c r="P144" i="1"/>
  <c r="P64" i="1"/>
  <c r="P222" i="1"/>
  <c r="L219" i="1"/>
  <c r="L105" i="1"/>
  <c r="L50" i="1"/>
  <c r="S234" i="1"/>
  <c r="P79" i="1"/>
  <c r="P103" i="1"/>
  <c r="P123" i="1"/>
  <c r="P142" i="1"/>
  <c r="P207" i="1"/>
  <c r="P226" i="1"/>
  <c r="P91" i="1"/>
  <c r="P203" i="1"/>
  <c r="T203" i="1" s="1"/>
  <c r="P285" i="1"/>
  <c r="N107" i="9"/>
  <c r="P40" i="1"/>
  <c r="P111" i="1"/>
  <c r="P130" i="1"/>
  <c r="P152" i="1"/>
  <c r="P59" i="1"/>
  <c r="P36" i="1"/>
  <c r="L283" i="1"/>
  <c r="L147" i="1"/>
  <c r="L236" i="1"/>
  <c r="P261" i="1"/>
  <c r="P185" i="1"/>
  <c r="S183" i="1"/>
  <c r="P264" i="1"/>
  <c r="P259" i="1"/>
  <c r="L13" i="1"/>
  <c r="L58" i="1"/>
  <c r="L73" i="1"/>
  <c r="L92" i="1"/>
  <c r="L222" i="1"/>
  <c r="L271" i="1"/>
  <c r="L285" i="1"/>
  <c r="L321" i="1"/>
  <c r="L162" i="1"/>
  <c r="L199" i="1"/>
  <c r="P56" i="1"/>
  <c r="P227" i="1"/>
  <c r="P51" i="1"/>
  <c r="N111" i="9"/>
  <c r="N159" i="9"/>
  <c r="P310" i="1"/>
  <c r="P244" i="1"/>
  <c r="Q303" i="1"/>
  <c r="S129" i="1"/>
  <c r="P212" i="1"/>
  <c r="N104" i="9"/>
  <c r="N99" i="9"/>
  <c r="N15" i="9"/>
  <c r="Q22" i="1" s="1"/>
  <c r="L120" i="1"/>
  <c r="P25" i="1"/>
  <c r="P173" i="1"/>
  <c r="N137" i="9"/>
  <c r="S220" i="1"/>
  <c r="P174" i="1"/>
  <c r="S75" i="1"/>
  <c r="L16" i="1"/>
  <c r="T16" i="1" s="1"/>
  <c r="L54" i="1"/>
  <c r="L88" i="1"/>
  <c r="L103" i="1"/>
  <c r="L146" i="1"/>
  <c r="L113" i="1"/>
  <c r="L210" i="1"/>
  <c r="L179" i="1"/>
  <c r="L212" i="1"/>
  <c r="L56" i="1"/>
  <c r="L106" i="1"/>
  <c r="L118" i="1"/>
  <c r="L131" i="1"/>
  <c r="L184" i="1"/>
  <c r="L227" i="1"/>
  <c r="L267" i="1"/>
  <c r="N84" i="9"/>
  <c r="N12" i="9"/>
  <c r="Q18" i="1" s="1"/>
  <c r="N32" i="9"/>
  <c r="N6" i="9"/>
  <c r="P127" i="1"/>
  <c r="P215" i="1"/>
  <c r="L134" i="1"/>
  <c r="L96" i="1"/>
  <c r="L70" i="1"/>
  <c r="L125" i="1"/>
  <c r="L12" i="1"/>
  <c r="T12" i="1" s="1"/>
  <c r="L25" i="1"/>
  <c r="L36" i="1"/>
  <c r="L51" i="1"/>
  <c r="L66" i="1"/>
  <c r="L85" i="1"/>
  <c r="L127" i="1"/>
  <c r="L138" i="1"/>
  <c r="L62" i="1"/>
  <c r="L31" i="1"/>
  <c r="L79" i="1"/>
  <c r="L158" i="1"/>
  <c r="L278" i="1"/>
  <c r="P23" i="1"/>
  <c r="P186" i="1"/>
  <c r="P24" i="1"/>
  <c r="N152" i="9"/>
  <c r="N75" i="9"/>
  <c r="N147" i="9"/>
  <c r="P206" i="1"/>
  <c r="T206" i="1" s="1"/>
  <c r="P236" i="1"/>
  <c r="P31" i="1"/>
  <c r="P120" i="1"/>
  <c r="P199" i="1"/>
  <c r="P272" i="1"/>
  <c r="T272" i="1" s="1"/>
  <c r="L211" i="1"/>
  <c r="P32" i="1"/>
  <c r="P122" i="1"/>
  <c r="P157" i="1"/>
  <c r="P188" i="1"/>
  <c r="P223" i="1"/>
  <c r="P273" i="1"/>
  <c r="P314" i="1"/>
  <c r="S265" i="1"/>
  <c r="L228" i="1"/>
  <c r="L318" i="1"/>
  <c r="L265" i="1"/>
  <c r="L129" i="1"/>
  <c r="L251" i="1"/>
  <c r="T251" i="1" s="1"/>
  <c r="P96" i="1"/>
  <c r="P263" i="1"/>
  <c r="P67" i="1"/>
  <c r="P75" i="1"/>
  <c r="P108" i="1"/>
  <c r="P128" i="1"/>
  <c r="P187" i="1"/>
  <c r="P329" i="1"/>
  <c r="P57" i="1"/>
  <c r="P109" i="1"/>
  <c r="P205" i="1"/>
  <c r="P298" i="1"/>
  <c r="P283" i="1"/>
  <c r="L207" i="1"/>
  <c r="L255" i="1"/>
  <c r="L32" i="1"/>
  <c r="L61" i="1"/>
  <c r="L78" i="1"/>
  <c r="L109" i="1"/>
  <c r="L122" i="1"/>
  <c r="L133" i="1"/>
  <c r="L150" i="1"/>
  <c r="L100" i="1"/>
  <c r="L200" i="1"/>
  <c r="L214" i="1"/>
  <c r="L37" i="1"/>
  <c r="L52" i="1"/>
  <c r="L67" i="1"/>
  <c r="L75" i="1"/>
  <c r="L86" i="1"/>
  <c r="L104" i="1"/>
  <c r="L114" i="1"/>
  <c r="L208" i="1"/>
  <c r="L139" i="1"/>
  <c r="L168" i="1"/>
  <c r="L180" i="1"/>
  <c r="L193" i="1"/>
  <c r="L204" i="1"/>
  <c r="L237" i="1"/>
  <c r="L253" i="1"/>
  <c r="S158" i="1"/>
  <c r="P27" i="1"/>
  <c r="T27" i="1" s="1"/>
  <c r="N54" i="9"/>
  <c r="P116" i="1"/>
  <c r="N126" i="9"/>
  <c r="P99" i="1"/>
  <c r="P183" i="1"/>
  <c r="Q247" i="1"/>
  <c r="P288" i="1"/>
  <c r="P48" i="1"/>
  <c r="P135" i="1"/>
  <c r="P159" i="1"/>
  <c r="P308" i="1"/>
  <c r="L225" i="1"/>
  <c r="N56" i="9"/>
  <c r="N128" i="9"/>
  <c r="P166" i="1"/>
  <c r="T166" i="1" s="1"/>
  <c r="N19" i="9"/>
  <c r="Q26" i="1" s="1"/>
  <c r="P73" i="1"/>
  <c r="P113" i="1"/>
  <c r="N123" i="9"/>
  <c r="P161" i="1"/>
  <c r="P252" i="1"/>
  <c r="P52" i="1"/>
  <c r="N76" i="9"/>
  <c r="N88" i="9"/>
  <c r="N148" i="9"/>
  <c r="N160" i="9"/>
  <c r="P204" i="1"/>
  <c r="P281" i="1"/>
  <c r="P296" i="1"/>
  <c r="P26" i="1"/>
  <c r="P38" i="1"/>
  <c r="P78" i="1"/>
  <c r="P39" i="1"/>
  <c r="P100" i="1"/>
  <c r="P194" i="1"/>
  <c r="N179" i="9"/>
  <c r="P245" i="1"/>
  <c r="P282" i="1"/>
  <c r="P232" i="1"/>
  <c r="S242" i="1"/>
  <c r="L312" i="1"/>
  <c r="L329" i="1"/>
  <c r="L101" i="1"/>
  <c r="L174" i="1"/>
  <c r="L215" i="1"/>
  <c r="L10" i="1"/>
  <c r="L23" i="1"/>
  <c r="L34" i="1"/>
  <c r="L48" i="1"/>
  <c r="L63" i="1"/>
  <c r="L81" i="1"/>
  <c r="L295" i="1"/>
  <c r="L111" i="1"/>
  <c r="L124" i="1"/>
  <c r="L234" i="1"/>
  <c r="L242" i="1"/>
  <c r="L247" i="1"/>
  <c r="L262" i="1"/>
  <c r="L277" i="1"/>
  <c r="L298" i="1"/>
  <c r="L330" i="1"/>
  <c r="L136" i="1"/>
  <c r="L170" i="1"/>
  <c r="L217" i="1"/>
  <c r="Q27" i="1"/>
  <c r="P46" i="1"/>
  <c r="P134" i="1"/>
  <c r="P247" i="1"/>
  <c r="P184" i="1"/>
  <c r="P235" i="1"/>
  <c r="P258" i="1"/>
  <c r="P276" i="1"/>
  <c r="P309" i="1"/>
  <c r="P299" i="1"/>
  <c r="P58" i="1"/>
  <c r="P98" i="1"/>
  <c r="P179" i="1"/>
  <c r="P192" i="1"/>
  <c r="T192" i="1" s="1"/>
  <c r="P270" i="1"/>
  <c r="P271" i="1"/>
  <c r="P316" i="1"/>
  <c r="P162" i="1"/>
  <c r="P230" i="1"/>
  <c r="P61" i="1"/>
  <c r="P115" i="1"/>
  <c r="P267" i="1"/>
  <c r="P324" i="1"/>
  <c r="L72" i="1"/>
  <c r="L91" i="1"/>
  <c r="L145" i="1"/>
  <c r="L160" i="1"/>
  <c r="L172" i="1"/>
  <c r="L197" i="1"/>
  <c r="L221" i="1"/>
  <c r="T221" i="1" s="1"/>
  <c r="L258" i="1"/>
  <c r="S23" i="1"/>
  <c r="S63" i="1"/>
  <c r="S111" i="1"/>
  <c r="S152" i="1"/>
  <c r="S186" i="1"/>
  <c r="L263" i="1"/>
  <c r="L292" i="1"/>
  <c r="P55" i="1"/>
  <c r="P248" i="1"/>
  <c r="T248" i="1" s="1"/>
  <c r="P165" i="1"/>
  <c r="P242" i="1"/>
  <c r="P50" i="1"/>
  <c r="P172" i="1"/>
  <c r="P217" i="1"/>
  <c r="P320" i="1"/>
  <c r="Q30" i="1"/>
  <c r="P218" i="1"/>
  <c r="P9" i="1"/>
  <c r="P42" i="1"/>
  <c r="P60" i="1"/>
  <c r="P114" i="1"/>
  <c r="P148" i="1"/>
  <c r="P193" i="1"/>
  <c r="P266" i="1"/>
  <c r="P303" i="1"/>
  <c r="P322" i="1"/>
  <c r="P305" i="1"/>
  <c r="P87" i="1"/>
  <c r="P102" i="1"/>
  <c r="P182" i="1"/>
  <c r="P214" i="1"/>
  <c r="P304" i="1"/>
  <c r="P323" i="1"/>
  <c r="L301" i="1"/>
  <c r="L320" i="1"/>
  <c r="L314" i="1"/>
  <c r="L108" i="1"/>
  <c r="L187" i="1"/>
  <c r="L230" i="1"/>
  <c r="L15" i="1"/>
  <c r="L26" i="1"/>
  <c r="L38" i="1"/>
  <c r="L57" i="1"/>
  <c r="L87" i="1"/>
  <c r="L102" i="1"/>
  <c r="L115" i="1"/>
  <c r="L126" i="1"/>
  <c r="L140" i="1"/>
  <c r="L223" i="1"/>
  <c r="L238" i="1"/>
  <c r="L280" i="1"/>
  <c r="L282" i="1"/>
  <c r="L308" i="1"/>
  <c r="L112" i="1"/>
  <c r="L148" i="1"/>
  <c r="L183" i="1"/>
  <c r="L235" i="1"/>
  <c r="P70" i="1"/>
  <c r="N90" i="9"/>
  <c r="P158" i="1"/>
  <c r="N162" i="9"/>
  <c r="Q288" i="1"/>
  <c r="N5" i="9"/>
  <c r="N18" i="9"/>
  <c r="P72" i="1"/>
  <c r="N92" i="9"/>
  <c r="P160" i="1"/>
  <c r="N164" i="9"/>
  <c r="P243" i="1"/>
  <c r="T243" i="1" s="1"/>
  <c r="P30" i="1"/>
  <c r="N87" i="9"/>
  <c r="P198" i="1"/>
  <c r="N40" i="9"/>
  <c r="N52" i="9"/>
  <c r="P104" i="1"/>
  <c r="N124" i="9"/>
  <c r="Q148" i="1" s="1"/>
  <c r="P168" i="1"/>
  <c r="P180" i="1"/>
  <c r="P237" i="1"/>
  <c r="P43" i="1"/>
  <c r="N71" i="9"/>
  <c r="P169" i="1"/>
  <c r="P200" i="1"/>
  <c r="P238" i="1"/>
  <c r="P287" i="1"/>
  <c r="P330" i="1"/>
  <c r="P246" i="1"/>
  <c r="I7" i="9"/>
  <c r="S209" i="1"/>
  <c r="S256" i="1"/>
  <c r="S326" i="1"/>
  <c r="S251" i="1"/>
  <c r="S278" i="1"/>
  <c r="N25" i="9"/>
  <c r="Q28" i="1" s="1"/>
  <c r="N37" i="9"/>
  <c r="N49" i="9"/>
  <c r="N61" i="9"/>
  <c r="N73" i="9"/>
  <c r="N85" i="9"/>
  <c r="Q227" i="1" s="1"/>
  <c r="N97" i="9"/>
  <c r="N109" i="9"/>
  <c r="N121" i="9"/>
  <c r="N133" i="9"/>
  <c r="N145" i="9"/>
  <c r="N157" i="9"/>
  <c r="N169" i="9"/>
  <c r="N181" i="9"/>
  <c r="Q308" i="1"/>
  <c r="I23" i="9"/>
  <c r="N26" i="9"/>
  <c r="Q29" i="1" s="1"/>
  <c r="N38" i="9"/>
  <c r="Q49" i="1" s="1"/>
  <c r="N50" i="9"/>
  <c r="N62" i="9"/>
  <c r="Q76" i="1" s="1"/>
  <c r="N74" i="9"/>
  <c r="N86" i="9"/>
  <c r="Q226" i="1" s="1"/>
  <c r="N98" i="9"/>
  <c r="N110" i="9"/>
  <c r="N122" i="9"/>
  <c r="N134" i="9"/>
  <c r="N158" i="9"/>
  <c r="N170" i="9"/>
  <c r="N33" i="9"/>
  <c r="N45" i="9"/>
  <c r="Q51" i="1" s="1"/>
  <c r="N57" i="9"/>
  <c r="N69" i="9"/>
  <c r="N81" i="9"/>
  <c r="N93" i="9"/>
  <c r="N105" i="9"/>
  <c r="N117" i="9"/>
  <c r="N129" i="9"/>
  <c r="N141" i="9"/>
  <c r="N153" i="9"/>
  <c r="N165" i="9"/>
  <c r="N177" i="9"/>
  <c r="N14" i="9"/>
  <c r="Q20" i="1" s="1"/>
  <c r="N28" i="9"/>
  <c r="Q31" i="1" s="1"/>
  <c r="N64" i="9"/>
  <c r="N100" i="9"/>
  <c r="Q120" i="1" s="1"/>
  <c r="N136" i="9"/>
  <c r="N172" i="9"/>
  <c r="N8" i="9"/>
  <c r="N35" i="9"/>
  <c r="N47" i="9"/>
  <c r="N59" i="9"/>
  <c r="N83" i="9"/>
  <c r="Q230" i="1" s="1"/>
  <c r="N95" i="9"/>
  <c r="N119" i="9"/>
  <c r="N131" i="9"/>
  <c r="Q163" i="1" s="1"/>
  <c r="N143" i="9"/>
  <c r="N155" i="9"/>
  <c r="N167" i="9"/>
  <c r="Q314" i="1"/>
  <c r="Q330" i="1"/>
  <c r="N3" i="9"/>
  <c r="N16" i="9"/>
  <c r="N30" i="9"/>
  <c r="N42" i="9"/>
  <c r="Q54" i="1" s="1"/>
  <c r="N66" i="9"/>
  <c r="N78" i="9"/>
  <c r="N102" i="9"/>
  <c r="N114" i="9"/>
  <c r="N138" i="9"/>
  <c r="N150" i="9"/>
  <c r="N174" i="9"/>
  <c r="O211" i="1"/>
  <c r="P211" i="1"/>
  <c r="N4" i="9"/>
  <c r="N17" i="9"/>
  <c r="N31" i="9"/>
  <c r="Q34" i="1" s="1"/>
  <c r="N43" i="9"/>
  <c r="N55" i="9"/>
  <c r="Q268" i="1" s="1"/>
  <c r="N67" i="9"/>
  <c r="N79" i="9"/>
  <c r="N91" i="9"/>
  <c r="N103" i="9"/>
  <c r="Q124" i="1" s="1"/>
  <c r="N115" i="9"/>
  <c r="N127" i="9"/>
  <c r="N139" i="9"/>
  <c r="N151" i="9"/>
  <c r="N175" i="9"/>
  <c r="Q309" i="1"/>
  <c r="N171" i="9"/>
  <c r="O8" i="1"/>
  <c r="P8" i="1"/>
  <c r="I11" i="9"/>
  <c r="M17" i="1" s="1"/>
  <c r="N9" i="9"/>
  <c r="N36" i="9"/>
  <c r="Q319" i="1" s="1"/>
  <c r="N72" i="9"/>
  <c r="N108" i="9"/>
  <c r="N180" i="9"/>
  <c r="N163" i="9"/>
  <c r="Q251" i="1"/>
  <c r="N13" i="9"/>
  <c r="Q19" i="1" s="1"/>
  <c r="Q271" i="1"/>
  <c r="N7" i="9"/>
  <c r="N34" i="9"/>
  <c r="N70" i="9"/>
  <c r="N94" i="9"/>
  <c r="N106" i="9"/>
  <c r="N130" i="9"/>
  <c r="N142" i="9"/>
  <c r="N166" i="9"/>
  <c r="N178" i="9"/>
  <c r="Q237" i="1"/>
  <c r="N53" i="9"/>
  <c r="N125" i="9"/>
  <c r="N161" i="9"/>
  <c r="Q236" i="1"/>
  <c r="Q250" i="1"/>
  <c r="Q287" i="1"/>
  <c r="O225" i="1"/>
  <c r="P225" i="1"/>
  <c r="O17" i="1"/>
  <c r="M11" i="9"/>
  <c r="I48" i="9"/>
  <c r="I86" i="9"/>
  <c r="I81" i="9"/>
  <c r="I42" i="9"/>
  <c r="I63" i="9"/>
  <c r="I80" i="9"/>
  <c r="I31" i="9"/>
  <c r="I49" i="9"/>
  <c r="I4" i="9"/>
  <c r="I17" i="9"/>
  <c r="I95" i="9"/>
  <c r="I32" i="9"/>
  <c r="I104" i="9"/>
  <c r="I12" i="9"/>
  <c r="M18" i="1" s="1"/>
  <c r="I26" i="9"/>
  <c r="I70" i="9"/>
  <c r="I79" i="9"/>
  <c r="I9" i="9"/>
  <c r="I64" i="9"/>
  <c r="I33" i="9"/>
  <c r="I97" i="9"/>
  <c r="I58" i="9"/>
  <c r="I102" i="9"/>
  <c r="I47" i="9"/>
  <c r="I18" i="9"/>
  <c r="I40" i="9"/>
  <c r="I72" i="9"/>
  <c r="I6" i="9"/>
  <c r="I19" i="9"/>
  <c r="I25" i="9"/>
  <c r="I57" i="9"/>
  <c r="I89" i="9"/>
  <c r="I50" i="9"/>
  <c r="I78" i="9"/>
  <c r="I110" i="9"/>
  <c r="I55" i="9"/>
  <c r="I87" i="9"/>
  <c r="I108" i="9"/>
  <c r="I24" i="9"/>
  <c r="I56" i="9"/>
  <c r="I96" i="9"/>
  <c r="I41" i="9"/>
  <c r="I73" i="9"/>
  <c r="I105" i="9"/>
  <c r="I34" i="9"/>
  <c r="I94" i="9"/>
  <c r="I39" i="9"/>
  <c r="I71" i="9"/>
  <c r="I103" i="9"/>
  <c r="I3" i="9"/>
  <c r="K8" i="1"/>
  <c r="F3" i="22" s="1"/>
  <c r="G3" i="22" s="1"/>
  <c r="L6" i="1"/>
  <c r="I14" i="9"/>
  <c r="M20" i="1" s="1"/>
  <c r="I28" i="9"/>
  <c r="I44" i="9"/>
  <c r="I60" i="9"/>
  <c r="I76" i="9"/>
  <c r="I100" i="9"/>
  <c r="L245" i="1"/>
  <c r="L284" i="1"/>
  <c r="T284" i="1" s="1"/>
  <c r="L323" i="1"/>
  <c r="I15" i="9"/>
  <c r="M22" i="1" s="1"/>
  <c r="I29" i="9"/>
  <c r="I45" i="9"/>
  <c r="I61" i="9"/>
  <c r="I77" i="9"/>
  <c r="I93" i="9"/>
  <c r="I109" i="9"/>
  <c r="M149" i="1"/>
  <c r="I30" i="9"/>
  <c r="I46" i="9"/>
  <c r="I62" i="9"/>
  <c r="I74" i="9"/>
  <c r="I90" i="9"/>
  <c r="I106" i="9"/>
  <c r="L213" i="1"/>
  <c r="L266" i="1"/>
  <c r="L274" i="1"/>
  <c r="L315" i="1"/>
  <c r="T315" i="1" s="1"/>
  <c r="L296" i="1"/>
  <c r="M283" i="1"/>
  <c r="I8" i="9"/>
  <c r="I13" i="9"/>
  <c r="M19" i="1" s="1"/>
  <c r="I27" i="9"/>
  <c r="I43" i="9"/>
  <c r="I59" i="9"/>
  <c r="I75" i="9"/>
  <c r="I91" i="9"/>
  <c r="M220" i="1" s="1"/>
  <c r="I107" i="9"/>
  <c r="L157" i="1"/>
  <c r="L165" i="1"/>
  <c r="L173" i="1"/>
  <c r="L182" i="1"/>
  <c r="L186" i="1"/>
  <c r="L198" i="1"/>
  <c r="L205" i="1"/>
  <c r="L309" i="1"/>
  <c r="L260" i="1"/>
  <c r="L300" i="1"/>
  <c r="M303" i="1"/>
  <c r="L303" i="1"/>
  <c r="L241" i="1"/>
  <c r="L273" i="1"/>
  <c r="L326" i="1"/>
  <c r="L316" i="1"/>
  <c r="L226" i="1"/>
  <c r="L269" i="1"/>
  <c r="L310" i="1"/>
  <c r="I5" i="9"/>
  <c r="I36" i="9"/>
  <c r="I52" i="9"/>
  <c r="I68" i="9"/>
  <c r="M250" i="1" s="1"/>
  <c r="I84" i="9"/>
  <c r="L264" i="1"/>
  <c r="L304" i="1"/>
  <c r="I10" i="9"/>
  <c r="I37" i="9"/>
  <c r="I53" i="9"/>
  <c r="I69" i="9"/>
  <c r="I85" i="9"/>
  <c r="I101" i="9"/>
  <c r="M153" i="1"/>
  <c r="M171" i="1"/>
  <c r="I16" i="9"/>
  <c r="I21" i="9"/>
  <c r="I38" i="9"/>
  <c r="I54" i="9"/>
  <c r="I82" i="9"/>
  <c r="I98" i="9"/>
  <c r="M189" i="1"/>
  <c r="L220" i="1"/>
  <c r="M237" i="1"/>
  <c r="L276" i="1"/>
  <c r="L281" i="1"/>
  <c r="M288" i="1"/>
  <c r="L288" i="1"/>
  <c r="M329" i="1"/>
  <c r="I88" i="9"/>
  <c r="I22" i="9"/>
  <c r="I35" i="9"/>
  <c r="I51" i="9"/>
  <c r="I83" i="9"/>
  <c r="I99" i="9"/>
  <c r="L135" i="1"/>
  <c r="L152" i="1"/>
  <c r="L161" i="1"/>
  <c r="L169" i="1"/>
  <c r="L176" i="1"/>
  <c r="L185" i="1"/>
  <c r="L194" i="1"/>
  <c r="M202" i="1"/>
  <c r="L202" i="1"/>
  <c r="M277" i="1"/>
  <c r="M298" i="1"/>
  <c r="I92" i="9"/>
  <c r="L322" i="1"/>
  <c r="L270" i="1"/>
  <c r="L279" i="1"/>
  <c r="L328" i="1"/>
  <c r="L327" i="1"/>
  <c r="M231" i="1"/>
  <c r="L231" i="1"/>
  <c r="M256" i="1"/>
  <c r="L256" i="1"/>
  <c r="L293" i="1"/>
  <c r="L299" i="1"/>
  <c r="M252" i="1"/>
  <c r="L252" i="1"/>
  <c r="L287" i="1"/>
  <c r="T201" i="1" l="1"/>
  <c r="F2" i="22"/>
  <c r="G2" i="22" s="1"/>
  <c r="Q12" i="1"/>
  <c r="P150" i="1"/>
  <c r="Q83" i="1"/>
  <c r="N112" i="9"/>
  <c r="P175" i="1"/>
  <c r="P138" i="1"/>
  <c r="T138" i="1" s="1"/>
  <c r="Q37" i="1"/>
  <c r="T197" i="1"/>
  <c r="Y15" i="13"/>
  <c r="Z15" i="13" s="1"/>
  <c r="F9" i="22"/>
  <c r="G9" i="22" s="1"/>
  <c r="T250" i="1"/>
  <c r="T99" i="1"/>
  <c r="C22" i="8"/>
  <c r="D22" i="8" s="1"/>
  <c r="T28" i="1"/>
  <c r="T98" i="1"/>
  <c r="T68" i="1"/>
  <c r="T64" i="1"/>
  <c r="T116" i="1"/>
  <c r="T324" i="1"/>
  <c r="T179" i="1"/>
  <c r="T55" i="1"/>
  <c r="T60" i="1"/>
  <c r="S15" i="1"/>
  <c r="W15" i="1"/>
  <c r="Q104" i="1"/>
  <c r="M76" i="1"/>
  <c r="U76" i="1" s="1"/>
  <c r="M49" i="1"/>
  <c r="U49" i="1" s="1"/>
  <c r="T77" i="1"/>
  <c r="Q99" i="1"/>
  <c r="X15" i="1"/>
  <c r="X6" i="1"/>
  <c r="W8" i="1"/>
  <c r="X8" i="1"/>
  <c r="T107" i="1"/>
  <c r="Q168" i="1"/>
  <c r="Q40" i="1"/>
  <c r="P71" i="1"/>
  <c r="T71" i="1" s="1"/>
  <c r="T176" i="1"/>
  <c r="T44" i="1"/>
  <c r="T301" i="1"/>
  <c r="S137" i="1"/>
  <c r="Q59" i="1"/>
  <c r="P137" i="1"/>
  <c r="T137" i="1" s="1"/>
  <c r="T43" i="1"/>
  <c r="T241" i="1"/>
  <c r="T126" i="1"/>
  <c r="T42" i="1"/>
  <c r="T9" i="1"/>
  <c r="Q64" i="1"/>
  <c r="P149" i="1"/>
  <c r="T149" i="1" s="1"/>
  <c r="M104" i="1"/>
  <c r="M27" i="1"/>
  <c r="U27" i="1" s="1"/>
  <c r="M102" i="1"/>
  <c r="Q57" i="1"/>
  <c r="Q65" i="1"/>
  <c r="T94" i="1"/>
  <c r="T89" i="1"/>
  <c r="M128" i="1"/>
  <c r="P17" i="1"/>
  <c r="T17" i="1" s="1"/>
  <c r="Q302" i="1"/>
  <c r="M219" i="1"/>
  <c r="P15" i="1"/>
  <c r="T15" i="1" s="1"/>
  <c r="P190" i="1"/>
  <c r="T190" i="1" s="1"/>
  <c r="T189" i="1"/>
  <c r="S164" i="1"/>
  <c r="T14" i="1"/>
  <c r="Q209" i="1"/>
  <c r="M58" i="1"/>
  <c r="T184" i="1"/>
  <c r="W6" i="1"/>
  <c r="K331" i="1"/>
  <c r="B19" i="8" s="1"/>
  <c r="S297" i="1"/>
  <c r="S228" i="1"/>
  <c r="S151" i="1"/>
  <c r="S146" i="1"/>
  <c r="Y8" i="13"/>
  <c r="Z8" i="13" s="1"/>
  <c r="S178" i="1"/>
  <c r="S260" i="1"/>
  <c r="Q181" i="1"/>
  <c r="T40" i="1"/>
  <c r="T232" i="1"/>
  <c r="P140" i="1"/>
  <c r="T140" i="1" s="1"/>
  <c r="Q98" i="1"/>
  <c r="T30" i="1"/>
  <c r="T188" i="1"/>
  <c r="N116" i="9"/>
  <c r="Q143" i="1" s="1"/>
  <c r="P164" i="1"/>
  <c r="T164" i="1" s="1"/>
  <c r="M68" i="1"/>
  <c r="Q208" i="1"/>
  <c r="M118" i="1"/>
  <c r="M13" i="1"/>
  <c r="Q61" i="1"/>
  <c r="T134" i="1"/>
  <c r="M113" i="1"/>
  <c r="M26" i="1"/>
  <c r="U26" i="1" s="1"/>
  <c r="T108" i="1"/>
  <c r="T162" i="1"/>
  <c r="T73" i="1"/>
  <c r="M72" i="1"/>
  <c r="M30" i="1"/>
  <c r="T213" i="1"/>
  <c r="M40" i="1"/>
  <c r="N144" i="9"/>
  <c r="Q173" i="1" s="1"/>
  <c r="Q152" i="1"/>
  <c r="M122" i="1"/>
  <c r="Q106" i="1"/>
  <c r="M119" i="1"/>
  <c r="M9" i="1"/>
  <c r="M103" i="1"/>
  <c r="Q16" i="1"/>
  <c r="Q72" i="1"/>
  <c r="M111" i="1"/>
  <c r="M33" i="1"/>
  <c r="T29" i="1"/>
  <c r="M112" i="1"/>
  <c r="M92" i="1"/>
  <c r="Q14" i="1"/>
  <c r="Q81" i="1"/>
  <c r="T259" i="1"/>
  <c r="M83" i="1"/>
  <c r="T305" i="1"/>
  <c r="T111" i="1"/>
  <c r="T144" i="1"/>
  <c r="T128" i="1"/>
  <c r="T328" i="1"/>
  <c r="T235" i="1"/>
  <c r="T273" i="1"/>
  <c r="T279" i="1"/>
  <c r="T156" i="1"/>
  <c r="T289" i="1"/>
  <c r="T123" i="1"/>
  <c r="T87" i="1"/>
  <c r="T58" i="1"/>
  <c r="T275" i="1"/>
  <c r="T256" i="1"/>
  <c r="T277" i="1"/>
  <c r="T195" i="1"/>
  <c r="T132" i="1"/>
  <c r="T327" i="1"/>
  <c r="U22" i="1"/>
  <c r="T329" i="1"/>
  <c r="T317" i="1"/>
  <c r="T159" i="1"/>
  <c r="T124" i="1"/>
  <c r="T59" i="1"/>
  <c r="T211" i="1"/>
  <c r="T145" i="1"/>
  <c r="T236" i="1"/>
  <c r="P292" i="1"/>
  <c r="T292" i="1" s="1"/>
  <c r="T223" i="1"/>
  <c r="T202" i="1"/>
  <c r="T264" i="1"/>
  <c r="T199" i="1"/>
  <c r="T46" i="1"/>
  <c r="T283" i="1"/>
  <c r="T278" i="1"/>
  <c r="T209" i="1"/>
  <c r="T312" i="1"/>
  <c r="T85" i="1"/>
  <c r="T88" i="1"/>
  <c r="Q316" i="1"/>
  <c r="T103" i="1"/>
  <c r="T225" i="1"/>
  <c r="M224" i="1"/>
  <c r="M281" i="1"/>
  <c r="M269" i="1"/>
  <c r="M164" i="1"/>
  <c r="M191" i="1"/>
  <c r="M181" i="1"/>
  <c r="T257" i="1"/>
  <c r="T267" i="1"/>
  <c r="M135" i="1"/>
  <c r="M186" i="1"/>
  <c r="M168" i="1"/>
  <c r="M275" i="1"/>
  <c r="T13" i="1"/>
  <c r="T261" i="1"/>
  <c r="M271" i="1"/>
  <c r="U271" i="1" s="1"/>
  <c r="M209" i="1"/>
  <c r="M289" i="1"/>
  <c r="Q324" i="1"/>
  <c r="T246" i="1"/>
  <c r="T218" i="1"/>
  <c r="T50" i="1"/>
  <c r="T175" i="1"/>
  <c r="M185" i="1"/>
  <c r="M134" i="1"/>
  <c r="M229" i="1"/>
  <c r="M178" i="1"/>
  <c r="M261" i="1"/>
  <c r="P151" i="1"/>
  <c r="T151" i="1" s="1"/>
  <c r="Q108" i="1"/>
  <c r="M268" i="1"/>
  <c r="U268" i="1" s="1"/>
  <c r="P300" i="1"/>
  <c r="T300" i="1" s="1"/>
  <c r="M201" i="1"/>
  <c r="M287" i="1"/>
  <c r="U287" i="1" s="1"/>
  <c r="M311" i="1"/>
  <c r="M317" i="1"/>
  <c r="M313" i="1"/>
  <c r="Q178" i="1"/>
  <c r="Q78" i="1"/>
  <c r="T33" i="1"/>
  <c r="M60" i="1"/>
  <c r="M65" i="1"/>
  <c r="M176" i="1"/>
  <c r="M152" i="1"/>
  <c r="M306" i="1"/>
  <c r="M226" i="1"/>
  <c r="U226" i="1" s="1"/>
  <c r="T330" i="1"/>
  <c r="T48" i="1"/>
  <c r="P228" i="1"/>
  <c r="T228" i="1" s="1"/>
  <c r="T95" i="1"/>
  <c r="M327" i="1"/>
  <c r="M270" i="1"/>
  <c r="M266" i="1"/>
  <c r="M257" i="1"/>
  <c r="M156" i="1"/>
  <c r="Q298" i="1"/>
  <c r="U298" i="1" s="1"/>
  <c r="Q286" i="1"/>
  <c r="Q70" i="1"/>
  <c r="T23" i="1"/>
  <c r="T219" i="1"/>
  <c r="T63" i="1"/>
  <c r="Q164" i="1"/>
  <c r="M316" i="1"/>
  <c r="M260" i="1"/>
  <c r="M94" i="1"/>
  <c r="M167" i="1"/>
  <c r="M240" i="1"/>
  <c r="M174" i="1"/>
  <c r="Q113" i="1"/>
  <c r="Q184" i="1"/>
  <c r="Q89" i="1"/>
  <c r="T120" i="1"/>
  <c r="P260" i="1"/>
  <c r="T260" i="1" s="1"/>
  <c r="Q229" i="1"/>
  <c r="Q327" i="1"/>
  <c r="T81" i="1"/>
  <c r="Q257" i="1"/>
  <c r="P216" i="1"/>
  <c r="T216" i="1" s="1"/>
  <c r="M139" i="1"/>
  <c r="M233" i="1"/>
  <c r="Q213" i="1"/>
  <c r="Q68" i="1"/>
  <c r="Q126" i="1"/>
  <c r="Q289" i="1"/>
  <c r="S6" i="1"/>
  <c r="B27" i="8"/>
  <c r="B28" i="8"/>
  <c r="B26" i="8"/>
  <c r="Y6" i="13"/>
  <c r="Z6" i="13" s="1"/>
  <c r="T34" i="1"/>
  <c r="Q233" i="1"/>
  <c r="Q313" i="1"/>
  <c r="O331" i="1"/>
  <c r="C32" i="8" s="1"/>
  <c r="T131" i="1"/>
  <c r="T276" i="1"/>
  <c r="T173" i="1"/>
  <c r="T255" i="1"/>
  <c r="T25" i="1"/>
  <c r="T161" i="1"/>
  <c r="T205" i="1"/>
  <c r="T290" i="1"/>
  <c r="T230" i="1"/>
  <c r="T152" i="1"/>
  <c r="T141" i="1"/>
  <c r="T296" i="1"/>
  <c r="T183" i="1"/>
  <c r="T187" i="1"/>
  <c r="T129" i="1"/>
  <c r="T194" i="1"/>
  <c r="T321" i="1"/>
  <c r="T239" i="1"/>
  <c r="T112" i="1"/>
  <c r="T54" i="1"/>
  <c r="T105" i="1"/>
  <c r="T117" i="1"/>
  <c r="T295" i="1"/>
  <c r="T293" i="1"/>
  <c r="U303" i="1"/>
  <c r="T210" i="1"/>
  <c r="T198" i="1"/>
  <c r="U30" i="1"/>
  <c r="T92" i="1"/>
  <c r="Q260" i="1"/>
  <c r="Q66" i="1"/>
  <c r="U237" i="1"/>
  <c r="Q274" i="1"/>
  <c r="T326" i="1"/>
  <c r="T62" i="1"/>
  <c r="T280" i="1"/>
  <c r="T118" i="1"/>
  <c r="T226" i="1"/>
  <c r="T270" i="1"/>
  <c r="T245" i="1"/>
  <c r="T253" i="1"/>
  <c r="T147" i="1"/>
  <c r="T186" i="1"/>
  <c r="T66" i="1"/>
  <c r="T207" i="1"/>
  <c r="T266" i="1"/>
  <c r="T119" i="1"/>
  <c r="T288" i="1"/>
  <c r="T310" i="1"/>
  <c r="U18" i="1"/>
  <c r="T263" i="1"/>
  <c r="T106" i="1"/>
  <c r="Q132" i="1"/>
  <c r="T110" i="1"/>
  <c r="B41" i="8"/>
  <c r="B39" i="8"/>
  <c r="Q204" i="1"/>
  <c r="Q182" i="1"/>
  <c r="T185" i="1"/>
  <c r="T281" i="1"/>
  <c r="T269" i="1"/>
  <c r="T309" i="1"/>
  <c r="T157" i="1"/>
  <c r="T308" i="1"/>
  <c r="T38" i="1"/>
  <c r="T174" i="1"/>
  <c r="T125" i="1"/>
  <c r="T299" i="1"/>
  <c r="T282" i="1"/>
  <c r="T26" i="1"/>
  <c r="T101" i="1"/>
  <c r="T298" i="1"/>
  <c r="Q114" i="1"/>
  <c r="Q192" i="1"/>
  <c r="T146" i="1"/>
  <c r="Q255" i="1"/>
  <c r="T133" i="1"/>
  <c r="Q281" i="1"/>
  <c r="U281" i="1" s="1"/>
  <c r="Q266" i="1"/>
  <c r="Q129" i="1"/>
  <c r="Q111" i="1"/>
  <c r="Q112" i="1"/>
  <c r="T314" i="1"/>
  <c r="T56" i="1"/>
  <c r="T135" i="1"/>
  <c r="T316" i="1"/>
  <c r="Q10" i="1"/>
  <c r="Q134" i="1"/>
  <c r="T268" i="1"/>
  <c r="T323" i="1"/>
  <c r="Q188" i="1"/>
  <c r="Q222" i="1"/>
  <c r="Q165" i="1"/>
  <c r="Q194" i="1"/>
  <c r="T115" i="1"/>
  <c r="Q63" i="1"/>
  <c r="Q246" i="1"/>
  <c r="T287" i="1"/>
  <c r="T274" i="1"/>
  <c r="Q320" i="1"/>
  <c r="T51" i="1"/>
  <c r="B40" i="8"/>
  <c r="Q48" i="1"/>
  <c r="Q169" i="1"/>
  <c r="Q252" i="1"/>
  <c r="U252" i="1" s="1"/>
  <c r="T258" i="1"/>
  <c r="C36" i="8"/>
  <c r="D36" i="8" s="1"/>
  <c r="T271" i="1"/>
  <c r="T24" i="1"/>
  <c r="T244" i="1"/>
  <c r="T307" i="1"/>
  <c r="S86" i="1"/>
  <c r="T109" i="1"/>
  <c r="T249" i="1"/>
  <c r="T304" i="1"/>
  <c r="U250" i="1"/>
  <c r="T229" i="1"/>
  <c r="M81" i="1"/>
  <c r="M255" i="1"/>
  <c r="Q150" i="1"/>
  <c r="Q156" i="1"/>
  <c r="Q198" i="1"/>
  <c r="Q301" i="1"/>
  <c r="Q306" i="1"/>
  <c r="Q326" i="1"/>
  <c r="Q269" i="1"/>
  <c r="P262" i="1"/>
  <c r="T262" i="1" s="1"/>
  <c r="Q187" i="1"/>
  <c r="Q146" i="1"/>
  <c r="Q232" i="1"/>
  <c r="Q242" i="1"/>
  <c r="Q139" i="1"/>
  <c r="Q275" i="1"/>
  <c r="Q311" i="1"/>
  <c r="P311" i="1"/>
  <c r="T311" i="1" s="1"/>
  <c r="M299" i="1"/>
  <c r="M302" i="1"/>
  <c r="Q292" i="1"/>
  <c r="Q210" i="1"/>
  <c r="Q160" i="1"/>
  <c r="Q167" i="1"/>
  <c r="Q144" i="1"/>
  <c r="Q149" i="1"/>
  <c r="U149" i="1" s="1"/>
  <c r="Q256" i="1"/>
  <c r="U256" i="1" s="1"/>
  <c r="Q174" i="1"/>
  <c r="Q296" i="1"/>
  <c r="M293" i="1"/>
  <c r="M297" i="1"/>
  <c r="M193" i="1"/>
  <c r="Q325" i="1"/>
  <c r="Q175" i="1"/>
  <c r="Q270" i="1"/>
  <c r="Q241" i="1"/>
  <c r="Q312" i="1"/>
  <c r="Q317" i="1"/>
  <c r="T212" i="1"/>
  <c r="Q195" i="1"/>
  <c r="M279" i="1"/>
  <c r="M162" i="1"/>
  <c r="M258" i="1"/>
  <c r="M79" i="1"/>
  <c r="M61" i="1"/>
  <c r="M141" i="1"/>
  <c r="M137" i="1"/>
  <c r="M183" i="1"/>
  <c r="U20" i="1"/>
  <c r="Q101" i="1"/>
  <c r="Q307" i="1"/>
  <c r="Q196" i="1"/>
  <c r="Q141" i="1"/>
  <c r="Q137" i="1"/>
  <c r="Q183" i="1"/>
  <c r="Q158" i="1"/>
  <c r="M322" i="1"/>
  <c r="M307" i="1"/>
  <c r="M136" i="1"/>
  <c r="M143" i="1"/>
  <c r="Q235" i="1"/>
  <c r="Q240" i="1"/>
  <c r="Q293" i="1"/>
  <c r="Q297" i="1"/>
  <c r="Q206" i="1"/>
  <c r="Q190" i="1"/>
  <c r="Q185" i="1"/>
  <c r="T79" i="1"/>
  <c r="T10" i="1"/>
  <c r="P170" i="1"/>
  <c r="T170" i="1" s="1"/>
  <c r="P178" i="1"/>
  <c r="T178" i="1" s="1"/>
  <c r="Q224" i="1"/>
  <c r="P224" i="1"/>
  <c r="T224" i="1" s="1"/>
  <c r="M210" i="1"/>
  <c r="Q171" i="1"/>
  <c r="U171" i="1" s="1"/>
  <c r="Q282" i="1"/>
  <c r="T171" i="1"/>
  <c r="P86" i="1"/>
  <c r="T86" i="1" s="1"/>
  <c r="P231" i="1"/>
  <c r="T231" i="1" s="1"/>
  <c r="S8" i="1"/>
  <c r="T322" i="1"/>
  <c r="T303" i="1"/>
  <c r="T182" i="1"/>
  <c r="T215" i="1"/>
  <c r="T113" i="1"/>
  <c r="T139" i="1"/>
  <c r="T67" i="1"/>
  <c r="T32" i="1"/>
  <c r="T165" i="1"/>
  <c r="T252" i="1"/>
  <c r="T169" i="1"/>
  <c r="T136" i="1"/>
  <c r="T39" i="1"/>
  <c r="T208" i="1"/>
  <c r="T227" i="1"/>
  <c r="T57" i="1"/>
  <c r="T91" i="1"/>
  <c r="T37" i="1"/>
  <c r="T36" i="1"/>
  <c r="T320" i="1"/>
  <c r="T222" i="1"/>
  <c r="M314" i="1"/>
  <c r="U314" i="1" s="1"/>
  <c r="M172" i="1"/>
  <c r="Q219" i="1"/>
  <c r="Q248" i="1"/>
  <c r="M101" i="1"/>
  <c r="M262" i="1"/>
  <c r="M51" i="1"/>
  <c r="U51" i="1" s="1"/>
  <c r="M86" i="1"/>
  <c r="M105" i="1"/>
  <c r="Q135" i="1"/>
  <c r="M215" i="1"/>
  <c r="M241" i="1"/>
  <c r="M236" i="1"/>
  <c r="U236" i="1" s="1"/>
  <c r="M184" i="1"/>
  <c r="U184" i="1" s="1"/>
  <c r="M145" i="1"/>
  <c r="Q170" i="1"/>
  <c r="Q264" i="1"/>
  <c r="M63" i="1"/>
  <c r="M42" i="1"/>
  <c r="Q88" i="1"/>
  <c r="Q38" i="1"/>
  <c r="Q153" i="1"/>
  <c r="U153" i="1" s="1"/>
  <c r="M324" i="1"/>
  <c r="U324" i="1" s="1"/>
  <c r="M249" i="1"/>
  <c r="Q214" i="1"/>
  <c r="Q79" i="1"/>
  <c r="T75" i="1"/>
  <c r="T127" i="1"/>
  <c r="T285" i="1"/>
  <c r="M158" i="1"/>
  <c r="M248" i="1"/>
  <c r="T130" i="1"/>
  <c r="M217" i="1"/>
  <c r="M194" i="1"/>
  <c r="M38" i="1"/>
  <c r="Q193" i="1"/>
  <c r="Q33" i="1"/>
  <c r="T142" i="1"/>
  <c r="M62" i="1"/>
  <c r="M218" i="1"/>
  <c r="U19" i="1"/>
  <c r="M208" i="1"/>
  <c r="U208" i="1" s="1"/>
  <c r="M179" i="1"/>
  <c r="Q128" i="1"/>
  <c r="Q207" i="1"/>
  <c r="Q123" i="1"/>
  <c r="Q272" i="1"/>
  <c r="T148" i="1"/>
  <c r="T122" i="1"/>
  <c r="M110" i="1"/>
  <c r="M32" i="1"/>
  <c r="Q278" i="1"/>
  <c r="M195" i="1"/>
  <c r="M223" i="1"/>
  <c r="M130" i="1"/>
  <c r="M120" i="1"/>
  <c r="U120" i="1" s="1"/>
  <c r="M150" i="1"/>
  <c r="M175" i="1"/>
  <c r="Q201" i="1"/>
  <c r="M206" i="1"/>
  <c r="M85" i="1"/>
  <c r="M12" i="1"/>
  <c r="U12" i="1" s="1"/>
  <c r="M205" i="1"/>
  <c r="Q186" i="1"/>
  <c r="Q218" i="1"/>
  <c r="Q305" i="1"/>
  <c r="M328" i="1"/>
  <c r="M204" i="1"/>
  <c r="M160" i="1"/>
  <c r="M127" i="1"/>
  <c r="M24" i="1"/>
  <c r="M169" i="1"/>
  <c r="M108" i="1"/>
  <c r="M301" i="1"/>
  <c r="M276" i="1"/>
  <c r="M157" i="1"/>
  <c r="M213" i="1"/>
  <c r="M52" i="1"/>
  <c r="M39" i="1"/>
  <c r="M129" i="1"/>
  <c r="Q328" i="1"/>
  <c r="M273" i="1"/>
  <c r="Q115" i="1"/>
  <c r="Q36" i="1"/>
  <c r="M173" i="1"/>
  <c r="M274" i="1"/>
  <c r="U274" i="1" s="1"/>
  <c r="Q245" i="1"/>
  <c r="Q102" i="1"/>
  <c r="Q77" i="1"/>
  <c r="T172" i="1"/>
  <c r="M212" i="1"/>
  <c r="M310" i="1"/>
  <c r="M57" i="1"/>
  <c r="T247" i="1"/>
  <c r="Q136" i="1"/>
  <c r="Q318" i="1"/>
  <c r="Q265" i="1"/>
  <c r="M144" i="1"/>
  <c r="M146" i="1"/>
  <c r="M238" i="1"/>
  <c r="M290" i="1"/>
  <c r="M100" i="1"/>
  <c r="M64" i="1"/>
  <c r="M107" i="1"/>
  <c r="M190" i="1"/>
  <c r="M142" i="1"/>
  <c r="M132" i="1"/>
  <c r="M67" i="1"/>
  <c r="M75" i="1"/>
  <c r="M16" i="1"/>
  <c r="M148" i="1"/>
  <c r="U148" i="1" s="1"/>
  <c r="M247" i="1"/>
  <c r="U247" i="1" s="1"/>
  <c r="M106" i="1"/>
  <c r="U106" i="1" s="1"/>
  <c r="Q140" i="1"/>
  <c r="Q162" i="1"/>
  <c r="U162" i="1" s="1"/>
  <c r="Q243" i="1"/>
  <c r="Q145" i="1"/>
  <c r="Q56" i="1"/>
  <c r="Q130" i="1"/>
  <c r="T102" i="1"/>
  <c r="Q180" i="1"/>
  <c r="Q310" i="1"/>
  <c r="T242" i="1"/>
  <c r="Q147" i="1"/>
  <c r="P6" i="1"/>
  <c r="T180" i="1"/>
  <c r="T104" i="1"/>
  <c r="Q161" i="1"/>
  <c r="Q92" i="1"/>
  <c r="Q249" i="1"/>
  <c r="Q238" i="1"/>
  <c r="Q304" i="1"/>
  <c r="M305" i="1"/>
  <c r="M304" i="1"/>
  <c r="M319" i="1"/>
  <c r="U319" i="1" s="1"/>
  <c r="M326" i="1"/>
  <c r="U326" i="1" s="1"/>
  <c r="M321" i="1"/>
  <c r="M165" i="1"/>
  <c r="M296" i="1"/>
  <c r="M180" i="1"/>
  <c r="M91" i="1"/>
  <c r="M245" i="1"/>
  <c r="M124" i="1"/>
  <c r="U124" i="1" s="1"/>
  <c r="M253" i="1"/>
  <c r="M109" i="1"/>
  <c r="M88" i="1"/>
  <c r="M163" i="1"/>
  <c r="U163" i="1" s="1"/>
  <c r="M199" i="1"/>
  <c r="M29" i="1"/>
  <c r="U29" i="1" s="1"/>
  <c r="M115" i="1"/>
  <c r="M34" i="1"/>
  <c r="U34" i="1" s="1"/>
  <c r="M73" i="1"/>
  <c r="M196" i="1"/>
  <c r="M225" i="1"/>
  <c r="Q127" i="1"/>
  <c r="Q221" i="1"/>
  <c r="Q131" i="1"/>
  <c r="Q212" i="1"/>
  <c r="Q117" i="1"/>
  <c r="Q133" i="1"/>
  <c r="Q60" i="1"/>
  <c r="Q191" i="1"/>
  <c r="Q189" i="1"/>
  <c r="U189" i="1" s="1"/>
  <c r="T238" i="1"/>
  <c r="Q276" i="1"/>
  <c r="Q105" i="1"/>
  <c r="Q329" i="1"/>
  <c r="U329" i="1" s="1"/>
  <c r="Q44" i="1"/>
  <c r="T168" i="1"/>
  <c r="T214" i="1"/>
  <c r="Q223" i="1"/>
  <c r="Q73" i="1"/>
  <c r="Q261" i="1"/>
  <c r="T158" i="1"/>
  <c r="Q322" i="1"/>
  <c r="M166" i="1"/>
  <c r="Q283" i="1"/>
  <c r="U283" i="1" s="1"/>
  <c r="M177" i="1"/>
  <c r="M285" i="1"/>
  <c r="M230" i="1"/>
  <c r="U230" i="1" s="1"/>
  <c r="M272" i="1"/>
  <c r="M87" i="1"/>
  <c r="M235" i="1"/>
  <c r="M131" i="1"/>
  <c r="M66" i="1"/>
  <c r="M259" i="1"/>
  <c r="M159" i="1"/>
  <c r="M295" i="1"/>
  <c r="M23" i="1"/>
  <c r="M46" i="1"/>
  <c r="M192" i="1"/>
  <c r="U192" i="1" s="1"/>
  <c r="M286" i="1"/>
  <c r="M147" i="1"/>
  <c r="Q279" i="1"/>
  <c r="Q299" i="1"/>
  <c r="Q197" i="1"/>
  <c r="Q118" i="1"/>
  <c r="Q122" i="1"/>
  <c r="Q42" i="1"/>
  <c r="Q107" i="1"/>
  <c r="Q284" i="1"/>
  <c r="T160" i="1"/>
  <c r="Q13" i="1"/>
  <c r="Q217" i="1"/>
  <c r="M292" i="1"/>
  <c r="Q259" i="1"/>
  <c r="Q94" i="1"/>
  <c r="Q151" i="1"/>
  <c r="T200" i="1"/>
  <c r="M278" i="1"/>
  <c r="Q177" i="1"/>
  <c r="Q142" i="1"/>
  <c r="Q263" i="1"/>
  <c r="Q58" i="1"/>
  <c r="Q9" i="1"/>
  <c r="T96" i="1"/>
  <c r="M188" i="1"/>
  <c r="M264" i="1"/>
  <c r="M300" i="1"/>
  <c r="M309" i="1"/>
  <c r="U309" i="1" s="1"/>
  <c r="M282" i="1"/>
  <c r="M182" i="1"/>
  <c r="U182" i="1" s="1"/>
  <c r="M48" i="1"/>
  <c r="M315" i="1"/>
  <c r="M99" i="1"/>
  <c r="U99" i="1" s="1"/>
  <c r="M323" i="1"/>
  <c r="M70" i="1"/>
  <c r="M44" i="1"/>
  <c r="M114" i="1"/>
  <c r="M89" i="1"/>
  <c r="U89" i="1" s="1"/>
  <c r="M95" i="1"/>
  <c r="M28" i="1"/>
  <c r="U28" i="1" s="1"/>
  <c r="M244" i="1"/>
  <c r="M117" i="1"/>
  <c r="M10" i="1"/>
  <c r="M133" i="1"/>
  <c r="M200" i="1"/>
  <c r="M54" i="1"/>
  <c r="U54" i="1" s="1"/>
  <c r="M211" i="1"/>
  <c r="Q95" i="1"/>
  <c r="Q179" i="1"/>
  <c r="Q280" i="1"/>
  <c r="Q87" i="1"/>
  <c r="Q321" i="1"/>
  <c r="Q110" i="1"/>
  <c r="Q267" i="1"/>
  <c r="Q203" i="1"/>
  <c r="P234" i="1"/>
  <c r="T234" i="1" s="1"/>
  <c r="M263" i="1"/>
  <c r="Q205" i="1"/>
  <c r="Q244" i="1"/>
  <c r="Q25" i="1"/>
  <c r="T237" i="1"/>
  <c r="Q100" i="1"/>
  <c r="Q96" i="1"/>
  <c r="M222" i="1"/>
  <c r="M161" i="1"/>
  <c r="U288" i="1"/>
  <c r="M251" i="1"/>
  <c r="U251" i="1" s="1"/>
  <c r="M267" i="1"/>
  <c r="M140" i="1"/>
  <c r="M320" i="1"/>
  <c r="M151" i="1"/>
  <c r="M71" i="1"/>
  <c r="M207" i="1"/>
  <c r="M50" i="1"/>
  <c r="M170" i="1"/>
  <c r="M187" i="1"/>
  <c r="M37" i="1"/>
  <c r="M43" i="1"/>
  <c r="M234" i="1"/>
  <c r="M242" i="1"/>
  <c r="M246" i="1"/>
  <c r="M56" i="1"/>
  <c r="M25" i="1"/>
  <c r="M330" i="1"/>
  <c r="U330" i="1" s="1"/>
  <c r="M232" i="1"/>
  <c r="M36" i="1"/>
  <c r="M227" i="1"/>
  <c r="U227" i="1" s="1"/>
  <c r="M78" i="1"/>
  <c r="U78" i="1" s="1"/>
  <c r="M138" i="1"/>
  <c r="M96" i="1"/>
  <c r="M98" i="1"/>
  <c r="U98" i="1" s="1"/>
  <c r="Q202" i="1"/>
  <c r="U202" i="1" s="1"/>
  <c r="Q23" i="1"/>
  <c r="Q215" i="1"/>
  <c r="Q85" i="1"/>
  <c r="Q172" i="1"/>
  <c r="Q91" i="1"/>
  <c r="Q159" i="1"/>
  <c r="Q71" i="1"/>
  <c r="P318" i="1"/>
  <c r="T318" i="1" s="1"/>
  <c r="P265" i="1"/>
  <c r="T265" i="1" s="1"/>
  <c r="Q43" i="1"/>
  <c r="Q253" i="1"/>
  <c r="Q119" i="1"/>
  <c r="Q50" i="1"/>
  <c r="Q116" i="1"/>
  <c r="T217" i="1"/>
  <c r="Q290" i="1"/>
  <c r="Q62" i="1"/>
  <c r="T204" i="1"/>
  <c r="T52" i="1"/>
  <c r="T100" i="1"/>
  <c r="T78" i="1"/>
  <c r="P220" i="1"/>
  <c r="T220" i="1" s="1"/>
  <c r="Q52" i="1"/>
  <c r="Q166" i="1"/>
  <c r="Q262" i="1"/>
  <c r="M239" i="1"/>
  <c r="M198" i="1"/>
  <c r="U198" i="1" s="1"/>
  <c r="M126" i="1"/>
  <c r="U126" i="1" s="1"/>
  <c r="M312" i="1"/>
  <c r="M197" i="1"/>
  <c r="M214" i="1"/>
  <c r="M284" i="1"/>
  <c r="M203" i="1"/>
  <c r="M31" i="1"/>
  <c r="U31" i="1" s="1"/>
  <c r="M308" i="1"/>
  <c r="U308" i="1" s="1"/>
  <c r="M325" i="1"/>
  <c r="M116" i="1"/>
  <c r="M228" i="1"/>
  <c r="M243" i="1"/>
  <c r="M59" i="1"/>
  <c r="U59" i="1" s="1"/>
  <c r="M216" i="1"/>
  <c r="M123" i="1"/>
  <c r="U123" i="1" s="1"/>
  <c r="M77" i="1"/>
  <c r="M221" i="1"/>
  <c r="M125" i="1"/>
  <c r="M55" i="1"/>
  <c r="M280" i="1"/>
  <c r="M318" i="1"/>
  <c r="M265" i="1"/>
  <c r="Q273" i="1"/>
  <c r="Q67" i="1"/>
  <c r="Q75" i="1"/>
  <c r="Q176" i="1"/>
  <c r="Q295" i="1"/>
  <c r="Q46" i="1"/>
  <c r="Q157" i="1"/>
  <c r="U157" i="1" s="1"/>
  <c r="Q199" i="1"/>
  <c r="Q315" i="1"/>
  <c r="Q300" i="1"/>
  <c r="Q55" i="1"/>
  <c r="M14" i="1"/>
  <c r="Q32" i="1"/>
  <c r="Q258" i="1"/>
  <c r="Q24" i="1"/>
  <c r="Q200" i="1"/>
  <c r="Q125" i="1"/>
  <c r="T72" i="1"/>
  <c r="Q103" i="1"/>
  <c r="Q277" i="1"/>
  <c r="U277" i="1" s="1"/>
  <c r="Q239" i="1"/>
  <c r="T193" i="1"/>
  <c r="T114" i="1"/>
  <c r="T150" i="1"/>
  <c r="T61" i="1"/>
  <c r="Q39" i="1"/>
  <c r="U39" i="1" s="1"/>
  <c r="Q285" i="1"/>
  <c r="Q323" i="1"/>
  <c r="Q109" i="1"/>
  <c r="T31" i="1"/>
  <c r="T70" i="1"/>
  <c r="S17" i="1"/>
  <c r="Q231" i="1"/>
  <c r="U231" i="1" s="1"/>
  <c r="S225" i="1"/>
  <c r="S211" i="1"/>
  <c r="N11" i="9"/>
  <c r="Q17" i="1" s="1"/>
  <c r="U17" i="1" s="1"/>
  <c r="Q8" i="1"/>
  <c r="Q86" i="1"/>
  <c r="I2" i="9"/>
  <c r="M8" i="1" s="1"/>
  <c r="L8" i="1"/>
  <c r="G2" i="1"/>
  <c r="G1" i="1"/>
  <c r="C21" i="8" l="1"/>
  <c r="D21" i="8" s="1"/>
  <c r="U286" i="1"/>
  <c r="U10" i="1"/>
  <c r="U57" i="1"/>
  <c r="Q138" i="1"/>
  <c r="U138" i="1" s="1"/>
  <c r="U66" i="1"/>
  <c r="U16" i="1"/>
  <c r="U83" i="1"/>
  <c r="U243" i="1"/>
  <c r="U168" i="1"/>
  <c r="U40" i="1"/>
  <c r="U37" i="1"/>
  <c r="U302" i="1"/>
  <c r="U214" i="1"/>
  <c r="U104" i="1"/>
  <c r="U72" i="1"/>
  <c r="U235" i="1"/>
  <c r="U292" i="1"/>
  <c r="U14" i="1"/>
  <c r="U242" i="1"/>
  <c r="U176" i="1"/>
  <c r="U103" i="1"/>
  <c r="U119" i="1"/>
  <c r="U13" i="1"/>
  <c r="U229" i="1"/>
  <c r="U102" i="1"/>
  <c r="U261" i="1"/>
  <c r="U68" i="1"/>
  <c r="U24" i="1"/>
  <c r="U111" i="1"/>
  <c r="U58" i="1"/>
  <c r="U118" i="1"/>
  <c r="U322" i="1"/>
  <c r="U122" i="1"/>
  <c r="U33" i="1"/>
  <c r="U219" i="1"/>
  <c r="U223" i="1"/>
  <c r="U113" i="1"/>
  <c r="U32" i="1"/>
  <c r="U135" i="1"/>
  <c r="U173" i="1"/>
  <c r="U9" i="1"/>
  <c r="U42" i="1"/>
  <c r="U273" i="1"/>
  <c r="U215" i="1"/>
  <c r="U128" i="1"/>
  <c r="U169" i="1"/>
  <c r="U143" i="1"/>
  <c r="U64" i="1"/>
  <c r="U265" i="1"/>
  <c r="U158" i="1"/>
  <c r="U132" i="1"/>
  <c r="U146" i="1"/>
  <c r="U188" i="1"/>
  <c r="U209" i="1"/>
  <c r="U181" i="1"/>
  <c r="C33" i="8"/>
  <c r="D33" i="8" s="1"/>
  <c r="U174" i="1"/>
  <c r="U81" i="1"/>
  <c r="U65" i="1"/>
  <c r="Q15" i="1"/>
  <c r="M15" i="1"/>
  <c r="U112" i="1"/>
  <c r="U255" i="1"/>
  <c r="U85" i="1"/>
  <c r="U224" i="1"/>
  <c r="U94" i="1"/>
  <c r="U275" i="1"/>
  <c r="U134" i="1"/>
  <c r="U289" i="1"/>
  <c r="U240" i="1"/>
  <c r="U320" i="1"/>
  <c r="U187" i="1"/>
  <c r="U70" i="1"/>
  <c r="U222" i="1"/>
  <c r="U127" i="1"/>
  <c r="U194" i="1"/>
  <c r="U172" i="1"/>
  <c r="U114" i="1"/>
  <c r="U152" i="1"/>
  <c r="U316" i="1"/>
  <c r="U178" i="1"/>
  <c r="U92" i="1"/>
  <c r="U61" i="1"/>
  <c r="U269" i="1"/>
  <c r="U306" i="1"/>
  <c r="U213" i="1"/>
  <c r="U201" i="1"/>
  <c r="U262" i="1"/>
  <c r="U110" i="1"/>
  <c r="U299" i="1"/>
  <c r="U258" i="1"/>
  <c r="U179" i="1"/>
  <c r="U279" i="1"/>
  <c r="U217" i="1"/>
  <c r="U52" i="1"/>
  <c r="U164" i="1"/>
  <c r="U193" i="1"/>
  <c r="U145" i="1"/>
  <c r="U186" i="1"/>
  <c r="U246" i="1"/>
  <c r="U191" i="1"/>
  <c r="U105" i="1"/>
  <c r="U60" i="1"/>
  <c r="U311" i="1"/>
  <c r="U325" i="1"/>
  <c r="U108" i="1"/>
  <c r="U190" i="1"/>
  <c r="U156" i="1"/>
  <c r="U266" i="1"/>
  <c r="U130" i="1"/>
  <c r="U327" i="1"/>
  <c r="U257" i="1"/>
  <c r="U270" i="1"/>
  <c r="U212" i="1"/>
  <c r="U139" i="1"/>
  <c r="U260" i="1"/>
  <c r="U185" i="1"/>
  <c r="U317" i="1"/>
  <c r="U249" i="1"/>
  <c r="U167" i="1"/>
  <c r="U150" i="1"/>
  <c r="L331" i="1"/>
  <c r="U233" i="1"/>
  <c r="U313" i="1"/>
  <c r="Q228" i="1"/>
  <c r="U228" i="1" s="1"/>
  <c r="S331" i="1"/>
  <c r="P331" i="1"/>
  <c r="Q216" i="1"/>
  <c r="U216" i="1" s="1"/>
  <c r="U36" i="1"/>
  <c r="U195" i="1"/>
  <c r="U165" i="1"/>
  <c r="U204" i="1"/>
  <c r="U210" i="1"/>
  <c r="U282" i="1"/>
  <c r="U312" i="1"/>
  <c r="U232" i="1"/>
  <c r="U207" i="1"/>
  <c r="U170" i="1"/>
  <c r="U140" i="1"/>
  <c r="U196" i="1"/>
  <c r="U318" i="1"/>
  <c r="U133" i="1"/>
  <c r="U305" i="1"/>
  <c r="U175" i="1"/>
  <c r="U296" i="1"/>
  <c r="U160" i="1"/>
  <c r="U48" i="1"/>
  <c r="U144" i="1"/>
  <c r="U129" i="1"/>
  <c r="U63" i="1"/>
  <c r="U101" i="1"/>
  <c r="U115" i="1"/>
  <c r="U248" i="1"/>
  <c r="U117" i="1"/>
  <c r="U44" i="1"/>
  <c r="U221" i="1"/>
  <c r="U203" i="1"/>
  <c r="U77" i="1"/>
  <c r="U284" i="1"/>
  <c r="U151" i="1"/>
  <c r="U56" i="1"/>
  <c r="U88" i="1"/>
  <c r="T6" i="1"/>
  <c r="U206" i="1"/>
  <c r="U280" i="1"/>
  <c r="U278" i="1"/>
  <c r="U147" i="1"/>
  <c r="U310" i="1"/>
  <c r="U197" i="1"/>
  <c r="U272" i="1"/>
  <c r="U307" i="1"/>
  <c r="C17" i="8"/>
  <c r="D17" i="8" s="1"/>
  <c r="U62" i="1"/>
  <c r="U79" i="1"/>
  <c r="U137" i="1"/>
  <c r="U263" i="1"/>
  <c r="U96" i="1"/>
  <c r="U86" i="1"/>
  <c r="U38" i="1"/>
  <c r="U276" i="1"/>
  <c r="U301" i="1"/>
  <c r="U141" i="1"/>
  <c r="U25" i="1"/>
  <c r="U161" i="1"/>
  <c r="U205" i="1"/>
  <c r="U245" i="1"/>
  <c r="U297" i="1"/>
  <c r="U293" i="1"/>
  <c r="U264" i="1"/>
  <c r="U136" i="1"/>
  <c r="U241" i="1"/>
  <c r="U183" i="1"/>
  <c r="U267" i="1"/>
  <c r="U180" i="1"/>
  <c r="U218" i="1"/>
  <c r="U116" i="1"/>
  <c r="U259" i="1"/>
  <c r="U304" i="1"/>
  <c r="U125" i="1"/>
  <c r="U131" i="1"/>
  <c r="U328" i="1"/>
  <c r="U43" i="1"/>
  <c r="U71" i="1"/>
  <c r="Q6" i="1"/>
  <c r="U23" i="1"/>
  <c r="U142" i="1"/>
  <c r="U238" i="1"/>
  <c r="Q211" i="1"/>
  <c r="U211" i="1" s="1"/>
  <c r="Q220" i="1"/>
  <c r="U220" i="1" s="1"/>
  <c r="Q225" i="1"/>
  <c r="U225" i="1" s="1"/>
  <c r="Q234" i="1"/>
  <c r="U234" i="1" s="1"/>
  <c r="U200" i="1"/>
  <c r="M6" i="1"/>
  <c r="U315" i="1"/>
  <c r="U295" i="1"/>
  <c r="U285" i="1"/>
  <c r="U73" i="1"/>
  <c r="U55" i="1"/>
  <c r="U95" i="1"/>
  <c r="U159" i="1"/>
  <c r="U177" i="1"/>
  <c r="U166" i="1"/>
  <c r="U109" i="1"/>
  <c r="U91" i="1"/>
  <c r="U107" i="1"/>
  <c r="U239" i="1"/>
  <c r="U323" i="1"/>
  <c r="U300" i="1"/>
  <c r="U87" i="1"/>
  <c r="U321" i="1"/>
  <c r="U75" i="1"/>
  <c r="U50" i="1"/>
  <c r="U253" i="1"/>
  <c r="U67" i="1"/>
  <c r="U100" i="1"/>
  <c r="U244" i="1"/>
  <c r="U46" i="1"/>
  <c r="U199" i="1"/>
  <c r="U290" i="1"/>
  <c r="T8" i="1"/>
  <c r="U8" i="1"/>
  <c r="G290" i="5"/>
  <c r="H290" i="5" s="1"/>
  <c r="I290" i="5" s="1"/>
  <c r="G289" i="5"/>
  <c r="G257" i="5"/>
  <c r="G2" i="5"/>
  <c r="H2" i="5" s="1"/>
  <c r="F285" i="5"/>
  <c r="G285" i="5" s="1"/>
  <c r="F318" i="5"/>
  <c r="F313" i="5" s="1"/>
  <c r="G313" i="5" s="1"/>
  <c r="D315" i="5"/>
  <c r="F305" i="5"/>
  <c r="G305" i="5" s="1"/>
  <c r="F302" i="5"/>
  <c r="G302" i="5" s="1"/>
  <c r="F299" i="5"/>
  <c r="G299" i="5" s="1"/>
  <c r="H299" i="5" s="1"/>
  <c r="F296" i="5"/>
  <c r="G296" i="5" s="1"/>
  <c r="F294" i="5"/>
  <c r="G294" i="5" s="1"/>
  <c r="F284" i="5"/>
  <c r="G284" i="5" s="1"/>
  <c r="F283" i="5"/>
  <c r="G283" i="5" s="1"/>
  <c r="F282" i="5"/>
  <c r="G282" i="5" s="1"/>
  <c r="F281" i="5"/>
  <c r="G281" i="5" s="1"/>
  <c r="F280" i="5"/>
  <c r="G280" i="5" s="1"/>
  <c r="F279" i="5"/>
  <c r="G279" i="5" s="1"/>
  <c r="F278" i="5"/>
  <c r="G278" i="5" s="1"/>
  <c r="F277" i="5"/>
  <c r="G277" i="5" s="1"/>
  <c r="F276" i="5"/>
  <c r="G276" i="5" s="1"/>
  <c r="F275" i="5"/>
  <c r="G275" i="5" s="1"/>
  <c r="F274" i="5"/>
  <c r="G274" i="5" s="1"/>
  <c r="F273" i="5"/>
  <c r="G273" i="5" s="1"/>
  <c r="F272" i="5"/>
  <c r="G272" i="5" s="1"/>
  <c r="F271" i="5"/>
  <c r="G271" i="5" s="1"/>
  <c r="F270" i="5"/>
  <c r="G270" i="5" s="1"/>
  <c r="F269" i="5"/>
  <c r="G269" i="5" s="1"/>
  <c r="F268" i="5"/>
  <c r="G268" i="5" s="1"/>
  <c r="F267" i="5"/>
  <c r="G267" i="5" s="1"/>
  <c r="F266" i="5"/>
  <c r="G266" i="5" s="1"/>
  <c r="F265" i="5"/>
  <c r="G265" i="5" s="1"/>
  <c r="F264" i="5"/>
  <c r="G264" i="5" s="1"/>
  <c r="F263" i="5"/>
  <c r="G263" i="5" s="1"/>
  <c r="F262" i="5"/>
  <c r="G262" i="5" s="1"/>
  <c r="F261" i="5"/>
  <c r="G261" i="5" s="1"/>
  <c r="F260" i="5"/>
  <c r="G260" i="5" s="1"/>
  <c r="F259" i="5"/>
  <c r="G259" i="5" s="1"/>
  <c r="F258" i="5"/>
  <c r="G258" i="5" s="1"/>
  <c r="F256" i="5"/>
  <c r="G256" i="5" s="1"/>
  <c r="F255" i="5"/>
  <c r="G255" i="5" s="1"/>
  <c r="F254" i="5"/>
  <c r="G254" i="5" s="1"/>
  <c r="F253" i="5"/>
  <c r="G253" i="5" s="1"/>
  <c r="F252" i="5"/>
  <c r="G252" i="5" s="1"/>
  <c r="F251" i="5"/>
  <c r="G251" i="5" s="1"/>
  <c r="F250" i="5"/>
  <c r="G250" i="5" s="1"/>
  <c r="F249" i="5"/>
  <c r="G249" i="5" s="1"/>
  <c r="F248" i="5"/>
  <c r="G248" i="5" s="1"/>
  <c r="F247" i="5"/>
  <c r="G247" i="5" s="1"/>
  <c r="F246" i="5"/>
  <c r="G246" i="5" s="1"/>
  <c r="F245" i="5"/>
  <c r="G245" i="5" s="1"/>
  <c r="F244" i="5"/>
  <c r="G244" i="5" s="1"/>
  <c r="F243" i="5"/>
  <c r="G243" i="5" s="1"/>
  <c r="F242" i="5"/>
  <c r="G242" i="5" s="1"/>
  <c r="F241" i="5"/>
  <c r="G241" i="5" s="1"/>
  <c r="F240" i="5"/>
  <c r="G240" i="5" s="1"/>
  <c r="F239" i="5"/>
  <c r="G239" i="5" s="1"/>
  <c r="F238" i="5"/>
  <c r="G238" i="5" s="1"/>
  <c r="F237" i="5"/>
  <c r="G237" i="5" s="1"/>
  <c r="F236" i="5"/>
  <c r="G236" i="5" s="1"/>
  <c r="F235" i="5"/>
  <c r="G235" i="5" s="1"/>
  <c r="F234" i="5"/>
  <c r="G234" i="5" s="1"/>
  <c r="F233" i="5"/>
  <c r="G233" i="5" s="1"/>
  <c r="F232" i="5"/>
  <c r="G232" i="5" s="1"/>
  <c r="F231" i="5"/>
  <c r="F230" i="5"/>
  <c r="G230" i="5" s="1"/>
  <c r="F229" i="5"/>
  <c r="G229" i="5" s="1"/>
  <c r="F228" i="5"/>
  <c r="G228" i="5" s="1"/>
  <c r="F227" i="5"/>
  <c r="F226" i="5"/>
  <c r="G226" i="5" s="1"/>
  <c r="F225" i="5"/>
  <c r="G225" i="5" s="1"/>
  <c r="F224" i="5"/>
  <c r="G224" i="5" s="1"/>
  <c r="F223" i="5"/>
  <c r="F222" i="5"/>
  <c r="G222" i="5" s="1"/>
  <c r="F221" i="5"/>
  <c r="G221" i="5" s="1"/>
  <c r="F220" i="5"/>
  <c r="G220" i="5" s="1"/>
  <c r="F219" i="5"/>
  <c r="F218" i="5"/>
  <c r="G218" i="5" s="1"/>
  <c r="F217" i="5"/>
  <c r="G217" i="5" s="1"/>
  <c r="F216" i="5"/>
  <c r="G216" i="5" s="1"/>
  <c r="F215" i="5"/>
  <c r="G215" i="5" s="1"/>
  <c r="F214" i="5"/>
  <c r="G214" i="5" s="1"/>
  <c r="F213" i="5"/>
  <c r="G213" i="5" s="1"/>
  <c r="F212" i="5"/>
  <c r="G212" i="5" s="1"/>
  <c r="F211" i="5"/>
  <c r="G211" i="5" s="1"/>
  <c r="F210" i="5"/>
  <c r="G210" i="5" s="1"/>
  <c r="F209" i="5"/>
  <c r="G209" i="5" s="1"/>
  <c r="F208" i="5"/>
  <c r="G208" i="5" s="1"/>
  <c r="F207" i="5"/>
  <c r="G207" i="5" s="1"/>
  <c r="F206" i="5"/>
  <c r="G206" i="5" s="1"/>
  <c r="F205" i="5"/>
  <c r="G205" i="5" s="1"/>
  <c r="F204" i="5"/>
  <c r="G204" i="5" s="1"/>
  <c r="F203" i="5"/>
  <c r="G203" i="5" s="1"/>
  <c r="F202" i="5"/>
  <c r="G202" i="5" s="1"/>
  <c r="F201" i="5"/>
  <c r="G201" i="5" s="1"/>
  <c r="F200" i="5"/>
  <c r="G200" i="5" s="1"/>
  <c r="F199" i="5"/>
  <c r="G199" i="5" s="1"/>
  <c r="F198" i="5"/>
  <c r="G198" i="5" s="1"/>
  <c r="F197" i="5"/>
  <c r="G197" i="5" s="1"/>
  <c r="F196" i="5"/>
  <c r="G196" i="5" s="1"/>
  <c r="F195" i="5"/>
  <c r="G195" i="5" s="1"/>
  <c r="F194" i="5"/>
  <c r="G194" i="5" s="1"/>
  <c r="F193" i="5"/>
  <c r="G193" i="5" s="1"/>
  <c r="F192" i="5"/>
  <c r="G192" i="5" s="1"/>
  <c r="F191" i="5"/>
  <c r="G191" i="5" s="1"/>
  <c r="F190" i="5"/>
  <c r="G190" i="5" s="1"/>
  <c r="F189" i="5"/>
  <c r="G189" i="5" s="1"/>
  <c r="F188" i="5"/>
  <c r="G188" i="5" s="1"/>
  <c r="F187" i="5"/>
  <c r="G187" i="5" s="1"/>
  <c r="F186" i="5"/>
  <c r="G186" i="5" s="1"/>
  <c r="F185" i="5"/>
  <c r="G185" i="5" s="1"/>
  <c r="F184" i="5"/>
  <c r="G184" i="5" s="1"/>
  <c r="F183" i="5"/>
  <c r="G183" i="5" s="1"/>
  <c r="F182" i="5"/>
  <c r="G182" i="5" s="1"/>
  <c r="F181" i="5"/>
  <c r="G181" i="5" s="1"/>
  <c r="F180" i="5"/>
  <c r="F179" i="5"/>
  <c r="F178" i="5"/>
  <c r="G178" i="5" s="1"/>
  <c r="F177" i="5"/>
  <c r="G177" i="5" s="1"/>
  <c r="F176" i="5"/>
  <c r="G176" i="5" s="1"/>
  <c r="F175" i="5"/>
  <c r="F174" i="5"/>
  <c r="G174" i="5" s="1"/>
  <c r="F173" i="5"/>
  <c r="G173" i="5" s="1"/>
  <c r="F172" i="5"/>
  <c r="G172" i="5" s="1"/>
  <c r="F171" i="5"/>
  <c r="F170" i="5"/>
  <c r="G170" i="5" s="1"/>
  <c r="F169" i="5"/>
  <c r="G169" i="5" s="1"/>
  <c r="F168" i="5"/>
  <c r="G168" i="5" s="1"/>
  <c r="F167" i="5"/>
  <c r="F166" i="5"/>
  <c r="G166" i="5" s="1"/>
  <c r="F165" i="5"/>
  <c r="G165" i="5" s="1"/>
  <c r="F164" i="5"/>
  <c r="G164" i="5" s="1"/>
  <c r="F163" i="5"/>
  <c r="F162" i="5"/>
  <c r="G162" i="5" s="1"/>
  <c r="F161" i="5"/>
  <c r="G161" i="5" s="1"/>
  <c r="F160" i="5"/>
  <c r="G160" i="5" s="1"/>
  <c r="F159" i="5"/>
  <c r="F158" i="5"/>
  <c r="G158" i="5" s="1"/>
  <c r="F157" i="5"/>
  <c r="G157" i="5" s="1"/>
  <c r="F156" i="5"/>
  <c r="G156" i="5" s="1"/>
  <c r="F155" i="5"/>
  <c r="F154" i="5"/>
  <c r="G154" i="5" s="1"/>
  <c r="F153" i="5"/>
  <c r="G153" i="5" s="1"/>
  <c r="F152" i="5"/>
  <c r="G152" i="5" s="1"/>
  <c r="F151" i="5"/>
  <c r="F150" i="5"/>
  <c r="G150" i="5" s="1"/>
  <c r="F149" i="5"/>
  <c r="G149" i="5" s="1"/>
  <c r="F148" i="5"/>
  <c r="G148" i="5" s="1"/>
  <c r="F147" i="5"/>
  <c r="F146" i="5"/>
  <c r="G146" i="5" s="1"/>
  <c r="F145" i="5"/>
  <c r="G145" i="5" s="1"/>
  <c r="F144" i="5"/>
  <c r="G144" i="5" s="1"/>
  <c r="F143" i="5"/>
  <c r="G143" i="5" s="1"/>
  <c r="F142" i="5"/>
  <c r="G142" i="5" s="1"/>
  <c r="F141" i="5"/>
  <c r="G141" i="5" s="1"/>
  <c r="F140" i="5"/>
  <c r="G140" i="5" s="1"/>
  <c r="F139" i="5"/>
  <c r="G139" i="5" s="1"/>
  <c r="F138" i="5"/>
  <c r="G138" i="5" s="1"/>
  <c r="F137" i="5"/>
  <c r="G137" i="5" s="1"/>
  <c r="F136" i="5"/>
  <c r="G136" i="5" s="1"/>
  <c r="F135" i="5"/>
  <c r="G135" i="5" s="1"/>
  <c r="F134" i="5"/>
  <c r="G134" i="5" s="1"/>
  <c r="F133" i="5"/>
  <c r="G133" i="5" s="1"/>
  <c r="F132" i="5"/>
  <c r="G132" i="5" s="1"/>
  <c r="F131" i="5"/>
  <c r="G131" i="5" s="1"/>
  <c r="F130" i="5"/>
  <c r="G130" i="5" s="1"/>
  <c r="F129" i="5"/>
  <c r="G129" i="5" s="1"/>
  <c r="F128" i="5"/>
  <c r="G128" i="5" s="1"/>
  <c r="F127" i="5"/>
  <c r="G127" i="5" s="1"/>
  <c r="F126" i="5"/>
  <c r="G126" i="5" s="1"/>
  <c r="F125" i="5"/>
  <c r="G125" i="5" s="1"/>
  <c r="F124" i="5"/>
  <c r="G124" i="5" s="1"/>
  <c r="F123" i="5"/>
  <c r="G123" i="5" s="1"/>
  <c r="F122" i="5"/>
  <c r="G122" i="5" s="1"/>
  <c r="F121" i="5"/>
  <c r="G121" i="5" s="1"/>
  <c r="F120" i="5"/>
  <c r="G120" i="5" s="1"/>
  <c r="F119" i="5"/>
  <c r="G119" i="5" s="1"/>
  <c r="F118" i="5"/>
  <c r="G118" i="5" s="1"/>
  <c r="F117" i="5"/>
  <c r="G117" i="5" s="1"/>
  <c r="F116" i="5"/>
  <c r="G116" i="5" s="1"/>
  <c r="F115" i="5"/>
  <c r="G115" i="5" s="1"/>
  <c r="F114" i="5"/>
  <c r="G114" i="5" s="1"/>
  <c r="F113" i="5"/>
  <c r="G113" i="5" s="1"/>
  <c r="F112" i="5"/>
  <c r="F111" i="5"/>
  <c r="G111" i="5" s="1"/>
  <c r="F110" i="5"/>
  <c r="G110" i="5" s="1"/>
  <c r="F109" i="5"/>
  <c r="G109" i="5" s="1"/>
  <c r="F108" i="5"/>
  <c r="F107" i="5"/>
  <c r="F106" i="5"/>
  <c r="G106" i="5" s="1"/>
  <c r="F105" i="5"/>
  <c r="G105" i="5" s="1"/>
  <c r="F104" i="5"/>
  <c r="F103" i="5"/>
  <c r="G103" i="5" s="1"/>
  <c r="F102" i="5"/>
  <c r="G102" i="5" s="1"/>
  <c r="F101" i="5"/>
  <c r="G101" i="5" s="1"/>
  <c r="F100" i="5"/>
  <c r="F99" i="5"/>
  <c r="F98" i="5"/>
  <c r="G98" i="5" s="1"/>
  <c r="F97" i="5"/>
  <c r="G97" i="5" s="1"/>
  <c r="F96" i="5"/>
  <c r="F95" i="5"/>
  <c r="G95" i="5" s="1"/>
  <c r="H95" i="5" s="1"/>
  <c r="F94" i="5"/>
  <c r="G94" i="5" s="1"/>
  <c r="F93" i="5"/>
  <c r="G93" i="5" s="1"/>
  <c r="F92" i="5"/>
  <c r="F91" i="5"/>
  <c r="G91" i="5" s="1"/>
  <c r="F90" i="5"/>
  <c r="G90" i="5" s="1"/>
  <c r="F89" i="5"/>
  <c r="G89" i="5" s="1"/>
  <c r="F88" i="5"/>
  <c r="F87" i="5"/>
  <c r="G87" i="5" s="1"/>
  <c r="F86" i="5"/>
  <c r="G86" i="5" s="1"/>
  <c r="F85" i="5"/>
  <c r="G85" i="5" s="1"/>
  <c r="F84" i="5"/>
  <c r="F83" i="5"/>
  <c r="G83" i="5" s="1"/>
  <c r="F82" i="5"/>
  <c r="G82" i="5" s="1"/>
  <c r="F81" i="5"/>
  <c r="G81" i="5" s="1"/>
  <c r="F80" i="5"/>
  <c r="F79" i="5"/>
  <c r="G79" i="5" s="1"/>
  <c r="F78" i="5"/>
  <c r="G78" i="5" s="1"/>
  <c r="F77" i="5"/>
  <c r="G77" i="5" s="1"/>
  <c r="F76" i="5"/>
  <c r="F75" i="5"/>
  <c r="G75" i="5" s="1"/>
  <c r="F74" i="5"/>
  <c r="G74" i="5" s="1"/>
  <c r="F73" i="5"/>
  <c r="G73" i="5" s="1"/>
  <c r="F72" i="5"/>
  <c r="G72" i="5" s="1"/>
  <c r="F71" i="5"/>
  <c r="G71" i="5" s="1"/>
  <c r="F70" i="5"/>
  <c r="G70" i="5" s="1"/>
  <c r="F69" i="5"/>
  <c r="G69" i="5" s="1"/>
  <c r="F68" i="5"/>
  <c r="F67" i="5"/>
  <c r="G67" i="5" s="1"/>
  <c r="F66" i="5"/>
  <c r="G66" i="5" s="1"/>
  <c r="F65" i="5"/>
  <c r="G65" i="5" s="1"/>
  <c r="F64" i="5"/>
  <c r="F63" i="5"/>
  <c r="G63" i="5" s="1"/>
  <c r="F62" i="5"/>
  <c r="G62" i="5" s="1"/>
  <c r="F61" i="5"/>
  <c r="G61" i="5" s="1"/>
  <c r="F60" i="5"/>
  <c r="F59" i="5"/>
  <c r="G59" i="5" s="1"/>
  <c r="F58" i="5"/>
  <c r="G58" i="5" s="1"/>
  <c r="F57" i="5"/>
  <c r="G57" i="5" s="1"/>
  <c r="F56" i="5"/>
  <c r="F55" i="5"/>
  <c r="G55" i="5" s="1"/>
  <c r="F54" i="5"/>
  <c r="G54" i="5" s="1"/>
  <c r="F53" i="5"/>
  <c r="G53" i="5" s="1"/>
  <c r="F52" i="5"/>
  <c r="F51" i="5"/>
  <c r="G51" i="5" s="1"/>
  <c r="H51" i="5" s="1"/>
  <c r="F50" i="5"/>
  <c r="G50" i="5" s="1"/>
  <c r="F49" i="5"/>
  <c r="G49" i="5" s="1"/>
  <c r="F48" i="5"/>
  <c r="G48" i="5" s="1"/>
  <c r="F47" i="5"/>
  <c r="G47" i="5" s="1"/>
  <c r="F46" i="5"/>
  <c r="G46" i="5" s="1"/>
  <c r="F45" i="5"/>
  <c r="G45" i="5" s="1"/>
  <c r="F44" i="5"/>
  <c r="G44" i="5" s="1"/>
  <c r="F43" i="5"/>
  <c r="G43" i="5" s="1"/>
  <c r="F42" i="5"/>
  <c r="G42" i="5" s="1"/>
  <c r="F41" i="5"/>
  <c r="G41" i="5" s="1"/>
  <c r="F40" i="5"/>
  <c r="G40" i="5" s="1"/>
  <c r="F39" i="5"/>
  <c r="G39" i="5" s="1"/>
  <c r="F38" i="5"/>
  <c r="G38" i="5" s="1"/>
  <c r="F37" i="5"/>
  <c r="G37" i="5" s="1"/>
  <c r="F36" i="5"/>
  <c r="G36" i="5" s="1"/>
  <c r="F35" i="5"/>
  <c r="F34" i="5"/>
  <c r="G34" i="5" s="1"/>
  <c r="F33" i="5"/>
  <c r="G33" i="5" s="1"/>
  <c r="F32" i="5"/>
  <c r="G32" i="5" s="1"/>
  <c r="F31" i="5"/>
  <c r="G31" i="5" s="1"/>
  <c r="F30" i="5"/>
  <c r="G30" i="5" s="1"/>
  <c r="F29" i="5"/>
  <c r="G29" i="5" s="1"/>
  <c r="F28" i="5"/>
  <c r="G28" i="5" s="1"/>
  <c r="F27" i="5"/>
  <c r="G27" i="5" s="1"/>
  <c r="F26" i="5"/>
  <c r="G26" i="5" s="1"/>
  <c r="F25" i="5"/>
  <c r="G25" i="5" s="1"/>
  <c r="F24" i="5"/>
  <c r="G24" i="5" s="1"/>
  <c r="F23" i="5"/>
  <c r="G23" i="5" s="1"/>
  <c r="F22" i="5"/>
  <c r="G22" i="5" s="1"/>
  <c r="F21" i="5"/>
  <c r="G21" i="5" s="1"/>
  <c r="F20" i="5"/>
  <c r="G20" i="5" s="1"/>
  <c r="F19" i="5"/>
  <c r="G19" i="5" s="1"/>
  <c r="F18" i="5"/>
  <c r="G18" i="5" s="1"/>
  <c r="F17" i="5"/>
  <c r="G17" i="5" s="1"/>
  <c r="F16" i="5"/>
  <c r="G16" i="5" s="1"/>
  <c r="F15" i="5"/>
  <c r="G15" i="5" s="1"/>
  <c r="F14" i="5"/>
  <c r="G14" i="5" s="1"/>
  <c r="F13" i="5"/>
  <c r="G13" i="5" s="1"/>
  <c r="F12" i="5"/>
  <c r="G12" i="5" s="1"/>
  <c r="F11" i="5"/>
  <c r="G11" i="5" s="1"/>
  <c r="F10" i="5"/>
  <c r="G10" i="5" s="1"/>
  <c r="F9" i="5"/>
  <c r="G9" i="5" s="1"/>
  <c r="F8" i="5"/>
  <c r="G8" i="5" s="1"/>
  <c r="F7" i="5"/>
  <c r="G7" i="5" s="1"/>
  <c r="F6" i="5"/>
  <c r="G6" i="5" s="1"/>
  <c r="F5" i="5"/>
  <c r="G5" i="5" s="1"/>
  <c r="F4" i="5"/>
  <c r="G4" i="5" s="1"/>
  <c r="F3" i="5"/>
  <c r="G3" i="5" s="1"/>
  <c r="C19" i="8" l="1"/>
  <c r="D19" i="8" s="1"/>
  <c r="M331" i="1"/>
  <c r="U15" i="1"/>
  <c r="Q331" i="1"/>
  <c r="C35" i="8" s="1"/>
  <c r="D35" i="8" s="1"/>
  <c r="T331" i="1"/>
  <c r="D32" i="8"/>
  <c r="U6" i="1"/>
  <c r="F314" i="5"/>
  <c r="G314" i="5" s="1"/>
  <c r="G318" i="5"/>
  <c r="I51" i="5"/>
  <c r="J51" i="5" s="1"/>
  <c r="F311" i="5"/>
  <c r="G311" i="5" s="1"/>
  <c r="H9" i="5"/>
  <c r="H17" i="5"/>
  <c r="H21" i="5"/>
  <c r="G180" i="5"/>
  <c r="H180" i="5" s="1"/>
  <c r="G112" i="5"/>
  <c r="H112" i="5" s="1"/>
  <c r="G108" i="5"/>
  <c r="H108" i="5" s="1"/>
  <c r="G104" i="5"/>
  <c r="H104" i="5" s="1"/>
  <c r="G100" i="5"/>
  <c r="H100" i="5" s="1"/>
  <c r="G96" i="5"/>
  <c r="H96" i="5" s="1"/>
  <c r="G92" i="5"/>
  <c r="H92" i="5" s="1"/>
  <c r="I92" i="5" s="1"/>
  <c r="J92" i="5" s="1"/>
  <c r="G88" i="5"/>
  <c r="H88" i="5" s="1"/>
  <c r="G84" i="5"/>
  <c r="H84" i="5" s="1"/>
  <c r="G80" i="5"/>
  <c r="H80" i="5" s="1"/>
  <c r="I80" i="5" s="1"/>
  <c r="G76" i="5"/>
  <c r="H76" i="5" s="1"/>
  <c r="G68" i="5"/>
  <c r="H68" i="5" s="1"/>
  <c r="G64" i="5"/>
  <c r="H64" i="5" s="1"/>
  <c r="G60" i="5"/>
  <c r="H60" i="5" s="1"/>
  <c r="G56" i="5"/>
  <c r="H56" i="5" s="1"/>
  <c r="G52" i="5"/>
  <c r="H52" i="5" s="1"/>
  <c r="H289" i="5"/>
  <c r="I289" i="5" s="1"/>
  <c r="F312" i="5"/>
  <c r="G312" i="5" s="1"/>
  <c r="H5" i="5"/>
  <c r="H13" i="5"/>
  <c r="H6" i="5"/>
  <c r="H10" i="5"/>
  <c r="H14" i="5"/>
  <c r="H26" i="5"/>
  <c r="H30" i="5"/>
  <c r="H34" i="5"/>
  <c r="I34" i="5" s="1"/>
  <c r="H38" i="5"/>
  <c r="H42" i="5"/>
  <c r="I42" i="5" s="1"/>
  <c r="H46" i="5"/>
  <c r="I46" i="5" s="1"/>
  <c r="H50" i="5"/>
  <c r="H54" i="5"/>
  <c r="H58" i="5"/>
  <c r="H62" i="5"/>
  <c r="I62" i="5" s="1"/>
  <c r="H66" i="5"/>
  <c r="I66" i="5" s="1"/>
  <c r="H70" i="5"/>
  <c r="H74" i="5"/>
  <c r="H114" i="5"/>
  <c r="H118" i="5"/>
  <c r="H122" i="5"/>
  <c r="I122" i="5" s="1"/>
  <c r="H126" i="5"/>
  <c r="H130" i="5"/>
  <c r="H134" i="5"/>
  <c r="I134" i="5" s="1"/>
  <c r="H138" i="5"/>
  <c r="H142" i="5"/>
  <c r="H182" i="5"/>
  <c r="H186" i="5"/>
  <c r="H190" i="5"/>
  <c r="H194" i="5"/>
  <c r="H198" i="5"/>
  <c r="I198" i="5" s="1"/>
  <c r="H202" i="5"/>
  <c r="H206" i="5"/>
  <c r="H210" i="5"/>
  <c r="H214" i="5"/>
  <c r="H218" i="5"/>
  <c r="H222" i="5"/>
  <c r="H226" i="5"/>
  <c r="H230" i="5"/>
  <c r="I230" i="5" s="1"/>
  <c r="G231" i="5"/>
  <c r="H231" i="5" s="1"/>
  <c r="G227" i="5"/>
  <c r="H227" i="5" s="1"/>
  <c r="G223" i="5"/>
  <c r="H223" i="5" s="1"/>
  <c r="G219" i="5"/>
  <c r="H219" i="5" s="1"/>
  <c r="G179" i="5"/>
  <c r="H179" i="5" s="1"/>
  <c r="G175" i="5"/>
  <c r="H175" i="5" s="1"/>
  <c r="G171" i="5"/>
  <c r="H171" i="5" s="1"/>
  <c r="G167" i="5"/>
  <c r="H167" i="5" s="1"/>
  <c r="G163" i="5"/>
  <c r="H163" i="5" s="1"/>
  <c r="G159" i="5"/>
  <c r="H159" i="5" s="1"/>
  <c r="G155" i="5"/>
  <c r="H155" i="5" s="1"/>
  <c r="G151" i="5"/>
  <c r="H151" i="5" s="1"/>
  <c r="G147" i="5"/>
  <c r="H147" i="5" s="1"/>
  <c r="G107" i="5"/>
  <c r="H107" i="5" s="1"/>
  <c r="G99" i="5"/>
  <c r="H99" i="5" s="1"/>
  <c r="G35" i="5"/>
  <c r="H35" i="5" s="1"/>
  <c r="G319" i="5"/>
  <c r="H8" i="5"/>
  <c r="H16" i="5"/>
  <c r="H20" i="5"/>
  <c r="I20" i="5" s="1"/>
  <c r="H24" i="5"/>
  <c r="H28" i="5"/>
  <c r="H32" i="5"/>
  <c r="H36" i="5"/>
  <c r="I36" i="5" s="1"/>
  <c r="H40" i="5"/>
  <c r="H44" i="5"/>
  <c r="H48" i="5"/>
  <c r="H59" i="5"/>
  <c r="H63" i="5"/>
  <c r="H67" i="5"/>
  <c r="H75" i="5"/>
  <c r="H83" i="5"/>
  <c r="H91" i="5"/>
  <c r="I50" i="5"/>
  <c r="H39" i="5"/>
  <c r="H47" i="5"/>
  <c r="H71" i="5"/>
  <c r="H55" i="5"/>
  <c r="H43" i="5"/>
  <c r="H148" i="5"/>
  <c r="H152" i="5"/>
  <c r="H156" i="5"/>
  <c r="H160" i="5"/>
  <c r="H164" i="5"/>
  <c r="H168" i="5"/>
  <c r="H172" i="5"/>
  <c r="H176" i="5"/>
  <c r="H18" i="5"/>
  <c r="H22" i="5"/>
  <c r="H27" i="5"/>
  <c r="I30" i="5"/>
  <c r="H31" i="5"/>
  <c r="H79" i="5"/>
  <c r="H87" i="5"/>
  <c r="I95" i="5"/>
  <c r="H103" i="5"/>
  <c r="H111" i="5"/>
  <c r="I6" i="5"/>
  <c r="I14" i="5"/>
  <c r="I10" i="5"/>
  <c r="I114" i="5"/>
  <c r="I118" i="5"/>
  <c r="I130" i="5"/>
  <c r="I138" i="5"/>
  <c r="J138" i="5" s="1"/>
  <c r="H49" i="5"/>
  <c r="H33" i="5"/>
  <c r="H65" i="5"/>
  <c r="H29" i="5"/>
  <c r="H45" i="5"/>
  <c r="H61" i="5"/>
  <c r="H77" i="5"/>
  <c r="H82" i="5"/>
  <c r="H93" i="5"/>
  <c r="H98" i="5"/>
  <c r="H109" i="5"/>
  <c r="H146" i="5"/>
  <c r="H149" i="5"/>
  <c r="H162" i="5"/>
  <c r="H165" i="5"/>
  <c r="I2" i="5"/>
  <c r="J2" i="5" s="1"/>
  <c r="H3" i="5"/>
  <c r="H4" i="5"/>
  <c r="I5" i="5"/>
  <c r="H7" i="5"/>
  <c r="I9" i="5"/>
  <c r="H11" i="5"/>
  <c r="H12" i="5"/>
  <c r="H15" i="5"/>
  <c r="I17" i="5"/>
  <c r="H19" i="5"/>
  <c r="I21" i="5"/>
  <c r="H23" i="5"/>
  <c r="I38" i="5"/>
  <c r="I54" i="5"/>
  <c r="I67" i="5"/>
  <c r="I70" i="5"/>
  <c r="H72" i="5"/>
  <c r="H78" i="5"/>
  <c r="H89" i="5"/>
  <c r="H94" i="5"/>
  <c r="H105" i="5"/>
  <c r="H110" i="5"/>
  <c r="H116" i="5"/>
  <c r="J118" i="5"/>
  <c r="H120" i="5"/>
  <c r="H124" i="5"/>
  <c r="H128" i="5"/>
  <c r="H132" i="5"/>
  <c r="H136" i="5"/>
  <c r="H140" i="5"/>
  <c r="H144" i="5"/>
  <c r="H150" i="5"/>
  <c r="H153" i="5"/>
  <c r="H166" i="5"/>
  <c r="H169" i="5"/>
  <c r="I40" i="5"/>
  <c r="H37" i="5"/>
  <c r="I48" i="5"/>
  <c r="H53" i="5"/>
  <c r="H69" i="5"/>
  <c r="H85" i="5"/>
  <c r="H90" i="5"/>
  <c r="H101" i="5"/>
  <c r="H106" i="5"/>
  <c r="H154" i="5"/>
  <c r="H157" i="5"/>
  <c r="H170" i="5"/>
  <c r="H173" i="5"/>
  <c r="I24" i="5"/>
  <c r="H25" i="5"/>
  <c r="H41" i="5"/>
  <c r="H57" i="5"/>
  <c r="H73" i="5"/>
  <c r="H81" i="5"/>
  <c r="H86" i="5"/>
  <c r="H97" i="5"/>
  <c r="H102" i="5"/>
  <c r="H113" i="5"/>
  <c r="H115" i="5"/>
  <c r="H117" i="5"/>
  <c r="H119" i="5"/>
  <c r="H121" i="5"/>
  <c r="H123" i="5"/>
  <c r="H125" i="5"/>
  <c r="H127" i="5"/>
  <c r="H129" i="5"/>
  <c r="H131" i="5"/>
  <c r="H133" i="5"/>
  <c r="H135" i="5"/>
  <c r="H137" i="5"/>
  <c r="H139" i="5"/>
  <c r="H141" i="5"/>
  <c r="H143" i="5"/>
  <c r="H145" i="5"/>
  <c r="H158" i="5"/>
  <c r="H161" i="5"/>
  <c r="H174" i="5"/>
  <c r="H177" i="5"/>
  <c r="H187" i="5"/>
  <c r="H193" i="5"/>
  <c r="H203" i="5"/>
  <c r="H209" i="5"/>
  <c r="H178" i="5"/>
  <c r="H181" i="5"/>
  <c r="H191" i="5"/>
  <c r="H197" i="5"/>
  <c r="H207" i="5"/>
  <c r="H213" i="5"/>
  <c r="H185" i="5"/>
  <c r="H195" i="5"/>
  <c r="H201" i="5"/>
  <c r="H211" i="5"/>
  <c r="H217" i="5"/>
  <c r="H183" i="5"/>
  <c r="H189" i="5"/>
  <c r="H199" i="5"/>
  <c r="H205" i="5"/>
  <c r="H215" i="5"/>
  <c r="I182" i="5"/>
  <c r="H184" i="5"/>
  <c r="I186" i="5"/>
  <c r="H188" i="5"/>
  <c r="I190" i="5"/>
  <c r="H192" i="5"/>
  <c r="H196" i="5"/>
  <c r="H200" i="5"/>
  <c r="I202" i="5"/>
  <c r="H204" i="5"/>
  <c r="I206" i="5"/>
  <c r="H208" i="5"/>
  <c r="H212" i="5"/>
  <c r="I214" i="5"/>
  <c r="H216" i="5"/>
  <c r="H221" i="5"/>
  <c r="H225" i="5"/>
  <c r="H229" i="5"/>
  <c r="H233" i="5"/>
  <c r="H243" i="5"/>
  <c r="H246" i="5"/>
  <c r="H249" i="5"/>
  <c r="H259" i="5"/>
  <c r="H262" i="5"/>
  <c r="H272" i="5"/>
  <c r="H275" i="5"/>
  <c r="H278" i="5"/>
  <c r="H302" i="5"/>
  <c r="I302" i="5" s="1"/>
  <c r="H234" i="5"/>
  <c r="H237" i="5"/>
  <c r="H247" i="5"/>
  <c r="H250" i="5"/>
  <c r="H253" i="5"/>
  <c r="H260" i="5"/>
  <c r="H263" i="5"/>
  <c r="H266" i="5"/>
  <c r="H276" i="5"/>
  <c r="H279" i="5"/>
  <c r="H282" i="5"/>
  <c r="H294" i="5"/>
  <c r="I294" i="5" s="1"/>
  <c r="H305" i="5"/>
  <c r="I305" i="5" s="1"/>
  <c r="H235" i="5"/>
  <c r="H238" i="5"/>
  <c r="H241" i="5"/>
  <c r="H251" i="5"/>
  <c r="H254" i="5"/>
  <c r="H264" i="5"/>
  <c r="H267" i="5"/>
  <c r="H270" i="5"/>
  <c r="H280" i="5"/>
  <c r="H283" i="5"/>
  <c r="H296" i="5"/>
  <c r="I296" i="5" s="1"/>
  <c r="I218" i="5"/>
  <c r="H220" i="5"/>
  <c r="I222" i="5"/>
  <c r="H224" i="5"/>
  <c r="H228" i="5"/>
  <c r="H232" i="5"/>
  <c r="H239" i="5"/>
  <c r="H242" i="5"/>
  <c r="H245" i="5"/>
  <c r="H255" i="5"/>
  <c r="H258" i="5"/>
  <c r="H268" i="5"/>
  <c r="H271" i="5"/>
  <c r="H274" i="5"/>
  <c r="H284" i="5"/>
  <c r="I299" i="5"/>
  <c r="H236" i="5"/>
  <c r="H240" i="5"/>
  <c r="H244" i="5"/>
  <c r="H248" i="5"/>
  <c r="H252" i="5"/>
  <c r="H256" i="5"/>
  <c r="H257" i="5"/>
  <c r="H261" i="5"/>
  <c r="H265" i="5"/>
  <c r="H269" i="5"/>
  <c r="H273" i="5"/>
  <c r="H277" i="5"/>
  <c r="H281" i="5"/>
  <c r="H285" i="5"/>
  <c r="C18" i="8" l="1"/>
  <c r="D18" i="8" s="1"/>
  <c r="U331" i="1"/>
  <c r="I179" i="5"/>
  <c r="I231" i="5"/>
  <c r="I56" i="5"/>
  <c r="I76" i="5"/>
  <c r="I108" i="5"/>
  <c r="I35" i="5"/>
  <c r="I151" i="5"/>
  <c r="I167" i="5"/>
  <c r="I107" i="5"/>
  <c r="J107" i="5" s="1"/>
  <c r="I159" i="5"/>
  <c r="I175" i="5"/>
  <c r="I52" i="5"/>
  <c r="I68" i="5"/>
  <c r="I88" i="5"/>
  <c r="I104" i="5"/>
  <c r="I238" i="5"/>
  <c r="J238" i="5" s="1"/>
  <c r="I195" i="5"/>
  <c r="I129" i="5"/>
  <c r="I113" i="5"/>
  <c r="J38" i="5"/>
  <c r="I98" i="5"/>
  <c r="J134" i="5"/>
  <c r="J80" i="5"/>
  <c r="I176" i="5"/>
  <c r="J176" i="5" s="1"/>
  <c r="H291" i="5"/>
  <c r="I273" i="5"/>
  <c r="I244" i="5"/>
  <c r="I284" i="5"/>
  <c r="I258" i="5"/>
  <c r="I226" i="5"/>
  <c r="J218" i="5"/>
  <c r="I270" i="5"/>
  <c r="J270" i="5" s="1"/>
  <c r="I251" i="5"/>
  <c r="I237" i="5"/>
  <c r="J237" i="5" s="1"/>
  <c r="I223" i="5"/>
  <c r="J223" i="5" s="1"/>
  <c r="J214" i="5"/>
  <c r="J206" i="5"/>
  <c r="J198" i="5"/>
  <c r="J190" i="5"/>
  <c r="J182" i="5"/>
  <c r="I205" i="5"/>
  <c r="I217" i="5"/>
  <c r="J217" i="5" s="1"/>
  <c r="I191" i="5"/>
  <c r="J191" i="5" s="1"/>
  <c r="I171" i="5"/>
  <c r="I155" i="5"/>
  <c r="I203" i="5"/>
  <c r="J203" i="5" s="1"/>
  <c r="I174" i="5"/>
  <c r="J174" i="5" s="1"/>
  <c r="I143" i="5"/>
  <c r="J143" i="5" s="1"/>
  <c r="I135" i="5"/>
  <c r="I127" i="5"/>
  <c r="I119" i="5"/>
  <c r="I102" i="5"/>
  <c r="J102" i="5" s="1"/>
  <c r="I84" i="5"/>
  <c r="J36" i="5"/>
  <c r="I173" i="5"/>
  <c r="J173" i="5" s="1"/>
  <c r="J48" i="5"/>
  <c r="J40" i="5"/>
  <c r="I166" i="5"/>
  <c r="J166" i="5" s="1"/>
  <c r="I140" i="5"/>
  <c r="I116" i="5"/>
  <c r="I94" i="5"/>
  <c r="J94" i="5" s="1"/>
  <c r="I60" i="5"/>
  <c r="I23" i="5"/>
  <c r="I15" i="5"/>
  <c r="J9" i="5"/>
  <c r="I93" i="5"/>
  <c r="J93" i="5" s="1"/>
  <c r="I49" i="5"/>
  <c r="J130" i="5"/>
  <c r="J114" i="5"/>
  <c r="J10" i="5"/>
  <c r="J14" i="5"/>
  <c r="I58" i="5"/>
  <c r="I26" i="5"/>
  <c r="I172" i="5"/>
  <c r="I156" i="5"/>
  <c r="I99" i="5"/>
  <c r="I39" i="5"/>
  <c r="I91" i="5"/>
  <c r="I63" i="5"/>
  <c r="G286" i="5"/>
  <c r="G287" i="5" s="1"/>
  <c r="I228" i="5"/>
  <c r="I220" i="5"/>
  <c r="J220" i="5" s="1"/>
  <c r="I280" i="5"/>
  <c r="J20" i="5"/>
  <c r="I154" i="5"/>
  <c r="J154" i="5" s="1"/>
  <c r="I101" i="5"/>
  <c r="I53" i="5"/>
  <c r="J53" i="5" s="1"/>
  <c r="I169" i="5"/>
  <c r="J169" i="5" s="1"/>
  <c r="I132" i="5"/>
  <c r="I105" i="5"/>
  <c r="J105" i="5" s="1"/>
  <c r="J67" i="5"/>
  <c r="J17" i="5"/>
  <c r="I103" i="5"/>
  <c r="I274" i="5"/>
  <c r="I255" i="5"/>
  <c r="J255" i="5" s="1"/>
  <c r="I232" i="5"/>
  <c r="I224" i="5"/>
  <c r="I267" i="5"/>
  <c r="I276" i="5"/>
  <c r="I234" i="5"/>
  <c r="J234" i="5" s="1"/>
  <c r="I272" i="5"/>
  <c r="I212" i="5"/>
  <c r="I204" i="5"/>
  <c r="J204" i="5" s="1"/>
  <c r="I196" i="5"/>
  <c r="J196" i="5" s="1"/>
  <c r="I188" i="5"/>
  <c r="I211" i="5"/>
  <c r="J211" i="5" s="1"/>
  <c r="I141" i="5"/>
  <c r="I133" i="5"/>
  <c r="J133" i="5" s="1"/>
  <c r="I125" i="5"/>
  <c r="I117" i="5"/>
  <c r="I100" i="5"/>
  <c r="I81" i="5"/>
  <c r="J81" i="5" s="1"/>
  <c r="I90" i="5"/>
  <c r="I124" i="5"/>
  <c r="I72" i="5"/>
  <c r="J72" i="5" s="1"/>
  <c r="J54" i="5"/>
  <c r="J21" i="5"/>
  <c r="I13" i="5"/>
  <c r="I7" i="5"/>
  <c r="I146" i="5"/>
  <c r="I142" i="5"/>
  <c r="I126" i="5"/>
  <c r="I112" i="5"/>
  <c r="I74" i="5"/>
  <c r="J6" i="5"/>
  <c r="I87" i="5"/>
  <c r="I31" i="5"/>
  <c r="J31" i="5" s="1"/>
  <c r="I22" i="5"/>
  <c r="I168" i="5"/>
  <c r="I152" i="5"/>
  <c r="J66" i="5"/>
  <c r="I83" i="5"/>
  <c r="I59" i="5"/>
  <c r="I277" i="5"/>
  <c r="J277" i="5" s="1"/>
  <c r="I248" i="5"/>
  <c r="J248" i="5" s="1"/>
  <c r="I242" i="5"/>
  <c r="J242" i="5" s="1"/>
  <c r="I263" i="5"/>
  <c r="I247" i="5"/>
  <c r="I259" i="5"/>
  <c r="J259" i="5" s="1"/>
  <c r="I233" i="5"/>
  <c r="I225" i="5"/>
  <c r="I145" i="5"/>
  <c r="J145" i="5" s="1"/>
  <c r="I137" i="5"/>
  <c r="J137" i="5" s="1"/>
  <c r="I121" i="5"/>
  <c r="J121" i="5" s="1"/>
  <c r="I41" i="5"/>
  <c r="J41" i="5" s="1"/>
  <c r="J42" i="5"/>
  <c r="J62" i="5"/>
  <c r="I27" i="5"/>
  <c r="J27" i="5" s="1"/>
  <c r="I160" i="5"/>
  <c r="I43" i="5"/>
  <c r="J43" i="5" s="1"/>
  <c r="I47" i="5"/>
  <c r="J34" i="5"/>
  <c r="I28" i="5"/>
  <c r="I269" i="5"/>
  <c r="J269" i="5" s="1"/>
  <c r="I271" i="5"/>
  <c r="I245" i="5"/>
  <c r="J245" i="5" s="1"/>
  <c r="J230" i="5"/>
  <c r="J222" i="5"/>
  <c r="I241" i="5"/>
  <c r="J241" i="5" s="1"/>
  <c r="I266" i="5"/>
  <c r="I262" i="5"/>
  <c r="I243" i="5"/>
  <c r="I227" i="5"/>
  <c r="I219" i="5"/>
  <c r="I210" i="5"/>
  <c r="J202" i="5"/>
  <c r="I194" i="5"/>
  <c r="J186" i="5"/>
  <c r="I180" i="5"/>
  <c r="I189" i="5"/>
  <c r="I207" i="5"/>
  <c r="I163" i="5"/>
  <c r="I147" i="5"/>
  <c r="I187" i="5"/>
  <c r="I158" i="5"/>
  <c r="J158" i="5" s="1"/>
  <c r="I139" i="5"/>
  <c r="I131" i="5"/>
  <c r="I123" i="5"/>
  <c r="I115" i="5"/>
  <c r="I73" i="5"/>
  <c r="J73" i="5" s="1"/>
  <c r="J24" i="5"/>
  <c r="I64" i="5"/>
  <c r="I8" i="5"/>
  <c r="I150" i="5"/>
  <c r="J70" i="5"/>
  <c r="I44" i="5"/>
  <c r="J5" i="5"/>
  <c r="I165" i="5"/>
  <c r="J122" i="5"/>
  <c r="I96" i="5"/>
  <c r="J46" i="5"/>
  <c r="J30" i="5"/>
  <c r="I18" i="5"/>
  <c r="I164" i="5"/>
  <c r="I148" i="5"/>
  <c r="I71" i="5"/>
  <c r="J50" i="5"/>
  <c r="I75" i="5"/>
  <c r="I32" i="5"/>
  <c r="J32" i="5" s="1"/>
  <c r="I16" i="5"/>
  <c r="I291" i="5"/>
  <c r="I55" i="5"/>
  <c r="J103" i="5"/>
  <c r="J168" i="5"/>
  <c r="J152" i="5"/>
  <c r="J95" i="5"/>
  <c r="I111" i="5"/>
  <c r="I79" i="5"/>
  <c r="I281" i="5"/>
  <c r="I246" i="5"/>
  <c r="I199" i="5"/>
  <c r="I197" i="5"/>
  <c r="I25" i="5"/>
  <c r="I37" i="5"/>
  <c r="I144" i="5"/>
  <c r="I162" i="5"/>
  <c r="I65" i="5"/>
  <c r="F319" i="5"/>
  <c r="J284" i="5"/>
  <c r="I261" i="5"/>
  <c r="I283" i="5"/>
  <c r="I264" i="5"/>
  <c r="I282" i="5"/>
  <c r="I192" i="5"/>
  <c r="I215" i="5"/>
  <c r="I201" i="5"/>
  <c r="I213" i="5"/>
  <c r="I209" i="5"/>
  <c r="I161" i="5"/>
  <c r="I153" i="5"/>
  <c r="I19" i="5"/>
  <c r="I12" i="5"/>
  <c r="I61" i="5"/>
  <c r="J228" i="5"/>
  <c r="I250" i="5"/>
  <c r="I221" i="5"/>
  <c r="J221" i="5" s="1"/>
  <c r="I200" i="5"/>
  <c r="I185" i="5"/>
  <c r="I178" i="5"/>
  <c r="I193" i="5"/>
  <c r="J273" i="5"/>
  <c r="I257" i="5"/>
  <c r="J257" i="5" s="1"/>
  <c r="J244" i="5"/>
  <c r="J258" i="5"/>
  <c r="I254" i="5"/>
  <c r="I235" i="5"/>
  <c r="I279" i="5"/>
  <c r="I260" i="5"/>
  <c r="I278" i="5"/>
  <c r="I265" i="5"/>
  <c r="I216" i="5"/>
  <c r="I184" i="5"/>
  <c r="I86" i="5"/>
  <c r="I170" i="5"/>
  <c r="I128" i="5"/>
  <c r="I78" i="5"/>
  <c r="H318" i="5"/>
  <c r="I318" i="5" s="1"/>
  <c r="H314" i="5"/>
  <c r="H313" i="5"/>
  <c r="H303" i="5" s="1"/>
  <c r="H304" i="5" s="1"/>
  <c r="H312" i="5"/>
  <c r="H300" i="5" s="1"/>
  <c r="H301" i="5" s="1"/>
  <c r="H311" i="5"/>
  <c r="I311" i="5" s="1"/>
  <c r="I252" i="5"/>
  <c r="I285" i="5"/>
  <c r="I256" i="5"/>
  <c r="I268" i="5"/>
  <c r="I239" i="5"/>
  <c r="J224" i="5"/>
  <c r="J280" i="5"/>
  <c r="J267" i="5"/>
  <c r="I253" i="5"/>
  <c r="I240" i="5"/>
  <c r="I275" i="5"/>
  <c r="I249" i="5"/>
  <c r="I236" i="5"/>
  <c r="I229" i="5"/>
  <c r="I208" i="5"/>
  <c r="I183" i="5"/>
  <c r="I181" i="5"/>
  <c r="I177" i="5"/>
  <c r="I97" i="5"/>
  <c r="I106" i="5"/>
  <c r="I89" i="5"/>
  <c r="I77" i="5"/>
  <c r="I29" i="5"/>
  <c r="J276" i="5"/>
  <c r="J263" i="5"/>
  <c r="J272" i="5"/>
  <c r="J243" i="5"/>
  <c r="J225" i="5"/>
  <c r="J188" i="5"/>
  <c r="J205" i="5"/>
  <c r="J207" i="5"/>
  <c r="J132" i="5"/>
  <c r="J116" i="5"/>
  <c r="J146" i="5"/>
  <c r="J98" i="5"/>
  <c r="J49" i="5"/>
  <c r="J129" i="5"/>
  <c r="J117" i="5"/>
  <c r="J113" i="5"/>
  <c r="J23" i="5"/>
  <c r="J15" i="5"/>
  <c r="J251" i="5"/>
  <c r="J247" i="5"/>
  <c r="J262" i="5"/>
  <c r="J212" i="5"/>
  <c r="J195" i="5"/>
  <c r="J135" i="5"/>
  <c r="J131" i="5"/>
  <c r="J127" i="5"/>
  <c r="J119" i="5"/>
  <c r="J115" i="5"/>
  <c r="I57" i="5"/>
  <c r="I157" i="5"/>
  <c r="J101" i="5"/>
  <c r="J90" i="5"/>
  <c r="I85" i="5"/>
  <c r="I69" i="5"/>
  <c r="J140" i="5"/>
  <c r="I136" i="5"/>
  <c r="I120" i="5"/>
  <c r="I110" i="5"/>
  <c r="J110" i="5" s="1"/>
  <c r="J7" i="5"/>
  <c r="I149" i="5"/>
  <c r="I109" i="5"/>
  <c r="I82" i="5"/>
  <c r="I45" i="5"/>
  <c r="I4" i="5"/>
  <c r="I33" i="5"/>
  <c r="I11" i="5"/>
  <c r="I3" i="5"/>
  <c r="F318" i="2"/>
  <c r="F312" i="2" s="1"/>
  <c r="G312" i="2" s="1"/>
  <c r="F294" i="2"/>
  <c r="D315" i="2"/>
  <c r="F305" i="2"/>
  <c r="G305" i="2" s="1"/>
  <c r="F302" i="2"/>
  <c r="G302" i="2" s="1"/>
  <c r="F299" i="2"/>
  <c r="G299" i="2" s="1"/>
  <c r="F296" i="2"/>
  <c r="G296" i="2" s="1"/>
  <c r="G294" i="2"/>
  <c r="G289" i="2"/>
  <c r="G290" i="2"/>
  <c r="F3" i="2"/>
  <c r="G3" i="2" s="1"/>
  <c r="G257" i="2"/>
  <c r="F4" i="2"/>
  <c r="G4" i="2" s="1"/>
  <c r="F5" i="2"/>
  <c r="G5" i="2" s="1"/>
  <c r="F6" i="2"/>
  <c r="G6" i="2" s="1"/>
  <c r="F7" i="2"/>
  <c r="G7" i="2" s="1"/>
  <c r="H7" i="2" s="1"/>
  <c r="F8" i="2"/>
  <c r="G8" i="2" s="1"/>
  <c r="H8" i="2" s="1"/>
  <c r="F9" i="2"/>
  <c r="G9" i="2" s="1"/>
  <c r="H9" i="2" s="1"/>
  <c r="F10" i="2"/>
  <c r="G10" i="2" s="1"/>
  <c r="F11" i="2"/>
  <c r="G11" i="2" s="1"/>
  <c r="F12" i="2"/>
  <c r="G12" i="2" s="1"/>
  <c r="H12" i="2" s="1"/>
  <c r="F13" i="2"/>
  <c r="G13" i="2" s="1"/>
  <c r="F14" i="2"/>
  <c r="G14" i="2" s="1"/>
  <c r="F15" i="2"/>
  <c r="G15" i="2" s="1"/>
  <c r="F16" i="2"/>
  <c r="G16" i="2" s="1"/>
  <c r="F17" i="2"/>
  <c r="G17" i="2" s="1"/>
  <c r="F18" i="2"/>
  <c r="G18" i="2" s="1"/>
  <c r="F19" i="2"/>
  <c r="G19" i="2" s="1"/>
  <c r="F20" i="2"/>
  <c r="G20" i="2" s="1"/>
  <c r="F21" i="2"/>
  <c r="G21" i="2" s="1"/>
  <c r="F22" i="2"/>
  <c r="G22" i="2" s="1"/>
  <c r="F23" i="2"/>
  <c r="G23" i="2" s="1"/>
  <c r="H23" i="2" s="1"/>
  <c r="F24" i="2"/>
  <c r="G24" i="2" s="1"/>
  <c r="F25" i="2"/>
  <c r="G25" i="2" s="1"/>
  <c r="F26" i="2"/>
  <c r="G26" i="2" s="1"/>
  <c r="F27" i="2"/>
  <c r="G27" i="2" s="1"/>
  <c r="F28" i="2"/>
  <c r="G28" i="2" s="1"/>
  <c r="F29" i="2"/>
  <c r="G29" i="2" s="1"/>
  <c r="F30" i="2"/>
  <c r="G30" i="2" s="1"/>
  <c r="F31" i="2"/>
  <c r="G31" i="2" s="1"/>
  <c r="F32" i="2"/>
  <c r="G32" i="2" s="1"/>
  <c r="F33" i="2"/>
  <c r="G33" i="2" s="1"/>
  <c r="F34" i="2"/>
  <c r="G34" i="2" s="1"/>
  <c r="F35" i="2"/>
  <c r="G35" i="2" s="1"/>
  <c r="F36" i="2"/>
  <c r="G36" i="2" s="1"/>
  <c r="H36" i="2" s="1"/>
  <c r="F37" i="2"/>
  <c r="G37" i="2" s="1"/>
  <c r="F38" i="2"/>
  <c r="G38" i="2" s="1"/>
  <c r="F39" i="2"/>
  <c r="G39" i="2" s="1"/>
  <c r="F40" i="2"/>
  <c r="G40" i="2" s="1"/>
  <c r="F41" i="2"/>
  <c r="G41" i="2" s="1"/>
  <c r="F42" i="2"/>
  <c r="G42" i="2" s="1"/>
  <c r="F43" i="2"/>
  <c r="G43" i="2" s="1"/>
  <c r="F44" i="2"/>
  <c r="G44" i="2" s="1"/>
  <c r="F45" i="2"/>
  <c r="G45" i="2" s="1"/>
  <c r="F46" i="2"/>
  <c r="G46" i="2" s="1"/>
  <c r="F47" i="2"/>
  <c r="G47" i="2" s="1"/>
  <c r="F48" i="2"/>
  <c r="G48" i="2" s="1"/>
  <c r="F49" i="2"/>
  <c r="G49" i="2" s="1"/>
  <c r="F50" i="2"/>
  <c r="G50" i="2" s="1"/>
  <c r="F51" i="2"/>
  <c r="G51" i="2" s="1"/>
  <c r="F52" i="2"/>
  <c r="G52" i="2" s="1"/>
  <c r="F53" i="2"/>
  <c r="G53" i="2" s="1"/>
  <c r="F54" i="2"/>
  <c r="G54" i="2" s="1"/>
  <c r="F55" i="2"/>
  <c r="G55" i="2" s="1"/>
  <c r="F56" i="2"/>
  <c r="G56" i="2" s="1"/>
  <c r="F57" i="2"/>
  <c r="G57" i="2" s="1"/>
  <c r="F58" i="2"/>
  <c r="G58" i="2" s="1"/>
  <c r="F59" i="2"/>
  <c r="G59" i="2" s="1"/>
  <c r="F60" i="2"/>
  <c r="G60" i="2" s="1"/>
  <c r="F61" i="2"/>
  <c r="G61" i="2" s="1"/>
  <c r="F62" i="2"/>
  <c r="G62" i="2" s="1"/>
  <c r="F63" i="2"/>
  <c r="G63" i="2" s="1"/>
  <c r="F64" i="2"/>
  <c r="G64" i="2" s="1"/>
  <c r="F65" i="2"/>
  <c r="G65" i="2" s="1"/>
  <c r="F66" i="2"/>
  <c r="G66" i="2" s="1"/>
  <c r="F67" i="2"/>
  <c r="G67" i="2" s="1"/>
  <c r="F68" i="2"/>
  <c r="G68" i="2" s="1"/>
  <c r="F69" i="2"/>
  <c r="G69" i="2" s="1"/>
  <c r="F70" i="2"/>
  <c r="G70" i="2" s="1"/>
  <c r="F71" i="2"/>
  <c r="G71" i="2" s="1"/>
  <c r="F72" i="2"/>
  <c r="G72" i="2" s="1"/>
  <c r="F73" i="2"/>
  <c r="G73" i="2" s="1"/>
  <c r="F74" i="2"/>
  <c r="G74" i="2" s="1"/>
  <c r="F75" i="2"/>
  <c r="G75" i="2" s="1"/>
  <c r="F76" i="2"/>
  <c r="G76" i="2" s="1"/>
  <c r="F77" i="2"/>
  <c r="G77" i="2" s="1"/>
  <c r="F78" i="2"/>
  <c r="G78" i="2" s="1"/>
  <c r="F79" i="2"/>
  <c r="G79" i="2" s="1"/>
  <c r="F80" i="2"/>
  <c r="G80" i="2" s="1"/>
  <c r="F81" i="2"/>
  <c r="G81" i="2" s="1"/>
  <c r="F82" i="2"/>
  <c r="G82" i="2" s="1"/>
  <c r="F83" i="2"/>
  <c r="G83" i="2" s="1"/>
  <c r="F84" i="2"/>
  <c r="G84" i="2" s="1"/>
  <c r="F85" i="2"/>
  <c r="G85" i="2" s="1"/>
  <c r="F86" i="2"/>
  <c r="G86" i="2" s="1"/>
  <c r="F87" i="2"/>
  <c r="G87" i="2" s="1"/>
  <c r="F88" i="2"/>
  <c r="G88" i="2" s="1"/>
  <c r="F89" i="2"/>
  <c r="G89" i="2" s="1"/>
  <c r="F90" i="2"/>
  <c r="G90" i="2" s="1"/>
  <c r="H90" i="2" s="1"/>
  <c r="F91" i="2"/>
  <c r="G91" i="2" s="1"/>
  <c r="F92" i="2"/>
  <c r="G92" i="2" s="1"/>
  <c r="F93" i="2"/>
  <c r="G93" i="2" s="1"/>
  <c r="F94" i="2"/>
  <c r="G94" i="2" s="1"/>
  <c r="F95" i="2"/>
  <c r="G95" i="2" s="1"/>
  <c r="F96" i="2"/>
  <c r="G96" i="2" s="1"/>
  <c r="F97" i="2"/>
  <c r="G97" i="2" s="1"/>
  <c r="F98" i="2"/>
  <c r="G98" i="2" s="1"/>
  <c r="F99" i="2"/>
  <c r="G99" i="2" s="1"/>
  <c r="F100" i="2"/>
  <c r="G100" i="2" s="1"/>
  <c r="F101" i="2"/>
  <c r="G101" i="2" s="1"/>
  <c r="F102" i="2"/>
  <c r="G102" i="2" s="1"/>
  <c r="F103" i="2"/>
  <c r="G103" i="2" s="1"/>
  <c r="F104" i="2"/>
  <c r="G104" i="2" s="1"/>
  <c r="F105" i="2"/>
  <c r="G105" i="2" s="1"/>
  <c r="F106" i="2"/>
  <c r="G106" i="2" s="1"/>
  <c r="F107" i="2"/>
  <c r="G107" i="2" s="1"/>
  <c r="F108" i="2"/>
  <c r="G108" i="2" s="1"/>
  <c r="F109" i="2"/>
  <c r="G109" i="2" s="1"/>
  <c r="F110" i="2"/>
  <c r="G110" i="2" s="1"/>
  <c r="F111" i="2"/>
  <c r="G111" i="2" s="1"/>
  <c r="F112" i="2"/>
  <c r="G112" i="2" s="1"/>
  <c r="F113" i="2"/>
  <c r="G113" i="2" s="1"/>
  <c r="F114" i="2"/>
  <c r="G114" i="2" s="1"/>
  <c r="F115" i="2"/>
  <c r="G115" i="2" s="1"/>
  <c r="F116" i="2"/>
  <c r="G116" i="2" s="1"/>
  <c r="F117" i="2"/>
  <c r="G117" i="2" s="1"/>
  <c r="F118" i="2"/>
  <c r="G118" i="2" s="1"/>
  <c r="F119" i="2"/>
  <c r="G119" i="2" s="1"/>
  <c r="F120" i="2"/>
  <c r="G120" i="2" s="1"/>
  <c r="F121" i="2"/>
  <c r="G121" i="2" s="1"/>
  <c r="F122" i="2"/>
  <c r="G122" i="2" s="1"/>
  <c r="F123" i="2"/>
  <c r="G123" i="2" s="1"/>
  <c r="F124" i="2"/>
  <c r="G124" i="2" s="1"/>
  <c r="F125" i="2"/>
  <c r="G125" i="2" s="1"/>
  <c r="F126" i="2"/>
  <c r="G126" i="2" s="1"/>
  <c r="F127" i="2"/>
  <c r="G127" i="2" s="1"/>
  <c r="F128" i="2"/>
  <c r="G128" i="2" s="1"/>
  <c r="F129" i="2"/>
  <c r="G129" i="2" s="1"/>
  <c r="F130" i="2"/>
  <c r="G130" i="2" s="1"/>
  <c r="F131" i="2"/>
  <c r="G131" i="2" s="1"/>
  <c r="F132" i="2"/>
  <c r="G132" i="2" s="1"/>
  <c r="F133" i="2"/>
  <c r="G133" i="2" s="1"/>
  <c r="F134" i="2"/>
  <c r="G134" i="2" s="1"/>
  <c r="F135" i="2"/>
  <c r="G135" i="2" s="1"/>
  <c r="F136" i="2"/>
  <c r="G136" i="2" s="1"/>
  <c r="F137" i="2"/>
  <c r="G137" i="2" s="1"/>
  <c r="F138" i="2"/>
  <c r="G138" i="2" s="1"/>
  <c r="F139" i="2"/>
  <c r="G139" i="2" s="1"/>
  <c r="F140" i="2"/>
  <c r="G140" i="2" s="1"/>
  <c r="H140" i="2" s="1"/>
  <c r="F141" i="2"/>
  <c r="G141" i="2" s="1"/>
  <c r="F142" i="2"/>
  <c r="G142" i="2" s="1"/>
  <c r="F143" i="2"/>
  <c r="G143" i="2" s="1"/>
  <c r="F144" i="2"/>
  <c r="G144" i="2" s="1"/>
  <c r="H144" i="2" s="1"/>
  <c r="F145" i="2"/>
  <c r="G145" i="2" s="1"/>
  <c r="F146" i="2"/>
  <c r="G146" i="2" s="1"/>
  <c r="F147" i="2"/>
  <c r="G147" i="2" s="1"/>
  <c r="F148" i="2"/>
  <c r="G148" i="2" s="1"/>
  <c r="F149" i="2"/>
  <c r="G149" i="2" s="1"/>
  <c r="F150" i="2"/>
  <c r="G150" i="2" s="1"/>
  <c r="F151" i="2"/>
  <c r="G151" i="2" s="1"/>
  <c r="F152" i="2"/>
  <c r="G152" i="2" s="1"/>
  <c r="F153" i="2"/>
  <c r="G153" i="2" s="1"/>
  <c r="F154" i="2"/>
  <c r="G154" i="2" s="1"/>
  <c r="F155" i="2"/>
  <c r="G155" i="2" s="1"/>
  <c r="F156" i="2"/>
  <c r="G156" i="2" s="1"/>
  <c r="F157" i="2"/>
  <c r="G157" i="2" s="1"/>
  <c r="F158" i="2"/>
  <c r="G158" i="2" s="1"/>
  <c r="F159" i="2"/>
  <c r="G159" i="2" s="1"/>
  <c r="F160" i="2"/>
  <c r="G160" i="2" s="1"/>
  <c r="F161" i="2"/>
  <c r="G161" i="2" s="1"/>
  <c r="F162" i="2"/>
  <c r="G162" i="2" s="1"/>
  <c r="F163" i="2"/>
  <c r="G163" i="2" s="1"/>
  <c r="F164" i="2"/>
  <c r="G164" i="2" s="1"/>
  <c r="F165" i="2"/>
  <c r="G165" i="2" s="1"/>
  <c r="F166" i="2"/>
  <c r="G166" i="2" s="1"/>
  <c r="F167" i="2"/>
  <c r="G167" i="2" s="1"/>
  <c r="F168" i="2"/>
  <c r="G168" i="2" s="1"/>
  <c r="F169" i="2"/>
  <c r="G169" i="2" s="1"/>
  <c r="F170" i="2"/>
  <c r="G170" i="2" s="1"/>
  <c r="F171" i="2"/>
  <c r="G171" i="2" s="1"/>
  <c r="F172" i="2"/>
  <c r="G172" i="2" s="1"/>
  <c r="F173" i="2"/>
  <c r="G173" i="2" s="1"/>
  <c r="F174" i="2"/>
  <c r="G174" i="2" s="1"/>
  <c r="F175" i="2"/>
  <c r="G175" i="2" s="1"/>
  <c r="F176" i="2"/>
  <c r="G176" i="2" s="1"/>
  <c r="F177" i="2"/>
  <c r="G177" i="2" s="1"/>
  <c r="F178" i="2"/>
  <c r="G178" i="2" s="1"/>
  <c r="F179" i="2"/>
  <c r="G179" i="2" s="1"/>
  <c r="F180" i="2"/>
  <c r="G180" i="2" s="1"/>
  <c r="F181" i="2"/>
  <c r="G181" i="2" s="1"/>
  <c r="F182" i="2"/>
  <c r="G182" i="2" s="1"/>
  <c r="F183" i="2"/>
  <c r="G183" i="2" s="1"/>
  <c r="F184" i="2"/>
  <c r="G184" i="2" s="1"/>
  <c r="F185" i="2"/>
  <c r="G185" i="2" s="1"/>
  <c r="F186" i="2"/>
  <c r="G186" i="2" s="1"/>
  <c r="F187" i="2"/>
  <c r="G187" i="2" s="1"/>
  <c r="F188" i="2"/>
  <c r="G188" i="2" s="1"/>
  <c r="F189" i="2"/>
  <c r="G189" i="2" s="1"/>
  <c r="F190" i="2"/>
  <c r="G190" i="2" s="1"/>
  <c r="F191" i="2"/>
  <c r="G191" i="2" s="1"/>
  <c r="F192" i="2"/>
  <c r="G192" i="2" s="1"/>
  <c r="F193" i="2"/>
  <c r="G193" i="2" s="1"/>
  <c r="F194" i="2"/>
  <c r="G194" i="2" s="1"/>
  <c r="F195" i="2"/>
  <c r="G195" i="2" s="1"/>
  <c r="F196" i="2"/>
  <c r="G196" i="2" s="1"/>
  <c r="F197" i="2"/>
  <c r="G197" i="2" s="1"/>
  <c r="F198" i="2"/>
  <c r="G198" i="2" s="1"/>
  <c r="F199" i="2"/>
  <c r="G199" i="2" s="1"/>
  <c r="F200" i="2"/>
  <c r="G200" i="2" s="1"/>
  <c r="H200" i="2" s="1"/>
  <c r="F201" i="2"/>
  <c r="G201" i="2" s="1"/>
  <c r="F202" i="2"/>
  <c r="G202" i="2" s="1"/>
  <c r="F203" i="2"/>
  <c r="G203" i="2" s="1"/>
  <c r="F204" i="2"/>
  <c r="G204" i="2" s="1"/>
  <c r="H204" i="2" s="1"/>
  <c r="F205" i="2"/>
  <c r="G205" i="2" s="1"/>
  <c r="F206" i="2"/>
  <c r="G206" i="2" s="1"/>
  <c r="F207" i="2"/>
  <c r="G207" i="2" s="1"/>
  <c r="F208" i="2"/>
  <c r="G208" i="2" s="1"/>
  <c r="F209" i="2"/>
  <c r="G209" i="2" s="1"/>
  <c r="F210" i="2"/>
  <c r="G210" i="2" s="1"/>
  <c r="F211" i="2"/>
  <c r="G211" i="2" s="1"/>
  <c r="F212" i="2"/>
  <c r="G212" i="2" s="1"/>
  <c r="F213" i="2"/>
  <c r="G213" i="2" s="1"/>
  <c r="F214" i="2"/>
  <c r="G214" i="2" s="1"/>
  <c r="H214" i="2" s="1"/>
  <c r="F215" i="2"/>
  <c r="G215" i="2" s="1"/>
  <c r="F216" i="2"/>
  <c r="G216" i="2" s="1"/>
  <c r="F217" i="2"/>
  <c r="G217" i="2" s="1"/>
  <c r="H217" i="2" s="1"/>
  <c r="F218" i="2"/>
  <c r="G218" i="2" s="1"/>
  <c r="F219" i="2"/>
  <c r="G219" i="2" s="1"/>
  <c r="F220" i="2"/>
  <c r="G220" i="2" s="1"/>
  <c r="F221" i="2"/>
  <c r="G221" i="2" s="1"/>
  <c r="F222" i="2"/>
  <c r="G222" i="2" s="1"/>
  <c r="F223" i="2"/>
  <c r="G223" i="2" s="1"/>
  <c r="F224" i="2"/>
  <c r="G224" i="2" s="1"/>
  <c r="F225" i="2"/>
  <c r="G225" i="2" s="1"/>
  <c r="F226" i="2"/>
  <c r="G226" i="2" s="1"/>
  <c r="F227" i="2"/>
  <c r="G227" i="2" s="1"/>
  <c r="F228" i="2"/>
  <c r="G228" i="2" s="1"/>
  <c r="F229" i="2"/>
  <c r="G229" i="2" s="1"/>
  <c r="F230" i="2"/>
  <c r="G230" i="2" s="1"/>
  <c r="F231" i="2"/>
  <c r="G231" i="2" s="1"/>
  <c r="F232" i="2"/>
  <c r="G232" i="2" s="1"/>
  <c r="F233" i="2"/>
  <c r="G233" i="2" s="1"/>
  <c r="F234" i="2"/>
  <c r="G234" i="2" s="1"/>
  <c r="F235" i="2"/>
  <c r="G235" i="2" s="1"/>
  <c r="F236" i="2"/>
  <c r="G236" i="2" s="1"/>
  <c r="F237" i="2"/>
  <c r="G237" i="2" s="1"/>
  <c r="F238" i="2"/>
  <c r="G238" i="2" s="1"/>
  <c r="F239" i="2"/>
  <c r="G239" i="2" s="1"/>
  <c r="F240" i="2"/>
  <c r="G240" i="2" s="1"/>
  <c r="F241" i="2"/>
  <c r="G241" i="2" s="1"/>
  <c r="F242" i="2"/>
  <c r="G242" i="2" s="1"/>
  <c r="H242" i="2" s="1"/>
  <c r="F243" i="2"/>
  <c r="G243" i="2" s="1"/>
  <c r="F244" i="2"/>
  <c r="G244" i="2" s="1"/>
  <c r="F245" i="2"/>
  <c r="G245" i="2" s="1"/>
  <c r="F246" i="2"/>
  <c r="G246" i="2" s="1"/>
  <c r="H246" i="2" s="1"/>
  <c r="F247" i="2"/>
  <c r="G247" i="2" s="1"/>
  <c r="F248" i="2"/>
  <c r="G248" i="2" s="1"/>
  <c r="F249" i="2"/>
  <c r="G249" i="2" s="1"/>
  <c r="F250" i="2"/>
  <c r="G250" i="2" s="1"/>
  <c r="F251" i="2"/>
  <c r="G251" i="2" s="1"/>
  <c r="F252" i="2"/>
  <c r="G252" i="2" s="1"/>
  <c r="F253" i="2"/>
  <c r="G253" i="2" s="1"/>
  <c r="F254" i="2"/>
  <c r="G254" i="2" s="1"/>
  <c r="H254" i="2" s="1"/>
  <c r="F255" i="2"/>
  <c r="G255" i="2" s="1"/>
  <c r="F256" i="2"/>
  <c r="G256" i="2" s="1"/>
  <c r="F258" i="2"/>
  <c r="G258" i="2" s="1"/>
  <c r="F259" i="2"/>
  <c r="G259" i="2" s="1"/>
  <c r="F260" i="2"/>
  <c r="G260" i="2" s="1"/>
  <c r="F261" i="2"/>
  <c r="G261" i="2" s="1"/>
  <c r="F262" i="2"/>
  <c r="G262" i="2" s="1"/>
  <c r="F263" i="2"/>
  <c r="G263" i="2" s="1"/>
  <c r="F264" i="2"/>
  <c r="G264" i="2" s="1"/>
  <c r="F265" i="2"/>
  <c r="G265" i="2" s="1"/>
  <c r="F266" i="2"/>
  <c r="G266" i="2" s="1"/>
  <c r="F267" i="2"/>
  <c r="G267" i="2" s="1"/>
  <c r="F268" i="2"/>
  <c r="G268" i="2" s="1"/>
  <c r="F269" i="2"/>
  <c r="G269" i="2" s="1"/>
  <c r="F270" i="2"/>
  <c r="G270" i="2" s="1"/>
  <c r="F271" i="2"/>
  <c r="G271" i="2" s="1"/>
  <c r="F272" i="2"/>
  <c r="G272" i="2" s="1"/>
  <c r="F273" i="2"/>
  <c r="G273" i="2" s="1"/>
  <c r="F274" i="2"/>
  <c r="G274" i="2" s="1"/>
  <c r="F275" i="2"/>
  <c r="G275" i="2" s="1"/>
  <c r="F276" i="2"/>
  <c r="G276" i="2" s="1"/>
  <c r="F277" i="2"/>
  <c r="G277" i="2" s="1"/>
  <c r="F278" i="2"/>
  <c r="G278" i="2" s="1"/>
  <c r="F279" i="2"/>
  <c r="G279" i="2" s="1"/>
  <c r="F280" i="2"/>
  <c r="G280" i="2" s="1"/>
  <c r="F281" i="2"/>
  <c r="G281" i="2" s="1"/>
  <c r="F282" i="2"/>
  <c r="G282" i="2" s="1"/>
  <c r="F283" i="2"/>
  <c r="G283" i="2" s="1"/>
  <c r="F284" i="2"/>
  <c r="G284" i="2" s="1"/>
  <c r="F285" i="2"/>
  <c r="G285" i="2" s="1"/>
  <c r="G2" i="2"/>
  <c r="H280" i="2" l="1"/>
  <c r="I280" i="2" s="1"/>
  <c r="H2" i="2"/>
  <c r="I2" i="2" s="1"/>
  <c r="J69" i="5"/>
  <c r="J157" i="5"/>
  <c r="J65" i="5"/>
  <c r="J25" i="5"/>
  <c r="J281" i="5"/>
  <c r="J150" i="5"/>
  <c r="J266" i="5"/>
  <c r="J189" i="5"/>
  <c r="J194" i="5"/>
  <c r="J219" i="5"/>
  <c r="J4" i="5"/>
  <c r="J109" i="5"/>
  <c r="J256" i="5"/>
  <c r="J86" i="5"/>
  <c r="J278" i="5"/>
  <c r="J254" i="5"/>
  <c r="J185" i="5"/>
  <c r="J153" i="5"/>
  <c r="J201" i="5"/>
  <c r="J264" i="5"/>
  <c r="J96" i="5"/>
  <c r="J89" i="5"/>
  <c r="J181" i="5"/>
  <c r="J236" i="5"/>
  <c r="J253" i="5"/>
  <c r="J239" i="5"/>
  <c r="J55" i="5"/>
  <c r="J165" i="5"/>
  <c r="J123" i="5"/>
  <c r="J139" i="5"/>
  <c r="J187" i="5"/>
  <c r="J271" i="5"/>
  <c r="J28" i="5"/>
  <c r="J126" i="5"/>
  <c r="J13" i="5"/>
  <c r="J100" i="5"/>
  <c r="J91" i="5"/>
  <c r="J26" i="5"/>
  <c r="J155" i="5"/>
  <c r="J226" i="5"/>
  <c r="J76" i="5"/>
  <c r="J231" i="5"/>
  <c r="J3" i="5"/>
  <c r="J45" i="5"/>
  <c r="J149" i="5"/>
  <c r="J120" i="5"/>
  <c r="J85" i="5"/>
  <c r="J233" i="5"/>
  <c r="J106" i="5"/>
  <c r="J183" i="5"/>
  <c r="J249" i="5"/>
  <c r="J78" i="5"/>
  <c r="J184" i="5"/>
  <c r="J260" i="5"/>
  <c r="J200" i="5"/>
  <c r="J61" i="5"/>
  <c r="J161" i="5"/>
  <c r="J215" i="5"/>
  <c r="J162" i="5"/>
  <c r="J197" i="5"/>
  <c r="J79" i="5"/>
  <c r="J47" i="5"/>
  <c r="J148" i="5"/>
  <c r="J18" i="5"/>
  <c r="J44" i="5"/>
  <c r="J8" i="5"/>
  <c r="J147" i="5"/>
  <c r="J180" i="5"/>
  <c r="J227" i="5"/>
  <c r="J142" i="5"/>
  <c r="J156" i="5"/>
  <c r="J58" i="5"/>
  <c r="J84" i="5"/>
  <c r="J171" i="5"/>
  <c r="J104" i="5"/>
  <c r="J68" i="5"/>
  <c r="J175" i="5"/>
  <c r="J151" i="5"/>
  <c r="J11" i="5"/>
  <c r="J82" i="5"/>
  <c r="J124" i="5"/>
  <c r="J57" i="5"/>
  <c r="J125" i="5"/>
  <c r="J141" i="5"/>
  <c r="J29" i="5"/>
  <c r="J97" i="5"/>
  <c r="J208" i="5"/>
  <c r="J275" i="5"/>
  <c r="J268" i="5"/>
  <c r="J285" i="5"/>
  <c r="J128" i="5"/>
  <c r="J216" i="5"/>
  <c r="J279" i="5"/>
  <c r="J193" i="5"/>
  <c r="J12" i="5"/>
  <c r="J209" i="5"/>
  <c r="J192" i="5"/>
  <c r="J283" i="5"/>
  <c r="J261" i="5"/>
  <c r="J144" i="5"/>
  <c r="J199" i="5"/>
  <c r="J111" i="5"/>
  <c r="I312" i="5"/>
  <c r="I300" i="5" s="1"/>
  <c r="I301" i="5" s="1"/>
  <c r="J16" i="5"/>
  <c r="J64" i="5"/>
  <c r="J163" i="5"/>
  <c r="J83" i="5"/>
  <c r="J74" i="5"/>
  <c r="J63" i="5"/>
  <c r="J39" i="5"/>
  <c r="J108" i="5"/>
  <c r="J56" i="5"/>
  <c r="J179" i="5"/>
  <c r="J33" i="5"/>
  <c r="J136" i="5"/>
  <c r="J77" i="5"/>
  <c r="J177" i="5"/>
  <c r="J229" i="5"/>
  <c r="J240" i="5"/>
  <c r="J274" i="5"/>
  <c r="J252" i="5"/>
  <c r="J170" i="5"/>
  <c r="J265" i="5"/>
  <c r="J235" i="5"/>
  <c r="J178" i="5"/>
  <c r="J250" i="5"/>
  <c r="J19" i="5"/>
  <c r="J213" i="5"/>
  <c r="J282" i="5"/>
  <c r="J232" i="5"/>
  <c r="J37" i="5"/>
  <c r="J246" i="5"/>
  <c r="J160" i="5"/>
  <c r="J59" i="5"/>
  <c r="J75" i="5"/>
  <c r="J71" i="5"/>
  <c r="J164" i="5"/>
  <c r="J210" i="5"/>
  <c r="J22" i="5"/>
  <c r="J87" i="5"/>
  <c r="J112" i="5"/>
  <c r="J99" i="5"/>
  <c r="J172" i="5"/>
  <c r="J60" i="5"/>
  <c r="J88" i="5"/>
  <c r="J52" i="5"/>
  <c r="J159" i="5"/>
  <c r="J167" i="5"/>
  <c r="J35" i="5"/>
  <c r="H297" i="5"/>
  <c r="H298" i="5" s="1"/>
  <c r="H306" i="5"/>
  <c r="H307" i="5" s="1"/>
  <c r="I314" i="5"/>
  <c r="I306" i="5" s="1"/>
  <c r="I307" i="5" s="1"/>
  <c r="I297" i="5"/>
  <c r="I298" i="5" s="1"/>
  <c r="H319" i="5"/>
  <c r="I313" i="5"/>
  <c r="I303" i="5" s="1"/>
  <c r="I304" i="5" s="1"/>
  <c r="F311" i="2"/>
  <c r="F314" i="2"/>
  <c r="G314" i="2" s="1"/>
  <c r="G318" i="2"/>
  <c r="F313" i="2"/>
  <c r="G313" i="2" s="1"/>
  <c r="H305" i="2"/>
  <c r="I305" i="2" s="1"/>
  <c r="H302" i="2"/>
  <c r="I302" i="2" s="1"/>
  <c r="H299" i="2"/>
  <c r="I299" i="2" s="1"/>
  <c r="H296" i="2"/>
  <c r="H294" i="2"/>
  <c r="I294" i="2" s="1"/>
  <c r="H289" i="2"/>
  <c r="H290" i="2"/>
  <c r="I290" i="2" s="1"/>
  <c r="H265" i="2"/>
  <c r="H268" i="2"/>
  <c r="H190" i="2"/>
  <c r="H186" i="2"/>
  <c r="H174" i="2"/>
  <c r="H170" i="2"/>
  <c r="H158" i="2"/>
  <c r="H154" i="2"/>
  <c r="H130" i="2"/>
  <c r="H86" i="2"/>
  <c r="H38" i="2"/>
  <c r="I200" i="2"/>
  <c r="I144" i="2"/>
  <c r="I90" i="2"/>
  <c r="H73" i="2"/>
  <c r="H61" i="2"/>
  <c r="I23" i="2"/>
  <c r="I254" i="2"/>
  <c r="I217" i="2"/>
  <c r="H104" i="2"/>
  <c r="H100" i="2"/>
  <c r="H76" i="2"/>
  <c r="H52" i="2"/>
  <c r="H48" i="2"/>
  <c r="I12" i="2"/>
  <c r="I242" i="2"/>
  <c r="I204" i="2"/>
  <c r="I140" i="2"/>
  <c r="H227" i="2"/>
  <c r="H115" i="2"/>
  <c r="I36" i="2"/>
  <c r="I246" i="2"/>
  <c r="I214" i="2"/>
  <c r="H271" i="2"/>
  <c r="H260" i="2"/>
  <c r="H234" i="2"/>
  <c r="H245" i="2"/>
  <c r="H230" i="2"/>
  <c r="H279" i="2"/>
  <c r="H253" i="2"/>
  <c r="H241" i="2"/>
  <c r="H275" i="2"/>
  <c r="H262" i="2"/>
  <c r="H250" i="2"/>
  <c r="H238" i="2"/>
  <c r="H278" i="2"/>
  <c r="H267" i="2"/>
  <c r="H259" i="2"/>
  <c r="H249" i="2"/>
  <c r="H240" i="2"/>
  <c r="H228" i="2"/>
  <c r="H208" i="2"/>
  <c r="H163" i="2"/>
  <c r="H141" i="2"/>
  <c r="H123" i="2"/>
  <c r="H67" i="2"/>
  <c r="H49" i="2"/>
  <c r="H27" i="2"/>
  <c r="H24" i="2"/>
  <c r="H20" i="2"/>
  <c r="H13" i="2"/>
  <c r="H257" i="2"/>
  <c r="H212" i="2"/>
  <c r="H183" i="2"/>
  <c r="H151" i="2"/>
  <c r="H126" i="2"/>
  <c r="H98" i="2"/>
  <c r="H71" i="2"/>
  <c r="H283" i="2"/>
  <c r="H175" i="2"/>
  <c r="H145" i="2"/>
  <c r="H119" i="2"/>
  <c r="H91" i="2"/>
  <c r="H65" i="2"/>
  <c r="H274" i="2"/>
  <c r="H264" i="2"/>
  <c r="H255" i="2"/>
  <c r="H247" i="2"/>
  <c r="H236" i="2"/>
  <c r="H215" i="2"/>
  <c r="H201" i="2"/>
  <c r="H179" i="2"/>
  <c r="H171" i="2"/>
  <c r="H148" i="2"/>
  <c r="H109" i="2"/>
  <c r="H101" i="2"/>
  <c r="H87" i="2"/>
  <c r="H62" i="2"/>
  <c r="H30" i="2"/>
  <c r="H16" i="2"/>
  <c r="H225" i="2"/>
  <c r="H198" i="2"/>
  <c r="H167" i="2"/>
  <c r="H137" i="2"/>
  <c r="H113" i="2"/>
  <c r="H83" i="2"/>
  <c r="H59" i="2"/>
  <c r="H218" i="2"/>
  <c r="H159" i="2"/>
  <c r="H131" i="2"/>
  <c r="H105" i="2"/>
  <c r="H282" i="2"/>
  <c r="H270" i="2"/>
  <c r="H261" i="2"/>
  <c r="H243" i="2"/>
  <c r="H232" i="2"/>
  <c r="H221" i="2"/>
  <c r="I221" i="2" s="1"/>
  <c r="H194" i="2"/>
  <c r="H187" i="2"/>
  <c r="H155" i="2"/>
  <c r="H116" i="2"/>
  <c r="H80" i="2"/>
  <c r="H45" i="2"/>
  <c r="H224" i="2"/>
  <c r="H220" i="2"/>
  <c r="H211" i="2"/>
  <c r="H207" i="2"/>
  <c r="H197" i="2"/>
  <c r="H193" i="2"/>
  <c r="H182" i="2"/>
  <c r="H178" i="2"/>
  <c r="H166" i="2"/>
  <c r="H162" i="2"/>
  <c r="H150" i="2"/>
  <c r="H147" i="2"/>
  <c r="H134" i="2"/>
  <c r="H125" i="2"/>
  <c r="H122" i="2"/>
  <c r="H112" i="2"/>
  <c r="H108" i="2"/>
  <c r="H97" i="2"/>
  <c r="H94" i="2"/>
  <c r="H79" i="2"/>
  <c r="H70" i="2"/>
  <c r="H58" i="2"/>
  <c r="H55" i="2"/>
  <c r="H44" i="2"/>
  <c r="H41" i="2"/>
  <c r="H33" i="2"/>
  <c r="H29" i="2"/>
  <c r="H19" i="2"/>
  <c r="H15" i="2"/>
  <c r="H5" i="2"/>
  <c r="H256" i="2"/>
  <c r="H252" i="2"/>
  <c r="H244" i="2"/>
  <c r="H237" i="2"/>
  <c r="H233" i="2"/>
  <c r="H229" i="2"/>
  <c r="H222" i="2"/>
  <c r="H216" i="2"/>
  <c r="H209" i="2"/>
  <c r="H202" i="2"/>
  <c r="H195" i="2"/>
  <c r="H188" i="2"/>
  <c r="H180" i="2"/>
  <c r="H172" i="2"/>
  <c r="H164" i="2"/>
  <c r="H156" i="2"/>
  <c r="H142" i="2"/>
  <c r="H135" i="2"/>
  <c r="H128" i="2"/>
  <c r="H117" i="2"/>
  <c r="H110" i="2"/>
  <c r="H102" i="2"/>
  <c r="H95" i="2"/>
  <c r="H88" i="2"/>
  <c r="H81" i="2"/>
  <c r="H74" i="2"/>
  <c r="H68" i="2"/>
  <c r="H63" i="2"/>
  <c r="H56" i="2"/>
  <c r="H50" i="2"/>
  <c r="H42" i="2"/>
  <c r="H37" i="2"/>
  <c r="H31" i="2"/>
  <c r="H25" i="2"/>
  <c r="H17" i="2"/>
  <c r="H10" i="2"/>
  <c r="H226" i="2"/>
  <c r="H223" i="2"/>
  <c r="I223" i="2" s="1"/>
  <c r="H219" i="2"/>
  <c r="H210" i="2"/>
  <c r="H206" i="2"/>
  <c r="H203" i="2"/>
  <c r="H199" i="2"/>
  <c r="H196" i="2"/>
  <c r="H192" i="2"/>
  <c r="H189" i="2"/>
  <c r="H185" i="2"/>
  <c r="H181" i="2"/>
  <c r="H177" i="2"/>
  <c r="H173" i="2"/>
  <c r="H169" i="2"/>
  <c r="H165" i="2"/>
  <c r="H161" i="2"/>
  <c r="H157" i="2"/>
  <c r="H153" i="2"/>
  <c r="H149" i="2"/>
  <c r="H143" i="2"/>
  <c r="H139" i="2"/>
  <c r="H136" i="2"/>
  <c r="H133" i="2"/>
  <c r="H129" i="2"/>
  <c r="H124" i="2"/>
  <c r="H121" i="2"/>
  <c r="H118" i="2"/>
  <c r="H114" i="2"/>
  <c r="H111" i="2"/>
  <c r="H107" i="2"/>
  <c r="H103" i="2"/>
  <c r="H99" i="2"/>
  <c r="H96" i="2"/>
  <c r="H93" i="2"/>
  <c r="H89" i="2"/>
  <c r="H85" i="2"/>
  <c r="H82" i="2"/>
  <c r="H78" i="2"/>
  <c r="H75" i="2"/>
  <c r="H72" i="2"/>
  <c r="H69" i="2"/>
  <c r="H66" i="2"/>
  <c r="H64" i="2"/>
  <c r="H60" i="2"/>
  <c r="H57" i="2"/>
  <c r="H54" i="2"/>
  <c r="H51" i="2"/>
  <c r="H47" i="2"/>
  <c r="H43" i="2"/>
  <c r="H40" i="2"/>
  <c r="H35" i="2"/>
  <c r="H32" i="2"/>
  <c r="H26" i="2"/>
  <c r="H22" i="2"/>
  <c r="H18" i="2"/>
  <c r="H11" i="2"/>
  <c r="H4" i="2"/>
  <c r="H285" i="2"/>
  <c r="H281" i="2"/>
  <c r="H277" i="2"/>
  <c r="H273" i="2"/>
  <c r="H269" i="2"/>
  <c r="H266" i="2"/>
  <c r="H258" i="2"/>
  <c r="H6" i="2"/>
  <c r="H3" i="2"/>
  <c r="H284" i="2"/>
  <c r="H276" i="2"/>
  <c r="H272" i="2"/>
  <c r="H263" i="2"/>
  <c r="H251" i="2"/>
  <c r="H248" i="2"/>
  <c r="H239" i="2"/>
  <c r="H235" i="2"/>
  <c r="H231" i="2"/>
  <c r="H213" i="2"/>
  <c r="H205" i="2"/>
  <c r="H191" i="2"/>
  <c r="H184" i="2"/>
  <c r="H176" i="2"/>
  <c r="H168" i="2"/>
  <c r="H160" i="2"/>
  <c r="H152" i="2"/>
  <c r="H146" i="2"/>
  <c r="H138" i="2"/>
  <c r="H132" i="2"/>
  <c r="H127" i="2"/>
  <c r="H120" i="2"/>
  <c r="H106" i="2"/>
  <c r="H92" i="2"/>
  <c r="H84" i="2"/>
  <c r="H77" i="2"/>
  <c r="H53" i="2"/>
  <c r="H46" i="2"/>
  <c r="H39" i="2"/>
  <c r="H34" i="2"/>
  <c r="H28" i="2"/>
  <c r="H21" i="2"/>
  <c r="H14" i="2"/>
  <c r="J2" i="2" l="1"/>
  <c r="I211" i="2"/>
  <c r="J211" i="2" s="1"/>
  <c r="I243" i="2"/>
  <c r="I167" i="2"/>
  <c r="I30" i="2"/>
  <c r="J30" i="2" s="1"/>
  <c r="I283" i="2"/>
  <c r="J283" i="2" s="1"/>
  <c r="I249" i="2"/>
  <c r="I238" i="2"/>
  <c r="J238" i="2" s="1"/>
  <c r="I245" i="2"/>
  <c r="J214" i="2"/>
  <c r="I227" i="2"/>
  <c r="J227" i="2" s="1"/>
  <c r="J12" i="2"/>
  <c r="I100" i="2"/>
  <c r="J23" i="2"/>
  <c r="J144" i="2"/>
  <c r="I130" i="2"/>
  <c r="I174" i="2"/>
  <c r="J174" i="2" s="1"/>
  <c r="I219" i="2"/>
  <c r="I164" i="2"/>
  <c r="I8" i="2"/>
  <c r="I97" i="2"/>
  <c r="I162" i="2"/>
  <c r="J162" i="2" s="1"/>
  <c r="I80" i="2"/>
  <c r="J80" i="2" s="1"/>
  <c r="I261" i="2"/>
  <c r="I62" i="2"/>
  <c r="I264" i="2"/>
  <c r="J264" i="2" s="1"/>
  <c r="I119" i="2"/>
  <c r="I71" i="2"/>
  <c r="I183" i="2"/>
  <c r="J183" i="2" s="1"/>
  <c r="I20" i="2"/>
  <c r="J20" i="2" s="1"/>
  <c r="I208" i="2"/>
  <c r="I250" i="2"/>
  <c r="J250" i="2" s="1"/>
  <c r="I253" i="2"/>
  <c r="I234" i="2"/>
  <c r="J246" i="2"/>
  <c r="J140" i="2"/>
  <c r="I48" i="2"/>
  <c r="I104" i="2"/>
  <c r="J104" i="2" s="1"/>
  <c r="I61" i="2"/>
  <c r="J200" i="2"/>
  <c r="I154" i="2"/>
  <c r="J154" i="2" s="1"/>
  <c r="I186" i="2"/>
  <c r="I265" i="2"/>
  <c r="I296" i="2"/>
  <c r="I57" i="2"/>
  <c r="J57" i="2" s="1"/>
  <c r="I69" i="2"/>
  <c r="J69" i="2" s="1"/>
  <c r="I82" i="2"/>
  <c r="J82" i="2" s="1"/>
  <c r="I96" i="2"/>
  <c r="J96" i="2" s="1"/>
  <c r="I139" i="2"/>
  <c r="I203" i="2"/>
  <c r="I74" i="2"/>
  <c r="I102" i="2"/>
  <c r="I135" i="2"/>
  <c r="J135" i="2" s="1"/>
  <c r="I202" i="2"/>
  <c r="J202" i="2" s="1"/>
  <c r="I252" i="2"/>
  <c r="J252" i="2" s="1"/>
  <c r="I108" i="2"/>
  <c r="J108" i="2" s="1"/>
  <c r="I134" i="2"/>
  <c r="I166" i="2"/>
  <c r="I224" i="2"/>
  <c r="J224" i="2" s="1"/>
  <c r="I270" i="2"/>
  <c r="I159" i="2"/>
  <c r="I225" i="2"/>
  <c r="J225" i="2" s="1"/>
  <c r="I171" i="2"/>
  <c r="J171" i="2" s="1"/>
  <c r="I236" i="2"/>
  <c r="J236" i="2" s="1"/>
  <c r="I274" i="2"/>
  <c r="J274" i="2" s="1"/>
  <c r="I145" i="2"/>
  <c r="I212" i="2"/>
  <c r="I24" i="2"/>
  <c r="J24" i="2" s="1"/>
  <c r="I228" i="2"/>
  <c r="J228" i="2" s="1"/>
  <c r="I262" i="2"/>
  <c r="J262" i="2" s="1"/>
  <c r="J36" i="2"/>
  <c r="J204" i="2"/>
  <c r="I52" i="2"/>
  <c r="J217" i="2"/>
  <c r="I73" i="2"/>
  <c r="I38" i="2"/>
  <c r="I158" i="2"/>
  <c r="J158" i="2" s="1"/>
  <c r="I190" i="2"/>
  <c r="J190" i="2" s="1"/>
  <c r="I19" i="2"/>
  <c r="I147" i="2"/>
  <c r="J147" i="2" s="1"/>
  <c r="I179" i="2"/>
  <c r="I126" i="2"/>
  <c r="I27" i="2"/>
  <c r="J27" i="2" s="1"/>
  <c r="I278" i="2"/>
  <c r="I275" i="2"/>
  <c r="I230" i="2"/>
  <c r="J230" i="2" s="1"/>
  <c r="I115" i="2"/>
  <c r="J115" i="2" s="1"/>
  <c r="J242" i="2"/>
  <c r="I76" i="2"/>
  <c r="J254" i="2"/>
  <c r="J90" i="2"/>
  <c r="I86" i="2"/>
  <c r="J86" i="2" s="1"/>
  <c r="I170" i="2"/>
  <c r="I268" i="2"/>
  <c r="J268" i="2" s="1"/>
  <c r="I319" i="5"/>
  <c r="H314" i="2"/>
  <c r="H311" i="2"/>
  <c r="H297" i="2" s="1"/>
  <c r="H298" i="2" s="1"/>
  <c r="H312" i="2"/>
  <c r="H313" i="2"/>
  <c r="H318" i="2"/>
  <c r="I318" i="2" s="1"/>
  <c r="G311" i="2"/>
  <c r="F319" i="2"/>
  <c r="I289" i="2"/>
  <c r="I291" i="2" s="1"/>
  <c r="H291" i="2"/>
  <c r="I14" i="2"/>
  <c r="I152" i="2"/>
  <c r="I284" i="2"/>
  <c r="I281" i="2"/>
  <c r="I60" i="2"/>
  <c r="I114" i="2"/>
  <c r="I129" i="2"/>
  <c r="I143" i="2"/>
  <c r="I192" i="2"/>
  <c r="I56" i="2"/>
  <c r="I110" i="2"/>
  <c r="J110" i="2" s="1"/>
  <c r="I142" i="2"/>
  <c r="I180" i="2"/>
  <c r="I209" i="2"/>
  <c r="I21" i="2"/>
  <c r="I46" i="2"/>
  <c r="I92" i="2"/>
  <c r="J92" i="2" s="1"/>
  <c r="I132" i="2"/>
  <c r="I160" i="2"/>
  <c r="I191" i="2"/>
  <c r="I235" i="2"/>
  <c r="I263" i="2"/>
  <c r="I3" i="2"/>
  <c r="I269" i="2"/>
  <c r="I285" i="2"/>
  <c r="I35" i="2"/>
  <c r="I51" i="2"/>
  <c r="I64" i="2"/>
  <c r="I75" i="2"/>
  <c r="I89" i="2"/>
  <c r="I103" i="2"/>
  <c r="I118" i="2"/>
  <c r="I133" i="2"/>
  <c r="I149" i="2"/>
  <c r="I165" i="2"/>
  <c r="I181" i="2"/>
  <c r="I196" i="2"/>
  <c r="I210" i="2"/>
  <c r="I10" i="2"/>
  <c r="I37" i="2"/>
  <c r="I63" i="2"/>
  <c r="I88" i="2"/>
  <c r="I117" i="2"/>
  <c r="I156" i="2"/>
  <c r="I188" i="2"/>
  <c r="I216" i="2"/>
  <c r="I237" i="2"/>
  <c r="I5" i="2"/>
  <c r="I29" i="2"/>
  <c r="I55" i="2"/>
  <c r="I94" i="2"/>
  <c r="I28" i="2"/>
  <c r="I53" i="2"/>
  <c r="I106" i="2"/>
  <c r="I138" i="2"/>
  <c r="I168" i="2"/>
  <c r="I205" i="2"/>
  <c r="I239" i="2"/>
  <c r="I272" i="2"/>
  <c r="I6" i="2"/>
  <c r="I273" i="2"/>
  <c r="I4" i="2"/>
  <c r="I22" i="2"/>
  <c r="I40" i="2"/>
  <c r="I54" i="2"/>
  <c r="I66" i="2"/>
  <c r="I78" i="2"/>
  <c r="I93" i="2"/>
  <c r="I107" i="2"/>
  <c r="I121" i="2"/>
  <c r="I136" i="2"/>
  <c r="I153" i="2"/>
  <c r="I169" i="2"/>
  <c r="I185" i="2"/>
  <c r="I127" i="2"/>
  <c r="I251" i="2"/>
  <c r="I32" i="2"/>
  <c r="I99" i="2"/>
  <c r="I226" i="2"/>
  <c r="I39" i="2"/>
  <c r="I231" i="2"/>
  <c r="I11" i="2"/>
  <c r="I85" i="2"/>
  <c r="I177" i="2"/>
  <c r="I206" i="2"/>
  <c r="I31" i="2"/>
  <c r="I81" i="2"/>
  <c r="I233" i="2"/>
  <c r="I84" i="2"/>
  <c r="I184" i="2"/>
  <c r="I266" i="2"/>
  <c r="I47" i="2"/>
  <c r="I72" i="2"/>
  <c r="I161" i="2"/>
  <c r="I18" i="2"/>
  <c r="I42" i="2"/>
  <c r="J139" i="2"/>
  <c r="J203" i="2"/>
  <c r="J223" i="2"/>
  <c r="J74" i="2"/>
  <c r="J102" i="2"/>
  <c r="J134" i="2"/>
  <c r="J166" i="2"/>
  <c r="J221" i="2"/>
  <c r="J270" i="2"/>
  <c r="J159" i="2"/>
  <c r="J119" i="2"/>
  <c r="J71" i="2"/>
  <c r="J208" i="2"/>
  <c r="J253" i="2"/>
  <c r="J234" i="2"/>
  <c r="I15" i="2"/>
  <c r="I67" i="2"/>
  <c r="I87" i="2"/>
  <c r="I131" i="2"/>
  <c r="I163" i="2"/>
  <c r="I195" i="2"/>
  <c r="J76" i="2"/>
  <c r="I26" i="2"/>
  <c r="J38" i="2"/>
  <c r="I70" i="2"/>
  <c r="I194" i="2"/>
  <c r="I259" i="2"/>
  <c r="I50" i="2"/>
  <c r="I116" i="2"/>
  <c r="I172" i="2"/>
  <c r="I244" i="2"/>
  <c r="I113" i="2"/>
  <c r="I193" i="2"/>
  <c r="I229" i="2"/>
  <c r="J19" i="2"/>
  <c r="J179" i="2"/>
  <c r="J145" i="2"/>
  <c r="J212" i="2"/>
  <c r="I151" i="2"/>
  <c r="I199" i="2"/>
  <c r="I215" i="2"/>
  <c r="I44" i="2"/>
  <c r="J52" i="2"/>
  <c r="I68" i="2"/>
  <c r="J61" i="2"/>
  <c r="J73" i="2"/>
  <c r="I58" i="2"/>
  <c r="J186" i="2"/>
  <c r="I198" i="2"/>
  <c r="I279" i="2"/>
  <c r="I43" i="2"/>
  <c r="I79" i="2"/>
  <c r="I111" i="2"/>
  <c r="I120" i="2"/>
  <c r="I176" i="2"/>
  <c r="I232" i="2"/>
  <c r="I248" i="2"/>
  <c r="I9" i="2"/>
  <c r="I25" i="2"/>
  <c r="I41" i="2"/>
  <c r="I197" i="2"/>
  <c r="I213" i="2"/>
  <c r="I282" i="2"/>
  <c r="J243" i="2"/>
  <c r="J167" i="2"/>
  <c r="J126" i="2"/>
  <c r="I257" i="2"/>
  <c r="J257" i="2" s="1"/>
  <c r="J278" i="2"/>
  <c r="J275" i="2"/>
  <c r="I59" i="2"/>
  <c r="I123" i="2"/>
  <c r="I155" i="2"/>
  <c r="I187" i="2"/>
  <c r="I247" i="2"/>
  <c r="I65" i="2"/>
  <c r="I77" i="2"/>
  <c r="I105" i="2"/>
  <c r="I34" i="2"/>
  <c r="J130" i="2"/>
  <c r="I146" i="2"/>
  <c r="I178" i="2"/>
  <c r="I267" i="2"/>
  <c r="I218" i="2"/>
  <c r="I255" i="2"/>
  <c r="I91" i="2"/>
  <c r="J280" i="2"/>
  <c r="I16" i="2"/>
  <c r="I124" i="2"/>
  <c r="I148" i="2"/>
  <c r="I220" i="2"/>
  <c r="J265" i="2"/>
  <c r="I13" i="2"/>
  <c r="I45" i="2"/>
  <c r="I137" i="2"/>
  <c r="I201" i="2"/>
  <c r="J219" i="2"/>
  <c r="J164" i="2"/>
  <c r="J97" i="2"/>
  <c r="J261" i="2"/>
  <c r="J62" i="2"/>
  <c r="J249" i="2"/>
  <c r="J245" i="2"/>
  <c r="I83" i="2"/>
  <c r="I175" i="2"/>
  <c r="I207" i="2"/>
  <c r="J48" i="2"/>
  <c r="J100" i="2"/>
  <c r="I112" i="2"/>
  <c r="I109" i="2"/>
  <c r="I98" i="2"/>
  <c r="I122" i="2"/>
  <c r="I150" i="2"/>
  <c r="J170" i="2"/>
  <c r="I182" i="2"/>
  <c r="I271" i="2"/>
  <c r="I222" i="2"/>
  <c r="I276" i="2"/>
  <c r="I7" i="2"/>
  <c r="I95" i="2"/>
  <c r="J95" i="2" s="1"/>
  <c r="I277" i="2"/>
  <c r="I128" i="2"/>
  <c r="I240" i="2"/>
  <c r="I256" i="2"/>
  <c r="I17" i="2"/>
  <c r="I33" i="2"/>
  <c r="I49" i="2"/>
  <c r="I101" i="2"/>
  <c r="I125" i="2"/>
  <c r="I141" i="2"/>
  <c r="I157" i="2"/>
  <c r="I173" i="2"/>
  <c r="I189" i="2"/>
  <c r="I241" i="2"/>
  <c r="I258" i="2"/>
  <c r="I260" i="2"/>
  <c r="J8" i="2" l="1"/>
  <c r="J240" i="2"/>
  <c r="J112" i="2"/>
  <c r="J43" i="2"/>
  <c r="J241" i="2"/>
  <c r="J128" i="2"/>
  <c r="J122" i="2"/>
  <c r="J220" i="2"/>
  <c r="J267" i="2"/>
  <c r="J34" i="2"/>
  <c r="J247" i="2"/>
  <c r="J213" i="2"/>
  <c r="J9" i="2"/>
  <c r="J120" i="2"/>
  <c r="J279" i="2"/>
  <c r="J229" i="2"/>
  <c r="J172" i="2"/>
  <c r="J259" i="2"/>
  <c r="J163" i="2"/>
  <c r="J67" i="2"/>
  <c r="J72" i="2"/>
  <c r="J84" i="2"/>
  <c r="J206" i="2"/>
  <c r="J231" i="2"/>
  <c r="J32" i="2"/>
  <c r="J169" i="2"/>
  <c r="J107" i="2"/>
  <c r="J54" i="2"/>
  <c r="J273" i="2"/>
  <c r="J205" i="2"/>
  <c r="J53" i="2"/>
  <c r="J29" i="2"/>
  <c r="J188" i="2"/>
  <c r="J63" i="2"/>
  <c r="J196" i="2"/>
  <c r="J133" i="2"/>
  <c r="J75" i="2"/>
  <c r="J285" i="2"/>
  <c r="J235" i="2"/>
  <c r="J180" i="2"/>
  <c r="J192" i="2"/>
  <c r="J60" i="2"/>
  <c r="J14" i="2"/>
  <c r="J157" i="2"/>
  <c r="J7" i="2"/>
  <c r="J175" i="2"/>
  <c r="J218" i="2"/>
  <c r="J123" i="2"/>
  <c r="J141" i="2"/>
  <c r="J33" i="2"/>
  <c r="J276" i="2"/>
  <c r="J182" i="2"/>
  <c r="J83" i="2"/>
  <c r="J137" i="2"/>
  <c r="J59" i="2"/>
  <c r="J189" i="2"/>
  <c r="J125" i="2"/>
  <c r="J17" i="2"/>
  <c r="J277" i="2"/>
  <c r="J222" i="2"/>
  <c r="J98" i="2"/>
  <c r="J45" i="2"/>
  <c r="J148" i="2"/>
  <c r="J91" i="2"/>
  <c r="J178" i="2"/>
  <c r="J105" i="2"/>
  <c r="J187" i="2"/>
  <c r="J197" i="2"/>
  <c r="J248" i="2"/>
  <c r="J111" i="2"/>
  <c r="J198" i="2"/>
  <c r="J58" i="2"/>
  <c r="J68" i="2"/>
  <c r="J215" i="2"/>
  <c r="J193" i="2"/>
  <c r="J116" i="2"/>
  <c r="J194" i="2"/>
  <c r="J26" i="2"/>
  <c r="J131" i="2"/>
  <c r="J15" i="2"/>
  <c r="J42" i="2"/>
  <c r="J47" i="2"/>
  <c r="J233" i="2"/>
  <c r="J177" i="2"/>
  <c r="J39" i="2"/>
  <c r="J251" i="2"/>
  <c r="J153" i="2"/>
  <c r="J93" i="2"/>
  <c r="J40" i="2"/>
  <c r="J6" i="2"/>
  <c r="J168" i="2"/>
  <c r="J28" i="2"/>
  <c r="J5" i="2"/>
  <c r="J156" i="2"/>
  <c r="J37" i="2"/>
  <c r="J181" i="2"/>
  <c r="J118" i="2"/>
  <c r="J64" i="2"/>
  <c r="J269" i="2"/>
  <c r="J191" i="2"/>
  <c r="J46" i="2"/>
  <c r="J142" i="2"/>
  <c r="J143" i="2"/>
  <c r="J281" i="2"/>
  <c r="I314" i="2"/>
  <c r="I306" i="2" s="1"/>
  <c r="I307" i="2" s="1"/>
  <c r="H306" i="2"/>
  <c r="H307" i="2" s="1"/>
  <c r="J49" i="2"/>
  <c r="J16" i="2"/>
  <c r="J282" i="2"/>
  <c r="J260" i="2"/>
  <c r="J173" i="2"/>
  <c r="J101" i="2"/>
  <c r="J256" i="2"/>
  <c r="J271" i="2"/>
  <c r="J109" i="2"/>
  <c r="J207" i="2"/>
  <c r="J13" i="2"/>
  <c r="J124" i="2"/>
  <c r="J255" i="2"/>
  <c r="J146" i="2"/>
  <c r="J77" i="2"/>
  <c r="J155" i="2"/>
  <c r="J41" i="2"/>
  <c r="J232" i="2"/>
  <c r="J79" i="2"/>
  <c r="J199" i="2"/>
  <c r="J113" i="2"/>
  <c r="J18" i="2"/>
  <c r="J266" i="2"/>
  <c r="J81" i="2"/>
  <c r="J85" i="2"/>
  <c r="J226" i="2"/>
  <c r="J127" i="2"/>
  <c r="J136" i="2"/>
  <c r="J78" i="2"/>
  <c r="J22" i="2"/>
  <c r="J272" i="2"/>
  <c r="J138" i="2"/>
  <c r="J94" i="2"/>
  <c r="J237" i="2"/>
  <c r="J117" i="2"/>
  <c r="J10" i="2"/>
  <c r="J165" i="2"/>
  <c r="J103" i="2"/>
  <c r="J51" i="2"/>
  <c r="J3" i="2"/>
  <c r="J160" i="2"/>
  <c r="J21" i="2"/>
  <c r="J129" i="2"/>
  <c r="J284" i="2"/>
  <c r="I313" i="2"/>
  <c r="I303" i="2" s="1"/>
  <c r="I304" i="2" s="1"/>
  <c r="H303" i="2"/>
  <c r="H304" i="2" s="1"/>
  <c r="J258" i="2"/>
  <c r="J150" i="2"/>
  <c r="J201" i="2"/>
  <c r="J65" i="2"/>
  <c r="J25" i="2"/>
  <c r="J176" i="2"/>
  <c r="J44" i="2"/>
  <c r="J151" i="2"/>
  <c r="J244" i="2"/>
  <c r="J50" i="2"/>
  <c r="J70" i="2"/>
  <c r="J195" i="2"/>
  <c r="J87" i="2"/>
  <c r="J161" i="2"/>
  <c r="J184" i="2"/>
  <c r="J31" i="2"/>
  <c r="J11" i="2"/>
  <c r="J99" i="2"/>
  <c r="J185" i="2"/>
  <c r="J121" i="2"/>
  <c r="J66" i="2"/>
  <c r="J4" i="2"/>
  <c r="J239" i="2"/>
  <c r="J106" i="2"/>
  <c r="J55" i="2"/>
  <c r="J216" i="2"/>
  <c r="J88" i="2"/>
  <c r="J210" i="2"/>
  <c r="J149" i="2"/>
  <c r="J89" i="2"/>
  <c r="J35" i="2"/>
  <c r="J263" i="2"/>
  <c r="J132" i="2"/>
  <c r="J209" i="2"/>
  <c r="J56" i="2"/>
  <c r="J114" i="2"/>
  <c r="J152" i="2"/>
  <c r="I312" i="2"/>
  <c r="I300" i="2" s="1"/>
  <c r="I301" i="2" s="1"/>
  <c r="H300" i="2"/>
  <c r="H301" i="2" s="1"/>
  <c r="H319" i="2"/>
  <c r="I311" i="2"/>
  <c r="G319" i="2"/>
  <c r="I319" i="2" l="1"/>
  <c r="I297" i="2"/>
  <c r="I29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Management</author>
  </authors>
  <commentList>
    <comment ref="F2" authorId="0" shapeId="0" xr:uid="{00000000-0006-0000-0800-000001000000}">
      <text>
        <r>
          <rPr>
            <b/>
            <sz val="9"/>
            <color indexed="81"/>
            <rFont val="Tahoma"/>
            <family val="2"/>
          </rPr>
          <t xml:space="preserve">Hand Entered because program removes mergers
</t>
        </r>
      </text>
    </comment>
    <comment ref="F257" authorId="0" shapeId="0" xr:uid="{00000000-0006-0000-0800-000002000000}">
      <text>
        <r>
          <rPr>
            <b/>
            <sz val="9"/>
            <color indexed="81"/>
            <rFont val="Tahoma"/>
            <family val="2"/>
          </rPr>
          <t xml:space="preserve">Hand Entered because program removes mergers
</t>
        </r>
      </text>
    </comment>
    <comment ref="F289" authorId="0" shapeId="0" xr:uid="{00000000-0006-0000-0800-000003000000}">
      <text>
        <r>
          <rPr>
            <b/>
            <sz val="9"/>
            <color indexed="81"/>
            <rFont val="Tahoma"/>
            <family val="2"/>
          </rPr>
          <t xml:space="preserve">Hand Entered because program removes mergers
</t>
        </r>
      </text>
    </comment>
    <comment ref="F290" authorId="0" shapeId="0" xr:uid="{00000000-0006-0000-0800-000004000000}">
      <text>
        <r>
          <rPr>
            <b/>
            <sz val="9"/>
            <color indexed="81"/>
            <rFont val="Tahoma"/>
            <family val="2"/>
          </rPr>
          <t xml:space="preserve">Hand Entered because program removes mergers
</t>
        </r>
      </text>
    </comment>
  </commentList>
</comments>
</file>

<file path=xl/sharedStrings.xml><?xml version="1.0" encoding="utf-8"?>
<sst xmlns="http://schemas.openxmlformats.org/spreadsheetml/2006/main" count="10888" uniqueCount="2361">
  <si>
    <t>AGWSR</t>
  </si>
  <si>
    <t>BCLUW</t>
  </si>
  <si>
    <t>CAL</t>
  </si>
  <si>
    <t>CAM</t>
  </si>
  <si>
    <t>GMG</t>
  </si>
  <si>
    <t>HLV</t>
  </si>
  <si>
    <t>PCM</t>
  </si>
  <si>
    <t>AHSTW</t>
  </si>
  <si>
    <t>FiscalYear</t>
  </si>
  <si>
    <t>dist</t>
  </si>
  <si>
    <t>District_Name</t>
  </si>
  <si>
    <t>PPEL</t>
  </si>
  <si>
    <t>GeneralFund</t>
  </si>
  <si>
    <t>FY2016</t>
  </si>
  <si>
    <t>A-H-S-T</t>
  </si>
  <si>
    <t>Adair-Casey</t>
  </si>
  <si>
    <t>Akron-Westfield</t>
  </si>
  <si>
    <t>Albia</t>
  </si>
  <si>
    <t>Alburnett</t>
  </si>
  <si>
    <t>Alden</t>
  </si>
  <si>
    <t>Algona</t>
  </si>
  <si>
    <t>Allamakee</t>
  </si>
  <si>
    <t>Alta</t>
  </si>
  <si>
    <t>Ames</t>
  </si>
  <si>
    <t>Anamosa</t>
  </si>
  <si>
    <t>Andrew</t>
  </si>
  <si>
    <t>Aplington-Parkersburg</t>
  </si>
  <si>
    <t>Ar-We-Va</t>
  </si>
  <si>
    <t>Atlantic</t>
  </si>
  <si>
    <t>Audubon</t>
  </si>
  <si>
    <t>Aurelia</t>
  </si>
  <si>
    <t>Ballard</t>
  </si>
  <si>
    <t>Battle Creek-Ida Grove</t>
  </si>
  <si>
    <t>Baxter</t>
  </si>
  <si>
    <t>Bedford</t>
  </si>
  <si>
    <t>Belle Plaine</t>
  </si>
  <si>
    <t>Bellevue</t>
  </si>
  <si>
    <t>Bennett</t>
  </si>
  <si>
    <t>Benton</t>
  </si>
  <si>
    <t>Bondurant-Farrar</t>
  </si>
  <si>
    <t>Boone</t>
  </si>
  <si>
    <t>Boyden-Hull</t>
  </si>
  <si>
    <t>Boyer Valley</t>
  </si>
  <si>
    <t>Brooklyn-Guernsey-Malcom</t>
  </si>
  <si>
    <t>Calamus/Wheatland</t>
  </si>
  <si>
    <t>Cardinal</t>
  </si>
  <si>
    <t>Carroll</t>
  </si>
  <si>
    <t>Cedar Rapids</t>
  </si>
  <si>
    <t>Center Point-Urbana</t>
  </si>
  <si>
    <t>Centerville</t>
  </si>
  <si>
    <t>Central Clayton</t>
  </si>
  <si>
    <t>Central De Witt</t>
  </si>
  <si>
    <t>Central Decatur</t>
  </si>
  <si>
    <t>Central Lee</t>
  </si>
  <si>
    <t>Central Lyon</t>
  </si>
  <si>
    <t>Central Springs</t>
  </si>
  <si>
    <t>Chariton</t>
  </si>
  <si>
    <t>Charles City</t>
  </si>
  <si>
    <t>Charter Oak-Ute</t>
  </si>
  <si>
    <t>Cherokee</t>
  </si>
  <si>
    <t>Clarinda</t>
  </si>
  <si>
    <t>Clarke</t>
  </si>
  <si>
    <t>Clarksville</t>
  </si>
  <si>
    <t>Clay Central-Everly</t>
  </si>
  <si>
    <t>Clear Creek-Amana</t>
  </si>
  <si>
    <t>Clear Lake</t>
  </si>
  <si>
    <t>Clinton</t>
  </si>
  <si>
    <t>Colfax-Mingo</t>
  </si>
  <si>
    <t>Collins-Maxwell</t>
  </si>
  <si>
    <t>Colo-Nesco</t>
  </si>
  <si>
    <t>Columbus</t>
  </si>
  <si>
    <t>Coon Rapids-Bayard</t>
  </si>
  <si>
    <t>Corning</t>
  </si>
  <si>
    <t>Creston</t>
  </si>
  <si>
    <t>Danville</t>
  </si>
  <si>
    <t>Davis County</t>
  </si>
  <si>
    <t>Decorah</t>
  </si>
  <si>
    <t>Delwood</t>
  </si>
  <si>
    <t>Denison</t>
  </si>
  <si>
    <t>Denver</t>
  </si>
  <si>
    <t>Diagonal</t>
  </si>
  <si>
    <t>Dike-New Hartford</t>
  </si>
  <si>
    <t>Dunkerton</t>
  </si>
  <si>
    <t>Durant</t>
  </si>
  <si>
    <t>Eagle Grove</t>
  </si>
  <si>
    <t>East Buchanan</t>
  </si>
  <si>
    <t>East Marshall</t>
  </si>
  <si>
    <t>East Mills</t>
  </si>
  <si>
    <t>East Sac County</t>
  </si>
  <si>
    <t>East Union</t>
  </si>
  <si>
    <t>Eastern Allamakee</t>
  </si>
  <si>
    <t>Eddyville-Blakesburg-Fremont</t>
  </si>
  <si>
    <t>Edgewood-Colesburg</t>
  </si>
  <si>
    <t>Eldora-New Providence</t>
  </si>
  <si>
    <t>Emmetsburg</t>
  </si>
  <si>
    <t>English Valleys</t>
  </si>
  <si>
    <t>Essex</t>
  </si>
  <si>
    <t>Estherville-Lincolnal</t>
  </si>
  <si>
    <t>Exira-Elk Horn-Kimballton</t>
  </si>
  <si>
    <t>Fairfield</t>
  </si>
  <si>
    <t>Farragut</t>
  </si>
  <si>
    <t>Forest City</t>
  </si>
  <si>
    <t>Fort Dodge</t>
  </si>
  <si>
    <t>Fremont-Mills</t>
  </si>
  <si>
    <t>Galva-Holstein</t>
  </si>
  <si>
    <t>Garner-Hayfield-Ventura</t>
  </si>
  <si>
    <t>George-Little Rock</t>
  </si>
  <si>
    <t>Gilmore City-Bradgate</t>
  </si>
  <si>
    <t>Gladbrook-Reinbeck</t>
  </si>
  <si>
    <t>Glenwood</t>
  </si>
  <si>
    <t>Glidden-Ralston</t>
  </si>
  <si>
    <t>Graettinger-Terril</t>
  </si>
  <si>
    <t>Greene County</t>
  </si>
  <si>
    <t>Grinnell-Newburg</t>
  </si>
  <si>
    <t>Griswold</t>
  </si>
  <si>
    <t>Grundy Center</t>
  </si>
  <si>
    <t>Guthrie Center</t>
  </si>
  <si>
    <t>Hamburg</t>
  </si>
  <si>
    <t>Hampton-Dumont</t>
  </si>
  <si>
    <t>Harlan</t>
  </si>
  <si>
    <t>Harmony</t>
  </si>
  <si>
    <t>Hartley-Melvin-Sanborn</t>
  </si>
  <si>
    <t>Highland</t>
  </si>
  <si>
    <t>Hinton</t>
  </si>
  <si>
    <t>Howard-Winneshiek</t>
  </si>
  <si>
    <t>Hudson</t>
  </si>
  <si>
    <t>Humboldt</t>
  </si>
  <si>
    <t>IKM-Manning</t>
  </si>
  <si>
    <t>Independence</t>
  </si>
  <si>
    <t>Indianola</t>
  </si>
  <si>
    <t>Iowa City</t>
  </si>
  <si>
    <t>Iowa Falls</t>
  </si>
  <si>
    <t>Iowa Valley</t>
  </si>
  <si>
    <t>Janesville</t>
  </si>
  <si>
    <t>Keota</t>
  </si>
  <si>
    <t>Kingsley-Pierson</t>
  </si>
  <si>
    <t>Knoxville</t>
  </si>
  <si>
    <t>Lake Mills</t>
  </si>
  <si>
    <t>Lamoni</t>
  </si>
  <si>
    <t>Laurens-Marathon</t>
  </si>
  <si>
    <t>Lawton-Bronson</t>
  </si>
  <si>
    <t>Lenox</t>
  </si>
  <si>
    <t>Lewis Central</t>
  </si>
  <si>
    <t>Lisbon</t>
  </si>
  <si>
    <t>Logan-Magnolia</t>
  </si>
  <si>
    <t>Lone Tree</t>
  </si>
  <si>
    <t>Louisa-Muscatine</t>
  </si>
  <si>
    <t>Lu Verne</t>
  </si>
  <si>
    <t>Lynnville-Sully</t>
  </si>
  <si>
    <t>Madrid</t>
  </si>
  <si>
    <t>Manson-Northwest Webster</t>
  </si>
  <si>
    <t>Maple Valley-Anthon Oto</t>
  </si>
  <si>
    <t>Maquoketa</t>
  </si>
  <si>
    <t>Marcus-Meriden Cleghorn</t>
  </si>
  <si>
    <t>Marion</t>
  </si>
  <si>
    <t>Martensdale-St Marys</t>
  </si>
  <si>
    <t>Mason City</t>
  </si>
  <si>
    <t>Mediapolis</t>
  </si>
  <si>
    <t>Melcher-Dallas</t>
  </si>
  <si>
    <t>MFL MarMac</t>
  </si>
  <si>
    <t>Mid-Prairie</t>
  </si>
  <si>
    <t>Midland</t>
  </si>
  <si>
    <t>Missouri Valley</t>
  </si>
  <si>
    <t>Moc-Floyd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</si>
  <si>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</si>
  <si>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</si>
  <si>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</si>
  <si>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</si>
  <si>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</si>
  <si>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</si>
  <si>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</si>
  <si>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</si>
  <si>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</si>
  <si>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</si>
  <si>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</si>
  <si>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</si>
  <si>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</si>
  <si>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</si>
  <si>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</si>
  <si>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</si>
  <si>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</si>
  <si>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Nodaway Valley</t>
  </si>
  <si>
    <t>North Butler</t>
  </si>
  <si>
    <t>North Cedar</t>
  </si>
  <si>
    <t>North Fayette</t>
  </si>
  <si>
    <t>North Iowa</t>
  </si>
  <si>
    <t>North Kossuth</t>
  </si>
  <si>
    <t>North Linn</t>
  </si>
  <si>
    <t>North Mahaska</t>
  </si>
  <si>
    <t>North Polk</t>
  </si>
  <si>
    <t>North Scott</t>
  </si>
  <si>
    <t>North Tama</t>
  </si>
  <si>
    <t>North Union</t>
  </si>
  <si>
    <t>North Winneshiek</t>
  </si>
  <si>
    <t>Northeast</t>
  </si>
  <si>
    <t>Northeast Hamilton</t>
  </si>
  <si>
    <t>Northwood-Kensett</t>
  </si>
  <si>
    <t>Odebolt-Arthur</t>
  </si>
  <si>
    <t>Oelwein</t>
  </si>
  <si>
    <t>Ogden</t>
  </si>
  <si>
    <t>Okoboji</t>
  </si>
  <si>
    <t>Olin</t>
  </si>
  <si>
    <t>Orient-Macksburg</t>
  </si>
  <si>
    <t>Osage</t>
  </si>
  <si>
    <t>Oskaloosa</t>
  </si>
  <si>
    <t>Panorama</t>
  </si>
  <si>
    <t>Paton-Churdan</t>
  </si>
  <si>
    <t>Pekin</t>
  </si>
  <si>
    <t>Pella</t>
  </si>
  <si>
    <t>Perry</t>
  </si>
  <si>
    <t>Pleasantville</t>
  </si>
  <si>
    <t>Pocahontas Area</t>
  </si>
  <si>
    <t>Postville</t>
  </si>
  <si>
    <t>Prairie Valley</t>
  </si>
  <si>
    <t>Red Oak</t>
  </si>
  <si>
    <t>Remsen-Union</t>
  </si>
  <si>
    <t>Riceville</t>
  </si>
  <si>
    <t>River Valley</t>
  </si>
  <si>
    <t>Riverside</t>
  </si>
  <si>
    <t>Roland-Story</t>
  </si>
  <si>
    <t>Rudd-Rockford-Marble Rock</t>
  </si>
  <si>
    <t>Ruthven-Ayrshire</t>
  </si>
  <si>
    <t>Schaller-Crestland</t>
  </si>
  <si>
    <t>Schleswig</t>
  </si>
  <si>
    <t>Seymour</t>
  </si>
  <si>
    <t>Sheldon</t>
  </si>
  <si>
    <t>Shenandoah</t>
  </si>
  <si>
    <t>Sibley-Ocheyedan</t>
  </si>
  <si>
    <t>Sidney</t>
  </si>
  <si>
    <t>Sigourney</t>
  </si>
  <si>
    <t>Sioux Center</t>
  </si>
  <si>
    <t>Sioux City</t>
  </si>
  <si>
    <t>Solon</t>
  </si>
  <si>
    <t>South Hamilton</t>
  </si>
  <si>
    <t>South O'Brien</t>
  </si>
  <si>
    <t>South Page</t>
  </si>
  <si>
    <t>South Tama</t>
  </si>
  <si>
    <t>South Winneshiek</t>
  </si>
  <si>
    <t>Southeast Polk</t>
  </si>
  <si>
    <t>Southeast Warren</t>
  </si>
  <si>
    <t>Southeast Webster-Grand</t>
  </si>
  <si>
    <t>Spencer</t>
  </si>
  <si>
    <t>Spirit Lake</t>
  </si>
  <si>
    <t>Springville</t>
  </si>
  <si>
    <t>St Ansgar</t>
  </si>
  <si>
    <t>Stanton</t>
  </si>
  <si>
    <t>Storm Lake</t>
  </si>
  <si>
    <t>Stratford</t>
  </si>
  <si>
    <t>Sumner-Fredericksburg</t>
  </si>
  <si>
    <t>Tipton</t>
  </si>
  <si>
    <t>Treynor</t>
  </si>
  <si>
    <t>Tri-Center</t>
  </si>
  <si>
    <t>Tri-County</t>
  </si>
  <si>
    <t>Twin Cedars</t>
  </si>
  <si>
    <t>Twin Rivers</t>
  </si>
  <si>
    <t>Union</t>
  </si>
  <si>
    <t>United</t>
  </si>
  <si>
    <t>Valley</t>
  </si>
  <si>
    <t>Van Buren</t>
  </si>
  <si>
    <t>Van Meter</t>
  </si>
  <si>
    <t>Villisca</t>
  </si>
  <si>
    <t>Vinton-Shellsburg</t>
  </si>
  <si>
    <t>Walnut</t>
  </si>
  <si>
    <t>Wapello</t>
  </si>
  <si>
    <t>Wapsie Valley</t>
  </si>
  <si>
    <t>Washington</t>
  </si>
  <si>
    <t>Waverly-Shell Rock</t>
  </si>
  <si>
    <t>Wayne</t>
  </si>
  <si>
    <t>Webster City</t>
  </si>
  <si>
    <t>West Branch</t>
  </si>
  <si>
    <t>West Central</t>
  </si>
  <si>
    <t>West Central Valley</t>
  </si>
  <si>
    <t>West Delaware County</t>
  </si>
  <si>
    <t>West Fork</t>
  </si>
  <si>
    <t>West Hancock</t>
  </si>
  <si>
    <t>West Harrison</t>
  </si>
  <si>
    <t>West Liberty</t>
  </si>
  <si>
    <t>West Lyon</t>
  </si>
  <si>
    <t>West Marshall</t>
  </si>
  <si>
    <t>West Monona</t>
  </si>
  <si>
    <t>West Sioux</t>
  </si>
  <si>
    <t>Western Dubuque County</t>
  </si>
  <si>
    <t>Westwood</t>
  </si>
  <si>
    <t>Whiting</t>
  </si>
  <si>
    <t>Williamsburg</t>
  </si>
  <si>
    <t>Wilton</t>
  </si>
  <si>
    <t>Winfield-Mt Union</t>
  </si>
  <si>
    <t>Winterset</t>
  </si>
  <si>
    <t>Woodbine</t>
  </si>
  <si>
    <t>Woodbury Central</t>
  </si>
  <si>
    <t>Woodward-Granger</t>
  </si>
  <si>
    <t>100% DoR</t>
  </si>
  <si>
    <t>Dist</t>
  </si>
  <si>
    <t>100% DoR output</t>
  </si>
  <si>
    <t>General Fund</t>
  </si>
  <si>
    <t>Compared to Payment</t>
  </si>
  <si>
    <t>General Fund Surtax Rate</t>
  </si>
  <si>
    <t>Merger for FY 2017</t>
  </si>
  <si>
    <t>Total</t>
  </si>
  <si>
    <t>Valuation</t>
  </si>
  <si>
    <t>% Dist</t>
  </si>
  <si>
    <t>Check</t>
  </si>
  <si>
    <t>Farragut Amounts to Districts</t>
  </si>
  <si>
    <t>VPPEL Surtax Rate</t>
  </si>
  <si>
    <t>VPPEL Portion</t>
  </si>
  <si>
    <t>General Fund Portion</t>
  </si>
  <si>
    <t>NAME</t>
  </si>
  <si>
    <t xml:space="preserve">100% DoR output from 'T075001.LIB.TEMP(INCTAX)'
</t>
  </si>
  <si>
    <t>This is from Database District_Name</t>
  </si>
  <si>
    <t>Total payment, not 75%</t>
  </si>
  <si>
    <t>Total Payment</t>
  </si>
  <si>
    <t>Payment</t>
  </si>
  <si>
    <t>0009</t>
  </si>
  <si>
    <t>0018</t>
  </si>
  <si>
    <t>0027</t>
  </si>
  <si>
    <t>0063</t>
  </si>
  <si>
    <t>0072</t>
  </si>
  <si>
    <t>0081</t>
  </si>
  <si>
    <t>0099</t>
  </si>
  <si>
    <t>0108</t>
  </si>
  <si>
    <t>0126</t>
  </si>
  <si>
    <t>0135</t>
  </si>
  <si>
    <t>0153</t>
  </si>
  <si>
    <t>0171</t>
  </si>
  <si>
    <t>0225</t>
  </si>
  <si>
    <t>0234</t>
  </si>
  <si>
    <t>0243</t>
  </si>
  <si>
    <t>0261</t>
  </si>
  <si>
    <t>0279</t>
  </si>
  <si>
    <t>0333</t>
  </si>
  <si>
    <t>0355</t>
  </si>
  <si>
    <t>0387</t>
  </si>
  <si>
    <t>0414</t>
  </si>
  <si>
    <t>0441</t>
  </si>
  <si>
    <t>0472</t>
  </si>
  <si>
    <t>0513</t>
  </si>
  <si>
    <t>0540</t>
  </si>
  <si>
    <t>0549</t>
  </si>
  <si>
    <t>0576</t>
  </si>
  <si>
    <t>0585</t>
  </si>
  <si>
    <t>0594</t>
  </si>
  <si>
    <t>0603</t>
  </si>
  <si>
    <t>0609</t>
  </si>
  <si>
    <t>0621</t>
  </si>
  <si>
    <t>0657</t>
  </si>
  <si>
    <t>0720</t>
  </si>
  <si>
    <t>0729</t>
  </si>
  <si>
    <t>0747</t>
  </si>
  <si>
    <t>0819</t>
  </si>
  <si>
    <t>0846</t>
  </si>
  <si>
    <t>0873</t>
  </si>
  <si>
    <t>0882</t>
  </si>
  <si>
    <t>0914</t>
  </si>
  <si>
    <t>0916</t>
  </si>
  <si>
    <t>0918</t>
  </si>
  <si>
    <t>0936</t>
  </si>
  <si>
    <t>0977</t>
  </si>
  <si>
    <t>0981</t>
  </si>
  <si>
    <t>0999</t>
  </si>
  <si>
    <t>1044</t>
  </si>
  <si>
    <t>1053</t>
  </si>
  <si>
    <t>1062</t>
  </si>
  <si>
    <t>1071</t>
  </si>
  <si>
    <t>1079</t>
  </si>
  <si>
    <t>1080</t>
  </si>
  <si>
    <t>1082</t>
  </si>
  <si>
    <t>1089</t>
  </si>
  <si>
    <t>1093</t>
  </si>
  <si>
    <t>1095</t>
  </si>
  <si>
    <t>1107</t>
  </si>
  <si>
    <t>1116</t>
  </si>
  <si>
    <t>1134</t>
  </si>
  <si>
    <t>1152</t>
  </si>
  <si>
    <t>1197</t>
  </si>
  <si>
    <t>1206</t>
  </si>
  <si>
    <t>1211</t>
  </si>
  <si>
    <t>1215</t>
  </si>
  <si>
    <t>1218</t>
  </si>
  <si>
    <t>1221</t>
  </si>
  <si>
    <t>1233</t>
  </si>
  <si>
    <t>1278</t>
  </si>
  <si>
    <t>1332</t>
  </si>
  <si>
    <t>1337</t>
  </si>
  <si>
    <t>1350</t>
  </si>
  <si>
    <t>1359</t>
  </si>
  <si>
    <t>1368</t>
  </si>
  <si>
    <t>1413</t>
  </si>
  <si>
    <t>1431</t>
  </si>
  <si>
    <t>1476</t>
  </si>
  <si>
    <t>1503</t>
  </si>
  <si>
    <t>1576</t>
  </si>
  <si>
    <t>1602</t>
  </si>
  <si>
    <t>1611</t>
  </si>
  <si>
    <t>1619</t>
  </si>
  <si>
    <t>1638</t>
  </si>
  <si>
    <t>1675</t>
  </si>
  <si>
    <t>1701</t>
  </si>
  <si>
    <t>1719</t>
  </si>
  <si>
    <t>1737</t>
  </si>
  <si>
    <t>1782</t>
  </si>
  <si>
    <t>1791</t>
  </si>
  <si>
    <t>1863</t>
  </si>
  <si>
    <t>1908</t>
  </si>
  <si>
    <t>1917</t>
  </si>
  <si>
    <t>1926</t>
  </si>
  <si>
    <t>1935</t>
  </si>
  <si>
    <t>1944</t>
  </si>
  <si>
    <t>1953</t>
  </si>
  <si>
    <t>1963</t>
  </si>
  <si>
    <t>1965</t>
  </si>
  <si>
    <t>1970</t>
  </si>
  <si>
    <t>1972</t>
  </si>
  <si>
    <t>1975</t>
  </si>
  <si>
    <t>1989</t>
  </si>
  <si>
    <t>2007</t>
  </si>
  <si>
    <t>2088</t>
  </si>
  <si>
    <t>2097</t>
  </si>
  <si>
    <t>2113</t>
  </si>
  <si>
    <t>2124</t>
  </si>
  <si>
    <t>2151</t>
  </si>
  <si>
    <t>2169</t>
  </si>
  <si>
    <t>2295</t>
  </si>
  <si>
    <t>2313</t>
  </si>
  <si>
    <t>2322</t>
  </si>
  <si>
    <t>2369</t>
  </si>
  <si>
    <t>2376</t>
  </si>
  <si>
    <t>2403</t>
  </si>
  <si>
    <t>2457</t>
  </si>
  <si>
    <t>2466</t>
  </si>
  <si>
    <t>2493</t>
  </si>
  <si>
    <t>2502</t>
  </si>
  <si>
    <t>2511</t>
  </si>
  <si>
    <t>2520</t>
  </si>
  <si>
    <t>2556</t>
  </si>
  <si>
    <t>2673</t>
  </si>
  <si>
    <t>2682</t>
  </si>
  <si>
    <t>2709</t>
  </si>
  <si>
    <t>2718</t>
  </si>
  <si>
    <t>2727</t>
  </si>
  <si>
    <t>2754</t>
  </si>
  <si>
    <t>2763</t>
  </si>
  <si>
    <t>2766</t>
  </si>
  <si>
    <t>2772</t>
  </si>
  <si>
    <t>2781</t>
  </si>
  <si>
    <t>2826</t>
  </si>
  <si>
    <t>2846</t>
  </si>
  <si>
    <t>2862</t>
  </si>
  <si>
    <t>2977</t>
  </si>
  <si>
    <t>2988</t>
  </si>
  <si>
    <t>3029</t>
  </si>
  <si>
    <t>3033</t>
  </si>
  <si>
    <t>3042</t>
  </si>
  <si>
    <t>3060</t>
  </si>
  <si>
    <t>3105</t>
  </si>
  <si>
    <t>3114</t>
  </si>
  <si>
    <t>3119</t>
  </si>
  <si>
    <t>3141</t>
  </si>
  <si>
    <t>3150</t>
  </si>
  <si>
    <t>3154</t>
  </si>
  <si>
    <t>3168</t>
  </si>
  <si>
    <t>3186</t>
  </si>
  <si>
    <t>3195</t>
  </si>
  <si>
    <t>3204</t>
  </si>
  <si>
    <t>3231</t>
  </si>
  <si>
    <t>3312</t>
  </si>
  <si>
    <t>3330</t>
  </si>
  <si>
    <t>3348</t>
  </si>
  <si>
    <t>3375</t>
  </si>
  <si>
    <t>3420</t>
  </si>
  <si>
    <t>3465</t>
  </si>
  <si>
    <t>3537</t>
  </si>
  <si>
    <t>3555</t>
  </si>
  <si>
    <t>3582</t>
  </si>
  <si>
    <t>3600</t>
  </si>
  <si>
    <t>3609</t>
  </si>
  <si>
    <t>3645</t>
  </si>
  <si>
    <t>3691</t>
  </si>
  <si>
    <t>3715</t>
  </si>
  <si>
    <t>3744</t>
  </si>
  <si>
    <t>3798</t>
  </si>
  <si>
    <t>3816</t>
  </si>
  <si>
    <t>3841</t>
  </si>
  <si>
    <t>3897</t>
  </si>
  <si>
    <t>3906</t>
  </si>
  <si>
    <t>3942</t>
  </si>
  <si>
    <t>3978</t>
  </si>
  <si>
    <t>4023</t>
  </si>
  <si>
    <t>4033</t>
  </si>
  <si>
    <t>4041</t>
  </si>
  <si>
    <t>4043</t>
  </si>
  <si>
    <t>4068</t>
  </si>
  <si>
    <t>4086</t>
  </si>
  <si>
    <t>4104</t>
  </si>
  <si>
    <t>4122</t>
  </si>
  <si>
    <t>4131</t>
  </si>
  <si>
    <t>4149</t>
  </si>
  <si>
    <t>4203</t>
  </si>
  <si>
    <t>4212</t>
  </si>
  <si>
    <t>4269</t>
  </si>
  <si>
    <t>4271</t>
  </si>
  <si>
    <t>4356</t>
  </si>
  <si>
    <t>4419</t>
  </si>
  <si>
    <t>4437</t>
  </si>
  <si>
    <t>4446</t>
  </si>
  <si>
    <t>4491</t>
  </si>
  <si>
    <t>4505</t>
  </si>
  <si>
    <t>4509</t>
  </si>
  <si>
    <t>4518</t>
  </si>
  <si>
    <t>4527</t>
  </si>
  <si>
    <t>4536</t>
  </si>
  <si>
    <t>4554</t>
  </si>
  <si>
    <t>4572</t>
  </si>
  <si>
    <t>4581</t>
  </si>
  <si>
    <t>4599</t>
  </si>
  <si>
    <t>4617</t>
  </si>
  <si>
    <t>4644</t>
  </si>
  <si>
    <t>4662</t>
  </si>
  <si>
    <t>4689</t>
  </si>
  <si>
    <t>4725</t>
  </si>
  <si>
    <t>4772</t>
  </si>
  <si>
    <t>4773</t>
  </si>
  <si>
    <t>4774</t>
  </si>
  <si>
    <t>4775</t>
  </si>
  <si>
    <t>4776</t>
  </si>
  <si>
    <t>4777</t>
  </si>
  <si>
    <t>4778</t>
  </si>
  <si>
    <t>4779</t>
  </si>
  <si>
    <t>4784</t>
  </si>
  <si>
    <t>4785</t>
  </si>
  <si>
    <t>4788</t>
  </si>
  <si>
    <t>4797</t>
  </si>
  <si>
    <t>4824</t>
  </si>
  <si>
    <t>4860</t>
  </si>
  <si>
    <t>4869</t>
  </si>
  <si>
    <t>4878</t>
  </si>
  <si>
    <t>4890</t>
  </si>
  <si>
    <t>4905</t>
  </si>
  <si>
    <t>4978</t>
  </si>
  <si>
    <t>4995</t>
  </si>
  <si>
    <t>5013</t>
  </si>
  <si>
    <t>5049</t>
  </si>
  <si>
    <t>5121</t>
  </si>
  <si>
    <t>5139</t>
  </si>
  <si>
    <t>5157</t>
  </si>
  <si>
    <t>5163</t>
  </si>
  <si>
    <t>5166</t>
  </si>
  <si>
    <t>5184</t>
  </si>
  <si>
    <t>5250</t>
  </si>
  <si>
    <t>5256</t>
  </si>
  <si>
    <t>5283</t>
  </si>
  <si>
    <t>5310</t>
  </si>
  <si>
    <t>5319</t>
  </si>
  <si>
    <t>5323</t>
  </si>
  <si>
    <t>5463</t>
  </si>
  <si>
    <t>5486</t>
  </si>
  <si>
    <t>5508</t>
  </si>
  <si>
    <t>5607</t>
  </si>
  <si>
    <t>5643</t>
  </si>
  <si>
    <t>5697</t>
  </si>
  <si>
    <t>5724</t>
  </si>
  <si>
    <t>5751</t>
  </si>
  <si>
    <t>5805</t>
  </si>
  <si>
    <t>5823</t>
  </si>
  <si>
    <t>5832</t>
  </si>
  <si>
    <t>5877</t>
  </si>
  <si>
    <t>5895</t>
  </si>
  <si>
    <t>5922</t>
  </si>
  <si>
    <t>5949</t>
  </si>
  <si>
    <t>5976</t>
  </si>
  <si>
    <t>5994</t>
  </si>
  <si>
    <t>6003</t>
  </si>
  <si>
    <t>6012</t>
  </si>
  <si>
    <t>6030</t>
  </si>
  <si>
    <t>6039</t>
  </si>
  <si>
    <t>6048</t>
  </si>
  <si>
    <t>6093</t>
  </si>
  <si>
    <t>6094</t>
  </si>
  <si>
    <t>6095</t>
  </si>
  <si>
    <t>6096</t>
  </si>
  <si>
    <t>6097</t>
  </si>
  <si>
    <t>6098</t>
  </si>
  <si>
    <t>6100</t>
  </si>
  <si>
    <t>6101</t>
  </si>
  <si>
    <t>6102</t>
  </si>
  <si>
    <t>6120</t>
  </si>
  <si>
    <t>6138</t>
  </si>
  <si>
    <t>6165</t>
  </si>
  <si>
    <t>6175</t>
  </si>
  <si>
    <t>6219</t>
  </si>
  <si>
    <t>6246</t>
  </si>
  <si>
    <t>6264</t>
  </si>
  <si>
    <t>6273</t>
  </si>
  <si>
    <t>6408</t>
  </si>
  <si>
    <t>6453</t>
  </si>
  <si>
    <t>6460</t>
  </si>
  <si>
    <t>6462</t>
  </si>
  <si>
    <t>6471</t>
  </si>
  <si>
    <t>6509</t>
  </si>
  <si>
    <t>6512</t>
  </si>
  <si>
    <t>6516</t>
  </si>
  <si>
    <t>6534</t>
  </si>
  <si>
    <t>6561</t>
  </si>
  <si>
    <t>6579</t>
  </si>
  <si>
    <t>6592</t>
  </si>
  <si>
    <t>6615</t>
  </si>
  <si>
    <t>6651</t>
  </si>
  <si>
    <t>6660</t>
  </si>
  <si>
    <t>6700</t>
  </si>
  <si>
    <t>6741</t>
  </si>
  <si>
    <t>6759</t>
  </si>
  <si>
    <t>6762</t>
  </si>
  <si>
    <t>6768</t>
  </si>
  <si>
    <t>6795</t>
  </si>
  <si>
    <t>6822</t>
  </si>
  <si>
    <t>6840</t>
  </si>
  <si>
    <t>6854</t>
  </si>
  <si>
    <t>6867</t>
  </si>
  <si>
    <t>6921</t>
  </si>
  <si>
    <t>6930</t>
  </si>
  <si>
    <t>6937</t>
  </si>
  <si>
    <t>6943</t>
  </si>
  <si>
    <t>6950</t>
  </si>
  <si>
    <t>6957</t>
  </si>
  <si>
    <t>6961</t>
  </si>
  <si>
    <t>6969</t>
  </si>
  <si>
    <t>6975</t>
  </si>
  <si>
    <t>6983</t>
  </si>
  <si>
    <t>6985</t>
  </si>
  <si>
    <t>6987</t>
  </si>
  <si>
    <t>6990</t>
  </si>
  <si>
    <t>6992</t>
  </si>
  <si>
    <t>7002</t>
  </si>
  <si>
    <t>7029</t>
  </si>
  <si>
    <t>7038</t>
  </si>
  <si>
    <t>7047</t>
  </si>
  <si>
    <t>7056</t>
  </si>
  <si>
    <t>7092</t>
  </si>
  <si>
    <t>7098</t>
  </si>
  <si>
    <t>7110</t>
  </si>
  <si>
    <t>Easton Valley</t>
  </si>
  <si>
    <t>Estherville-Lincoln Central</t>
  </si>
  <si>
    <t>Starmont</t>
  </si>
  <si>
    <t>Tripoli</t>
  </si>
  <si>
    <t>West Delaware Co</t>
  </si>
  <si>
    <t>Western Dubuque Co</t>
  </si>
  <si>
    <t>Payment in Fiscal Year:</t>
  </si>
  <si>
    <t>Have other PPEL vs. GF tab to show how to deal with merger and dissolutions</t>
  </si>
  <si>
    <t>Would only need the 100% output in December and Feb to deal with merger and dissolutions.  Distribute PPEL vs. GF prior to merger then combine when shown on Total Tab.</t>
  </si>
  <si>
    <t>Label</t>
  </si>
  <si>
    <t>Belmond-Klemme</t>
  </si>
  <si>
    <t>Fort Madison</t>
  </si>
  <si>
    <t>6091</t>
  </si>
  <si>
    <t>DecemberTotalMainframe</t>
  </si>
  <si>
    <t>Separate out Reorgs</t>
  </si>
  <si>
    <t>Difference</t>
  </si>
  <si>
    <t>Use Reports program in the "Pay" process flow to get the surtax rates in "SurtaxTateByFund" and paste into here.</t>
  </si>
  <si>
    <t>Remember to hardcode all reorgs. The mainframe program will add the combined districts together, you have to separate back out to adjust for GF vs. PPEL and then sum back together to add to the payment.
Then in the SurtaxPayment tab the reorgs will be adjusted again to account for the reorgs from one year to the next.</t>
  </si>
  <si>
    <t>11</t>
  </si>
  <si>
    <t>07</t>
  </si>
  <si>
    <t>13</t>
  </si>
  <si>
    <t>12</t>
  </si>
  <si>
    <t>05</t>
  </si>
  <si>
    <t>15</t>
  </si>
  <si>
    <t>10</t>
  </si>
  <si>
    <t>6417</t>
  </si>
  <si>
    <t>01</t>
  </si>
  <si>
    <t>09</t>
  </si>
  <si>
    <t>1854</t>
  </si>
  <si>
    <t>0216</t>
  </si>
  <si>
    <t>5328</t>
  </si>
  <si>
    <t>1968</t>
  </si>
  <si>
    <t>5160</t>
  </si>
  <si>
    <t>5325</t>
  </si>
  <si>
    <t>5510</t>
  </si>
  <si>
    <t>6035</t>
  </si>
  <si>
    <t>6099</t>
  </si>
  <si>
    <t>6536</t>
  </si>
  <si>
    <t>AEA</t>
  </si>
  <si>
    <t>DistSub1</t>
  </si>
  <si>
    <t>DistSub2</t>
  </si>
  <si>
    <t>DistrictNumber</t>
  </si>
  <si>
    <t>Used SAS - Reports - Pay Process Flow - to paste in Surtax Rates in SurtaxRatesSAS</t>
  </si>
  <si>
    <t>Use the SurtaxRatesSAS to distribute GF vs VPPEL</t>
  </si>
  <si>
    <t>SurtaxPayment is the active districts for the Fiscal Year from a Data sheet like Special Ed Enrollment</t>
  </si>
  <si>
    <t>In the Payment_MainfromeOutput tab, select everything from the output and paste into the tab and convert to columns. - Remove unneeded rows if number of districts decreased</t>
  </si>
  <si>
    <t>FebruaryPayment</t>
  </si>
  <si>
    <t>Check Feb</t>
  </si>
  <si>
    <t>Alta-Aurelia</t>
  </si>
  <si>
    <t>Calamus-Wheatland</t>
  </si>
  <si>
    <t>MFL Mar Mac</t>
  </si>
  <si>
    <t>North Fayette Valley</t>
  </si>
  <si>
    <t>Odebolt Arthur Battle Creek Ida Gr</t>
  </si>
  <si>
    <t>Sioux Central</t>
  </si>
  <si>
    <t/>
  </si>
  <si>
    <t>Adel-Desoto-Minburn</t>
  </si>
  <si>
    <t>Albert City-Truesdale</t>
  </si>
  <si>
    <t>Ankeny</t>
  </si>
  <si>
    <t>Bettendorf</t>
  </si>
  <si>
    <t>Burlington</t>
  </si>
  <si>
    <t>Camanche</t>
  </si>
  <si>
    <t>Carlisle</t>
  </si>
  <si>
    <t>Cedar Falls</t>
  </si>
  <si>
    <t>Central City</t>
  </si>
  <si>
    <t>Clarion-Goldfield-Dows</t>
  </si>
  <si>
    <t>Clayton Ridge</t>
  </si>
  <si>
    <t>College Community</t>
  </si>
  <si>
    <t>Council Bluffs</t>
  </si>
  <si>
    <t>Dallas Center-Grimes</t>
  </si>
  <si>
    <t>Davenport</t>
  </si>
  <si>
    <t>Des Moines</t>
  </si>
  <si>
    <t>Dubuque</t>
  </si>
  <si>
    <t>Earlham</t>
  </si>
  <si>
    <t>Gilbert</t>
  </si>
  <si>
    <t>Harris-Lake Park</t>
  </si>
  <si>
    <t>Hubbard-Radcliffe</t>
  </si>
  <si>
    <t>Interstate 35</t>
  </si>
  <si>
    <t>Jesup</t>
  </si>
  <si>
    <t>Johnston</t>
  </si>
  <si>
    <t>Keokuk</t>
  </si>
  <si>
    <t>Le Mars</t>
  </si>
  <si>
    <t>Linn-Mar</t>
  </si>
  <si>
    <t>Maquoketa Valley</t>
  </si>
  <si>
    <t>Marshalltown</t>
  </si>
  <si>
    <t>Norwalk</t>
  </si>
  <si>
    <t>Odebolt Arthur Battle Creek Ida Grove</t>
  </si>
  <si>
    <t>Ottumwa</t>
  </si>
  <si>
    <t>Pleasant Valley</t>
  </si>
  <si>
    <t>Rock Valley</t>
  </si>
  <si>
    <t>Saydel</t>
  </si>
  <si>
    <t>Sergeant Bluff-Luton</t>
  </si>
  <si>
    <t>South Central Calhoun</t>
  </si>
  <si>
    <t>Turkey Valley</t>
  </si>
  <si>
    <t>Underwood</t>
  </si>
  <si>
    <t>Urbandale</t>
  </si>
  <si>
    <t>Van Buren County</t>
  </si>
  <si>
    <t>Waco</t>
  </si>
  <si>
    <t>Waterloo</t>
  </si>
  <si>
    <t>Waukee</t>
  </si>
  <si>
    <t>West Bend-Mallard</t>
  </si>
  <si>
    <t>West Burlington</t>
  </si>
  <si>
    <t>West Des Moines</t>
  </si>
  <si>
    <t>Control</t>
  </si>
  <si>
    <t>Surtax Payment for Upcomming year</t>
  </si>
  <si>
    <t>Percent change</t>
  </si>
  <si>
    <t>Surtax total upcomming year</t>
  </si>
  <si>
    <t>December Checks</t>
  </si>
  <si>
    <t>Must Equal 0</t>
  </si>
  <si>
    <t>No Negative Payments</t>
  </si>
  <si>
    <t>Minimum Payment</t>
  </si>
  <si>
    <t>Maximum Payment</t>
  </si>
  <si>
    <t>Minimum Payment - Over 0</t>
  </si>
  <si>
    <t>VPPEL + GF = Total Payment</t>
  </si>
  <si>
    <t>Look at all the high and low percents and make sure they make sense</t>
  </si>
  <si>
    <t>February Checks</t>
  </si>
  <si>
    <t>Surtax Payment Total</t>
  </si>
  <si>
    <t>Number of Payments</t>
  </si>
  <si>
    <t>Greg Dufoe</t>
  </si>
  <si>
    <t>Eric Brown</t>
  </si>
  <si>
    <t>ebrown@admschools.org</t>
  </si>
  <si>
    <t>Erik Smith</t>
  </si>
  <si>
    <t>esmith@agwsr.org</t>
  </si>
  <si>
    <t>Deb Barker</t>
  </si>
  <si>
    <t>dbarker@agwsr.org</t>
  </si>
  <si>
    <t>Darin Jones</t>
  </si>
  <si>
    <t>darin.jones@ahstwschools.org</t>
  </si>
  <si>
    <t>Mandy McCully</t>
  </si>
  <si>
    <t>mmccully@akron-westfield.com</t>
  </si>
  <si>
    <t>Derek Briggs</t>
  </si>
  <si>
    <t>dbriggs@akron-westfield.com</t>
  </si>
  <si>
    <t>Andrea Vanderhoff</t>
  </si>
  <si>
    <t>vanderhoffa@newell-fonda.k12.ia.us</t>
  </si>
  <si>
    <t>Melissa Bauer</t>
  </si>
  <si>
    <t>melissa.bauer@albia.k12.ia.us</t>
  </si>
  <si>
    <t>Harley McBurney</t>
  </si>
  <si>
    <t>hmcburney@alburnettcsd.org</t>
  </si>
  <si>
    <t>Tony Neumann</t>
  </si>
  <si>
    <t>tneumann@ifacadets.net</t>
  </si>
  <si>
    <t>Sharar Kimberley</t>
  </si>
  <si>
    <t>ksharar@ifacadets.net</t>
  </si>
  <si>
    <t>Joe Carter</t>
  </si>
  <si>
    <t>jcarter@algona.k12.ia.us</t>
  </si>
  <si>
    <t>Jay Mathis</t>
  </si>
  <si>
    <t>jmathis@allamakee.k12.ia.us</t>
  </si>
  <si>
    <t>Jaime Curtin</t>
  </si>
  <si>
    <t>jcurtin@allamakee.k12.ia.us</t>
  </si>
  <si>
    <t>Tina Cooper</t>
  </si>
  <si>
    <t>tcooper@allamakee.k12.ia.us</t>
  </si>
  <si>
    <t>Carol Hundertmark</t>
  </si>
  <si>
    <t>carol.hundertmark@ames.k12.ia.us</t>
  </si>
  <si>
    <t>Linda Von Behren</t>
  </si>
  <si>
    <t>lvonbehren@anamosa.k12.ia.us</t>
  </si>
  <si>
    <t>Chris Fee</t>
  </si>
  <si>
    <t>chris.fee@andrew.k12.ia.us</t>
  </si>
  <si>
    <t>Adam Crigger</t>
  </si>
  <si>
    <t>adam.crigger@andrew.k12.ia.us</t>
  </si>
  <si>
    <t>Erick Pruitt</t>
  </si>
  <si>
    <t>erick.pruitt@ankenyschools.org</t>
  </si>
  <si>
    <t>Jeff Kruse</t>
  </si>
  <si>
    <t>Sharon Stickrod</t>
  </si>
  <si>
    <t>stickrod@ar-we-va.k12.ia.us</t>
  </si>
  <si>
    <t>Sarah Sheeder</t>
  </si>
  <si>
    <t>Jeff Boeding</t>
  </si>
  <si>
    <t>jboeding@ballard.k12.ia.us</t>
  </si>
  <si>
    <t>Julie McWhirter</t>
  </si>
  <si>
    <t>jmcwhirter@baxter.k12.ia.us</t>
  </si>
  <si>
    <t>Ben Petty</t>
  </si>
  <si>
    <t>bpetty@bcluw.org</t>
  </si>
  <si>
    <t>Jason Shaffer</t>
  </si>
  <si>
    <t>jshaffer@bedford.k12.ia.us</t>
  </si>
  <si>
    <t>Sharon Hart</t>
  </si>
  <si>
    <t>shart@bedford.k12.ia.us</t>
  </si>
  <si>
    <t>Chad Straight</t>
  </si>
  <si>
    <t>cstraight@belle-plaine.k12.ia.us</t>
  </si>
  <si>
    <t>Stacey Kolars</t>
  </si>
  <si>
    <t>skolars@belle-plaine.k12.ia.us</t>
  </si>
  <si>
    <t>Rhonda Roth</t>
  </si>
  <si>
    <t>rhondaroth@bellevue.k12.ia.us</t>
  </si>
  <si>
    <t>Theresa Greenfield</t>
  </si>
  <si>
    <t>theresa.greenfield@bkcsd.org</t>
  </si>
  <si>
    <t>Michelle Morse</t>
  </si>
  <si>
    <t>mmorse@bettendorf.k12.ia.us</t>
  </si>
  <si>
    <t>Richard Powers</t>
  </si>
  <si>
    <t>powersr@bfschools.org</t>
  </si>
  <si>
    <t>Cari Aylsworth</t>
  </si>
  <si>
    <t>aylsworthc@bfschools.org</t>
  </si>
  <si>
    <t>Julie Trepa</t>
  </si>
  <si>
    <t>jtrepa@boone.k12.ia.us</t>
  </si>
  <si>
    <t>Teresa Ott</t>
  </si>
  <si>
    <t>tott@boone.k12.ia.us</t>
  </si>
  <si>
    <t>Steve Grond</t>
  </si>
  <si>
    <t>steve.grond@boyden-hull.org</t>
  </si>
  <si>
    <t>Lori Hoven</t>
  </si>
  <si>
    <t>lori.hoven@boyden-hull.org</t>
  </si>
  <si>
    <t>Terra Sell</t>
  </si>
  <si>
    <t>Brad Hohensee</t>
  </si>
  <si>
    <t>bhohensee@brooklyn.k12.ia.us</t>
  </si>
  <si>
    <t>Lori Mcclenathan</t>
  </si>
  <si>
    <t>lmcclenathan@hlv.k12.ia.us</t>
  </si>
  <si>
    <t>Greg Reynolds</t>
  </si>
  <si>
    <t>greg.reynolds@bcsds.org</t>
  </si>
  <si>
    <t>Lisa Lewis</t>
  </si>
  <si>
    <t>llewis@hdcsd.org</t>
  </si>
  <si>
    <t>Paul Croghan</t>
  </si>
  <si>
    <t>pcroghan@cam.k12.ia.us</t>
  </si>
  <si>
    <t>Amanda Summers</t>
  </si>
  <si>
    <t>amanda.summers@nodawayvalley.org</t>
  </si>
  <si>
    <t>Rox Aude</t>
  </si>
  <si>
    <t>Vickie Hall</t>
  </si>
  <si>
    <t>vickie.hall@carlislecsd.org</t>
  </si>
  <si>
    <t>Casey Berlau</t>
  </si>
  <si>
    <t>cberlau@carrolltigers.org</t>
  </si>
  <si>
    <t>Nicole McCarville</t>
  </si>
  <si>
    <t>nmccarville@carrolltigers.org</t>
  </si>
  <si>
    <t>Andy Pattee</t>
  </si>
  <si>
    <t>andy.pattee@cfschools.org</t>
  </si>
  <si>
    <t>Denelle Gonnerman</t>
  </si>
  <si>
    <t>denelle.gonnerman@cfschools.org</t>
  </si>
  <si>
    <t>Krystle Braumann</t>
  </si>
  <si>
    <t>kbraumann@crschools.us</t>
  </si>
  <si>
    <t>Lisa Swarts</t>
  </si>
  <si>
    <t>lisa.swarts@centervillek12.org</t>
  </si>
  <si>
    <t>Ashley Ratliff</t>
  </si>
  <si>
    <t>Nick Trenkamp</t>
  </si>
  <si>
    <t>ntrenkamp@central.k12.ia.us</t>
  </si>
  <si>
    <t>Chris Coffelt</t>
  </si>
  <si>
    <t>chris.coffelt@centraldecatur.org</t>
  </si>
  <si>
    <t>Becky Broich</t>
  </si>
  <si>
    <t>becky.wood@centraldecatur.org</t>
  </si>
  <si>
    <t>Andy Crozier</t>
  </si>
  <si>
    <t>acrozier@centrallee.org</t>
  </si>
  <si>
    <t>Brent Jorth</t>
  </si>
  <si>
    <t>bjorth@centrallyon.org</t>
  </si>
  <si>
    <t>Jackie Wells</t>
  </si>
  <si>
    <t>jwells@centrallyon.org</t>
  </si>
  <si>
    <t>Darwin Lehman</t>
  </si>
  <si>
    <t>dlehmann@centralsprings.net</t>
  </si>
  <si>
    <t>Evan Marten</t>
  </si>
  <si>
    <t>Adam Eggeling</t>
  </si>
  <si>
    <t>aeggeling@co-u.net</t>
  </si>
  <si>
    <t>Cathy Carstens</t>
  </si>
  <si>
    <t>ccarstens@charter-oak-ute.k12.ia.us</t>
  </si>
  <si>
    <t>Joyce Lundsgaard</t>
  </si>
  <si>
    <t>jlundsgaard@ccsd.k12.ia.us</t>
  </si>
  <si>
    <t>Nancy McKinnon</t>
  </si>
  <si>
    <t>nmckinnon@clarindacsd.org</t>
  </si>
  <si>
    <t>Jospeh Nelson</t>
  </si>
  <si>
    <t>josephnelson@clargold.org</t>
  </si>
  <si>
    <t>Anita Frye</t>
  </si>
  <si>
    <t>afrye@clargold.org</t>
  </si>
  <si>
    <t>April Hughes</t>
  </si>
  <si>
    <t>Shellee Bartlett</t>
  </si>
  <si>
    <t>sbartlett@clarksville.k12.ia.us</t>
  </si>
  <si>
    <t>Kevin Wood</t>
  </si>
  <si>
    <t>kwood@claycentraleverly.org</t>
  </si>
  <si>
    <t>Diane White</t>
  </si>
  <si>
    <t>dwhite@claycentraleverly.org</t>
  </si>
  <si>
    <t>Shane Wahls</t>
  </si>
  <si>
    <t>swahls@claytonridge.k12.ia.us</t>
  </si>
  <si>
    <t>Lori Robertson</t>
  </si>
  <si>
    <t>lorirobertson@ccaschools.org</t>
  </si>
  <si>
    <t>Doug Gee</t>
  </si>
  <si>
    <t>dgee@clearlakeschools.org</t>
  </si>
  <si>
    <t>Alyssa Pfeffer</t>
  </si>
  <si>
    <t>apfeffer@clearlakeschools.org</t>
  </si>
  <si>
    <t>Cindy McAleer</t>
  </si>
  <si>
    <t>cindy.mcaleer@csdkq.org</t>
  </si>
  <si>
    <t>Erik Anderson</t>
  </si>
  <si>
    <t>Douglas Wheeler</t>
  </si>
  <si>
    <t>dwheeler@crprairie.org</t>
  </si>
  <si>
    <t>amorrison@crprairie.org</t>
  </si>
  <si>
    <t>Lisa Smith</t>
  </si>
  <si>
    <t>lsmith@crprairie.org</t>
  </si>
  <si>
    <t>Marc Snavely</t>
  </si>
  <si>
    <t>msnavely@colo-nesco.k12.ia.us</t>
  </si>
  <si>
    <t>Jeff Maeder</t>
  </si>
  <si>
    <t>Neil Mills</t>
  </si>
  <si>
    <t>neil.mills@columbuscsd.org</t>
  </si>
  <si>
    <t>Paige Lee</t>
  </si>
  <si>
    <t>paige.lee@crbcrusaders.org</t>
  </si>
  <si>
    <t>Chris Fenster</t>
  </si>
  <si>
    <t>cfenster@southwestvalley.org</t>
  </si>
  <si>
    <t>Jodi Lyddon</t>
  </si>
  <si>
    <t>Vickie Murillo</t>
  </si>
  <si>
    <t>vmurillo@cbcsd.org</t>
  </si>
  <si>
    <t>Deron Stender</t>
  </si>
  <si>
    <t>dstender@crestonschools.org</t>
  </si>
  <si>
    <t>Billie Jo Greene</t>
  </si>
  <si>
    <t>bgreene@crestonschools.org</t>
  </si>
  <si>
    <t>Scott Grimes</t>
  </si>
  <si>
    <t>Michelle Wearmouth</t>
  </si>
  <si>
    <t>michelle.wearmouth@dcgschools.com</t>
  </si>
  <si>
    <t>Janelle Schneiderman</t>
  </si>
  <si>
    <t>janelle.schneiderman@danvillecsd.org</t>
  </si>
  <si>
    <t>TJ Schneckloth</t>
  </si>
  <si>
    <t>Schnecklotht@davenportschools.org</t>
  </si>
  <si>
    <t>Kevin Posekany</t>
  </si>
  <si>
    <t>posekanyk@davenportschools.org</t>
  </si>
  <si>
    <t>Lisa Crews</t>
  </si>
  <si>
    <t>crewsl@davenportschools.org</t>
  </si>
  <si>
    <t>Dan Maeder</t>
  </si>
  <si>
    <t>dan.maeder@dcmustangs.com</t>
  </si>
  <si>
    <t>Cathy Dietzenbach</t>
  </si>
  <si>
    <t>cathy.dietzenbach@decorah.k12.ia.us</t>
  </si>
  <si>
    <t>cfee@delwood.k12.ia.us</t>
  </si>
  <si>
    <t>acrigger@delwood.k12.ia.us</t>
  </si>
  <si>
    <t>Brad Laures</t>
  </si>
  <si>
    <t>blaures@denver.k12.ia.us</t>
  </si>
  <si>
    <t>Becky Walters</t>
  </si>
  <si>
    <t>bwalters@denver.k12.ia.us</t>
  </si>
  <si>
    <t>Shashank Aurora</t>
  </si>
  <si>
    <t>shashank.aurora@dmschools.org</t>
  </si>
  <si>
    <t>Rhiannon Tessum</t>
  </si>
  <si>
    <t>rtessum@eastunionschools.org</t>
  </si>
  <si>
    <t>Justin Stockdale</t>
  </si>
  <si>
    <t>justin.stockdale@dnhcsd.org</t>
  </si>
  <si>
    <t>Annie Lucas</t>
  </si>
  <si>
    <t>annie.lucas@dnhcsd.org</t>
  </si>
  <si>
    <t>Kevin Kelleher</t>
  </si>
  <si>
    <t>kkelleher@dbqschools.org</t>
  </si>
  <si>
    <t>Rick Till</t>
  </si>
  <si>
    <t>RTill@dbqschools.org</t>
  </si>
  <si>
    <t>Joe Burnett</t>
  </si>
  <si>
    <t>joe.burnett@durant.k12.ia.us</t>
  </si>
  <si>
    <t>Jess Toliver</t>
  </si>
  <si>
    <t>jtoliver@eagle-grove.k12.ia.us</t>
  </si>
  <si>
    <t>Tony Aylsworth</t>
  </si>
  <si>
    <t>Jodi Stroud</t>
  </si>
  <si>
    <t>jstroud@ecsdcards.com</t>
  </si>
  <si>
    <t>Teresa Knipper</t>
  </si>
  <si>
    <t>tknipper@east-buc.k12.ia.us</t>
  </si>
  <si>
    <t>Tony Ryan</t>
  </si>
  <si>
    <t>tryan@e-marshall.k12.ia.us</t>
  </si>
  <si>
    <t>Tim Hood</t>
  </si>
  <si>
    <t>Tim Kuehl</t>
  </si>
  <si>
    <t>tkuehl@eastunionschools.org</t>
  </si>
  <si>
    <t>Karla Hanson</t>
  </si>
  <si>
    <t>Janet Heiderscheit</t>
  </si>
  <si>
    <t>jheiderscheit@kee.k12.ia.us</t>
  </si>
  <si>
    <t>chris.fee@eastonvalleycsd.com</t>
  </si>
  <si>
    <t>adam.crigger@eastonvalleycsd.com</t>
  </si>
  <si>
    <t>Scott Williamson</t>
  </si>
  <si>
    <t>scott.williamson@rocketsk12.org</t>
  </si>
  <si>
    <t>Mary McCrea</t>
  </si>
  <si>
    <t>mary.mccrea@rocketsk12.org</t>
  </si>
  <si>
    <t>Sherry Mattson</t>
  </si>
  <si>
    <t>sherry.mattson@rocketsk12.org</t>
  </si>
  <si>
    <t>Rob Busch</t>
  </si>
  <si>
    <t>Melissa Conner</t>
  </si>
  <si>
    <t>mconner@edge-cole.k12.ia.us</t>
  </si>
  <si>
    <t>Adam Zellmer</t>
  </si>
  <si>
    <t>azellmer@eldoranp.org</t>
  </si>
  <si>
    <t>Darren Hanna</t>
  </si>
  <si>
    <t>Lisa Chapman</t>
  </si>
  <si>
    <t>Curt Rheingans</t>
  </si>
  <si>
    <t>crheingans@english-valleys.k12.ia.us</t>
  </si>
  <si>
    <t>Wendy Ayers</t>
  </si>
  <si>
    <t>wayers@english-valleys.k12.ia.us</t>
  </si>
  <si>
    <t>Mike Wells</t>
  </si>
  <si>
    <t>wellsm@essex.k12.ia.us</t>
  </si>
  <si>
    <t>William Barrett</t>
  </si>
  <si>
    <t>Tara Paul</t>
  </si>
  <si>
    <t>Kate Woods</t>
  </si>
  <si>
    <t>kate.woods@elc-csd.org</t>
  </si>
  <si>
    <t>Trevor Miller</t>
  </si>
  <si>
    <t>tmiller@exira-ehk.k12.ia.us</t>
  </si>
  <si>
    <t>Mallory Meyer</t>
  </si>
  <si>
    <t>Darwin Lehmann</t>
  </si>
  <si>
    <t>dlehmann@forestcity.k12.ia.us</t>
  </si>
  <si>
    <t>Sara Meinders</t>
  </si>
  <si>
    <t>smeinders@forestcity.k12.ia.us</t>
  </si>
  <si>
    <t>Brandon Hansel</t>
  </si>
  <si>
    <t>bhansel@fdschools.org</t>
  </si>
  <si>
    <t>Anna Toohey</t>
  </si>
  <si>
    <t>atoohey@fort-dodge.k12.ia.us</t>
  </si>
  <si>
    <t>Erin Slater</t>
  </si>
  <si>
    <t>erin.slater@fmcsd.org</t>
  </si>
  <si>
    <t>Sandra Elmore</t>
  </si>
  <si>
    <t>Sandy.Elmore@fmcsd.org</t>
  </si>
  <si>
    <t>David Gute</t>
  </si>
  <si>
    <t>dgute@fmtabor.org</t>
  </si>
  <si>
    <t>Natalie Kliegl</t>
  </si>
  <si>
    <t>nkliegl@rvraptors.org</t>
  </si>
  <si>
    <t>Ken Kasper</t>
  </si>
  <si>
    <t>kkasper@ghvschools.org</t>
  </si>
  <si>
    <t>Holly Fischer</t>
  </si>
  <si>
    <t>hfischer@ghvschools.org</t>
  </si>
  <si>
    <t>Cathy Bonestroo</t>
  </si>
  <si>
    <t>cbonestroo@george-littlerock.org</t>
  </si>
  <si>
    <t>Christine Trujillo</t>
  </si>
  <si>
    <t>trujilloc@gilbertcsd.org</t>
  </si>
  <si>
    <t>Gail Hopkins</t>
  </si>
  <si>
    <t>hopkinsg@gilbert.k12.ia.us</t>
  </si>
  <si>
    <t>Crystal Eggers</t>
  </si>
  <si>
    <t>ceggers@gcb.k12.ia.us</t>
  </si>
  <si>
    <t>Tim Reinert</t>
  </si>
  <si>
    <t>reinerttim@glenwoodschools.org</t>
  </si>
  <si>
    <t>Denise Best</t>
  </si>
  <si>
    <t>dbest@glidden-ralston.k12.ia.us</t>
  </si>
  <si>
    <t>Katie Mathern</t>
  </si>
  <si>
    <t>Marshall Lewis</t>
  </si>
  <si>
    <t>mlewis@gt.ratitans.org</t>
  </si>
  <si>
    <t>Alyssa Enderson</t>
  </si>
  <si>
    <t>Lisa Briggs</t>
  </si>
  <si>
    <t>lisa.briggs@grinnell-k12.org</t>
  </si>
  <si>
    <t>David Henrichs</t>
  </si>
  <si>
    <t>dhenrichs@griswoldschools.org</t>
  </si>
  <si>
    <t>Dan Rold</t>
  </si>
  <si>
    <t>drold@griswoldschools.org</t>
  </si>
  <si>
    <t>Robert Hughes</t>
  </si>
  <si>
    <t>rhughes@spartanpride.net</t>
  </si>
  <si>
    <t>Chad Wagner</t>
  </si>
  <si>
    <t>cwagner@spartanpride.net</t>
  </si>
  <si>
    <t>mwells@hamburgcsd.org</t>
  </si>
  <si>
    <t>Jennifer Barnett</t>
  </si>
  <si>
    <t>jenny.barnett@hcsdcyclones.com</t>
  </si>
  <si>
    <t>Brian Gubbels</t>
  </si>
  <si>
    <t>bgubbels@hcsdcyclones.com</t>
  </si>
  <si>
    <t>Andy Irwin</t>
  </si>
  <si>
    <t>Mindy Gunderson</t>
  </si>
  <si>
    <t>mgunderson@hlpcsd.org</t>
  </si>
  <si>
    <t>Patrick Carlin</t>
  </si>
  <si>
    <t>PCarlin@hartley-ms.k12.ia.us</t>
  </si>
  <si>
    <t>Ken Crawford</t>
  </si>
  <si>
    <t>kcrawford@highlandhuskies.org</t>
  </si>
  <si>
    <t>Kenneth Slater</t>
  </si>
  <si>
    <t>ken.slater@hintonschool.com</t>
  </si>
  <si>
    <t>Paula Schreck</t>
  </si>
  <si>
    <t>paula.schreck@hintonschool.com</t>
  </si>
  <si>
    <t>bhohensee@hlv.k12.ia.us</t>
  </si>
  <si>
    <t>Lori McClenathan</t>
  </si>
  <si>
    <t>Robyn Lane</t>
  </si>
  <si>
    <t>rlane@howard-winn.k12.ia.us</t>
  </si>
  <si>
    <t>azellmer@hub-rad.k12.ia.us</t>
  </si>
  <si>
    <t>Deb England</t>
  </si>
  <si>
    <t>dengland@hub-rad.k12.ia.us</t>
  </si>
  <si>
    <t>Dr. Anthony Voss</t>
  </si>
  <si>
    <t>drvoss@hudschools.org</t>
  </si>
  <si>
    <t>Jim Murray</t>
  </si>
  <si>
    <t>jmurray@humboldt.k12.ia.us</t>
  </si>
  <si>
    <t>Lisa Thul</t>
  </si>
  <si>
    <t>lthul@humboldt.k12.ia.us</t>
  </si>
  <si>
    <t>Johna Clancy</t>
  </si>
  <si>
    <t>Matthew Degner</t>
  </si>
  <si>
    <t>degner.matt@iowacityschools.org</t>
  </si>
  <si>
    <t>crheingans@ivcsd.org</t>
  </si>
  <si>
    <t>wayers@ivcsd.org</t>
  </si>
  <si>
    <t>BJ Meaney</t>
  </si>
  <si>
    <t>bj.meaney@janesvilleschools.net</t>
  </si>
  <si>
    <t>Kelly Zahrt</t>
  </si>
  <si>
    <t>kelly.weidman@janesvilleschools.net</t>
  </si>
  <si>
    <t>Sheila Tharp</t>
  </si>
  <si>
    <t>Ryan Eidahl</t>
  </si>
  <si>
    <t>ryan.eidahl@johnston.k12.ia.us</t>
  </si>
  <si>
    <t>Heidi Harness</t>
  </si>
  <si>
    <t>heidi.harness@keokukschools.org</t>
  </si>
  <si>
    <t>Scott Bailey</t>
  </si>
  <si>
    <t>sbailey@k-pcsd.org</t>
  </si>
  <si>
    <t>Laurie Schweitzberger</t>
  </si>
  <si>
    <t>lschweitzberger@k-pcsd.org</t>
  </si>
  <si>
    <t>Cassandra Pearson</t>
  </si>
  <si>
    <t>cassi.pearson@kcsd.k12.ia.us</t>
  </si>
  <si>
    <t>Craig Mobley</t>
  </si>
  <si>
    <t>craig.mobley@kcsd.k12.ia.us</t>
  </si>
  <si>
    <t>Chad Kohagen</t>
  </si>
  <si>
    <t>Drake Abbey</t>
  </si>
  <si>
    <t>dabbey@lake-mills.org</t>
  </si>
  <si>
    <t>ccoffelt@lamonischools.org</t>
  </si>
  <si>
    <t>Lisa Jones</t>
  </si>
  <si>
    <t>kwood@siouxcentral.org</t>
  </si>
  <si>
    <t>Carol Collins</t>
  </si>
  <si>
    <t>carolcollins@lm.k12.ia.us</t>
  </si>
  <si>
    <t>Chad Shook</t>
  </si>
  <si>
    <t>shookc@lb-eagles.org</t>
  </si>
  <si>
    <t>Ryan Anderson</t>
  </si>
  <si>
    <t>Steve Webner</t>
  </si>
  <si>
    <t>steve.webner@lemarscsd.org</t>
  </si>
  <si>
    <t>Rachel Leavitt</t>
  </si>
  <si>
    <t>rachel.leavitt@lemarscsd.org</t>
  </si>
  <si>
    <t>dhenrichs@lenoxschools.org</t>
  </si>
  <si>
    <t>Melissa Douglas</t>
  </si>
  <si>
    <t>mdouglas@lenoxschools.org</t>
  </si>
  <si>
    <t>Paula Horton</t>
  </si>
  <si>
    <t>phorton@lenoxschools.org</t>
  </si>
  <si>
    <t>Andrea Raes</t>
  </si>
  <si>
    <t>andrea.raes@lewiscentral.org</t>
  </si>
  <si>
    <t>Laura Fuller</t>
  </si>
  <si>
    <t>laura.fuller@linnmar.k12.ia.us</t>
  </si>
  <si>
    <t>Thomas Ridder</t>
  </si>
  <si>
    <t>Daniel Mikels</t>
  </si>
  <si>
    <t>dmikels@lomaschools.org</t>
  </si>
  <si>
    <t>Mike Van Sickle</t>
  </si>
  <si>
    <t>mike.vansickle@lmcsd.org</t>
  </si>
  <si>
    <t>Charles Domer</t>
  </si>
  <si>
    <t>cdomer@lmcsd.org</t>
  </si>
  <si>
    <t>Matthew Dunsbergen</t>
  </si>
  <si>
    <t>mdunsbergen@lshawks.com</t>
  </si>
  <si>
    <t>Karla De Cook</t>
  </si>
  <si>
    <t>decook@lshawks.com</t>
  </si>
  <si>
    <t>Justin Daggett</t>
  </si>
  <si>
    <t>jdaggett@manson-nw.k12.ia.us</t>
  </si>
  <si>
    <t>Allison Davis</t>
  </si>
  <si>
    <t>adavis@manson-nw.k12.ia.us</t>
  </si>
  <si>
    <t>Alyssa Guarnaccia</t>
  </si>
  <si>
    <t>aguarnaccia@manson-nw.k12.ia.us</t>
  </si>
  <si>
    <t>Jeff Thelander</t>
  </si>
  <si>
    <t>jthelander@mvaoschool.org</t>
  </si>
  <si>
    <t>Shona Klingensmith</t>
  </si>
  <si>
    <t>sklingensmith@mvaoschool.org</t>
  </si>
  <si>
    <t>Chris Hoover</t>
  </si>
  <si>
    <t>Kristy Haxmeier</t>
  </si>
  <si>
    <t>khaxmeier@maquoketaschools.org</t>
  </si>
  <si>
    <t>Erika Imler</t>
  </si>
  <si>
    <t>erikaimler@maquoketa-v.k12.ia.us</t>
  </si>
  <si>
    <t>Dan Barkel</t>
  </si>
  <si>
    <t>dan.barkel@mmcruroyals.org</t>
  </si>
  <si>
    <t>Janelle Brouwer</t>
  </si>
  <si>
    <t>jbrouwer@marion-isd.org</t>
  </si>
  <si>
    <t>Christie VanWey</t>
  </si>
  <si>
    <t>cvanwey@marion-isd.org</t>
  </si>
  <si>
    <t>Theron Schutte</t>
  </si>
  <si>
    <t>tschutte@marshalltown.k12.ia.us</t>
  </si>
  <si>
    <t>Cherie Yoder</t>
  </si>
  <si>
    <t>cyoder@masoncityschools.org</t>
  </si>
  <si>
    <t>Ramie Strand</t>
  </si>
  <si>
    <t>rstrand@masoncityschools.org</t>
  </si>
  <si>
    <t>Scott Bridges</t>
  </si>
  <si>
    <t>bridgess@melcher-dallas.k12.ia.us</t>
  </si>
  <si>
    <t>Deb Haselhuhn</t>
  </si>
  <si>
    <t>haselhuhnd@melcher-dallas.k12.ia.us</t>
  </si>
  <si>
    <t>karla.hanson@mflmm.k12.ia.us</t>
  </si>
  <si>
    <t>Caleb Bonjour</t>
  </si>
  <si>
    <t>Jeff Swartzentruber</t>
  </si>
  <si>
    <t>jswartzentruber@mphawks.org</t>
  </si>
  <si>
    <t>Brent Hoesing</t>
  </si>
  <si>
    <t>Kim Dykstra</t>
  </si>
  <si>
    <t>kdykstra@mocfv.org</t>
  </si>
  <si>
    <t>Leann Evenhuis</t>
  </si>
  <si>
    <t>levenhuis@moc-fv.k12.ia.us</t>
  </si>
  <si>
    <t>Karla DeCook</t>
  </si>
  <si>
    <t>kdecook@montezuma.k12.ia.us</t>
  </si>
  <si>
    <t>Brian Jaeger</t>
  </si>
  <si>
    <t>brian.jaeger@monticello.k12.ia.us</t>
  </si>
  <si>
    <t>Marcy Gillmore</t>
  </si>
  <si>
    <t>marcy.gillmore@monticello.k12.ia.us</t>
  </si>
  <si>
    <t>Sam Swenson</t>
  </si>
  <si>
    <t>Christina Bickel</t>
  </si>
  <si>
    <t>christina.bickel@moravia.k12.ia.us</t>
  </si>
  <si>
    <t>Stephanie Parmer</t>
  </si>
  <si>
    <t>sparmer@mormontrailcsd.org</t>
  </si>
  <si>
    <t>cbickel@mormontrailcsd.org</t>
  </si>
  <si>
    <t>Mike Peterson</t>
  </si>
  <si>
    <t>mike.peterson@mscsd.org</t>
  </si>
  <si>
    <t>dan.maeder@moulton-udell.org</t>
  </si>
  <si>
    <t>Jason.shaffer@mtayrschools.org</t>
  </si>
  <si>
    <t>John Henriksen</t>
  </si>
  <si>
    <t>john.henriksen@mtpcsd.org</t>
  </si>
  <si>
    <t>tkuehl@murraycsd.org</t>
  </si>
  <si>
    <t>Jennifer Danley</t>
  </si>
  <si>
    <t>jdanley@murraycsd.org</t>
  </si>
  <si>
    <t>Clint Christopher</t>
  </si>
  <si>
    <t>clint.christopher@mcsdonline.org</t>
  </si>
  <si>
    <t>Tom Anderson</t>
  </si>
  <si>
    <t>tom.anderson@mcsdonline.org</t>
  </si>
  <si>
    <t>Brittany McNeil</t>
  </si>
  <si>
    <t>Dr. Steven L. Gray</t>
  </si>
  <si>
    <t>sgray@nevadacubs.org</t>
  </si>
  <si>
    <t>Jay Jurrens</t>
  </si>
  <si>
    <t>j_jurrens@new-hampton.k12.ia.us</t>
  </si>
  <si>
    <t>Christy Roethler</t>
  </si>
  <si>
    <t>c_roethler@new-hampton.k12.ia.us</t>
  </si>
  <si>
    <t>Sue Bouska</t>
  </si>
  <si>
    <t>s_bouska@new-hampton.k12.ia.us</t>
  </si>
  <si>
    <t>Chad Wahls</t>
  </si>
  <si>
    <t>chad.wahls@nlcsd.org</t>
  </si>
  <si>
    <t>Jessica Boyer</t>
  </si>
  <si>
    <t>Tom Messinger</t>
  </si>
  <si>
    <t>messingert@newton.k12.ia.us</t>
  </si>
  <si>
    <t>Timothy Bloom</t>
  </si>
  <si>
    <t>bloomt@newton.k12.ia.us</t>
  </si>
  <si>
    <t>Debbie Swank</t>
  </si>
  <si>
    <t>swankd@newton.k12.ia.us</t>
  </si>
  <si>
    <t>paul.croghan@nodawayvalley.org</t>
  </si>
  <si>
    <t>shellee.bartlett@northbutler.org</t>
  </si>
  <si>
    <t>Mark Dohmen</t>
  </si>
  <si>
    <t>mdohmen@north-cedarstu.org</t>
  </si>
  <si>
    <t>Joe Griffith</t>
  </si>
  <si>
    <t>jgriffith@nfv.k12.ia.us</t>
  </si>
  <si>
    <t>Joe Erickson</t>
  </si>
  <si>
    <t>joe.erickson@northiowa.org</t>
  </si>
  <si>
    <t>Gwen Mathahs</t>
  </si>
  <si>
    <t>Travis Schueller</t>
  </si>
  <si>
    <t>travis.schueller@nuwarriors.org</t>
  </si>
  <si>
    <t>Erin Rogers</t>
  </si>
  <si>
    <t>erogers@northunion.k12.ia.us</t>
  </si>
  <si>
    <t>Kerry Peyton</t>
  </si>
  <si>
    <t>kepeyton@northlinncsd.org</t>
  </si>
  <si>
    <t>Sarah McGriff</t>
  </si>
  <si>
    <t>Michael Kline</t>
  </si>
  <si>
    <t>michael.kline@northpolk.org</t>
  </si>
  <si>
    <t>Kristin Wood</t>
  </si>
  <si>
    <t>kristin.wood@northpolk.org</t>
  </si>
  <si>
    <t>Joe Stutting</t>
  </si>
  <si>
    <t>joe.stutting@north-scott.k12.ia.us</t>
  </si>
  <si>
    <t>Jill Van Roekel</t>
  </si>
  <si>
    <t>jill.vanroekel@north-scott.k12.ia.us</t>
  </si>
  <si>
    <t>Amy Longenecker</t>
  </si>
  <si>
    <t>amy.longenecker@north-scott.k12.ia.us</t>
  </si>
  <si>
    <t>David Hill</t>
  </si>
  <si>
    <t>erin.rogers@nuwarriors.org</t>
  </si>
  <si>
    <t>Neil Gray</t>
  </si>
  <si>
    <t>neil.gray@northeastcsd.org</t>
  </si>
  <si>
    <t>Michael Crozier</t>
  </si>
  <si>
    <t>mcrozier@nkvikings.com</t>
  </si>
  <si>
    <t>Kim Hengesteg</t>
  </si>
  <si>
    <t>khengesteg@nkvikings.com</t>
  </si>
  <si>
    <t>Matt Alexander</t>
  </si>
  <si>
    <t>malexander@oabcig.org</t>
  </si>
  <si>
    <t>Josh Ehn</t>
  </si>
  <si>
    <t>jehn@oelwein.k12.ia.us</t>
  </si>
  <si>
    <t>Michael Rueber</t>
  </si>
  <si>
    <t>mrueber@oelwein.k12.ia.us</t>
  </si>
  <si>
    <t>Glenda Rosenstiel</t>
  </si>
  <si>
    <t>grosenstiel@oelwein.k12.ia.us</t>
  </si>
  <si>
    <t>Melissa Atwell</t>
  </si>
  <si>
    <t>melissa.atwell@ogden.k12.ia.us</t>
  </si>
  <si>
    <t>Todd Abrahamson</t>
  </si>
  <si>
    <t>tabrahamson@okobojischools.org</t>
  </si>
  <si>
    <t>mdohmen@olin.k12.ia.us</t>
  </si>
  <si>
    <t>Alisha Geidel</t>
  </si>
  <si>
    <t>Alisha.Geidel@o-mschools.org</t>
  </si>
  <si>
    <t>Barb Schwamman</t>
  </si>
  <si>
    <t>bschwamman@osage.k12.ia.us</t>
  </si>
  <si>
    <t>Michael McGrory</t>
  </si>
  <si>
    <t>michael.mcgrory@ottumwaschools.com</t>
  </si>
  <si>
    <t>John Berg</t>
  </si>
  <si>
    <t>john.berg@ottumwaschools.com</t>
  </si>
  <si>
    <t>Shawn Holloway</t>
  </si>
  <si>
    <t>Symantha Crawford</t>
  </si>
  <si>
    <t>symantha.crawford@panorama.k12.ia.us</t>
  </si>
  <si>
    <t>Lisa Stewart</t>
  </si>
  <si>
    <t>Kevin Hatfield</t>
  </si>
  <si>
    <t>Greg Ebeling</t>
  </si>
  <si>
    <t>greg.ebeling@pellaschools.org</t>
  </si>
  <si>
    <t>Clark Wicks</t>
  </si>
  <si>
    <t>clark.wicks@g.perry.k12.ia.us</t>
  </si>
  <si>
    <t>Kent E Bultman</t>
  </si>
  <si>
    <t>kent.bultman@g.perry.k12.ia.us</t>
  </si>
  <si>
    <t>Brian Strusz</t>
  </si>
  <si>
    <t>struszbrian@pleasval.org</t>
  </si>
  <si>
    <t>Mike Clingingsmith</t>
  </si>
  <si>
    <t>clingingsmithmike@pleasval.org</t>
  </si>
  <si>
    <t>Lorena (Lorrie) Wakeland</t>
  </si>
  <si>
    <t>wakelandlorrie@pleasval.org</t>
  </si>
  <si>
    <t>taylsworth@pvillecsd.org</t>
  </si>
  <si>
    <t>Robert Friday</t>
  </si>
  <si>
    <t>rfriday@pvillecsd.org</t>
  </si>
  <si>
    <t>Joseph Kramer</t>
  </si>
  <si>
    <t>jkramer@pocahontas.k12.ia.us</t>
  </si>
  <si>
    <t>Karen Halder</t>
  </si>
  <si>
    <t>khalder@pacsd.org</t>
  </si>
  <si>
    <t>Tim Dugger</t>
  </si>
  <si>
    <t>Melissa Fettkether</t>
  </si>
  <si>
    <t>mfettkether@postville.k12.ia.us</t>
  </si>
  <si>
    <t>Brian Johnson</t>
  </si>
  <si>
    <t>bjohnson@svjags.org</t>
  </si>
  <si>
    <t>Lisa Willardson</t>
  </si>
  <si>
    <t>lwillardson@svjags.org</t>
  </si>
  <si>
    <t>Ronald Lorenz</t>
  </si>
  <si>
    <t>lorenzr@redoakschools.org</t>
  </si>
  <si>
    <t>barb.schwamman@riceville.k12.ia.us</t>
  </si>
  <si>
    <t>Jennifer Dunn</t>
  </si>
  <si>
    <t>jdunn@riceville.k12.ia.us</t>
  </si>
  <si>
    <t>sbailey@rvwolverines.org</t>
  </si>
  <si>
    <t>Tish Evans</t>
  </si>
  <si>
    <t>tevans@rvwolverines.org</t>
  </si>
  <si>
    <t>danrold@riverside.k12.ia.us</t>
  </si>
  <si>
    <t>Chad Janzen</t>
  </si>
  <si>
    <t>Danielle Gradert</t>
  </si>
  <si>
    <t>dgradert@rvcsd.org</t>
  </si>
  <si>
    <t>Matthew Patton</t>
  </si>
  <si>
    <t>mpatton@roland-story.k12.ia.us</t>
  </si>
  <si>
    <t>Adam Hubert</t>
  </si>
  <si>
    <t>ahubert@roland-story.k12.ia.us</t>
  </si>
  <si>
    <t>Todd Martin</t>
  </si>
  <si>
    <t>martintodd@saydel.net</t>
  </si>
  <si>
    <t>Michelle Baack</t>
  </si>
  <si>
    <t>baackmichelle@saydel.net</t>
  </si>
  <si>
    <t>Stephanie Wandrey</t>
  </si>
  <si>
    <t>swandrey@rvraptors.org</t>
  </si>
  <si>
    <t>Denise Patterson</t>
  </si>
  <si>
    <t>patteden@sblschools.com</t>
  </si>
  <si>
    <t>Cory Myer</t>
  </si>
  <si>
    <t>cory.myer@sheldonschools.com</t>
  </si>
  <si>
    <t>Kerri Nelson</t>
  </si>
  <si>
    <t>nelsonk@shencsd.com</t>
  </si>
  <si>
    <t>Sherri Ruzek</t>
  </si>
  <si>
    <t>James Craig</t>
  </si>
  <si>
    <t>Kindra Reiter</t>
  </si>
  <si>
    <t>kreiter@thegenerals.org</t>
  </si>
  <si>
    <t>kevin.hatfield@sigourneyschools.com</t>
  </si>
  <si>
    <t>Gary McEldowney</t>
  </si>
  <si>
    <t>gary.mceldowney@scwarriors.org</t>
  </si>
  <si>
    <t>Jeana Van Voorst</t>
  </si>
  <si>
    <t>jeana.vanvoorst@scwarriors.org</t>
  </si>
  <si>
    <t>skopfmann@siouxcentral.org</t>
  </si>
  <si>
    <t>Patricia Blankenship</t>
  </si>
  <si>
    <t>blankep@live.siouxcityschools.com</t>
  </si>
  <si>
    <t>Davis Eidahl</t>
  </si>
  <si>
    <t>deidahl@solon.k12.ia.us</t>
  </si>
  <si>
    <t>Patricia Moore</t>
  </si>
  <si>
    <t>pmoore@solon.k12.ia.us</t>
  </si>
  <si>
    <t>Brad Anderson</t>
  </si>
  <si>
    <t>banderson@scc.k12.ia.us</t>
  </si>
  <si>
    <t>ccollins@scc.k12.ia.us</t>
  </si>
  <si>
    <t>Beth McCarter</t>
  </si>
  <si>
    <t>bmccarter@scc.k12.ia.us</t>
  </si>
  <si>
    <t>Heather Holm</t>
  </si>
  <si>
    <t>heather_holm@s-hamilton.k12.ia.us</t>
  </si>
  <si>
    <t>Wade Riley</t>
  </si>
  <si>
    <t>wriley@soswolverines.org</t>
  </si>
  <si>
    <t>thood@southpageschools.com</t>
  </si>
  <si>
    <t>Jared Smith</t>
  </si>
  <si>
    <t>Randy Denham</t>
  </si>
  <si>
    <t>Kris Einck</t>
  </si>
  <si>
    <t>keinck@swinn.k12.ia.us</t>
  </si>
  <si>
    <t>Kris Smith</t>
  </si>
  <si>
    <t>ksmith@swinn.k12.ia.us</t>
  </si>
  <si>
    <t>Dirk Halupnik</t>
  </si>
  <si>
    <t>dirk.halupnik@southeastpolk.org</t>
  </si>
  <si>
    <t>Kevin Baccam</t>
  </si>
  <si>
    <t>kevin.baccam@southeastpolk.org</t>
  </si>
  <si>
    <t>Amber Ray</t>
  </si>
  <si>
    <t>Delane Galvin</t>
  </si>
  <si>
    <t>delane.galvin@se-warren.k12.ia.us</t>
  </si>
  <si>
    <t>Terry Hemann</t>
  </si>
  <si>
    <t>themann@spencerschools.org</t>
  </si>
  <si>
    <t>Jolynne Eilts</t>
  </si>
  <si>
    <t>jeilts@spencerschools.org</t>
  </si>
  <si>
    <t>David Smith</t>
  </si>
  <si>
    <t>dsmith@spirit-lake.k12.ia.us</t>
  </si>
  <si>
    <t>Ashley Weber</t>
  </si>
  <si>
    <t>aweber@spirit-lake.k12.ia.us</t>
  </si>
  <si>
    <t>Jane Loveall</t>
  </si>
  <si>
    <t>jloveall@spirit-lake.k12.ia.us</t>
  </si>
  <si>
    <t>Stacey Matus</t>
  </si>
  <si>
    <t>smatus@springville.k12.ia.us</t>
  </si>
  <si>
    <t>mcrozier@stacsd.org</t>
  </si>
  <si>
    <t>Emily Johnson-Woods</t>
  </si>
  <si>
    <t>ewoods@st-ansgar.k12.ia.us</t>
  </si>
  <si>
    <t>dgute@stantonschools.com</t>
  </si>
  <si>
    <t>Stacey Cole</t>
  </si>
  <si>
    <t>scole@slcsd.org</t>
  </si>
  <si>
    <t>Trudy Pedersen</t>
  </si>
  <si>
    <t>tpedersen@slcsd.org</t>
  </si>
  <si>
    <t>Kathy Biere</t>
  </si>
  <si>
    <t>kbiere@webster-city.k12.ia.us</t>
  </si>
  <si>
    <t>Beth Weepie</t>
  </si>
  <si>
    <t>weepieb@sfcougars.k12.ia.us</t>
  </si>
  <si>
    <t>Theresa Schulz</t>
  </si>
  <si>
    <t>schulzt@sfcougars.k12.ia.us</t>
  </si>
  <si>
    <t>Jason Wester</t>
  </si>
  <si>
    <t>Angela Huseman</t>
  </si>
  <si>
    <t>ahuseman@tctrojans.org</t>
  </si>
  <si>
    <t>Jennifer Harder</t>
  </si>
  <si>
    <t>jharder@tctrojans.org</t>
  </si>
  <si>
    <t>chad.straight@tri-countyschools.com</t>
  </si>
  <si>
    <t>Jay Marley</t>
  </si>
  <si>
    <t>marleyj@tripoli.k12.ia.us</t>
  </si>
  <si>
    <t>Tracie Fette</t>
  </si>
  <si>
    <t>fettet@tripoli.k12.ia.us</t>
  </si>
  <si>
    <t>jjurrens@turkey-v.k12.ia.us</t>
  </si>
  <si>
    <t>Janice Myers</t>
  </si>
  <si>
    <t>jmyers@turkey-v.k12.ia.us</t>
  </si>
  <si>
    <t>sbridges@twincedarscsd.org</t>
  </si>
  <si>
    <t>bsnsman@twincedarscsd.org</t>
  </si>
  <si>
    <t>jmurray@tr.k12.ia.us</t>
  </si>
  <si>
    <t>Travis Fleshner</t>
  </si>
  <si>
    <t>Rosalie Daca</t>
  </si>
  <si>
    <t>dacar@urbandaleschools.com</t>
  </si>
  <si>
    <t>Jeremy Hissem</t>
  </si>
  <si>
    <t>Mindy Smith</t>
  </si>
  <si>
    <t>mindy.smith@van-burencsd.org</t>
  </si>
  <si>
    <t>Deron Durflinger</t>
  </si>
  <si>
    <t>deron.durflinger@vmbulldogs.com</t>
  </si>
  <si>
    <t>Shonna Trudo</t>
  </si>
  <si>
    <t>shonna.trudo@vmbulldogs.com</t>
  </si>
  <si>
    <t>Jessie Forsythe</t>
  </si>
  <si>
    <t>jforsythe@southwestvalley.org</t>
  </si>
  <si>
    <t>Kyle Koeppen</t>
  </si>
  <si>
    <t>kyle.koeppen@vscsd.org</t>
  </si>
  <si>
    <t>ken.crawford@wacocsd.org</t>
  </si>
  <si>
    <t>Carrie Coble</t>
  </si>
  <si>
    <t>carrie.coble@wacocsd.org</t>
  </si>
  <si>
    <t>Kristi Merida</t>
  </si>
  <si>
    <t>kristi.merida@wacocsd.org</t>
  </si>
  <si>
    <t>mike.peterson@wapellocsd.org</t>
  </si>
  <si>
    <t>Eric Small</t>
  </si>
  <si>
    <t>eric.small@wapellocsd.org</t>
  </si>
  <si>
    <t>Kim Arndt</t>
  </si>
  <si>
    <t>karndt@wapsievalleyschools.org</t>
  </si>
  <si>
    <t>William Stone</t>
  </si>
  <si>
    <t>wstone@washington.k12.ia.us</t>
  </si>
  <si>
    <t>Brad Buck</t>
  </si>
  <si>
    <t>bbuck@waukeeschools.org</t>
  </si>
  <si>
    <t>Mike Still</t>
  </si>
  <si>
    <t>mike.still@wayne.k12.ia.us</t>
  </si>
  <si>
    <t>Denise Larson</t>
  </si>
  <si>
    <t>denise.larson@wayne.k12.ia.us</t>
  </si>
  <si>
    <t>ceggers@west-bend.k12.ia.us</t>
  </si>
  <si>
    <t>Marty Jimmerson</t>
  </si>
  <si>
    <t>mjimmerson@west-branch.k12.ia.us</t>
  </si>
  <si>
    <t>Angie Klinkkammer</t>
  </si>
  <si>
    <t>aklinkkammer@west-branch.k12.ia.us</t>
  </si>
  <si>
    <t>Lisa Beames</t>
  </si>
  <si>
    <t>Shawna Brown</t>
  </si>
  <si>
    <t>shawna.brown@wbschools.us</t>
  </si>
  <si>
    <t>Rusty Shockley</t>
  </si>
  <si>
    <t>rshockley@wcv.k12.ia.us</t>
  </si>
  <si>
    <t>scrawford@wcv.k12.ia.us</t>
  </si>
  <si>
    <t>Lynnette Engel</t>
  </si>
  <si>
    <t>lynnetteengel@w-delaware.k12.ia.us</t>
  </si>
  <si>
    <t>Mike Kruger</t>
  </si>
  <si>
    <t>mike.kruger@westforkschool.org</t>
  </si>
  <si>
    <t>Lacey Pueggel</t>
  </si>
  <si>
    <t>lacey.pueggel@westforkschool.org</t>
  </si>
  <si>
    <t>Wayne Kronemann</t>
  </si>
  <si>
    <t>wkronemann@whancock.org</t>
  </si>
  <si>
    <t>Amy Larson</t>
  </si>
  <si>
    <t>alarson@whancock.org</t>
  </si>
  <si>
    <t>Marty Fonley</t>
  </si>
  <si>
    <t>Shaun Kruger</t>
  </si>
  <si>
    <t>skruger@wl.k12.ia.us</t>
  </si>
  <si>
    <t>Abby Ortiz</t>
  </si>
  <si>
    <t>aortiz@wl.k12.ia.us</t>
  </si>
  <si>
    <t>Shawn Kreman</t>
  </si>
  <si>
    <t>skreman@wlwildcats.org</t>
  </si>
  <si>
    <t>Janet Feikema</t>
  </si>
  <si>
    <t>jfeikema@wlwildcats.org</t>
  </si>
  <si>
    <t>Jacy Large</t>
  </si>
  <si>
    <t>jlarge@wmcsd.org</t>
  </si>
  <si>
    <t>marty.fonley@westmonona.org</t>
  </si>
  <si>
    <t>Roxane Bales</t>
  </si>
  <si>
    <t>roxane.bales@westmonona.org</t>
  </si>
  <si>
    <t>Steven Grond</t>
  </si>
  <si>
    <t>sgrond@w-sioux.k12.ia.us</t>
  </si>
  <si>
    <t>Jake Vanderham</t>
  </si>
  <si>
    <t>jacobv@w-sioux.k12.ia.us</t>
  </si>
  <si>
    <t>Mark Frasher</t>
  </si>
  <si>
    <t>mark.frasher@wdbqschools.org</t>
  </si>
  <si>
    <t>Jeni Schindler</t>
  </si>
  <si>
    <t>jeni.schindler@wdbqschools.org</t>
  </si>
  <si>
    <t>Jay Lutt</t>
  </si>
  <si>
    <t>jlutt@wcsdrebels.com</t>
  </si>
  <si>
    <t>Ashlee Worrell</t>
  </si>
  <si>
    <t>aworrell@wcsdrebels.com</t>
  </si>
  <si>
    <t>LORI WEST</t>
  </si>
  <si>
    <t>lwest@whitingcsd.org</t>
  </si>
  <si>
    <t>Chad Garber</t>
  </si>
  <si>
    <t>cgarber@williamsburg.k12.ia.us</t>
  </si>
  <si>
    <t>Cynthia Gingerich</t>
  </si>
  <si>
    <t>cindygingerich@williamsburg.k12.ia.us</t>
  </si>
  <si>
    <t>joeburnett@wiltoncsd.org</t>
  </si>
  <si>
    <t>Carmen Benson</t>
  </si>
  <si>
    <t>carmen.benson@wmucsd.org</t>
  </si>
  <si>
    <t>Justin Gross</t>
  </si>
  <si>
    <t>jgross@winterset.k12.ia.us</t>
  </si>
  <si>
    <t>Cammy Leners</t>
  </si>
  <si>
    <t>cleners@winterset.k12.ia.us</t>
  </si>
  <si>
    <t>Justin Wagner</t>
  </si>
  <si>
    <t>jwagner@woodbine.k12.ia.us</t>
  </si>
  <si>
    <t>Kelli Klaassen</t>
  </si>
  <si>
    <t>kklaassen@woodbine.k12.ia.us</t>
  </si>
  <si>
    <t>Christen Howrey</t>
  </si>
  <si>
    <t>chowrey@wcwildcats.org</t>
  </si>
  <si>
    <t>Matt Adams</t>
  </si>
  <si>
    <t>Valerie Finestead</t>
  </si>
  <si>
    <t>valfinestead@wghawks.school</t>
  </si>
  <si>
    <t>Josh Rasmussen</t>
  </si>
  <si>
    <t>jrasmussen@acgcschools.org</t>
  </si>
  <si>
    <t>Alisha Cook</t>
  </si>
  <si>
    <t>alisha.cook@ahstwschools.org</t>
  </si>
  <si>
    <t>lisa.chapman@algona.k12.ia.us</t>
  </si>
  <si>
    <t>Denny Olhausen</t>
  </si>
  <si>
    <t>Stephanie Kopfmann</t>
  </si>
  <si>
    <t>skopfmann@alta-aurelia.k12.ia.us</t>
  </si>
  <si>
    <t>dhanna@anamosa.k12.ia.us</t>
  </si>
  <si>
    <t>travis.fleshner@a-pcsd.net</t>
  </si>
  <si>
    <t>Carla Christensen</t>
  </si>
  <si>
    <t>cchristensen@audubon.k12.ia.us</t>
  </si>
  <si>
    <t>Leah Woiwood</t>
  </si>
  <si>
    <t>lwoiwood@bcluw.org</t>
  </si>
  <si>
    <t>pnewbold@boone.k12.ia.us</t>
  </si>
  <si>
    <t>Jeremy Christiansen</t>
  </si>
  <si>
    <t>Robert Scott</t>
  </si>
  <si>
    <t>robert.scott@bcsds.org</t>
  </si>
  <si>
    <t>Amanda Heiden</t>
  </si>
  <si>
    <t>raude@camanchecsd.org</t>
  </si>
  <si>
    <t>erik.anderson@carlislecsd.org</t>
  </si>
  <si>
    <t>Nicole Kooiker</t>
  </si>
  <si>
    <t>Karla Hogan</t>
  </si>
  <si>
    <t>khogan@crschools.us</t>
  </si>
  <si>
    <t>Mark Taylor</t>
  </si>
  <si>
    <t>mark.taylor@centervillek12.org</t>
  </si>
  <si>
    <t>Brad Baker</t>
  </si>
  <si>
    <t>brad.baker@chariton.k12.ia.us</t>
  </si>
  <si>
    <t>Jeff Privia</t>
  </si>
  <si>
    <t>jprivia@clarindacsd.org</t>
  </si>
  <si>
    <t>Kelsey Miller</t>
  </si>
  <si>
    <t>kmiller@siouxcentral.org</t>
  </si>
  <si>
    <t>Dr. Corey Seymour</t>
  </si>
  <si>
    <t>coreyseymour@ccaschools.org</t>
  </si>
  <si>
    <t>Tim Salmon</t>
  </si>
  <si>
    <t>tsalmon@colfaxmingo.org</t>
  </si>
  <si>
    <t>Kelly Disney</t>
  </si>
  <si>
    <t>kdisney@colfaxmingo.org</t>
  </si>
  <si>
    <t>Chad Grandon</t>
  </si>
  <si>
    <t>jlyddon@southwestvalley.org</t>
  </si>
  <si>
    <t>Patrick Wallace</t>
  </si>
  <si>
    <t>patrick.wallace@danvillecsd.org</t>
  </si>
  <si>
    <t>Timothy Cronin</t>
  </si>
  <si>
    <t>Lori Promes</t>
  </si>
  <si>
    <t>lpromes@denisoncsd.org</t>
  </si>
  <si>
    <t>Amy Hawkins</t>
  </si>
  <si>
    <t>ahawkins@dbqschools.org</t>
  </si>
  <si>
    <t>Steve Kaster</t>
  </si>
  <si>
    <t>SKaster@ecsdcards.com</t>
  </si>
  <si>
    <t>Cory Jenness</t>
  </si>
  <si>
    <t>cjenness@e-hawks.org</t>
  </si>
  <si>
    <t>aenderson@e-hawks.org</t>
  </si>
  <si>
    <t>Melissa Chambers</t>
  </si>
  <si>
    <t>chambersm@essex.k12.ia.us</t>
  </si>
  <si>
    <t>kvanmeter@fmtabor.org</t>
  </si>
  <si>
    <t>Adam Bisenius</t>
  </si>
  <si>
    <t>adambisenius@rvraptors.org</t>
  </si>
  <si>
    <t>Stacey Duden</t>
  </si>
  <si>
    <t>Brett Abbotts</t>
  </si>
  <si>
    <t>abbottsb@greenecountycsd.net</t>
  </si>
  <si>
    <t>Melisssa Chambers</t>
  </si>
  <si>
    <t>mchambers@hamburgcsd.org</t>
  </si>
  <si>
    <t>Aaron Becker</t>
  </si>
  <si>
    <t>abecker@hdcsd.org</t>
  </si>
  <si>
    <t>keinck@howard-winn.k12.ia.us</t>
  </si>
  <si>
    <t>ckohagen@jesup.k12.ia.us</t>
  </si>
  <si>
    <t>Stephanie Anderson</t>
  </si>
  <si>
    <t>sanderson@johnston.k12.ia.us</t>
  </si>
  <si>
    <t>Chris Rogne</t>
  </si>
  <si>
    <t>crogne@lake-mills.org</t>
  </si>
  <si>
    <t>Mercedes Miller</t>
  </si>
  <si>
    <t>millerm@lb-eagles.org</t>
  </si>
  <si>
    <t>Ryan.anderson@lemarscsd.org</t>
  </si>
  <si>
    <t>apino@lisbon.k12.ia.us</t>
  </si>
  <si>
    <t>Joie Creasman</t>
  </si>
  <si>
    <t>jcreasman@madrid.k12.ia.us</t>
  </si>
  <si>
    <t>Tara Notz</t>
  </si>
  <si>
    <t>tnotz@maquoketaschools.org</t>
  </si>
  <si>
    <t>rdenham@marshalltown.k12.ia.us</t>
  </si>
  <si>
    <t>Josh Jacobs</t>
  </si>
  <si>
    <t>josh_jacobs@mstm.us</t>
  </si>
  <si>
    <t>Patrick Hamilton</t>
  </si>
  <si>
    <t>phamilton@masoncityschools.org</t>
  </si>
  <si>
    <t>Brian Stone</t>
  </si>
  <si>
    <t>bstone@mphawks.org</t>
  </si>
  <si>
    <t>Christi Gochenour</t>
  </si>
  <si>
    <t>cgochenour@movalleycsd.org</t>
  </si>
  <si>
    <t>Rich Schulte</t>
  </si>
  <si>
    <t>rschulte@montezuma.k12.ia.us</t>
  </si>
  <si>
    <t>Tracie Valentine</t>
  </si>
  <si>
    <t>tracie.valentine@moulton-udell.org</t>
  </si>
  <si>
    <t>Michael Marshall</t>
  </si>
  <si>
    <t>mmarshall@mvcsd.org</t>
  </si>
  <si>
    <t>Mary Ann Webb</t>
  </si>
  <si>
    <t>maryann.webb@northpolk.org</t>
  </si>
  <si>
    <t>Kim Dornbush</t>
  </si>
  <si>
    <t>kim.dornbush@northeastcsd.org</t>
  </si>
  <si>
    <t>Julia Mogensen</t>
  </si>
  <si>
    <t>jmogensen@oabcig.org</t>
  </si>
  <si>
    <t>Mike Fisher</t>
  </si>
  <si>
    <t>Ashley Gordon</t>
  </si>
  <si>
    <t>ashley.gordon@ottumwaschools.com</t>
  </si>
  <si>
    <t>Katelyn Bierl</t>
  </si>
  <si>
    <t>katelyn.bierl@pellaschools.org</t>
  </si>
  <si>
    <t>rayamber@saydel.net</t>
  </si>
  <si>
    <t>barrettw@shenandoah.k12.ia.us</t>
  </si>
  <si>
    <t>Sammi Kopfmann</t>
  </si>
  <si>
    <t>earleyr@live.siouxcityschools.com</t>
  </si>
  <si>
    <t>Aaron Giese</t>
  </si>
  <si>
    <t>agiese@soswolverines.org</t>
  </si>
  <si>
    <t>sharonhart@southpageschools.com</t>
  </si>
  <si>
    <t>John Cain</t>
  </si>
  <si>
    <t>jcain@s-tama.k12.ia.us</t>
  </si>
  <si>
    <t>kmathern@s-tama.k12.ia.us</t>
  </si>
  <si>
    <t>lisa.stewart@southeastpolk.org</t>
  </si>
  <si>
    <t>apino@springville.k12.ia.us</t>
  </si>
  <si>
    <t>Katie Taylor</t>
  </si>
  <si>
    <t>ktaylor@starmont.k12.ia.us</t>
  </si>
  <si>
    <t>Joel Beyenhof</t>
  </si>
  <si>
    <t>jbeyenhof@treynorcardinals.org</t>
  </si>
  <si>
    <t>airwin@underwoodschools.org</t>
  </si>
  <si>
    <t>John Howard</t>
  </si>
  <si>
    <t>j_howard@union.k12.ia.us</t>
  </si>
  <si>
    <t>Kim Lubbert</t>
  </si>
  <si>
    <t>k_lubbert@union.k12.ia.us</t>
  </si>
  <si>
    <t>Steve Richman</t>
  </si>
  <si>
    <t>richmans@urbandaleschools.com</t>
  </si>
  <si>
    <t>choover@wapsievalleyschools.org</t>
  </si>
  <si>
    <t>smithjr@waterlooschools.org</t>
  </si>
  <si>
    <t>Adamsm@wdmcs.org</t>
  </si>
  <si>
    <t>Brett Zeller</t>
  </si>
  <si>
    <t>zellerb@wdmcs.org</t>
  </si>
  <si>
    <t>mfonley@w-harrison.k12.ia.us</t>
  </si>
  <si>
    <t>dan.butler@wdbqschools.org</t>
  </si>
  <si>
    <t>angelafreeman@wiltoncsd.org</t>
  </si>
  <si>
    <t>Mark Lane</t>
  </si>
  <si>
    <t>marklane@wghawks.school</t>
  </si>
  <si>
    <t>ssheeder@acgcschools.org</t>
  </si>
  <si>
    <t>Todd Lettow</t>
  </si>
  <si>
    <t>lettowt@cal.k12.ia.us</t>
  </si>
  <si>
    <t>Jennifer Coombes</t>
  </si>
  <si>
    <t>jcoombes@aea9.k12.ia.us</t>
  </si>
  <si>
    <t>Allison Frost</t>
  </si>
  <si>
    <t>afrost@e-marshall.k12.ia.us</t>
  </si>
  <si>
    <t>Ashley Anderson</t>
  </si>
  <si>
    <t>aanderson@movalleycsd.org</t>
  </si>
  <si>
    <t>Jake Loll</t>
  </si>
  <si>
    <t>jake.loll@norwalkschools.org</t>
  </si>
  <si>
    <t>Stephanie Burke</t>
  </si>
  <si>
    <t>sburke@stantonschools.com</t>
  </si>
  <si>
    <t>Dist - DoM</t>
  </si>
  <si>
    <t>DistrictNumber - DE</t>
  </si>
  <si>
    <t>Name</t>
  </si>
  <si>
    <t>Superintendent</t>
  </si>
  <si>
    <t>Email</t>
  </si>
  <si>
    <t>SBO</t>
  </si>
  <si>
    <t>Email - SBO</t>
  </si>
  <si>
    <t>Additional Financial Officer</t>
  </si>
  <si>
    <t>Email AFO</t>
  </si>
  <si>
    <t>Paulette Newbold</t>
  </si>
  <si>
    <t>First Payment - 12/1/2022</t>
  </si>
  <si>
    <t>Second Payment - 02/01/2023</t>
  </si>
  <si>
    <t>School District Income Surtax Payment - FY 2023</t>
  </si>
  <si>
    <t>Based upon income surtax rates in FY 2022 budgets</t>
  </si>
  <si>
    <t>Southeast Valley</t>
  </si>
  <si>
    <t>Richard Montgomery</t>
  </si>
  <si>
    <t>sherri.ruzek@ames.k12.ia.us</t>
  </si>
  <si>
    <t>lisajones@atlanticiaschools.org</t>
  </si>
  <si>
    <t>Abbey Skrivseth</t>
  </si>
  <si>
    <t>abbeyskrivseth@bellevue.k12.ia.us</t>
  </si>
  <si>
    <t>Jacki Grant</t>
  </si>
  <si>
    <t>jacki.grant@cardinalcomet.com</t>
  </si>
  <si>
    <t>John Elkin</t>
  </si>
  <si>
    <t>jelkin@cpuschools.org</t>
  </si>
  <si>
    <t>kpeyton@centralcitycsd.org</t>
  </si>
  <si>
    <t>Sarah Johnston</t>
  </si>
  <si>
    <t>sarah.johnston@cd-csd.org</t>
  </si>
  <si>
    <t>april.hughes@chariton.k12.ia.us</t>
  </si>
  <si>
    <t>Angie Morrison</t>
  </si>
  <si>
    <t>Traci Nessa</t>
  </si>
  <si>
    <t>trnessa@collins-maxwell.k12.ia.us</t>
  </si>
  <si>
    <t>trnessa@colo-nesco.k12.ia.us</t>
  </si>
  <si>
    <t>Angela Schoening</t>
  </si>
  <si>
    <t>aschoening1@cbcsd.org</t>
  </si>
  <si>
    <t>Larry McNutt</t>
  </si>
  <si>
    <t>lmcnutt@diagonalschools.org</t>
  </si>
  <si>
    <t>Gabrielle Speth</t>
  </si>
  <si>
    <t>gabrielle.speth@durant.k12.ia.us</t>
  </si>
  <si>
    <t>Nicole Boyer</t>
  </si>
  <si>
    <t>nboyer@eagle-grove.k12.ia.us</t>
  </si>
  <si>
    <t>Darla Kirkpatrick</t>
  </si>
  <si>
    <t>dkirkpatrick@emschools.org</t>
  </si>
  <si>
    <t>evan.marten@fairfieldsfuture.org</t>
  </si>
  <si>
    <t>Katelynn VanMeter</t>
  </si>
  <si>
    <t>caleb.bonjour@gr-rebels.net</t>
  </si>
  <si>
    <t>Kayla Sabbah</t>
  </si>
  <si>
    <t>Betsy Spaur</t>
  </si>
  <si>
    <t>bspaur@gmgschools.org</t>
  </si>
  <si>
    <t>Josh Bader</t>
  </si>
  <si>
    <t>jobade@gt.ratitans.org</t>
  </si>
  <si>
    <t>Laura Marshall</t>
  </si>
  <si>
    <t>marshalll@greenecountycsd.net</t>
  </si>
  <si>
    <t>Shawn Allen</t>
  </si>
  <si>
    <t>allens@greenecountycsd.net</t>
  </si>
  <si>
    <t>Janet Grafft</t>
  </si>
  <si>
    <t>Adam Kurth</t>
  </si>
  <si>
    <t>kurth.adam@iccsd.k12.ia.us</t>
  </si>
  <si>
    <t>bmcneil@ifacadets.net</t>
  </si>
  <si>
    <t>Sherry Kilby</t>
  </si>
  <si>
    <t>skilby@jesup.k12.ia.us</t>
  </si>
  <si>
    <t>Amy Greiner</t>
  </si>
  <si>
    <t>agreiner@washington.k12.ia.us</t>
  </si>
  <si>
    <t>Stacy Jones</t>
  </si>
  <si>
    <t>sjones@lamonischools.org</t>
  </si>
  <si>
    <t>Jonathan Galbraith</t>
  </si>
  <si>
    <t>thotz@lonetreecsd.org</t>
  </si>
  <si>
    <t>stharp@lonetreecsd.org</t>
  </si>
  <si>
    <t>Erika Vanderloop</t>
  </si>
  <si>
    <t>erikavanderloop@maquoketa-v.k12.ia.us</t>
  </si>
  <si>
    <t>Ginell Wetter</t>
  </si>
  <si>
    <t>ginell.wetter@mmcruroyals.org</t>
  </si>
  <si>
    <t>Tammy Ellis</t>
  </si>
  <si>
    <t>Bill Watson</t>
  </si>
  <si>
    <t>bill_watson@mstm.us</t>
  </si>
  <si>
    <t>Adam Magliari</t>
  </si>
  <si>
    <t>magliaria@mepoedu.org</t>
  </si>
  <si>
    <t>aratliff@nashua-plainfield.k12.ia.us</t>
  </si>
  <si>
    <t>Kelly Stillwagon</t>
  </si>
  <si>
    <t>kstillwagon@north-cedarstu.org</t>
  </si>
  <si>
    <t>Kassie Stansbery</t>
  </si>
  <si>
    <t>kstansbery@nfv.k12.ia.us</t>
  </si>
  <si>
    <t>Sara Forrester</t>
  </si>
  <si>
    <t>sara.forrester@n-tama.k12.ia.us</t>
  </si>
  <si>
    <t>kstillwagon@olin.k12.ia.us</t>
  </si>
  <si>
    <t>Tanya Swan</t>
  </si>
  <si>
    <t>sbo@pcmschools.org</t>
  </si>
  <si>
    <t>Heidi Harris</t>
  </si>
  <si>
    <t>harrish@redoakschools.org</t>
  </si>
  <si>
    <t>sanderson@riverside.k12.ia.us</t>
  </si>
  <si>
    <t>Hollly Fischer</t>
  </si>
  <si>
    <t>hfischer@rockford.k12.ia.us</t>
  </si>
  <si>
    <t>Jessica Meier</t>
  </si>
  <si>
    <t>jessica.meier@sigourneyschools.com</t>
  </si>
  <si>
    <t>Patty Zimmerman</t>
  </si>
  <si>
    <t>zimmerm@live.siouxcityschools.com</t>
  </si>
  <si>
    <t>Lisa Ziesman</t>
  </si>
  <si>
    <t>lisa_ziesman@s-hamilton.k12.ia.us</t>
  </si>
  <si>
    <t>Annette Gill</t>
  </si>
  <si>
    <t>agill@treynorcardinals.org</t>
  </si>
  <si>
    <t>Jeff Sommerfeldt</t>
  </si>
  <si>
    <t>sommerfeldtj@waterlooschools.org</t>
  </si>
  <si>
    <t>Sarah Enfield</t>
  </si>
  <si>
    <t>senfield@waukeeschools.org</t>
  </si>
  <si>
    <t>Chris Coffey</t>
  </si>
  <si>
    <t>ccoffey@waukeeschools.org</t>
  </si>
  <si>
    <t>Michael Kalvig</t>
  </si>
  <si>
    <t>mike.kalvig@wsr.k12.ia.us</t>
  </si>
  <si>
    <t>sduden@wmcsd.org</t>
  </si>
  <si>
    <t>Matt Crooks</t>
  </si>
  <si>
    <t>mattcrooks@wghawks.school</t>
  </si>
  <si>
    <t>FebruaryPaymentDOR</t>
  </si>
  <si>
    <t>Source Account</t>
  </si>
  <si>
    <t>BROOKLYN-GUERNSEY-MALCOM - SCHOOL SURTAX PENDING</t>
  </si>
  <si>
    <t>RED OAK - SCHOOL SURTAX PENDING</t>
  </si>
  <si>
    <t>CENTRAL DE WITT - SCHOOL SURTAX PENDING</t>
  </si>
  <si>
    <t>SIBLEY-OCHEYEDAN - SCHOOL SURTAX PENDING</t>
  </si>
  <si>
    <t>CLARINDA - SCHOOL SURTAX PENDING</t>
  </si>
  <si>
    <t>PERRY - SCHOOL SURTAX PENDING</t>
  </si>
  <si>
    <t>CENTER POINT-URBANA - SCHOOL SURTAX PENDING</t>
  </si>
  <si>
    <t>SEYMOUR - SCHOOL SURTAX PENDING</t>
  </si>
  <si>
    <t>POSTVILLE - SCHOOL SURTAX PENDING</t>
  </si>
  <si>
    <t>BONDURANT-FARRAR - SCHOOL SURTAX PENDING</t>
  </si>
  <si>
    <t>CAL - SCHOOL SURTAX PENDING</t>
  </si>
  <si>
    <t>ROLAND-STORY - SCHOOL SURTAX PENDING</t>
  </si>
  <si>
    <t>PATON-CHURDAN - SCHOOL SURTAX PENDING</t>
  </si>
  <si>
    <t>CHARITON - SCHOOL SURTAX PENDING</t>
  </si>
  <si>
    <t>CHARTER OAK-UTE - SCHOOL SURTAX PENDING</t>
  </si>
  <si>
    <t>PEKIN - SCHOOL SURTAX PENDING</t>
  </si>
  <si>
    <t>RUTHVEN-AYRSHIRE - SCHOOL SURTAX PENDING</t>
  </si>
  <si>
    <t>CENTRAL LEE - SCHOOL SURTAX PENDING</t>
  </si>
  <si>
    <t>SHELDON - SCHOOL SURTAX PENDING</t>
  </si>
  <si>
    <t>BOYDEN-HULL - SCHOOL SURTAX PENDING</t>
  </si>
  <si>
    <t>RICEVILLE - SCHOOL SURTAX PENDING</t>
  </si>
  <si>
    <t>OTTUMWA - SCHOOL SURTAX PENDING</t>
  </si>
  <si>
    <t>CENTRAL DECATUR - SCHOOL SURTAX PENDING</t>
  </si>
  <si>
    <t>CLARKE - SCHOOL SURTAX PENDING</t>
  </si>
  <si>
    <t>PLEASANTVILLE - SCHOOL SURTAX PENDING</t>
  </si>
  <si>
    <t>CEDAR FALLS - SCHOOL SURTAX PENDING</t>
  </si>
  <si>
    <t>SCHLESWIG - SCHOOL SURTAX PENDING</t>
  </si>
  <si>
    <t>CEDAR RAPIDS - SCHOOL SURTAX PENDING</t>
  </si>
  <si>
    <t>POCAHONTAS AREA - SCHOOL SURTAX PENDING</t>
  </si>
  <si>
    <t>EDDYVILLE-BLAKESBURG-FREMONT - SCHOOL SURTAX PENDING</t>
  </si>
  <si>
    <t>CAM - SCHOOL SURTAX PENDING</t>
  </si>
  <si>
    <t>PANORAMA - SCHOOL SURTAX PENDING</t>
  </si>
  <si>
    <t>CENTRAL LYON - SCHOOL SURTAX PENDING</t>
  </si>
  <si>
    <t>CHEROKEE - SCHOOL SURTAX PENDING</t>
  </si>
  <si>
    <t>PELLA - SCHOOL SURTAX PENDING</t>
  </si>
  <si>
    <t>CARDINAL - SCHOOL SURTAX PENDING</t>
  </si>
  <si>
    <t>ST ANSGAR - SCHOOL SURTAX PENDING</t>
  </si>
  <si>
    <t>CENTRAL CLAYTON - SCHOOL SURTAX PENDING</t>
  </si>
  <si>
    <t>SHENANDOAH - SCHOOL SURTAX PENDING</t>
  </si>
  <si>
    <t>WEST HANCOCK - SCHOOL SURTAX PENDING</t>
  </si>
  <si>
    <t>NORTH IOWA - SCHOOL SURTAX PENDING</t>
  </si>
  <si>
    <t>REMSEN-UNION - SCHOOL SURTAX PENDING</t>
  </si>
  <si>
    <t>OSKALOOSA - SCHOOL SURTAX PENDING</t>
  </si>
  <si>
    <t>SIDNEY - SCHOOL SURTAX PENDING</t>
  </si>
  <si>
    <t>CLARION-GOLDFIELD-DOWS - SCHOOL SURTAX PENDING</t>
  </si>
  <si>
    <t>BENTON - SCHOOL SURTAX PENDING</t>
  </si>
  <si>
    <t>CARROLL - SCHOOL SURTAX PENDING</t>
  </si>
  <si>
    <t>SCHALLER-CRESTLAND - SCHOOL SURTAX PENDING</t>
  </si>
  <si>
    <t>CENTERVILLE - SCHOOL SURTAX PENDING</t>
  </si>
  <si>
    <t>WEST FORK - SCHOOL SURTAX PENDING</t>
  </si>
  <si>
    <t>PCM - SCHOOL SURTAX PENDING</t>
  </si>
  <si>
    <t>BOONE - SCHOOL SURTAX PENDING</t>
  </si>
  <si>
    <t>CALAMUS/WHEATLAND - SCHOOL SURTAX PENDING</t>
  </si>
  <si>
    <t>RUDD-ROCKFORD-MARBLE ROCK - SCHOOL SURTAX PENDING</t>
  </si>
  <si>
    <t>SOUTH O'BRIEN - SCHOOL SURTAX PENDING</t>
  </si>
  <si>
    <t>CHARLES CITY - SCHOOL SURTAX PENDING</t>
  </si>
  <si>
    <t>MORAVIA - SCHOOL SURTAX PENDING</t>
  </si>
  <si>
    <t>NORTHWOOD-KENSETT - SCHOOL SURTAX PENDING</t>
  </si>
  <si>
    <t>WOODBURY CENTRAL - SCHOOL SURTAX PENDING</t>
  </si>
  <si>
    <t>HARLAN - SCHOOL SURTAX PENDING</t>
  </si>
  <si>
    <t>IKM-MANNING - SCHOOL SURTAX PENDING</t>
  </si>
  <si>
    <t>NEVADA - SCHOOL SURTAX PENDING</t>
  </si>
  <si>
    <t>KNOXVILLE - SCHOOL SURTAX PENDING</t>
  </si>
  <si>
    <t>ORIENT-MACKSBURG - SCHOOL SURTAX PENDING</t>
  </si>
  <si>
    <t>HUDSON - SCHOOL SURTAX PENDING</t>
  </si>
  <si>
    <t>MOUNT VERNON - SCHOOL SURTAX PENDING</t>
  </si>
  <si>
    <t>LAWTON-BRONSON - SCHOOL SURTAX PENDING</t>
  </si>
  <si>
    <t>NORTH POLK - SCHOOL SURTAX PENDING</t>
  </si>
  <si>
    <t>OELWEIN - SCHOOL SURTAX PENDING</t>
  </si>
  <si>
    <t>HIGHLAND - SCHOOL SURTAX PENDING</t>
  </si>
  <si>
    <t>NEWTON - SCHOOL SURTAX PENDING</t>
  </si>
  <si>
    <t>KEOTA - SCHOOL SURTAX PENDING</t>
  </si>
  <si>
    <t>NORTHEAST - SCHOOL SURTAX PENDING</t>
  </si>
  <si>
    <t>OKOBOJI - SCHOOL SURTAX PENDING</t>
  </si>
  <si>
    <t>HOWARD-WINNESHIEK - SCHOOL SURTAX PENDING</t>
  </si>
  <si>
    <t>IOWA FALLS - SCHOOL SURTAX PENDING</t>
  </si>
  <si>
    <t>MUSCATINE - SCHOOL SURTAX PENDING</t>
  </si>
  <si>
    <t>HAMBURG - SCHOOL SURTAX PENDING</t>
  </si>
  <si>
    <t>WINTERSET - SCHOOL SURTAX PENDING</t>
  </si>
  <si>
    <t>NORTH TAMA - SCHOOL SURTAX PENDING</t>
  </si>
  <si>
    <t>RIVERSIDE - SCHOOL SURTAX PENDING</t>
  </si>
  <si>
    <t>GREENE COUNTY - SCHOOL SURTAX PENDING</t>
  </si>
  <si>
    <t>NEW HAMPTON - SCHOOL SURTAX PENDING</t>
  </si>
  <si>
    <t>LAMONI - SCHOOL SURTAX PENDING</t>
  </si>
  <si>
    <t>NORTH LINN - SCHOOL SURTAX PENDING</t>
  </si>
  <si>
    <t>MOUNT AYR - SCHOOL SURTAX PENDING</t>
  </si>
  <si>
    <t>INDEPENDENCE - SCHOOL SURTAX PENDING</t>
  </si>
  <si>
    <t>INDIANOLA - SCHOOL SURTAX PENDING</t>
  </si>
  <si>
    <t>MOUNT PLEASANT - SCHOOL SURTAX PENDING</t>
  </si>
  <si>
    <t>LAURENS-MARATHON - SCHOOL SURTAX PENDING</t>
  </si>
  <si>
    <t>NORTH KOSSUTH - SCHOOL SURTAX PENDING</t>
  </si>
  <si>
    <t>ODEBOLT-ARTHUR - SCHOOL SURTAX PENDING</t>
  </si>
  <si>
    <t>HARTLEY-MELVIN-SANBORN - SCHOOL SURTAX PENDING</t>
  </si>
  <si>
    <t>NEW LONDON - SCHOOL SURTAX PENDING</t>
  </si>
  <si>
    <t>KINGSLEY-PIERSON - SCHOOL SURTAX PENDING</t>
  </si>
  <si>
    <t>NORTH FAYETTE VALLEY - SCHOOL SURTAX PENDING</t>
  </si>
  <si>
    <t>OLIN - SCHOOL SURTAX PENDING</t>
  </si>
  <si>
    <t>IOWA VALLEY - SCHOOL SURTAX PENDING</t>
  </si>
  <si>
    <t>NASHUA-PLAINFIELD - SCHOOL SURTAX PENDING</t>
  </si>
  <si>
    <t>HAMPTON-DUMONT - SCHOOL SURTAX PENDING</t>
  </si>
  <si>
    <t>WOODBINE - SCHOOL SURTAX PENDING</t>
  </si>
  <si>
    <t>WOODWARD-GRANGER - SCHOOL SURTAX PENDING</t>
  </si>
  <si>
    <t>JANESVILLE - SCHOOL SURTAX PENDING</t>
  </si>
  <si>
    <t>NEWELL-FONDA - SCHOOL SURTAX PENDING</t>
  </si>
  <si>
    <t>LAKE MILLS - SCHOOL SURTAX PENDING</t>
  </si>
  <si>
    <t>NORTH MAHASKA - SCHOOL SURTAX PENDING</t>
  </si>
  <si>
    <t>OSAGE - SCHOOL SURTAX PENDING</t>
  </si>
  <si>
    <t>MOULTON-UDELL - SCHOOL SURTAX PENDING</t>
  </si>
  <si>
    <t>HUMBOLDT - SCHOOL SURTAX PENDING</t>
  </si>
  <si>
    <t>IOWA CITY - SCHOOL SURTAX PENDING</t>
  </si>
  <si>
    <t>MURRAY - SCHOOL SURTAX PENDING</t>
  </si>
  <si>
    <t>ADAIR-CASEY - SCHOOL SURTAX PENDING</t>
  </si>
  <si>
    <t>HLV - SCHOOL SURTAX PENDING</t>
  </si>
  <si>
    <t>EAST MARSHALL - SCHOOL SURTAX PENDING</t>
  </si>
  <si>
    <t>NORTH SCOTT - SCHOOL SURTAX PENDING</t>
  </si>
  <si>
    <t>OGDEN - SCHOOL SURTAX PENDING</t>
  </si>
  <si>
    <t>HINTON - SCHOOL SURTAX PENDING</t>
  </si>
  <si>
    <t>CENTRAL SPRINGS - SCHOOL SURTAX PENDING</t>
  </si>
  <si>
    <t>TRIPOLI - SCHOOL SURTAX PENDING</t>
  </si>
  <si>
    <t>WILLIAMSBURG - SCHOOL SURTAX PENDING</t>
  </si>
  <si>
    <t>EAST BUCHANAN - SCHOOL SURTAX PENDING</t>
  </si>
  <si>
    <t>GUTHRIE CENTER - SCHOOL SURTAX PENDING</t>
  </si>
  <si>
    <t>DUNKERTON - SCHOOL SURTAX PENDING</t>
  </si>
  <si>
    <t>WEBSTER CITY - SCHOOL SURTAX PENDING</t>
  </si>
  <si>
    <t>SOUTH TAMA - SCHOOL SURTAX PENDING</t>
  </si>
  <si>
    <t>FORT MADISON - SCHOOL SURTAX PENDING</t>
  </si>
  <si>
    <t>COON RAPIDS-BAYARD - SCHOOL SURTAX PENDING</t>
  </si>
  <si>
    <t>GLENWOOD - SCHOOL SURTAX PENDING</t>
  </si>
  <si>
    <t>DECORAH - SCHOOL SURTAX PENDING</t>
  </si>
  <si>
    <t>LOUISA-MUSCATINE - SCHOOL SURTAX PENDING</t>
  </si>
  <si>
    <t>WEST HARRISON - SCHOOL SURTAX PENDING</t>
  </si>
  <si>
    <t>STORM LAKE - SCHOOL SURTAX PENDING</t>
  </si>
  <si>
    <t>MELCHER-DALLAS - SCHOOL SURTAX PENDING</t>
  </si>
  <si>
    <t>ENGLISH VALLEYS - SCHOOL SURTAX PENDING</t>
  </si>
  <si>
    <t>CLEAR CREEK-AMANA - SCHOOL SURTAX PENDING</t>
  </si>
  <si>
    <t>SIOUX CITY - SCHOOL SURTAX PENDING</t>
  </si>
  <si>
    <t>SOUTHEAST WARREN - SCHOOL SURTAX PENDING</t>
  </si>
  <si>
    <t>MFL MAR MAC - SCHOOL SURTAX PENDING</t>
  </si>
  <si>
    <t>FAIRFIELD - SCHOOL SURTAX PENDING</t>
  </si>
  <si>
    <t>GMG - SCHOOL SURTAX PENDING</t>
  </si>
  <si>
    <t>EAST MILLS - SCHOOL SURTAX PENDING</t>
  </si>
  <si>
    <t>WEST MONONA - SCHOOL SURTAX PENDING</t>
  </si>
  <si>
    <t>TIPTON - SCHOOL SURTAX PENDING</t>
  </si>
  <si>
    <t>MARTENSDALE-ST MARYS - SCHOOL SURTAX PENDING</t>
  </si>
  <si>
    <t>RIVER VALLEY - SCHOOL SURTAX PENDING</t>
  </si>
  <si>
    <t>VILLISCA - SCHOOL SURTAX PENDING</t>
  </si>
  <si>
    <t>EAGLE GROVE - SCHOOL SURTAX PENDING</t>
  </si>
  <si>
    <t>WEST CENTRAL - SCHOOL SURTAX PENDING</t>
  </si>
  <si>
    <t>SPIRIT LAKE - SCHOOL SURTAX PENDING</t>
  </si>
  <si>
    <t>GEORGE-LITTLE ROCK - SCHOOL SURTAX PENDING</t>
  </si>
  <si>
    <t>GILMORE CITY-BRADGATE - SCHOOL SURTAX PENDING</t>
  </si>
  <si>
    <t>LOGAN-MAGNOLIA - SCHOOL SURTAX PENDING</t>
  </si>
  <si>
    <t>STANTON - SCHOOL SURTAX PENDING</t>
  </si>
  <si>
    <t>MOC-FLOYD VALLEY - SCHOOL SURTAX PENDING</t>
  </si>
  <si>
    <t>ELDORA-NEW PROVIDENCE - SCHOOL SURTAX PENDING</t>
  </si>
  <si>
    <t>CLARKSVILLE - SCHOOL SURTAX PENDING</t>
  </si>
  <si>
    <t>MORNING SUN - SCHOOL SURTAX PENDING</t>
  </si>
  <si>
    <t>SIGOURNEY - SCHOOL SURTAX PENDING</t>
  </si>
  <si>
    <t>WAVERLY-SHELL ROCK - SCHOOL SURTAX PENDING</t>
  </si>
  <si>
    <t>SOUTHEAST VALLEY - SCHOOL SURTAX PENDING</t>
  </si>
  <si>
    <t>MONTICELLO - SCHOOL SURTAX PENDING</t>
  </si>
  <si>
    <t>FOREST CITY - SCHOOL SURTAX PENDING</t>
  </si>
  <si>
    <t>COLO-NESCO - SCHOOL SURTAX PENDING</t>
  </si>
  <si>
    <t>GRISWOLD - SCHOOL SURTAX PENDING</t>
  </si>
  <si>
    <t>DIKE-NEW HARTFORD - SCHOOL SURTAX PENDING</t>
  </si>
  <si>
    <t>MAPLE VALLEY-ANTHON OTO - SCHOOL SURTAX PENDING</t>
  </si>
  <si>
    <t>WESTWOOD - SCHOOL SURTAX PENDING</t>
  </si>
  <si>
    <t>TRI-CENTER - SCHOOL SURTAX PENDING</t>
  </si>
  <si>
    <t>TWIN CEDARS - SCHOOL SURTAX PENDING</t>
  </si>
  <si>
    <t>MARION - SCHOOL SURTAX PENDING</t>
  </si>
  <si>
    <t>WINFIELD-MT UNION - SCHOOL SURTAX PENDING</t>
  </si>
  <si>
    <t>EAST UNION - SCHOOL SURTAX PENDING</t>
  </si>
  <si>
    <t>VAN BUREN - SCHOOL SURTAX PENDING</t>
  </si>
  <si>
    <t>DURANT - SCHOOL SURTAX PENDING</t>
  </si>
  <si>
    <t>LEWIS CENTRAL - SCHOOL SURTAX PENDING</t>
  </si>
  <si>
    <t>WEST BRANCH - SCHOOL SURTAX PENDING</t>
  </si>
  <si>
    <t>SOUTHEAST POLK - SCHOOL SURTAX PENDING</t>
  </si>
  <si>
    <t>GALVA-HOLSTEIN - SCHOOL SURTAX PENDING</t>
  </si>
  <si>
    <t>GRAETTINGER-TERRIL - SCHOOL SURTAX PENDING</t>
  </si>
  <si>
    <t>DENISON - SCHOOL SURTAX PENDING</t>
  </si>
  <si>
    <t>LYNNVILLE-SULLY - SCHOOL SURTAX PENDING</t>
  </si>
  <si>
    <t>WEST LYON - SCHOOL SURTAX PENDING</t>
  </si>
  <si>
    <t>WEST CENTRAL VALLEY - SCHOOL SURTAX PENDING</t>
  </si>
  <si>
    <t>MID-PRAIRIE - SCHOOL SURTAX PENDING</t>
  </si>
  <si>
    <t>ESTHERVILLE-LINCOLN CENTRAL - SCHOOL SURTAX PENDING</t>
  </si>
  <si>
    <t>CLINTON - SCHOOL SURTAX PENDING</t>
  </si>
  <si>
    <t>WAPSIE VALLEY - SCHOOL SURTAX PENDING</t>
  </si>
  <si>
    <t>SOUTH CENTRAL CALHOUN - SCHOOL SURTAX PENDING</t>
  </si>
  <si>
    <t>WASHINGTON - SCHOOL SURTAX PENDING</t>
  </si>
  <si>
    <t>SOLON - SCHOOL SURTAX PENDING</t>
  </si>
  <si>
    <t>MISSOURI VALLEY - SCHOOL SURTAX PENDING</t>
  </si>
  <si>
    <t>EXIRA-ELK HORN-KIMBALLTON - SCHOOL SURTAX PENDING</t>
  </si>
  <si>
    <t>COLFAX-MINGO - SCHOOL SURTAX PENDING</t>
  </si>
  <si>
    <t>NODAWAY VALLEY - SCHOOL SURTAX PENDING</t>
  </si>
  <si>
    <t>DENVER - SCHOOL SURTAX PENDING</t>
  </si>
  <si>
    <t>MADRID - SCHOOL SURTAX PENDING</t>
  </si>
  <si>
    <t>WEST MARSHALL - SCHOOL SURTAX PENDING</t>
  </si>
  <si>
    <t>SUMNER-FREDERICKSBURG - SCHOOL SURTAX PENDING</t>
  </si>
  <si>
    <t>TWIN RIVERS - SCHOOL SURTAX PENDING</t>
  </si>
  <si>
    <t>MARSHALLTOWN - SCHOOL SURTAX PENDING</t>
  </si>
  <si>
    <t>EASTERN ALLAMAKEE - SCHOOL SURTAX PENDING</t>
  </si>
  <si>
    <t>VAN METER - SCHOOL SURTAX PENDING</t>
  </si>
  <si>
    <t>UNION - SCHOOL SURTAX PENDING</t>
  </si>
  <si>
    <t>NORTH CEDAR - SCHOOL SURTAX PENDING</t>
  </si>
  <si>
    <t>SPENCER - SCHOOL SURTAX PENDING</t>
  </si>
  <si>
    <t>GARNER-HAYFIELD-VENTURA - SCHOOL SURTAX PENDING</t>
  </si>
  <si>
    <t>CRESTON - SCHOOL SURTAX PENDING</t>
  </si>
  <si>
    <t>GLADBROOK-REINBECK - SCHOOL SURTAX PENDING</t>
  </si>
  <si>
    <t>DAVIS COUNTY - SCHOOL SURTAX PENDING</t>
  </si>
  <si>
    <t>LONE TREE - SCHOOL SURTAX PENDING</t>
  </si>
  <si>
    <t>WESTERN DUBUQUE CO - SCHOOL SURTAX PENDING</t>
  </si>
  <si>
    <t>STARMONT - SCHOOL SURTAX PENDING</t>
  </si>
  <si>
    <t>MEDIAPOLIS - SCHOOL SURTAX PENDING</t>
  </si>
  <si>
    <t>EMMETSBURG - SCHOOL SURTAX PENDING</t>
  </si>
  <si>
    <t>CLAY CENTRAL-EVERLY - SCHOOL SURTAX PENDING</t>
  </si>
  <si>
    <t>EAST SAC COUNTY - SCHOOL SURTAX PENDING</t>
  </si>
  <si>
    <t>SIOUX CENTER - SCHOOL SURTAX PENDING</t>
  </si>
  <si>
    <t>WAYNE - SCHOOL SURTAX PENDING</t>
  </si>
  <si>
    <t>SOUTH PAGE - SCHOOL SURTAX PENDING</t>
  </si>
  <si>
    <t>FORT DODGE - SCHOOL SURTAX PENDING</t>
  </si>
  <si>
    <t>COLUMBUS - SCHOOL SURTAX PENDING</t>
  </si>
  <si>
    <t>GRUNDY CENTER - SCHOOL SURTAX PENDING</t>
  </si>
  <si>
    <t>MAQUOKETA - SCHOOL SURTAX PENDING</t>
  </si>
  <si>
    <t>WHITING - SCHOOL SURTAX PENDING</t>
  </si>
  <si>
    <t>TRI-COUNTY - SCHOOL SURTAX PENDING</t>
  </si>
  <si>
    <t>MARCUS-MERIDEN CLEGHORN - SCHOOL SURTAX PENDING</t>
  </si>
  <si>
    <t>WILTON - SCHOOL SURTAX PENDING</t>
  </si>
  <si>
    <t>EASTON VALLEY - SCHOOL SURTAX PENDING</t>
  </si>
  <si>
    <t>BOYER VALLEY - SCHOOL SURTAX PENDING</t>
  </si>
  <si>
    <t>LENOX - SCHOOL SURTAX PENDING</t>
  </si>
  <si>
    <t>SOUTH WINNESHIEK - SCHOOL SURTAX PENDING</t>
  </si>
  <si>
    <t>FREMONT-MILLS - SCHOOL SURTAX PENDING</t>
  </si>
  <si>
    <t>CORNING - SCHOOL SURTAX PENDING</t>
  </si>
  <si>
    <t>GLIDDEN-RALSTON - SCHOOL SURTAX PENDING</t>
  </si>
  <si>
    <t>DELWOOD - SCHOOL SURTAX PENDING</t>
  </si>
  <si>
    <t>WEST LIBERTY - SCHOOL SURTAX PENDING</t>
  </si>
  <si>
    <t>STRATFORD - SCHOOL SURTAX PENDING</t>
  </si>
  <si>
    <t>MIDLAND - SCHOOL SURTAX PENDING</t>
  </si>
  <si>
    <t>ESSEX - SCHOOL SURTAX PENDING</t>
  </si>
  <si>
    <t>CLEAR LAKE - SCHOOL SURTAX PENDING</t>
  </si>
  <si>
    <t>WAPELLO - SCHOOL SURTAX PENDING</t>
  </si>
  <si>
    <t>SIOUX CENTRAL - SCHOOL SURTAX PENDING</t>
  </si>
  <si>
    <t>SOUTH HAMILTON - SCHOOL SURTAX PENDING</t>
  </si>
  <si>
    <t>MONTEZUMA - SCHOOL SURTAX PENDING</t>
  </si>
  <si>
    <t>COLLINS-MAXWELL - SCHOOL SURTAX PENDING</t>
  </si>
  <si>
    <t>GRINNELL-NEWBURG - SCHOOL SURTAX PENDING</t>
  </si>
  <si>
    <t>DIAGONAL - SCHOOL SURTAX PENDING</t>
  </si>
  <si>
    <t>MANSON-NORTHWEST WEBSTER - SCHOOL SURTAX PENDING</t>
  </si>
  <si>
    <t>WEST SIOUX - SCHOOL SURTAX PENDING</t>
  </si>
  <si>
    <t>TREYNOR - SCHOOL SURTAX PENDING</t>
  </si>
  <si>
    <t>UNITED - SCHOOL SURTAX PENDING</t>
  </si>
  <si>
    <t>MASON CITY - SCHOOL SURTAX PENDING</t>
  </si>
  <si>
    <t>EDGEWOOD-COLESBURG - SCHOOL SURTAX PENDING</t>
  </si>
  <si>
    <t>MORMON TRAIL - SCHOOL SURTAX PENDING</t>
  </si>
  <si>
    <t>VINTON-SHELLSBURG - SCHOOL SURTAX PENDING</t>
  </si>
  <si>
    <t>LISBON - SCHOOL SURTAX PENDING</t>
  </si>
  <si>
    <t>WEST DELAWARE CO - SCHOOL SURTAX PENDING</t>
  </si>
  <si>
    <t>SPRINGVILLE - SCHOOL SURTAX PENDING</t>
  </si>
  <si>
    <t>DANVILLE - SCHOOL SURTAX PENDING</t>
  </si>
  <si>
    <t>BELLEVUE - SCHOOL SURTAX PENDING</t>
  </si>
  <si>
    <t>ANAMOSA - SCHOOL SURTAX PENDING</t>
  </si>
  <si>
    <t>ALBIA - SCHOOL SURTAX PENDING</t>
  </si>
  <si>
    <t>ALLAMAKEE - SCHOOL SURTAX PENDING</t>
  </si>
  <si>
    <t>BAXTER - SCHOOL SURTAX PENDING</t>
  </si>
  <si>
    <t>AGWSR - SCHOOL SURTAX PENDING</t>
  </si>
  <si>
    <t>NORTH UNION - SCHOOL SURTAX PENDING</t>
  </si>
  <si>
    <t>ATLANTIC - SCHOOL SURTAX PENDING</t>
  </si>
  <si>
    <t>AKRON-WESTFIELD - SCHOOL SURTAX PENDING</t>
  </si>
  <si>
    <t>ALTA-AURELIA - SCHOOL SURTAX PENDING</t>
  </si>
  <si>
    <t>BEDFORD - SCHOOL SURTAX PENDING</t>
  </si>
  <si>
    <t>BENNETT - SCHOOL SURTAX PENDING</t>
  </si>
  <si>
    <t>BALLARD - SCHOOL SURTAX PENDING</t>
  </si>
  <si>
    <t>ALDEN - SCHOOL SURTAX PENDING</t>
  </si>
  <si>
    <t>ALGONA - SCHOOL SURTAX PENDING</t>
  </si>
  <si>
    <t>APLINGTON-PARKERSBURG - SCHOOL SURTAX PENDING</t>
  </si>
  <si>
    <t>AUDUBON - SCHOOL SURTAX PENDING</t>
  </si>
  <si>
    <t>AMES - SCHOOL SURTAX PENDING</t>
  </si>
  <si>
    <t>BELLE PLAINE - SCHOOL SURTAX PENDING</t>
  </si>
  <si>
    <t>BELMOND-KLEMME - SCHOOL SURTAX PENDING</t>
  </si>
  <si>
    <t>ANDREW - SCHOOL SURTAX PENDING</t>
  </si>
  <si>
    <t>AHSTW - SCHOOL SURTAX PENDING</t>
  </si>
  <si>
    <t>ALBURNETT - SCHOOL SURTAX PENDING</t>
  </si>
  <si>
    <t>NORTH BUTLER - SCHOOL SURTAX PENDING</t>
  </si>
  <si>
    <t>BCLUW - SCHOOL SURTAX PENDING</t>
  </si>
  <si>
    <t>AR-WE-VA - SCHOOL SURTAX PENDING</t>
  </si>
  <si>
    <t>Compare Payment Before Reorgs and After</t>
  </si>
  <si>
    <t>Number of Payments Prior to Reorgs</t>
  </si>
  <si>
    <t>Compare DOR Prior and Post Reorgs</t>
  </si>
  <si>
    <t>Districts Going Away</t>
  </si>
  <si>
    <t>Lu Verne, Praire Valley</t>
  </si>
  <si>
    <t>Resulting Number of Payments</t>
  </si>
  <si>
    <t>dtrimble@ballard.k12.ia.us</t>
  </si>
  <si>
    <t>asummers@cam.k12.ia.us</t>
  </si>
  <si>
    <t>Julie Klawiter</t>
  </si>
  <si>
    <t>jklawiter@cpuschools.org</t>
  </si>
  <si>
    <t>Allison Walch</t>
  </si>
  <si>
    <t>awalch@central.k12.ia.us</t>
  </si>
  <si>
    <t>Angela Meredith</t>
  </si>
  <si>
    <t>akmeredith@eastsac.k12.ia.us</t>
  </si>
  <si>
    <t>Gary Richardson</t>
  </si>
  <si>
    <t>grichardson@hlpcsd.org</t>
  </si>
  <si>
    <t>mcgriffs@oskycsd.org</t>
  </si>
  <si>
    <t>gwen.mathahs@sheldonschools.com</t>
  </si>
  <si>
    <t>Tim Richard</t>
  </si>
  <si>
    <t>trichard@underwoodschools.org</t>
  </si>
  <si>
    <t>School District Surtax Collected</t>
  </si>
  <si>
    <t>District Name</t>
  </si>
  <si>
    <t>District Number</t>
  </si>
  <si>
    <t>UpperCaseName</t>
  </si>
  <si>
    <t>DecPayment - Change to 100%</t>
  </si>
  <si>
    <t>CALAMUS-WHEATLAND</t>
  </si>
  <si>
    <t>ODEBOLT ARTHUR BATTLE CREEK IDA GROVE</t>
  </si>
  <si>
    <t>VAN BUREN COUNTY</t>
  </si>
  <si>
    <t>My Calc</t>
  </si>
  <si>
    <t>VAN BUREN County - SCHOOL SURTAX PENDING</t>
  </si>
  <si>
    <t>ODEBOLT ARTHUR BATTLE CREEK IDA GROVE - SCHOOL SURTAX PENDING</t>
  </si>
  <si>
    <t>CALAMUS-WHEATLAND - SCHOOL SURTAX PENDING</t>
  </si>
  <si>
    <t>Amount Jan 1 through Nov 21, 2024</t>
  </si>
  <si>
    <t>Districts that had returns filed and attibuted to a different year. EX Bondurant no surtax for FY 2024 but had one in FY 2023 and returns were filed for CY 2022 so have an amount here</t>
  </si>
  <si>
    <t xml:space="preserve"> Balance </t>
  </si>
  <si>
    <t>Printout Total equals Paste of Printout</t>
  </si>
  <si>
    <t>Printout Total equals Payment Total</t>
  </si>
  <si>
    <t>Number of Payments in Printout Equal Final Payment</t>
  </si>
  <si>
    <t>Sum of DOR = Sum of Payment Total</t>
  </si>
  <si>
    <t>VPPEL + GF = Total Payment on SurtaxPayment Tab</t>
  </si>
  <si>
    <t>Printout Total Equals Total On Surtax Rates SAS</t>
  </si>
  <si>
    <t>Number of Districts with a Surtax Equal Payments</t>
  </si>
  <si>
    <t>Number of Districts Added for Late/Amended Returns</t>
  </si>
  <si>
    <t>greg.dufoe@admschools.org</t>
  </si>
  <si>
    <t>Dick Jungers</t>
  </si>
  <si>
    <t>djungers@albertct.k12.ia.us</t>
  </si>
  <si>
    <t>richard.montgomery@albia.k12.ia.us</t>
  </si>
  <si>
    <t>Will Dible</t>
  </si>
  <si>
    <t>wdible@alburnettcsd.org</t>
  </si>
  <si>
    <t>dolhausen@alta-aurelia.k12.ia.us</t>
  </si>
  <si>
    <t>scott.grimes@ames.k12.ia.us</t>
  </si>
  <si>
    <t>Deb Farver Plumb</t>
  </si>
  <si>
    <t>deb.farver@ankenyschools.org</t>
  </si>
  <si>
    <t>kayla.sabbah@a-pcsd.net</t>
  </si>
  <si>
    <t>Nate Hemiller</t>
  </si>
  <si>
    <t>nhemiller@eastsac.k12.ia.us</t>
  </si>
  <si>
    <t>Beth Johnsen</t>
  </si>
  <si>
    <t>bjohnsen@atlanticiaschools.org</t>
  </si>
  <si>
    <t>tmiller@audubon.k12.ia.us</t>
  </si>
  <si>
    <t>Danielle Trimble</t>
  </si>
  <si>
    <t>Chris Petersen</t>
  </si>
  <si>
    <t>cpetersen@baxter.k12.ia.us</t>
  </si>
  <si>
    <t>Mike Hilmer</t>
  </si>
  <si>
    <t>mikehilmer@bellevue.k12.ia.us</t>
  </si>
  <si>
    <t>Jennifer Peter</t>
  </si>
  <si>
    <t>jenn.peter@bkcsd.org</t>
  </si>
  <si>
    <t>Shane Knoche</t>
  </si>
  <si>
    <t>shane.knoche@bennett.k12.ia.us</t>
  </si>
  <si>
    <t>James Bieschke</t>
  </si>
  <si>
    <t>jbieschke@benton.k12.ia.us</t>
  </si>
  <si>
    <t>Melissa Venneman</t>
  </si>
  <si>
    <t>mvenneman@benton.k12.ia.us</t>
  </si>
  <si>
    <t>Curt Pratt</t>
  </si>
  <si>
    <t>curtpratt@bettendorf.k12.ia.us</t>
  </si>
  <si>
    <t>jchristiansen@boyervalley.org</t>
  </si>
  <si>
    <t>tsell@boyervalley.org</t>
  </si>
  <si>
    <t>heidena@cal.k12.ia.us</t>
  </si>
  <si>
    <t>sknoche@cal-wheat.net</t>
  </si>
  <si>
    <t>Marika Pewe</t>
  </si>
  <si>
    <t>mpewe@cal-wheat.net</t>
  </si>
  <si>
    <t>Justin Shaffer</t>
  </si>
  <si>
    <t>jshaffer@camanchecsd.org</t>
  </si>
  <si>
    <t>james.craig@cardinalcomet.com</t>
  </si>
  <si>
    <t>Tawana Grover</t>
  </si>
  <si>
    <t>tgrover@crschools.us</t>
  </si>
  <si>
    <t>Leisa Breitfelder</t>
  </si>
  <si>
    <t>lbreitfelder@centralcitycsd.org</t>
  </si>
  <si>
    <t>Stephanie Mishler</t>
  </si>
  <si>
    <t>stephanie.mishler@cd-csd.org</t>
  </si>
  <si>
    <t>Amanda Brown</t>
  </si>
  <si>
    <t>abrown@centrallee.org</t>
  </si>
  <si>
    <t>smeinders@centralsprings.net</t>
  </si>
  <si>
    <t>Brian Burnight</t>
  </si>
  <si>
    <t>bburnig@charles-city.k12.ia.us</t>
  </si>
  <si>
    <t>Danielle Bonnstetter</t>
  </si>
  <si>
    <t>dbonnst@charlescityschools.org</t>
  </si>
  <si>
    <t>Tom Ryherd</t>
  </si>
  <si>
    <t>tryherd@ccsd.k12.ia.us</t>
  </si>
  <si>
    <t>Kurt DeVore</t>
  </si>
  <si>
    <t>kurt.devore@clarkecsd.org</t>
  </si>
  <si>
    <t>Angela Williams</t>
  </si>
  <si>
    <t>angela.williams@clarke.k12.ia.us</t>
  </si>
  <si>
    <t>Bryan Boysen</t>
  </si>
  <si>
    <t>bboysen@clarksville.k12.ia.us</t>
  </si>
  <si>
    <t>Logan Taylor</t>
  </si>
  <si>
    <t>ltaylor@claytonridge.k12.ia.us</t>
  </si>
  <si>
    <t>Wesley Golden</t>
  </si>
  <si>
    <t>wesley.golden@csdkq.org</t>
  </si>
  <si>
    <t>msnavely@collins-maxwell.k12.ia.us</t>
  </si>
  <si>
    <t>Michael Volk</t>
  </si>
  <si>
    <t>michael.volk@columbuscsd.org</t>
  </si>
  <si>
    <t>thomas.ridder@crbcrusaders.org</t>
  </si>
  <si>
    <t>Lori Lehan</t>
  </si>
  <si>
    <t>llehan@cbcsd.org</t>
  </si>
  <si>
    <t>Scott Blum</t>
  </si>
  <si>
    <t>scott.blum@dcgschools.com</t>
  </si>
  <si>
    <t>Cole Rushing</t>
  </si>
  <si>
    <t>cole.rushing@dcmustangs.com</t>
  </si>
  <si>
    <t>tim.cronin@decorah.school</t>
  </si>
  <si>
    <t>Kim Buryanek</t>
  </si>
  <si>
    <t>kburyanek@denisoncsd.org</t>
  </si>
  <si>
    <t>mmeyer@denisoncsd.org</t>
  </si>
  <si>
    <t>Ian Roberts</t>
  </si>
  <si>
    <t>superintendent@dmschools.org</t>
  </si>
  <si>
    <t>kayla.sabbah@dnhcsd.org</t>
  </si>
  <si>
    <t>Kory Kelchen</t>
  </si>
  <si>
    <t>kkelchen@dunkertonschools.org</t>
  </si>
  <si>
    <t>Lyle McIntosh</t>
  </si>
  <si>
    <t>lmcintosh@dunkertonschools.org</t>
  </si>
  <si>
    <t>kkelchen@east-buc.k12.ia.us</t>
  </si>
  <si>
    <t>Michael Brown</t>
  </si>
  <si>
    <t>mbrown@emschools.org</t>
  </si>
  <si>
    <t>Nathan Hemiller</t>
  </si>
  <si>
    <t>Tyler Ruse</t>
  </si>
  <si>
    <t>truse@eastsac.k12.ia.us</t>
  </si>
  <si>
    <t>Nicholas Trenkamp</t>
  </si>
  <si>
    <t>ksmith@kee.k12.ia.us</t>
  </si>
  <si>
    <t>Kim Huckstadt</t>
  </si>
  <si>
    <t>kimhuckstadt@maquoketa-v.k12.ia.us</t>
  </si>
  <si>
    <t>Jon Kies</t>
  </si>
  <si>
    <t>jkies@eldoranp.org</t>
  </si>
  <si>
    <t>Aiddy Phomvisay</t>
  </si>
  <si>
    <t>aiddy.phomsivay@elc-csd.org</t>
  </si>
  <si>
    <t>Carla Chrstensen</t>
  </si>
  <si>
    <t>cchristensen@eehkspartans.org</t>
  </si>
  <si>
    <t>Zach Wigle</t>
  </si>
  <si>
    <t>zach.wigle@fairfieldsfuture.org</t>
  </si>
  <si>
    <t>Josh Porter</t>
  </si>
  <si>
    <t>jporter@fdschools.org</t>
  </si>
  <si>
    <t>Amanda Miller</t>
  </si>
  <si>
    <t>amiller@george-littlerock.org</t>
  </si>
  <si>
    <t>Paul Peppmeier</t>
  </si>
  <si>
    <t>ppeppmeier@gcb.k12.ia.us</t>
  </si>
  <si>
    <t>Christine Harms</t>
  </si>
  <si>
    <t>christine.harms@gr-rebels.net</t>
  </si>
  <si>
    <t>Kooikern@glenwoodschools.org</t>
  </si>
  <si>
    <t>tridder@glidden-ralston.k12.ia.us</t>
  </si>
  <si>
    <t>cpetersen@gmgschools.org</t>
  </si>
  <si>
    <t>lisa.beames@grinnell-k12.org</t>
  </si>
  <si>
    <t>Emma Lowder</t>
  </si>
  <si>
    <t>ehamrick@hartley-ms.k12.ia.us</t>
  </si>
  <si>
    <t>Autumn Moyer</t>
  </si>
  <si>
    <t>amoyer@highlandhuskies.org</t>
  </si>
  <si>
    <t>chadwagner@hudschools.org</t>
  </si>
  <si>
    <t>Angie Huseman</t>
  </si>
  <si>
    <t>ahuseman@ikm-manning.k12.ia.us</t>
  </si>
  <si>
    <t>bgubbels@ikm-manning.k12.ia.us</t>
  </si>
  <si>
    <t>Cynthia Phillips</t>
  </si>
  <si>
    <t>cphillips@indeek12.org</t>
  </si>
  <si>
    <t>jgrafft@indeek12.org</t>
  </si>
  <si>
    <t>tara.paul@indianola.k12.ia.us</t>
  </si>
  <si>
    <t>Chad Vink</t>
  </si>
  <si>
    <t>chad.vink@indianola.k12.ia.us</t>
  </si>
  <si>
    <t>chadgrandon@roadrunnerpride.org</t>
  </si>
  <si>
    <t>aprilhughes@i-35.k12.ia.us</t>
  </si>
  <si>
    <t>Lyndsee Detra</t>
  </si>
  <si>
    <t>detra.lyndsee@iowacityschools.org</t>
  </si>
  <si>
    <t>Nikki Roorda</t>
  </si>
  <si>
    <t>Nikki.Roorda@johnston.k12.ia.us</t>
  </si>
  <si>
    <t>Kathy Dinger</t>
  </si>
  <si>
    <t>kathy.dinger@keokukschools.org</t>
  </si>
  <si>
    <t>Lisa Brenneman</t>
  </si>
  <si>
    <t>lisa.brenneman@keota.k12.ia.us</t>
  </si>
  <si>
    <t>brent.hoesing@lewiscentral.org</t>
  </si>
  <si>
    <t>Amy Kortemeyer</t>
  </si>
  <si>
    <t>amy.kortemeyer@linnmar.k12.ia.us</t>
  </si>
  <si>
    <t>jon.galbraith@linnmar.k12.ia.us</t>
  </si>
  <si>
    <t>Autumn Pino</t>
  </si>
  <si>
    <t>smatus@lisbon.k12.ia.us</t>
  </si>
  <si>
    <t>Jacob Hedger</t>
  </si>
  <si>
    <t>jhedger@lomaschools.org</t>
  </si>
  <si>
    <t>Tyler Hotz</t>
  </si>
  <si>
    <t>Jason Gabel</t>
  </si>
  <si>
    <t>jgabel@madrid.k12.ia.us</t>
  </si>
  <si>
    <t>Ashley Bolen</t>
  </si>
  <si>
    <t>abolen@marshalltown.k12.ia.us</t>
  </si>
  <si>
    <t>Brittony Cummings</t>
  </si>
  <si>
    <t>cummingsb@mepoedu.org</t>
  </si>
  <si>
    <t>tim.dugger@mflmm.k12.ia.us</t>
  </si>
  <si>
    <t>John Zimmerman</t>
  </si>
  <si>
    <t>midlandsbo@midland.k12.ia.us</t>
  </si>
  <si>
    <t>Gene Lawson</t>
  </si>
  <si>
    <t>glawson@midland.k12.ia.us</t>
  </si>
  <si>
    <t>Mike Mulder</t>
  </si>
  <si>
    <t>mmulder@mocfv.org</t>
  </si>
  <si>
    <t>sam.swenson@moraviacsd.com</t>
  </si>
  <si>
    <t>Scott Valentine</t>
  </si>
  <si>
    <t>svalentine@mormontrailcsd.org</t>
  </si>
  <si>
    <t>Stephanie Newton</t>
  </si>
  <si>
    <t>stephanie.newton@mtayrschools.org</t>
  </si>
  <si>
    <t>jessica.boyer@mtpcsd.org</t>
  </si>
  <si>
    <t>Matt Leeman</t>
  </si>
  <si>
    <t>mleeman@mvcsd.org</t>
  </si>
  <si>
    <t>jmarley@nashua-plainfield.k12.ia.us</t>
  </si>
  <si>
    <t>tellis@nevadacubs.org</t>
  </si>
  <si>
    <t>Sindy Wear</t>
  </si>
  <si>
    <t>sindy.wear@nlcsd.org</t>
  </si>
  <si>
    <t>jungersd@newell-fonda.k12.ia.us</t>
  </si>
  <si>
    <t>bryan.boysen@northbutler.org</t>
  </si>
  <si>
    <t>Beth Degroote</t>
  </si>
  <si>
    <t>beth.degroote@northiowa.org</t>
  </si>
  <si>
    <t>lbreitfelder@northlinncsd.org</t>
  </si>
  <si>
    <t>Tim Veiseth</t>
  </si>
  <si>
    <t>veisetht@nmwarhawks.org</t>
  </si>
  <si>
    <t>Lynette Van Donselaar</t>
  </si>
  <si>
    <t>vandonselaarl@nmwarhawks.org</t>
  </si>
  <si>
    <t>Ashley Kraber</t>
  </si>
  <si>
    <t>krabera@nmwarhawks.org</t>
  </si>
  <si>
    <t>john.cain@n-tama.k12.ia.us</t>
  </si>
  <si>
    <t>shawn.holloway@norwalkschools.org</t>
  </si>
  <si>
    <t>Joshua Heyer</t>
  </si>
  <si>
    <t>joshua.heyer@ogden.k12.ia.us</t>
  </si>
  <si>
    <t>Danielle Bockman</t>
  </si>
  <si>
    <t>dbockman@okobojischools.org</t>
  </si>
  <si>
    <t>jeff.kruse@o-mschools.org</t>
  </si>
  <si>
    <t>Micheala Eisenmann</t>
  </si>
  <si>
    <t>micheala.eisenmann@osage.k12.ia.us</t>
  </si>
  <si>
    <t>Fisherm@oskycsd.org</t>
  </si>
  <si>
    <t>Kasey Huebner</t>
  </si>
  <si>
    <t>kasey.huebner@panorama.k12.ia.us</t>
  </si>
  <si>
    <t>bjohnson@paton-churdan.k12.ia.us</t>
  </si>
  <si>
    <t>lwillardson@paton-churdan.k12.ia.us</t>
  </si>
  <si>
    <t>Art Sathoff</t>
  </si>
  <si>
    <t>asathoff@pcmschools.org</t>
  </si>
  <si>
    <t>jeff.maeder@pekincsd.org</t>
  </si>
  <si>
    <t>Kaye Gilbert</t>
  </si>
  <si>
    <t>kaye.gilbert@pekincsd.org</t>
  </si>
  <si>
    <t>Brendan Knudtson</t>
  </si>
  <si>
    <t>Bknudtson@postville.k12.ia.us</t>
  </si>
  <si>
    <t>Matt Van Voorst</t>
  </si>
  <si>
    <t>mvanvoor@rvclass.org</t>
  </si>
  <si>
    <t>kkasper@rockford.k12.ia.us</t>
  </si>
  <si>
    <t>kimburyanek@schleswig.k12.ia.us</t>
  </si>
  <si>
    <t>mallorymeyer@schleswig.k12.ia.us</t>
  </si>
  <si>
    <t>janzecha@sblschools.com</t>
  </si>
  <si>
    <t>scott.valentine@seymourcsd.org</t>
  </si>
  <si>
    <t>stevie.parmer@seymourcsd.org</t>
  </si>
  <si>
    <t>Corrie Wray</t>
  </si>
  <si>
    <t>corrie.wray@seymourcsd.org</t>
  </si>
  <si>
    <t>Stan De Zeeuw</t>
  </si>
  <si>
    <t>stan.dezeeuw@thegenerals.org</t>
  </si>
  <si>
    <t>mbrown@sidney.k12.ia.us</t>
  </si>
  <si>
    <t>Bailey McNees</t>
  </si>
  <si>
    <t>bmcnees@sidney.k12.ia.us</t>
  </si>
  <si>
    <t>dkirkpatrick@sidney.k12.ia.us</t>
  </si>
  <si>
    <t>Rodney Earleywine</t>
  </si>
  <si>
    <t>Dalton Weeks</t>
  </si>
  <si>
    <t>dalton.weeks@se-warren.k12.ia.us</t>
  </si>
  <si>
    <t>rbusch@starmont.k12.ia.us</t>
  </si>
  <si>
    <t>Matt Berninghaus</t>
  </si>
  <si>
    <t>Mberninghaus@webster-city.k12.ia.us</t>
  </si>
  <si>
    <t>Kevin Seney</t>
  </si>
  <si>
    <t>seneyk@sfcougars.k12.ia.us</t>
  </si>
  <si>
    <t>Brandon Borseth</t>
  </si>
  <si>
    <t>Brandon.borseth@tipton.k12.ia.us</t>
  </si>
  <si>
    <t>Stephen Emrich</t>
  </si>
  <si>
    <t>stephen.emrich@tipton.k12.ia.us</t>
  </si>
  <si>
    <t>hholm@united.k12.ia.us</t>
  </si>
  <si>
    <t>jclancy@united.k12.ia.us</t>
  </si>
  <si>
    <t>jeremy.hissem@vbcwarriors.org</t>
  </si>
  <si>
    <t>Crystal Coder</t>
  </si>
  <si>
    <t>crystal.coder@govikes.org</t>
  </si>
  <si>
    <t>david.hill@wsr.k12.ia.us</t>
  </si>
  <si>
    <t>mberninghaus@webster-city.k12.ia.us</t>
  </si>
  <si>
    <t>ppeppmeier@west-bend.k12.ia.us</t>
  </si>
  <si>
    <t>jason.wester@wbschools.us</t>
  </si>
  <si>
    <t>ktaylor@wc.k12.ia.us</t>
  </si>
  <si>
    <t>Jen Vance</t>
  </si>
  <si>
    <t>jvance@w-delaware.k12.ia.us</t>
  </si>
  <si>
    <t>Kurt Subra</t>
  </si>
  <si>
    <t>subrak@wdmcs.org</t>
  </si>
  <si>
    <t>Daniel Butler</t>
  </si>
  <si>
    <t>mfonley@whitingcsd.org</t>
  </si>
  <si>
    <t>Angela Voss</t>
  </si>
  <si>
    <t>michael.volk@wmucsd.org</t>
  </si>
  <si>
    <t>Tom Luxford</t>
  </si>
  <si>
    <t>tluxford@wcwildcats.org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</si>
</sst>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3" formatCode="_(* #,##0.00_);_(* \(#,##0.00\);_(* &quot;-&quot;??_);_(@_)"/>
    <numFmt numFmtId="164" formatCode="0000"/>
    <numFmt numFmtId="165" formatCode="0.0%"/>
    <numFmt numFmtId="166" formatCode="0.0000"/>
    <numFmt numFmtId="167" formatCode="&quot; &quot;&quot;$&quot;#,##0.00&quot; &quot;;&quot; &quot;&quot;$&quot;&quot;(&quot;#,##0.00&quot;)&quot;;&quot; &quot;&quot;$&quot;&quot;-&quot;00&quot; &quot;;&quot; &quot;@&quot; &quot;"/>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9"/>
      <color indexed="81"/>
      <name val="Tahoma"/>
      <family val="2"/>
    </font>
    <font>
      <b/>
      <sz val="11"/>
      <name val="Calibri"/>
      <family val="2"/>
      <scheme val="minor"/>
    </font>
    <font>
      <i/>
      <sz val="11"/>
      <color theme="1"/>
      <name val="Calibri"/>
      <family val="2"/>
      <scheme val="minor"/>
    </font>
    <font>
      <b/>
      <sz val="11"/>
      <color rgb="FF000000"/>
      <name val="Calibri"/>
      <family val="2"/>
    </font>
    <font>
      <b/>
      <sz val="10"/>
      <color theme="1"/>
      <name val="Arial"/>
      <family val="2"/>
    </font>
    <font>
      <sz val="10"/>
      <color theme="1"/>
      <name val="Arial"/>
      <family val="2"/>
    </font>
    <font>
      <sz val="11"/>
      <color rgb="FF000000"/>
      <name val="Calibri"/>
      <family val="2"/>
    </font>
    <font>
      <u/>
      <sz val="11"/>
      <color theme="10"/>
      <name val="Calibri"/>
      <family val="2"/>
      <scheme val="minor"/>
    </font>
    <font>
      <sz val="8"/>
      <color rgb="FF000000"/>
      <name val="Arial"/>
      <family val="2"/>
    </font>
    <font>
      <b/>
      <sz val="8"/>
      <color rgb="FF000000"/>
      <name val="Arial"/>
      <family val="2"/>
    </font>
    <font>
      <b/>
      <i/>
      <sz val="8"/>
      <color rgb="FF000000"/>
      <name val="Arial"/>
      <family val="2"/>
    </font>
    <font>
      <b/>
      <i/>
      <sz val="11"/>
      <color rgb="FF000000"/>
      <name val="Calibri"/>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F46524"/>
        <bgColor indexed="64"/>
      </patternFill>
    </fill>
    <fill>
      <patternFill patternType="solid">
        <fgColor rgb="FFFFFFFF"/>
        <bgColor indexed="64"/>
      </patternFill>
    </fill>
    <fill>
      <patternFill patternType="solid">
        <fgColor rgb="FFFFE6DD"/>
        <bgColor indexed="64"/>
      </patternFill>
    </fill>
    <fill>
      <patternFill patternType="solid">
        <fgColor rgb="FF00B0F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thin">
        <color rgb="FFD3D3D3"/>
      </left>
      <right style="thin">
        <color rgb="FFD3D3D3"/>
      </right>
      <top style="thin">
        <color rgb="FFD3D3D3"/>
      </top>
      <bottom style="thin">
        <color rgb="FFD3D3D3"/>
      </bottom>
      <diagonal/>
    </border>
    <border>
      <left/>
      <right/>
      <top style="thin">
        <color rgb="FFA9A9A9"/>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6" fillId="0" borderId="0" applyNumberFormat="0" applyFill="0" applyBorder="0" applyAlignment="0" applyProtection="0"/>
    <xf numFmtId="0" fontId="25" fillId="0" borderId="0"/>
    <xf numFmtId="167" fontId="25" fillId="0" borderId="0" applyFont="0" applyFill="0" applyBorder="0" applyAlignment="0" applyProtection="0"/>
  </cellStyleXfs>
  <cellXfs count="115">
    <xf numFmtId="0" fontId="0" fillId="0" borderId="0" xfId="0"/>
    <xf numFmtId="4" fontId="0" fillId="0" borderId="0" xfId="0" applyNumberFormat="1"/>
    <xf numFmtId="164" fontId="0" fillId="0" borderId="0" xfId="0" applyNumberFormat="1"/>
    <xf numFmtId="49" fontId="0" fillId="0" borderId="0" xfId="0" applyNumberFormat="1"/>
    <xf numFmtId="2" fontId="0" fillId="0" borderId="0" xfId="0" applyNumberFormat="1"/>
    <xf numFmtId="49" fontId="0" fillId="33" borderId="0" xfId="0" applyNumberFormat="1" applyFill="1"/>
    <xf numFmtId="0" fontId="0" fillId="33" borderId="0" xfId="0" applyFill="1"/>
    <xf numFmtId="2" fontId="0" fillId="33" borderId="0" xfId="0" applyNumberFormat="1" applyFill="1"/>
    <xf numFmtId="49" fontId="0" fillId="34" borderId="0" xfId="0" applyNumberFormat="1" applyFill="1"/>
    <xf numFmtId="0" fontId="0" fillId="34" borderId="0" xfId="0" applyFill="1"/>
    <xf numFmtId="2" fontId="0" fillId="34" borderId="0" xfId="0" applyNumberFormat="1" applyFill="1"/>
    <xf numFmtId="49" fontId="0" fillId="35" borderId="0" xfId="0" applyNumberFormat="1" applyFill="1"/>
    <xf numFmtId="0" fontId="0" fillId="35" borderId="0" xfId="0" applyFill="1"/>
    <xf numFmtId="2" fontId="0" fillId="35" borderId="0" xfId="0" applyNumberFormat="1" applyFill="1"/>
    <xf numFmtId="9" fontId="0" fillId="0" borderId="0" xfId="0" applyNumberFormat="1"/>
    <xf numFmtId="164" fontId="0" fillId="33" borderId="0" xfId="0" applyNumberFormat="1" applyFill="1"/>
    <xf numFmtId="49" fontId="18" fillId="33" borderId="0" xfId="0" applyNumberFormat="1" applyFont="1" applyFill="1"/>
    <xf numFmtId="164" fontId="18" fillId="33" borderId="0" xfId="0" applyNumberFormat="1" applyFont="1" applyFill="1"/>
    <xf numFmtId="2" fontId="18" fillId="33" borderId="0" xfId="0" applyNumberFormat="1" applyFont="1" applyFill="1"/>
    <xf numFmtId="0" fontId="18" fillId="33" borderId="0" xfId="0" applyFont="1" applyFill="1"/>
    <xf numFmtId="4" fontId="18" fillId="33" borderId="0" xfId="0" applyNumberFormat="1" applyFont="1" applyFill="1"/>
    <xf numFmtId="4" fontId="0" fillId="33" borderId="0" xfId="0" applyNumberFormat="1" applyFill="1"/>
    <xf numFmtId="164" fontId="0" fillId="34" borderId="0" xfId="0" applyNumberFormat="1" applyFill="1"/>
    <xf numFmtId="4" fontId="0" fillId="34" borderId="0" xfId="0" applyNumberFormat="1" applyFill="1"/>
    <xf numFmtId="164" fontId="0" fillId="35" borderId="0" xfId="0" applyNumberFormat="1" applyFill="1"/>
    <xf numFmtId="4" fontId="0" fillId="35" borderId="0" xfId="0" applyNumberFormat="1" applyFill="1"/>
    <xf numFmtId="14" fontId="0" fillId="0" borderId="0" xfId="0" applyNumberFormat="1"/>
    <xf numFmtId="165" fontId="0" fillId="0" borderId="0" xfId="0" applyNumberFormat="1"/>
    <xf numFmtId="4" fontId="0" fillId="37" borderId="0" xfId="0" applyNumberFormat="1" applyFill="1"/>
    <xf numFmtId="4" fontId="0" fillId="0" borderId="0" xfId="0" applyNumberFormat="1" applyProtection="1">
      <protection hidden="1"/>
    </xf>
    <xf numFmtId="0" fontId="0" fillId="36" borderId="0" xfId="0" applyFill="1" applyProtection="1">
      <protection hidden="1"/>
    </xf>
    <xf numFmtId="0" fontId="0" fillId="0" borderId="0" xfId="0" applyProtection="1">
      <protection hidden="1"/>
    </xf>
    <xf numFmtId="0" fontId="0" fillId="0" borderId="0" xfId="0" applyAlignment="1">
      <alignment wrapText="1"/>
    </xf>
    <xf numFmtId="3" fontId="0" fillId="0" borderId="0" xfId="0" applyNumberFormat="1"/>
    <xf numFmtId="3" fontId="0" fillId="33" borderId="0" xfId="0" applyNumberFormat="1" applyFill="1"/>
    <xf numFmtId="3" fontId="0" fillId="34" borderId="0" xfId="0" applyNumberFormat="1" applyFill="1"/>
    <xf numFmtId="3" fontId="0" fillId="35" borderId="0" xfId="0" applyNumberFormat="1" applyFill="1"/>
    <xf numFmtId="0" fontId="16" fillId="36" borderId="0" xfId="0" applyFont="1" applyFill="1" applyProtection="1">
      <protection hidden="1"/>
    </xf>
    <xf numFmtId="0" fontId="0" fillId="36" borderId="10" xfId="0" applyFill="1" applyBorder="1" applyProtection="1">
      <protection hidden="1"/>
    </xf>
    <xf numFmtId="4" fontId="0" fillId="0" borderId="10" xfId="0" applyNumberFormat="1" applyBorder="1" applyProtection="1">
      <protection hidden="1"/>
    </xf>
    <xf numFmtId="164" fontId="18" fillId="0" borderId="0" xfId="0" applyNumberFormat="1" applyFont="1" applyProtection="1">
      <protection hidden="1"/>
    </xf>
    <xf numFmtId="0" fontId="18" fillId="0" borderId="0" xfId="0" applyFont="1" applyProtection="1">
      <protection hidden="1"/>
    </xf>
    <xf numFmtId="43" fontId="0" fillId="0" borderId="0" xfId="0" applyNumberFormat="1"/>
    <xf numFmtId="4" fontId="16" fillId="0" borderId="11" xfId="0" applyNumberFormat="1" applyFont="1" applyBorder="1" applyProtection="1">
      <protection hidden="1"/>
    </xf>
    <xf numFmtId="0" fontId="16" fillId="0" borderId="12" xfId="0" applyFont="1" applyBorder="1" applyAlignment="1" applyProtection="1">
      <alignment horizontal="center" wrapText="1"/>
      <protection hidden="1"/>
    </xf>
    <xf numFmtId="0" fontId="16" fillId="36" borderId="12" xfId="0" applyFont="1" applyFill="1" applyBorder="1" applyProtection="1">
      <protection hidden="1"/>
    </xf>
    <xf numFmtId="4" fontId="20" fillId="0" borderId="12" xfId="0" applyNumberFormat="1" applyFont="1" applyBorder="1" applyAlignment="1" applyProtection="1">
      <alignment horizontal="center" wrapText="1"/>
      <protection hidden="1"/>
    </xf>
    <xf numFmtId="0" fontId="0" fillId="0" borderId="0" xfId="0" applyAlignment="1">
      <alignment vertical="top" wrapText="1"/>
    </xf>
    <xf numFmtId="0" fontId="16" fillId="0" borderId="0" xfId="0" applyFont="1"/>
    <xf numFmtId="0" fontId="16" fillId="0" borderId="0" xfId="0" applyFont="1" applyProtection="1">
      <protection hidden="1"/>
    </xf>
    <xf numFmtId="0" fontId="0" fillId="38" borderId="0" xfId="0" applyFill="1" applyProtection="1">
      <protection hidden="1"/>
    </xf>
    <xf numFmtId="49" fontId="18" fillId="38" borderId="0" xfId="0" applyNumberFormat="1" applyFont="1" applyFill="1" applyProtection="1">
      <protection hidden="1"/>
    </xf>
    <xf numFmtId="0" fontId="0" fillId="38" borderId="0" xfId="0" applyFill="1"/>
    <xf numFmtId="49" fontId="0" fillId="38" borderId="0" xfId="0" applyNumberFormat="1" applyFill="1" applyProtection="1">
      <protection hidden="1"/>
    </xf>
    <xf numFmtId="49" fontId="18" fillId="38" borderId="0" xfId="0" applyNumberFormat="1" applyFont="1" applyFill="1" applyAlignment="1" applyProtection="1">
      <alignment horizontal="center"/>
      <protection hidden="1"/>
    </xf>
    <xf numFmtId="0" fontId="20" fillId="0" borderId="0" xfId="0" applyFont="1" applyProtection="1">
      <protection hidden="1"/>
    </xf>
    <xf numFmtId="0" fontId="16" fillId="0" borderId="0" xfId="0" applyFont="1" applyAlignment="1" applyProtection="1">
      <alignment horizontal="center" wrapText="1"/>
      <protection hidden="1"/>
    </xf>
    <xf numFmtId="0" fontId="0" fillId="0" borderId="10" xfId="0" applyBorder="1"/>
    <xf numFmtId="0" fontId="0" fillId="38" borderId="10" xfId="0" applyFill="1" applyBorder="1"/>
    <xf numFmtId="0" fontId="0" fillId="39" borderId="0" xfId="0" applyFill="1"/>
    <xf numFmtId="4" fontId="0" fillId="39" borderId="0" xfId="0" applyNumberFormat="1" applyFill="1"/>
    <xf numFmtId="4" fontId="20" fillId="0" borderId="0" xfId="0" applyNumberFormat="1" applyFont="1" applyAlignment="1" applyProtection="1">
      <alignment horizontal="center" wrapText="1"/>
      <protection hidden="1"/>
    </xf>
    <xf numFmtId="0" fontId="0" fillId="0" borderId="0" xfId="0" applyAlignment="1">
      <alignment horizontal="right"/>
    </xf>
    <xf numFmtId="0" fontId="0" fillId="0" borderId="0" xfId="0" quotePrefix="1"/>
    <xf numFmtId="39" fontId="0" fillId="0" borderId="0" xfId="0" applyNumberFormat="1"/>
    <xf numFmtId="0" fontId="0" fillId="0" borderId="0" xfId="0" applyAlignment="1" applyProtection="1">
      <alignment wrapText="1"/>
      <protection hidden="1"/>
    </xf>
    <xf numFmtId="9" fontId="0" fillId="0" borderId="0" xfId="43" applyFont="1" applyProtection="1">
      <protection hidden="1"/>
    </xf>
    <xf numFmtId="0" fontId="21" fillId="0" borderId="0" xfId="0" applyFont="1"/>
    <xf numFmtId="0" fontId="0" fillId="35" borderId="0" xfId="0" applyFill="1" applyProtection="1">
      <protection hidden="1"/>
    </xf>
    <xf numFmtId="4" fontId="16" fillId="0" borderId="0" xfId="0" applyNumberFormat="1" applyFont="1" applyProtection="1">
      <protection hidden="1"/>
    </xf>
    <xf numFmtId="49" fontId="0" fillId="0" borderId="0" xfId="0" quotePrefix="1" applyNumberFormat="1"/>
    <xf numFmtId="0" fontId="22" fillId="40" borderId="13" xfId="0" applyFont="1" applyFill="1" applyBorder="1" applyAlignment="1">
      <alignment wrapText="1"/>
    </xf>
    <xf numFmtId="0" fontId="22" fillId="40" borderId="14" xfId="0" applyFont="1" applyFill="1" applyBorder="1" applyAlignment="1">
      <alignment wrapText="1"/>
    </xf>
    <xf numFmtId="0" fontId="23" fillId="40" borderId="14" xfId="0" applyFont="1" applyFill="1" applyBorder="1" applyAlignment="1">
      <alignment wrapText="1"/>
    </xf>
    <xf numFmtId="0" fontId="24" fillId="0" borderId="15" xfId="0" applyFont="1" applyBorder="1" applyAlignment="1">
      <alignment wrapText="1"/>
    </xf>
    <xf numFmtId="0" fontId="25" fillId="41" borderId="16" xfId="0" applyFont="1" applyFill="1" applyBorder="1" applyAlignment="1">
      <alignment horizontal="right" wrapText="1"/>
    </xf>
    <xf numFmtId="0" fontId="25" fillId="41" borderId="17" xfId="0" applyFont="1" applyFill="1" applyBorder="1" applyAlignment="1">
      <alignment wrapText="1"/>
    </xf>
    <xf numFmtId="0" fontId="24" fillId="41" borderId="17" xfId="0" applyFont="1" applyFill="1" applyBorder="1" applyAlignment="1">
      <alignment wrapText="1"/>
    </xf>
    <xf numFmtId="0" fontId="25" fillId="42" borderId="16" xfId="0" applyFont="1" applyFill="1" applyBorder="1" applyAlignment="1">
      <alignment horizontal="right" wrapText="1"/>
    </xf>
    <xf numFmtId="0" fontId="25" fillId="42" borderId="17" xfId="0" applyFont="1" applyFill="1" applyBorder="1" applyAlignment="1">
      <alignment wrapText="1"/>
    </xf>
    <xf numFmtId="0" fontId="24" fillId="42" borderId="17" xfId="0" applyFont="1" applyFill="1" applyBorder="1" applyAlignment="1">
      <alignment wrapText="1"/>
    </xf>
    <xf numFmtId="0" fontId="24" fillId="41" borderId="18" xfId="0" applyFont="1" applyFill="1" applyBorder="1" applyAlignment="1">
      <alignment vertical="center"/>
    </xf>
    <xf numFmtId="0" fontId="24" fillId="42" borderId="15" xfId="0" applyFont="1" applyFill="1" applyBorder="1" applyAlignment="1">
      <alignment wrapText="1"/>
    </xf>
    <xf numFmtId="0" fontId="24" fillId="41" borderId="15" xfId="0" applyFont="1" applyFill="1" applyBorder="1" applyAlignment="1">
      <alignment wrapText="1"/>
    </xf>
    <xf numFmtId="49" fontId="22" fillId="40" borderId="14" xfId="0" applyNumberFormat="1" applyFont="1" applyFill="1" applyBorder="1" applyAlignment="1">
      <alignment wrapText="1"/>
    </xf>
    <xf numFmtId="49" fontId="25" fillId="41" borderId="17" xfId="0" applyNumberFormat="1" applyFont="1" applyFill="1" applyBorder="1" applyAlignment="1">
      <alignment wrapText="1"/>
    </xf>
    <xf numFmtId="49" fontId="25" fillId="42" borderId="17" xfId="0" applyNumberFormat="1" applyFont="1" applyFill="1" applyBorder="1" applyAlignment="1">
      <alignment wrapText="1"/>
    </xf>
    <xf numFmtId="49" fontId="24" fillId="42" borderId="15" xfId="0" applyNumberFormat="1" applyFont="1" applyFill="1" applyBorder="1" applyAlignment="1">
      <alignment wrapText="1"/>
    </xf>
    <xf numFmtId="49" fontId="24" fillId="41" borderId="15" xfId="0" applyNumberFormat="1" applyFont="1" applyFill="1" applyBorder="1" applyAlignment="1">
      <alignment wrapText="1"/>
    </xf>
    <xf numFmtId="0" fontId="26" fillId="42" borderId="17" xfId="44" applyFill="1" applyBorder="1" applyAlignment="1">
      <alignment wrapText="1"/>
    </xf>
    <xf numFmtId="49" fontId="0" fillId="43" borderId="0" xfId="0" applyNumberFormat="1" applyFill="1"/>
    <xf numFmtId="0" fontId="0" fillId="43" borderId="0" xfId="0" applyFill="1"/>
    <xf numFmtId="43" fontId="0" fillId="0" borderId="0" xfId="42" applyFont="1"/>
    <xf numFmtId="166" fontId="0" fillId="0" borderId="0" xfId="0" applyNumberFormat="1"/>
    <xf numFmtId="0" fontId="28" fillId="0" borderId="19" xfId="45" applyFont="1" applyBorder="1" applyAlignment="1">
      <alignment horizontal="center" vertical="center" wrapText="1"/>
    </xf>
    <xf numFmtId="0" fontId="22" fillId="0" borderId="0" xfId="45" applyFont="1" applyAlignment="1">
      <alignment horizontal="center" vertical="center" wrapText="1"/>
    </xf>
    <xf numFmtId="0" fontId="27" fillId="0" borderId="19" xfId="45" applyFont="1" applyBorder="1" applyAlignment="1">
      <alignment horizontal="left"/>
    </xf>
    <xf numFmtId="0" fontId="25" fillId="0" borderId="0" xfId="45"/>
    <xf numFmtId="0" fontId="30" fillId="0" borderId="0" xfId="45" applyFont="1"/>
    <xf numFmtId="0" fontId="28" fillId="0" borderId="20" xfId="45" applyFont="1" applyBorder="1" applyAlignment="1">
      <alignment horizontal="left"/>
    </xf>
    <xf numFmtId="0" fontId="25" fillId="35" borderId="0" xfId="45" applyFill="1"/>
    <xf numFmtId="4" fontId="25" fillId="0" borderId="0" xfId="45" applyNumberFormat="1"/>
    <xf numFmtId="0" fontId="29" fillId="0" borderId="19" xfId="45" applyFont="1" applyBorder="1" applyAlignment="1">
      <alignment horizontal="left"/>
    </xf>
    <xf numFmtId="0" fontId="28" fillId="0" borderId="19" xfId="45" applyFont="1" applyBorder="1" applyAlignment="1">
      <alignment horizontal="right" vertical="center" wrapText="1"/>
    </xf>
    <xf numFmtId="8" fontId="27" fillId="0" borderId="19" xfId="45" applyNumberFormat="1" applyFont="1" applyBorder="1" applyAlignment="1">
      <alignment horizontal="right"/>
    </xf>
    <xf numFmtId="8" fontId="29" fillId="0" borderId="19" xfId="45" applyNumberFormat="1" applyFont="1" applyBorder="1" applyAlignment="1">
      <alignment horizontal="right"/>
    </xf>
    <xf numFmtId="0" fontId="28" fillId="0" borderId="20" xfId="45" applyFont="1" applyBorder="1" applyAlignment="1">
      <alignment horizontal="right"/>
    </xf>
    <xf numFmtId="0" fontId="25" fillId="0" borderId="0" xfId="45" applyAlignment="1">
      <alignment horizontal="right"/>
    </xf>
    <xf numFmtId="164" fontId="20" fillId="0" borderId="0" xfId="0" applyNumberFormat="1" applyFont="1" applyAlignment="1" applyProtection="1">
      <alignment horizontal="center"/>
      <protection hidden="1"/>
    </xf>
    <xf numFmtId="0" fontId="16" fillId="0" borderId="0" xfId="0" applyFont="1" applyAlignment="1" applyProtection="1">
      <alignment horizontal="center"/>
      <protection hidden="1"/>
    </xf>
    <xf numFmtId="0" fontId="0" fillId="35" borderId="0" xfId="0" applyFill="1" applyAlignment="1">
      <alignment horizontal="left" vertical="top" wrapText="1"/>
    </xf>
    <xf numFmtId="0" fontId="0" fillId="0" borderId="0" xfId="0" applyAlignment="1">
      <alignment horizontal="center"/>
    </xf>
    <xf numFmtId="0" fontId="0" fillId="0" borderId="0" xfId="0" applyAlignment="1">
      <alignment horizontal="center" wrapText="1"/>
    </xf>
    <xf numFmtId="0" fontId="25" fillId="41" borderId="17" xfId="0" quotePrefix="1" applyFont="1" applyFill="1" applyBorder="1" applyAlignment="1">
      <alignment wrapText="1"/>
    </xf>
    <xf numFmtId="0" fontId="25" fillId="42" borderId="17" xfId="0" quotePrefix="1" applyFont="1" applyFill="1" applyBorder="1" applyAlignment="1">
      <alignment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2" xfId="46" xr:uid="{8EBC105F-F8BF-44BC-B84B-273E974D9E7E}"/>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5" xr:uid="{23F587E4-CDA5-40A5-8CD5-9B702BE06BF5}"/>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523875</xdr:colOff>
      <xdr:row>110</xdr:row>
      <xdr:rowOff>114300</xdr:rowOff>
    </xdr:from>
    <xdr:to>
      <xdr:col>9</xdr:col>
      <xdr:colOff>523875</xdr:colOff>
      <xdr:row>157</xdr:row>
      <xdr:rowOff>123825</xdr:rowOff>
    </xdr:to>
    <xdr:sp macro="" textlink="">
      <xdr:nvSpPr>
        <xdr:cNvPr id="1026" name="Line 2">
          <a:extLst>
            <a:ext uri="{FF2B5EF4-FFF2-40B4-BE49-F238E27FC236}">
              <a16:creationId xmlns:a16="http://schemas.microsoft.com/office/drawing/2014/main" id="{E17F9EC7-2890-8D52-026B-8CD2191F9B43}"/>
            </a:ext>
          </a:extLst>
        </xdr:cNvPr>
        <xdr:cNvSpPr>
          <a:spLocks noChangeShapeType="1"/>
        </xdr:cNvSpPr>
      </xdr:nvSpPr>
      <xdr:spPr bwMode="auto">
        <a:xfrm>
          <a:off x="7762875" y="22212300"/>
          <a:ext cx="0" cy="9344025"/>
        </a:xfrm>
        <a:prstGeom prst="line">
          <a:avLst/>
        </a:prstGeom>
        <a:noFill/>
        <a:ln w="13748">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opLeftCell="A10" workbookViewId="0">
      <selection activeCell="C24" sqref="C24"/>
    </sheetView>
  </sheetViews>
  <sheetFormatPr defaultRowHeight="15" x14ac:dyDescent="0.25"/>
  <cols>
    <col min="1" max="1" width="52.140625" customWidth="1"/>
    <col min="2" max="2" width="13.85546875" bestFit="1" customWidth="1"/>
    <col min="3" max="3" width="17.5703125" bestFit="1" customWidth="1"/>
    <col min="4" max="4" width="24.28515625" customWidth="1"/>
    <col min="5" max="5" width="26.85546875" customWidth="1"/>
    <col min="6" max="6" width="42.28515625" bestFit="1" customWidth="1"/>
    <col min="7" max="7" width="29.28515625" bestFit="1" customWidth="1"/>
    <col min="8" max="8" width="29.140625" customWidth="1"/>
  </cols>
  <sheetData>
    <row r="1" spans="1:4" x14ac:dyDescent="0.25">
      <c r="A1" t="s">
        <v>645</v>
      </c>
      <c r="B1" s="12">
        <v>2025</v>
      </c>
    </row>
    <row r="3" spans="1:4" x14ac:dyDescent="0.25">
      <c r="A3" t="s">
        <v>681</v>
      </c>
    </row>
    <row r="4" spans="1:4" x14ac:dyDescent="0.25">
      <c r="A4" t="s">
        <v>682</v>
      </c>
    </row>
    <row r="5" spans="1:4" x14ac:dyDescent="0.25">
      <c r="A5" t="s">
        <v>683</v>
      </c>
    </row>
    <row r="8" spans="1:4" x14ac:dyDescent="0.25">
      <c r="A8" t="s">
        <v>647</v>
      </c>
    </row>
    <row r="10" spans="1:4" x14ac:dyDescent="0.25">
      <c r="A10" t="s">
        <v>646</v>
      </c>
    </row>
    <row r="12" spans="1:4" x14ac:dyDescent="0.25">
      <c r="A12" t="s">
        <v>684</v>
      </c>
    </row>
    <row r="15" spans="1:4" x14ac:dyDescent="0.25">
      <c r="A15" s="48" t="s">
        <v>745</v>
      </c>
      <c r="B15" t="s">
        <v>741</v>
      </c>
      <c r="C15" t="s">
        <v>298</v>
      </c>
      <c r="D15" t="s">
        <v>746</v>
      </c>
    </row>
    <row r="16" spans="1:4" x14ac:dyDescent="0.25">
      <c r="A16" t="s">
        <v>2099</v>
      </c>
      <c r="B16" s="1">
        <v>102235960.09999999</v>
      </c>
      <c r="C16" s="1">
        <f>'Dec100%_DOR PDF'!$B$1</f>
        <v>102235960.10000004</v>
      </c>
      <c r="D16" s="1">
        <f t="shared" ref="D16:D23" si="0">C16-B16</f>
        <v>0</v>
      </c>
    </row>
    <row r="17" spans="1:8" x14ac:dyDescent="0.25">
      <c r="A17" t="s">
        <v>2100</v>
      </c>
      <c r="B17" s="1">
        <f>B16</f>
        <v>102235960.09999999</v>
      </c>
      <c r="C17" s="1">
        <f>SUBTOTAL(9,SurtaxPayment!$K$1:$K$348)</f>
        <v>102235960.10000004</v>
      </c>
      <c r="D17" s="1">
        <f t="shared" si="0"/>
        <v>0</v>
      </c>
    </row>
    <row r="18" spans="1:8" x14ac:dyDescent="0.25">
      <c r="A18" t="s">
        <v>751</v>
      </c>
      <c r="B18" s="1">
        <f>B16</f>
        <v>102235960.09999999</v>
      </c>
      <c r="C18" s="1">
        <f>SUBTOTAL(9,SurtaxPayment!$L$1:$L$348)+SUBTOTAL(9,SurtaxPayment!$M$1:$M$348)</f>
        <v>102235960.09999999</v>
      </c>
      <c r="D18" s="1">
        <f t="shared" si="0"/>
        <v>0</v>
      </c>
    </row>
    <row r="19" spans="1:8" x14ac:dyDescent="0.25">
      <c r="A19" t="s">
        <v>2103</v>
      </c>
      <c r="B19" s="1">
        <f>SUBTOTAL(9,SurtaxPayment!$K$1:$K$348)</f>
        <v>102235960.10000004</v>
      </c>
      <c r="C19" s="1">
        <f>SUBTOTAL(9,SurtaxPayment!$L$1:$L$348)+SUBTOTAL(9,SurtaxPayment!$M$1:$M$348)</f>
        <v>102235960.09999999</v>
      </c>
      <c r="D19" s="1">
        <f t="shared" si="0"/>
        <v>0</v>
      </c>
    </row>
    <row r="20" spans="1:8" x14ac:dyDescent="0.25">
      <c r="A20" t="s">
        <v>2104</v>
      </c>
      <c r="B20" s="1">
        <f>B16</f>
        <v>102235960.09999999</v>
      </c>
      <c r="C20" s="1">
        <f>SUM(SurtaxRatesSAS!$F$2:$F$330)</f>
        <v>102235960.10000004</v>
      </c>
      <c r="D20" s="1">
        <f t="shared" si="0"/>
        <v>0</v>
      </c>
    </row>
    <row r="21" spans="1:8" x14ac:dyDescent="0.25">
      <c r="A21" t="s">
        <v>2102</v>
      </c>
      <c r="B21" s="1">
        <f>SUM('Dec100%_DOR PDF'!$B$3:$B$330)</f>
        <v>102235960.10000004</v>
      </c>
      <c r="C21" s="1">
        <f>SUBTOTAL(9,SurtaxPayment!$K$1:$K$348)</f>
        <v>102235960.10000004</v>
      </c>
      <c r="D21" s="1">
        <f t="shared" si="0"/>
        <v>0</v>
      </c>
    </row>
    <row r="22" spans="1:8" x14ac:dyDescent="0.25">
      <c r="A22" t="s">
        <v>2101</v>
      </c>
      <c r="B22" s="1">
        <f>COUNTIF('Dec100%_DOR PDF'!$B$3:$B$300,"&gt;0")</f>
        <v>285</v>
      </c>
      <c r="C22" s="1">
        <f>COUNTIF(SurtaxPayment!$K$6:$K$330,"&gt;0")</f>
        <v>285</v>
      </c>
      <c r="D22" s="1">
        <f t="shared" si="0"/>
        <v>0</v>
      </c>
      <c r="F22" t="s">
        <v>2106</v>
      </c>
    </row>
    <row r="23" spans="1:8" x14ac:dyDescent="0.25">
      <c r="A23" t="s">
        <v>2105</v>
      </c>
      <c r="B23" s="1">
        <f>COUNTIF('Dec100%_DOR PDF'!$B$3:$B$300,"&gt;0")</f>
        <v>285</v>
      </c>
      <c r="C23" s="1">
        <f>COUNT(SurtaxRatesSAS!$D$2:$D$285)+F23</f>
        <v>285</v>
      </c>
      <c r="D23" s="1">
        <f t="shared" si="0"/>
        <v>0</v>
      </c>
      <c r="F23" s="1">
        <f>COUNT(SurtaxRatesSAS!$D$288:$D$300)</f>
        <v>1</v>
      </c>
    </row>
    <row r="24" spans="1:8" x14ac:dyDescent="0.25">
      <c r="B24" s="1"/>
      <c r="C24" s="1"/>
      <c r="D24" s="1"/>
    </row>
    <row r="25" spans="1:8" x14ac:dyDescent="0.25">
      <c r="A25" s="67" t="s">
        <v>747</v>
      </c>
      <c r="B25" s="1"/>
      <c r="C25" s="1"/>
      <c r="D25" s="1"/>
    </row>
    <row r="26" spans="1:8" x14ac:dyDescent="0.25">
      <c r="A26" t="s">
        <v>748</v>
      </c>
      <c r="B26" s="1">
        <f>MIN(SurtaxPayment!$K$6:$K$330)</f>
        <v>0</v>
      </c>
      <c r="C26" s="1"/>
      <c r="D26" s="1"/>
    </row>
    <row r="27" spans="1:8" x14ac:dyDescent="0.25">
      <c r="A27" t="s">
        <v>750</v>
      </c>
      <c r="B27" s="1">
        <f>_xlfn.MINIFS(SurtaxPayment!$K$6:$K$330,SurtaxPayment!$K$6:$K$330,"&gt;0")</f>
        <v>4736.92</v>
      </c>
      <c r="C27" s="1"/>
      <c r="D27" s="1"/>
    </row>
    <row r="28" spans="1:8" x14ac:dyDescent="0.25">
      <c r="A28" t="s">
        <v>749</v>
      </c>
      <c r="B28" s="1">
        <f>MAX(SurtaxPayment!$K$6:$K$330)</f>
        <v>8052490.5300000003</v>
      </c>
      <c r="C28" s="1"/>
      <c r="D28" s="1"/>
    </row>
    <row r="29" spans="1:8" x14ac:dyDescent="0.25">
      <c r="B29" s="1"/>
      <c r="C29" s="1"/>
      <c r="D29" s="1"/>
    </row>
    <row r="30" spans="1:8" x14ac:dyDescent="0.25">
      <c r="B30" s="1"/>
      <c r="C30" s="1"/>
      <c r="D30" s="1"/>
    </row>
    <row r="31" spans="1:8" x14ac:dyDescent="0.25">
      <c r="A31" s="48" t="s">
        <v>753</v>
      </c>
      <c r="B31" t="s">
        <v>741</v>
      </c>
      <c r="C31" t="s">
        <v>298</v>
      </c>
      <c r="D31" t="s">
        <v>746</v>
      </c>
      <c r="F31" t="s">
        <v>2065</v>
      </c>
      <c r="G31" t="s">
        <v>2067</v>
      </c>
      <c r="H31" t="s">
        <v>2069</v>
      </c>
    </row>
    <row r="32" spans="1:8" x14ac:dyDescent="0.25">
      <c r="A32" t="s">
        <v>754</v>
      </c>
      <c r="B32" s="1" t="e">
        <f>-#REF!</f>
        <v>#REF!</v>
      </c>
      <c r="C32" s="1" t="e">
        <f>SUBTOTAL(9,SurtaxPayment!$O$1:$O$348)</f>
        <v>#REF!</v>
      </c>
      <c r="D32" s="1" t="e">
        <f>C32-B32</f>
        <v>#REF!</v>
      </c>
      <c r="F32" t="e">
        <f>COUNTIF(#REF!,"&gt;0")</f>
        <v>#REF!</v>
      </c>
      <c r="G32" t="s">
        <v>2068</v>
      </c>
      <c r="H32">
        <v>285</v>
      </c>
    </row>
    <row r="33" spans="1:4" x14ac:dyDescent="0.25">
      <c r="A33" t="s">
        <v>2064</v>
      </c>
      <c r="B33" s="1" t="e">
        <f>#REF!</f>
        <v>#REF!</v>
      </c>
      <c r="C33" s="1" t="e">
        <f>SUBTOTAL(9,SurtaxPayment!$O$1:$O$348)</f>
        <v>#REF!</v>
      </c>
      <c r="D33" s="1" t="e">
        <f>C33-B33</f>
        <v>#REF!</v>
      </c>
    </row>
    <row r="34" spans="1:4" x14ac:dyDescent="0.25">
      <c r="A34" t="s">
        <v>2066</v>
      </c>
      <c r="B34" s="1" t="e">
        <f>#REF!</f>
        <v>#REF!</v>
      </c>
      <c r="C34" s="1" t="e">
        <f>-#REF!</f>
        <v>#REF!</v>
      </c>
      <c r="D34" s="1" t="e">
        <f>C34-B34</f>
        <v>#REF!</v>
      </c>
    </row>
    <row r="35" spans="1:4" x14ac:dyDescent="0.25">
      <c r="A35" t="s">
        <v>751</v>
      </c>
      <c r="B35" s="1" t="e">
        <f>-#REF!</f>
        <v>#REF!</v>
      </c>
      <c r="C35" s="1" t="e">
        <f>SUBTOTAL(9,SurtaxPayment!$P$1:$P$348)+SUBTOTAL(9,SurtaxPayment!$Q$1:$Q$348)</f>
        <v>#REF!</v>
      </c>
      <c r="D35" s="1" t="e">
        <f>C35-B35</f>
        <v>#REF!</v>
      </c>
    </row>
    <row r="36" spans="1:4" x14ac:dyDescent="0.25">
      <c r="A36" t="s">
        <v>755</v>
      </c>
      <c r="B36" s="1" t="e">
        <f>COUNTIF(#REF!,"&lt;0")</f>
        <v>#REF!</v>
      </c>
      <c r="C36" s="1">
        <f>COUNTIF(SurtaxPayment!$O$6:$O$330,"&gt;0")</f>
        <v>0</v>
      </c>
      <c r="D36" s="1" t="e">
        <f>C36-B36</f>
        <v>#REF!</v>
      </c>
    </row>
    <row r="37" spans="1:4" x14ac:dyDescent="0.25">
      <c r="B37" s="1"/>
      <c r="C37" s="1"/>
      <c r="D37" s="1"/>
    </row>
    <row r="38" spans="1:4" x14ac:dyDescent="0.25">
      <c r="A38" s="67" t="s">
        <v>747</v>
      </c>
      <c r="B38" s="1"/>
      <c r="C38" s="1"/>
      <c r="D38" s="1"/>
    </row>
    <row r="39" spans="1:4" x14ac:dyDescent="0.25">
      <c r="A39" t="s">
        <v>748</v>
      </c>
      <c r="B39" s="1" t="e">
        <f>MIN(SurtaxPayment!$O$6:$O$330)</f>
        <v>#REF!</v>
      </c>
      <c r="C39" s="1"/>
      <c r="D39" s="1"/>
    </row>
    <row r="40" spans="1:4" x14ac:dyDescent="0.25">
      <c r="A40" t="s">
        <v>750</v>
      </c>
      <c r="B40" s="1">
        <f>_xlfn.MINIFS(SurtaxPayment!$O$6:$O$330,SurtaxPayment!$O$6:$O$330,"&gt;0")</f>
        <v>0</v>
      </c>
      <c r="C40" s="1"/>
      <c r="D40" s="1"/>
    </row>
    <row r="41" spans="1:4" x14ac:dyDescent="0.25">
      <c r="A41" t="s">
        <v>749</v>
      </c>
      <c r="B41" s="1" t="e">
        <f>MAX(SurtaxPayment!$O$6:$O$330)</f>
        <v>#REF!</v>
      </c>
      <c r="C41" s="1"/>
      <c r="D41" s="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M336"/>
  <sheetViews>
    <sheetView workbookViewId="0">
      <pane xSplit="3" ySplit="1" topLeftCell="D286" activePane="bottomRight" state="frozen"/>
      <selection activeCell="K7" sqref="K7"/>
      <selection pane="topRight" activeCell="K7" sqref="K7"/>
      <selection pane="bottomLeft" activeCell="K7" sqref="K7"/>
      <selection pane="bottomRight" activeCell="K7" sqref="K7"/>
    </sheetView>
  </sheetViews>
  <sheetFormatPr defaultRowHeight="15" x14ac:dyDescent="0.25"/>
  <cols>
    <col min="2" max="2" width="6.7109375" customWidth="1"/>
    <col min="3" max="3" width="44" customWidth="1"/>
    <col min="4" max="4" width="7.85546875" customWidth="1"/>
    <col min="5" max="5" width="12.42578125" bestFit="1" customWidth="1"/>
    <col min="6" max="6" width="9.140625" style="33"/>
    <col min="7" max="7" width="13.85546875" bestFit="1" customWidth="1"/>
    <col min="8" max="8" width="11.7109375" customWidth="1"/>
    <col min="9" max="9" width="12.85546875" bestFit="1" customWidth="1"/>
    <col min="10" max="10" width="21" bestFit="1" customWidth="1"/>
    <col min="13" max="13" width="37.7109375" customWidth="1"/>
  </cols>
  <sheetData>
    <row r="1" spans="1:13" ht="105" x14ac:dyDescent="0.25">
      <c r="A1" t="s">
        <v>8</v>
      </c>
      <c r="B1" t="s">
        <v>9</v>
      </c>
      <c r="C1" t="s">
        <v>308</v>
      </c>
      <c r="D1" t="s">
        <v>11</v>
      </c>
      <c r="E1" t="s">
        <v>12</v>
      </c>
      <c r="F1" s="33" t="s">
        <v>291</v>
      </c>
      <c r="G1" s="14" t="s">
        <v>309</v>
      </c>
      <c r="H1" t="s">
        <v>11</v>
      </c>
      <c r="I1" t="s">
        <v>294</v>
      </c>
      <c r="J1" t="s">
        <v>295</v>
      </c>
      <c r="L1" t="s">
        <v>292</v>
      </c>
      <c r="M1" s="32" t="s">
        <v>307</v>
      </c>
    </row>
    <row r="2" spans="1:13" x14ac:dyDescent="0.25">
      <c r="A2" s="5" t="s">
        <v>13</v>
      </c>
      <c r="B2" s="15">
        <v>441</v>
      </c>
      <c r="C2" s="5" t="s">
        <v>14</v>
      </c>
      <c r="D2" s="7">
        <v>3</v>
      </c>
      <c r="E2" s="7">
        <v>9</v>
      </c>
      <c r="F2" s="34">
        <v>369257</v>
      </c>
      <c r="G2" s="21">
        <f>F2</f>
        <v>369257</v>
      </c>
      <c r="H2" s="21">
        <f>ROUND((D2/(D2+E2))*$G2,2)</f>
        <v>92314.25</v>
      </c>
      <c r="I2" s="21">
        <f>G2-H2</f>
        <v>276942.75</v>
      </c>
      <c r="J2" s="1">
        <f>H2+I2-G2</f>
        <v>0</v>
      </c>
      <c r="K2" s="1"/>
      <c r="L2" s="2">
        <v>9</v>
      </c>
      <c r="M2">
        <v>300305</v>
      </c>
    </row>
    <row r="3" spans="1:13" x14ac:dyDescent="0.25">
      <c r="A3" s="3" t="s">
        <v>13</v>
      </c>
      <c r="B3" s="2">
        <v>18</v>
      </c>
      <c r="C3" s="3" t="s">
        <v>15</v>
      </c>
      <c r="D3" s="4">
        <v>4</v>
      </c>
      <c r="E3" s="4">
        <v>4</v>
      </c>
      <c r="F3" s="33">
        <f t="shared" ref="F3:F66" si="0">INDEX($L$2:$M$336,MATCH(B3,$L$2:$L$336,0),2)</f>
        <v>155250</v>
      </c>
      <c r="G3" s="1">
        <f t="shared" ref="G3:G66" si="1">F3</f>
        <v>155250</v>
      </c>
      <c r="H3" s="1">
        <f t="shared" ref="H3:H66" si="2">ROUND((D3/(D3+E3))*$G3,2)</f>
        <v>77625</v>
      </c>
      <c r="I3" s="1">
        <f t="shared" ref="I3:I41" si="3">G3-H3</f>
        <v>77625</v>
      </c>
      <c r="J3" s="1">
        <f t="shared" ref="J3:J66" si="4">H3+I3-G3</f>
        <v>0</v>
      </c>
      <c r="K3" s="1"/>
      <c r="L3" s="2">
        <v>18</v>
      </c>
      <c r="M3">
        <v>155250</v>
      </c>
    </row>
    <row r="4" spans="1:13" x14ac:dyDescent="0.25">
      <c r="A4" s="3" t="s">
        <v>13</v>
      </c>
      <c r="B4" s="2">
        <v>9</v>
      </c>
      <c r="C4" s="3" t="s">
        <v>0</v>
      </c>
      <c r="D4" s="4">
        <v>8</v>
      </c>
      <c r="E4" s="4">
        <v>0</v>
      </c>
      <c r="F4" s="33">
        <f t="shared" si="0"/>
        <v>300305</v>
      </c>
      <c r="G4" s="1">
        <f t="shared" si="1"/>
        <v>300305</v>
      </c>
      <c r="H4" s="1">
        <f t="shared" si="2"/>
        <v>300305</v>
      </c>
      <c r="I4" s="1">
        <f t="shared" si="3"/>
        <v>0</v>
      </c>
      <c r="J4" s="1">
        <f t="shared" si="4"/>
        <v>0</v>
      </c>
      <c r="K4" s="1"/>
      <c r="L4" s="2">
        <v>27</v>
      </c>
      <c r="M4">
        <v>0</v>
      </c>
    </row>
    <row r="5" spans="1:13" x14ac:dyDescent="0.25">
      <c r="A5" s="3" t="s">
        <v>13</v>
      </c>
      <c r="B5" s="2">
        <v>63</v>
      </c>
      <c r="C5" s="3" t="s">
        <v>16</v>
      </c>
      <c r="D5" s="4">
        <v>0</v>
      </c>
      <c r="E5" s="4">
        <v>4</v>
      </c>
      <c r="F5" s="33">
        <f t="shared" si="0"/>
        <v>114586</v>
      </c>
      <c r="G5" s="1">
        <f t="shared" si="1"/>
        <v>114586</v>
      </c>
      <c r="H5" s="1">
        <f t="shared" si="2"/>
        <v>0</v>
      </c>
      <c r="I5" s="1">
        <f t="shared" si="3"/>
        <v>114586</v>
      </c>
      <c r="J5" s="1">
        <f t="shared" si="4"/>
        <v>0</v>
      </c>
      <c r="K5" s="1"/>
      <c r="L5" s="2">
        <v>63</v>
      </c>
      <c r="M5">
        <v>114586</v>
      </c>
    </row>
    <row r="6" spans="1:13" x14ac:dyDescent="0.25">
      <c r="A6" s="3" t="s">
        <v>13</v>
      </c>
      <c r="B6" s="2">
        <v>81</v>
      </c>
      <c r="C6" s="3" t="s">
        <v>17</v>
      </c>
      <c r="D6" s="4">
        <v>0</v>
      </c>
      <c r="E6" s="4">
        <v>9</v>
      </c>
      <c r="F6" s="33">
        <f t="shared" si="0"/>
        <v>488316</v>
      </c>
      <c r="G6" s="1">
        <f t="shared" si="1"/>
        <v>488316</v>
      </c>
      <c r="H6" s="1">
        <f t="shared" si="2"/>
        <v>0</v>
      </c>
      <c r="I6" s="1">
        <f t="shared" si="3"/>
        <v>488316</v>
      </c>
      <c r="J6" s="1">
        <f t="shared" si="4"/>
        <v>0</v>
      </c>
      <c r="K6" s="1"/>
      <c r="L6" s="2">
        <v>72</v>
      </c>
      <c r="M6">
        <v>0</v>
      </c>
    </row>
    <row r="7" spans="1:13" x14ac:dyDescent="0.25">
      <c r="A7" s="3" t="s">
        <v>13</v>
      </c>
      <c r="B7" s="2">
        <v>99</v>
      </c>
      <c r="C7" s="3" t="s">
        <v>18</v>
      </c>
      <c r="D7" s="4">
        <v>2</v>
      </c>
      <c r="E7" s="4">
        <v>0</v>
      </c>
      <c r="F7" s="33">
        <f t="shared" si="0"/>
        <v>81931</v>
      </c>
      <c r="G7" s="1">
        <f t="shared" si="1"/>
        <v>81931</v>
      </c>
      <c r="H7" s="1">
        <f t="shared" si="2"/>
        <v>81931</v>
      </c>
      <c r="I7" s="1">
        <f>G7-H7</f>
        <v>0</v>
      </c>
      <c r="J7" s="1">
        <f t="shared" si="4"/>
        <v>0</v>
      </c>
      <c r="K7" s="1"/>
      <c r="L7" s="2">
        <v>81</v>
      </c>
      <c r="M7">
        <v>488316</v>
      </c>
    </row>
    <row r="8" spans="1:13" x14ac:dyDescent="0.25">
      <c r="A8" s="3" t="s">
        <v>13</v>
      </c>
      <c r="B8" s="2">
        <v>108</v>
      </c>
      <c r="C8" s="3" t="s">
        <v>19</v>
      </c>
      <c r="D8" s="4">
        <v>0</v>
      </c>
      <c r="E8" s="4">
        <v>9</v>
      </c>
      <c r="F8" s="33">
        <f t="shared" si="0"/>
        <v>106679</v>
      </c>
      <c r="G8" s="1">
        <f t="shared" si="1"/>
        <v>106679</v>
      </c>
      <c r="H8" s="1">
        <f t="shared" si="2"/>
        <v>0</v>
      </c>
      <c r="I8" s="1">
        <f t="shared" si="3"/>
        <v>106679</v>
      </c>
      <c r="J8" s="1">
        <f t="shared" si="4"/>
        <v>0</v>
      </c>
      <c r="K8" s="1"/>
      <c r="L8" s="2">
        <v>99</v>
      </c>
      <c r="M8">
        <v>81931</v>
      </c>
    </row>
    <row r="9" spans="1:13" x14ac:dyDescent="0.25">
      <c r="A9" s="3" t="s">
        <v>13</v>
      </c>
      <c r="B9" s="2">
        <v>126</v>
      </c>
      <c r="C9" s="3" t="s">
        <v>20</v>
      </c>
      <c r="D9" s="4">
        <v>0</v>
      </c>
      <c r="E9" s="4">
        <v>6</v>
      </c>
      <c r="F9" s="33">
        <f t="shared" si="0"/>
        <v>693314</v>
      </c>
      <c r="G9" s="1">
        <f t="shared" si="1"/>
        <v>693314</v>
      </c>
      <c r="H9" s="1">
        <f t="shared" si="2"/>
        <v>0</v>
      </c>
      <c r="I9" s="1">
        <f t="shared" si="3"/>
        <v>693314</v>
      </c>
      <c r="J9" s="1">
        <f t="shared" si="4"/>
        <v>0</v>
      </c>
      <c r="K9" s="1"/>
      <c r="L9" s="2">
        <v>108</v>
      </c>
      <c r="M9">
        <v>106679</v>
      </c>
    </row>
    <row r="10" spans="1:13" x14ac:dyDescent="0.25">
      <c r="A10" s="3" t="s">
        <v>13</v>
      </c>
      <c r="B10" s="2">
        <v>135</v>
      </c>
      <c r="C10" s="3" t="s">
        <v>21</v>
      </c>
      <c r="D10" s="4">
        <v>8</v>
      </c>
      <c r="E10" s="4">
        <v>0</v>
      </c>
      <c r="F10" s="33">
        <f t="shared" si="0"/>
        <v>467017</v>
      </c>
      <c r="G10" s="1">
        <f t="shared" si="1"/>
        <v>467017</v>
      </c>
      <c r="H10" s="1">
        <f t="shared" si="2"/>
        <v>467017</v>
      </c>
      <c r="I10" s="1">
        <f t="shared" si="3"/>
        <v>0</v>
      </c>
      <c r="J10" s="1">
        <f t="shared" si="4"/>
        <v>0</v>
      </c>
      <c r="K10" s="1"/>
      <c r="L10" s="2">
        <v>126</v>
      </c>
      <c r="M10">
        <v>693314</v>
      </c>
    </row>
    <row r="11" spans="1:13" x14ac:dyDescent="0.25">
      <c r="A11" s="3" t="s">
        <v>13</v>
      </c>
      <c r="B11" s="2">
        <v>171</v>
      </c>
      <c r="C11" s="3" t="s">
        <v>22</v>
      </c>
      <c r="D11" s="4">
        <v>0</v>
      </c>
      <c r="E11" s="4">
        <v>8</v>
      </c>
      <c r="F11" s="33">
        <f t="shared" si="0"/>
        <v>226521</v>
      </c>
      <c r="G11" s="1">
        <f t="shared" si="1"/>
        <v>226521</v>
      </c>
      <c r="H11" s="1">
        <f t="shared" si="2"/>
        <v>0</v>
      </c>
      <c r="I11" s="1">
        <f>G11-H11</f>
        <v>226521</v>
      </c>
      <c r="J11" s="1">
        <f t="shared" si="4"/>
        <v>0</v>
      </c>
      <c r="K11" s="1"/>
      <c r="L11" s="2">
        <v>135</v>
      </c>
      <c r="M11">
        <v>467017</v>
      </c>
    </row>
    <row r="12" spans="1:13" x14ac:dyDescent="0.25">
      <c r="A12" s="3" t="s">
        <v>13</v>
      </c>
      <c r="B12" s="2">
        <v>225</v>
      </c>
      <c r="C12" s="3" t="s">
        <v>23</v>
      </c>
      <c r="D12" s="4">
        <v>0</v>
      </c>
      <c r="E12" s="4">
        <v>4</v>
      </c>
      <c r="F12" s="33">
        <f t="shared" si="0"/>
        <v>1954551</v>
      </c>
      <c r="G12" s="1">
        <f t="shared" si="1"/>
        <v>1954551</v>
      </c>
      <c r="H12" s="1">
        <f t="shared" si="2"/>
        <v>0</v>
      </c>
      <c r="I12" s="1">
        <f t="shared" si="3"/>
        <v>1954551</v>
      </c>
      <c r="J12" s="1">
        <f t="shared" si="4"/>
        <v>0</v>
      </c>
      <c r="K12" s="1"/>
      <c r="L12" s="2">
        <v>153</v>
      </c>
      <c r="M12">
        <v>156683</v>
      </c>
    </row>
    <row r="13" spans="1:13" x14ac:dyDescent="0.25">
      <c r="A13" s="3" t="s">
        <v>13</v>
      </c>
      <c r="B13" s="2">
        <v>234</v>
      </c>
      <c r="C13" s="3" t="s">
        <v>24</v>
      </c>
      <c r="D13" s="4">
        <v>0</v>
      </c>
      <c r="E13" s="4">
        <v>7.0000000000000009</v>
      </c>
      <c r="F13" s="33">
        <f t="shared" si="0"/>
        <v>560792</v>
      </c>
      <c r="G13" s="1">
        <f t="shared" si="1"/>
        <v>560792</v>
      </c>
      <c r="H13" s="1">
        <f t="shared" si="2"/>
        <v>0</v>
      </c>
      <c r="I13" s="1">
        <f t="shared" si="3"/>
        <v>560792</v>
      </c>
      <c r="J13" s="1">
        <f t="shared" si="4"/>
        <v>0</v>
      </c>
      <c r="K13" s="1"/>
      <c r="L13" s="2">
        <v>171</v>
      </c>
      <c r="M13">
        <v>226521</v>
      </c>
    </row>
    <row r="14" spans="1:13" x14ac:dyDescent="0.25">
      <c r="A14" s="3" t="s">
        <v>13</v>
      </c>
      <c r="B14" s="2">
        <v>243</v>
      </c>
      <c r="C14" s="3" t="s">
        <v>25</v>
      </c>
      <c r="D14" s="4">
        <v>0</v>
      </c>
      <c r="E14" s="4">
        <v>13</v>
      </c>
      <c r="F14" s="33">
        <f t="shared" si="0"/>
        <v>161628</v>
      </c>
      <c r="G14" s="1">
        <f t="shared" si="1"/>
        <v>161628</v>
      </c>
      <c r="H14" s="1">
        <f t="shared" si="2"/>
        <v>0</v>
      </c>
      <c r="I14" s="1">
        <f t="shared" si="3"/>
        <v>161628</v>
      </c>
      <c r="J14" s="1">
        <f t="shared" si="4"/>
        <v>0</v>
      </c>
      <c r="K14" s="1"/>
      <c r="L14" s="2">
        <v>225</v>
      </c>
      <c r="M14">
        <v>1954551</v>
      </c>
    </row>
    <row r="15" spans="1:13" x14ac:dyDescent="0.25">
      <c r="A15" s="3" t="s">
        <v>13</v>
      </c>
      <c r="B15" s="2">
        <v>279</v>
      </c>
      <c r="C15" s="3" t="s">
        <v>26</v>
      </c>
      <c r="D15" s="4">
        <v>0</v>
      </c>
      <c r="E15" s="4">
        <v>7.0000000000000009</v>
      </c>
      <c r="F15" s="33">
        <f t="shared" si="0"/>
        <v>293326</v>
      </c>
      <c r="G15" s="1">
        <f t="shared" si="1"/>
        <v>293326</v>
      </c>
      <c r="H15" s="1">
        <f t="shared" si="2"/>
        <v>0</v>
      </c>
      <c r="I15" s="1">
        <f t="shared" si="3"/>
        <v>293326</v>
      </c>
      <c r="J15" s="1">
        <f t="shared" si="4"/>
        <v>0</v>
      </c>
      <c r="K15" s="1"/>
      <c r="L15" s="2">
        <v>234</v>
      </c>
      <c r="M15">
        <v>560792</v>
      </c>
    </row>
    <row r="16" spans="1:13" x14ac:dyDescent="0.25">
      <c r="A16" s="3" t="s">
        <v>13</v>
      </c>
      <c r="B16" s="2">
        <v>355</v>
      </c>
      <c r="C16" s="3" t="s">
        <v>27</v>
      </c>
      <c r="D16" s="4">
        <v>0</v>
      </c>
      <c r="E16" s="4">
        <v>8</v>
      </c>
      <c r="F16" s="33">
        <f t="shared" si="0"/>
        <v>145465</v>
      </c>
      <c r="G16" s="1">
        <f t="shared" si="1"/>
        <v>145465</v>
      </c>
      <c r="H16" s="1">
        <f t="shared" si="2"/>
        <v>0</v>
      </c>
      <c r="I16" s="1">
        <f t="shared" si="3"/>
        <v>145465</v>
      </c>
      <c r="J16" s="1">
        <f t="shared" si="4"/>
        <v>0</v>
      </c>
      <c r="K16" s="1"/>
      <c r="L16" s="2">
        <v>243</v>
      </c>
      <c r="M16">
        <v>161628</v>
      </c>
    </row>
    <row r="17" spans="1:13" x14ac:dyDescent="0.25">
      <c r="A17" s="3" t="s">
        <v>13</v>
      </c>
      <c r="B17" s="2">
        <v>387</v>
      </c>
      <c r="C17" s="3" t="s">
        <v>28</v>
      </c>
      <c r="D17" s="4">
        <v>0</v>
      </c>
      <c r="E17" s="4">
        <v>9</v>
      </c>
      <c r="F17" s="33">
        <f t="shared" si="0"/>
        <v>648515</v>
      </c>
      <c r="G17" s="1">
        <f t="shared" si="1"/>
        <v>648515</v>
      </c>
      <c r="H17" s="1">
        <f t="shared" si="2"/>
        <v>0</v>
      </c>
      <c r="I17" s="1">
        <f t="shared" si="3"/>
        <v>648515</v>
      </c>
      <c r="J17" s="1">
        <f t="shared" si="4"/>
        <v>0</v>
      </c>
      <c r="K17" s="1"/>
      <c r="L17" s="2">
        <v>261</v>
      </c>
      <c r="M17">
        <v>0</v>
      </c>
    </row>
    <row r="18" spans="1:13" x14ac:dyDescent="0.25">
      <c r="A18" s="3" t="s">
        <v>13</v>
      </c>
      <c r="B18" s="2">
        <v>414</v>
      </c>
      <c r="C18" s="3" t="s">
        <v>29</v>
      </c>
      <c r="D18" s="4">
        <v>0</v>
      </c>
      <c r="E18" s="4">
        <v>8</v>
      </c>
      <c r="F18" s="33">
        <f t="shared" si="0"/>
        <v>285534</v>
      </c>
      <c r="G18" s="1">
        <f t="shared" si="1"/>
        <v>285534</v>
      </c>
      <c r="H18" s="1">
        <f t="shared" si="2"/>
        <v>0</v>
      </c>
      <c r="I18" s="1">
        <f t="shared" si="3"/>
        <v>285534</v>
      </c>
      <c r="J18" s="1">
        <f t="shared" si="4"/>
        <v>0</v>
      </c>
      <c r="K18" s="1"/>
      <c r="L18" s="2">
        <v>279</v>
      </c>
      <c r="M18">
        <v>293326</v>
      </c>
    </row>
    <row r="19" spans="1:13" x14ac:dyDescent="0.25">
      <c r="A19" s="3" t="s">
        <v>13</v>
      </c>
      <c r="B19" s="2">
        <v>423</v>
      </c>
      <c r="C19" s="3" t="s">
        <v>30</v>
      </c>
      <c r="D19" s="4">
        <v>0</v>
      </c>
      <c r="E19" s="4">
        <v>6</v>
      </c>
      <c r="F19" s="33">
        <f t="shared" si="0"/>
        <v>84316</v>
      </c>
      <c r="G19" s="1">
        <f t="shared" si="1"/>
        <v>84316</v>
      </c>
      <c r="H19" s="1">
        <f t="shared" si="2"/>
        <v>0</v>
      </c>
      <c r="I19" s="1">
        <f t="shared" si="3"/>
        <v>84316</v>
      </c>
      <c r="J19" s="1">
        <f t="shared" si="4"/>
        <v>0</v>
      </c>
      <c r="K19" s="1"/>
      <c r="L19" s="2">
        <v>333</v>
      </c>
      <c r="M19">
        <v>297964</v>
      </c>
    </row>
    <row r="20" spans="1:13" x14ac:dyDescent="0.25">
      <c r="A20" s="3" t="s">
        <v>13</v>
      </c>
      <c r="B20" s="2">
        <v>472</v>
      </c>
      <c r="C20" s="3" t="s">
        <v>31</v>
      </c>
      <c r="D20" s="4">
        <v>2</v>
      </c>
      <c r="E20" s="4">
        <v>0</v>
      </c>
      <c r="F20" s="33">
        <f t="shared" si="0"/>
        <v>195359</v>
      </c>
      <c r="G20" s="1">
        <f t="shared" si="1"/>
        <v>195359</v>
      </c>
      <c r="H20" s="1">
        <f t="shared" si="2"/>
        <v>195359</v>
      </c>
      <c r="I20" s="1">
        <f t="shared" si="3"/>
        <v>0</v>
      </c>
      <c r="J20" s="1">
        <f t="shared" si="4"/>
        <v>0</v>
      </c>
      <c r="K20" s="1"/>
      <c r="L20" s="2">
        <v>355</v>
      </c>
      <c r="M20">
        <v>145465</v>
      </c>
    </row>
    <row r="21" spans="1:13" x14ac:dyDescent="0.25">
      <c r="A21" s="3" t="s">
        <v>13</v>
      </c>
      <c r="B21" s="2">
        <v>504</v>
      </c>
      <c r="C21" s="3" t="s">
        <v>32</v>
      </c>
      <c r="D21" s="4">
        <v>0</v>
      </c>
      <c r="E21" s="4">
        <v>1</v>
      </c>
      <c r="F21" s="33">
        <f t="shared" si="0"/>
        <v>40266</v>
      </c>
      <c r="G21" s="1">
        <f t="shared" si="1"/>
        <v>40266</v>
      </c>
      <c r="H21" s="1">
        <f t="shared" si="2"/>
        <v>0</v>
      </c>
      <c r="I21" s="1">
        <f t="shared" si="3"/>
        <v>40266</v>
      </c>
      <c r="J21" s="1">
        <f t="shared" si="4"/>
        <v>0</v>
      </c>
      <c r="K21" s="1"/>
      <c r="L21" s="2">
        <v>387</v>
      </c>
      <c r="M21">
        <v>648515</v>
      </c>
    </row>
    <row r="22" spans="1:13" x14ac:dyDescent="0.25">
      <c r="A22" s="3" t="s">
        <v>13</v>
      </c>
      <c r="B22" s="2">
        <v>513</v>
      </c>
      <c r="C22" s="3" t="s">
        <v>33</v>
      </c>
      <c r="D22" s="4">
        <v>2</v>
      </c>
      <c r="E22" s="4">
        <v>7.0000000000000009</v>
      </c>
      <c r="F22" s="33">
        <f t="shared" si="0"/>
        <v>163579</v>
      </c>
      <c r="G22" s="1">
        <f t="shared" si="1"/>
        <v>163579</v>
      </c>
      <c r="H22" s="1">
        <f t="shared" si="2"/>
        <v>36350.89</v>
      </c>
      <c r="I22" s="1">
        <f t="shared" si="3"/>
        <v>127228.11</v>
      </c>
      <c r="J22" s="1">
        <f t="shared" si="4"/>
        <v>0</v>
      </c>
      <c r="K22" s="1"/>
      <c r="L22" s="2">
        <v>414</v>
      </c>
      <c r="M22">
        <v>285534</v>
      </c>
    </row>
    <row r="23" spans="1:13" x14ac:dyDescent="0.25">
      <c r="A23" s="3" t="s">
        <v>13</v>
      </c>
      <c r="B23" s="2">
        <v>540</v>
      </c>
      <c r="C23" s="3" t="s">
        <v>1</v>
      </c>
      <c r="D23" s="4">
        <v>0</v>
      </c>
      <c r="E23" s="4">
        <v>8</v>
      </c>
      <c r="F23" s="33">
        <f t="shared" si="0"/>
        <v>279054</v>
      </c>
      <c r="G23" s="1">
        <f t="shared" si="1"/>
        <v>279054</v>
      </c>
      <c r="H23" s="1">
        <f t="shared" si="2"/>
        <v>0</v>
      </c>
      <c r="I23" s="1">
        <f t="shared" si="3"/>
        <v>279054</v>
      </c>
      <c r="J23" s="1">
        <f t="shared" si="4"/>
        <v>0</v>
      </c>
      <c r="K23" s="1"/>
      <c r="L23" s="2">
        <v>423</v>
      </c>
      <c r="M23">
        <v>84316</v>
      </c>
    </row>
    <row r="24" spans="1:13" x14ac:dyDescent="0.25">
      <c r="A24" s="3" t="s">
        <v>13</v>
      </c>
      <c r="B24" s="2">
        <v>549</v>
      </c>
      <c r="C24" s="3" t="s">
        <v>34</v>
      </c>
      <c r="D24" s="4">
        <v>0</v>
      </c>
      <c r="E24" s="4">
        <v>10</v>
      </c>
      <c r="F24" s="33">
        <f t="shared" si="0"/>
        <v>186226</v>
      </c>
      <c r="G24" s="1">
        <f t="shared" si="1"/>
        <v>186226</v>
      </c>
      <c r="H24" s="1">
        <f t="shared" si="2"/>
        <v>0</v>
      </c>
      <c r="I24" s="1">
        <f t="shared" si="3"/>
        <v>186226</v>
      </c>
      <c r="J24" s="1">
        <f t="shared" si="4"/>
        <v>0</v>
      </c>
      <c r="K24" s="1"/>
      <c r="L24" s="2">
        <v>441</v>
      </c>
      <c r="M24">
        <v>378747</v>
      </c>
    </row>
    <row r="25" spans="1:13" x14ac:dyDescent="0.25">
      <c r="A25" s="3" t="s">
        <v>13</v>
      </c>
      <c r="B25" s="2">
        <v>576</v>
      </c>
      <c r="C25" s="3" t="s">
        <v>35</v>
      </c>
      <c r="D25" s="4">
        <v>1</v>
      </c>
      <c r="E25" s="4">
        <v>8</v>
      </c>
      <c r="F25" s="33">
        <f t="shared" si="0"/>
        <v>245757</v>
      </c>
      <c r="G25" s="1">
        <f t="shared" si="1"/>
        <v>245757</v>
      </c>
      <c r="H25" s="1">
        <f t="shared" si="2"/>
        <v>27306.33</v>
      </c>
      <c r="I25" s="1">
        <f t="shared" si="3"/>
        <v>218450.66999999998</v>
      </c>
      <c r="J25" s="1">
        <f t="shared" si="4"/>
        <v>0</v>
      </c>
      <c r="K25" s="1"/>
      <c r="L25" s="2">
        <v>472</v>
      </c>
      <c r="M25">
        <v>195359</v>
      </c>
    </row>
    <row r="26" spans="1:13" x14ac:dyDescent="0.25">
      <c r="A26" s="3" t="s">
        <v>13</v>
      </c>
      <c r="B26" s="2">
        <v>585</v>
      </c>
      <c r="C26" s="3" t="s">
        <v>36</v>
      </c>
      <c r="D26" s="4">
        <v>4</v>
      </c>
      <c r="E26" s="4">
        <v>0</v>
      </c>
      <c r="F26" s="33">
        <f t="shared" si="0"/>
        <v>216984</v>
      </c>
      <c r="G26" s="1">
        <f t="shared" si="1"/>
        <v>216984</v>
      </c>
      <c r="H26" s="1">
        <f t="shared" si="2"/>
        <v>216984</v>
      </c>
      <c r="I26" s="1">
        <f t="shared" si="3"/>
        <v>0</v>
      </c>
      <c r="J26" s="1">
        <f t="shared" si="4"/>
        <v>0</v>
      </c>
      <c r="K26" s="1"/>
      <c r="L26" s="2">
        <v>504</v>
      </c>
      <c r="M26">
        <v>40266</v>
      </c>
    </row>
    <row r="27" spans="1:13" x14ac:dyDescent="0.25">
      <c r="A27" s="3" t="s">
        <v>13</v>
      </c>
      <c r="B27" s="2">
        <v>603</v>
      </c>
      <c r="C27" s="3" t="s">
        <v>37</v>
      </c>
      <c r="D27" s="4">
        <v>0</v>
      </c>
      <c r="E27" s="4">
        <v>1</v>
      </c>
      <c r="F27" s="33">
        <f t="shared" si="0"/>
        <v>12358</v>
      </c>
      <c r="G27" s="1">
        <f t="shared" si="1"/>
        <v>12358</v>
      </c>
      <c r="H27" s="1">
        <f t="shared" si="2"/>
        <v>0</v>
      </c>
      <c r="I27" s="1">
        <f t="shared" si="3"/>
        <v>12358</v>
      </c>
      <c r="J27" s="1">
        <f t="shared" si="4"/>
        <v>0</v>
      </c>
      <c r="K27" s="1"/>
      <c r="L27" s="2">
        <v>513</v>
      </c>
      <c r="M27">
        <v>163579</v>
      </c>
    </row>
    <row r="28" spans="1:13" x14ac:dyDescent="0.25">
      <c r="A28" s="3" t="s">
        <v>13</v>
      </c>
      <c r="B28" s="2">
        <v>609</v>
      </c>
      <c r="C28" s="3" t="s">
        <v>38</v>
      </c>
      <c r="D28" s="4">
        <v>0</v>
      </c>
      <c r="E28" s="4">
        <v>4</v>
      </c>
      <c r="F28" s="33">
        <f t="shared" si="0"/>
        <v>430866</v>
      </c>
      <c r="G28" s="1">
        <f t="shared" si="1"/>
        <v>430866</v>
      </c>
      <c r="H28" s="1">
        <f t="shared" si="2"/>
        <v>0</v>
      </c>
      <c r="I28" s="1">
        <f t="shared" si="3"/>
        <v>430866</v>
      </c>
      <c r="J28" s="1">
        <f t="shared" si="4"/>
        <v>0</v>
      </c>
      <c r="K28" s="1"/>
      <c r="L28" s="2">
        <v>540</v>
      </c>
      <c r="M28">
        <v>279054</v>
      </c>
    </row>
    <row r="29" spans="1:13" x14ac:dyDescent="0.25">
      <c r="A29" s="3" t="s">
        <v>13</v>
      </c>
      <c r="B29" s="2">
        <v>720</v>
      </c>
      <c r="C29" s="3" t="s">
        <v>39</v>
      </c>
      <c r="D29" s="4">
        <v>0</v>
      </c>
      <c r="E29" s="4">
        <v>3</v>
      </c>
      <c r="F29" s="33">
        <f t="shared" si="0"/>
        <v>295420</v>
      </c>
      <c r="G29" s="1">
        <f t="shared" si="1"/>
        <v>295420</v>
      </c>
      <c r="H29" s="1">
        <f t="shared" si="2"/>
        <v>0</v>
      </c>
      <c r="I29" s="1">
        <f t="shared" si="3"/>
        <v>295420</v>
      </c>
      <c r="J29" s="1">
        <f t="shared" si="4"/>
        <v>0</v>
      </c>
      <c r="K29" s="1"/>
      <c r="L29" s="2">
        <v>549</v>
      </c>
      <c r="M29">
        <v>186226</v>
      </c>
    </row>
    <row r="30" spans="1:13" x14ac:dyDescent="0.25">
      <c r="A30" s="3" t="s">
        <v>13</v>
      </c>
      <c r="B30" s="2">
        <v>729</v>
      </c>
      <c r="C30" s="3" t="s">
        <v>40</v>
      </c>
      <c r="D30" s="4">
        <v>0</v>
      </c>
      <c r="E30" s="4">
        <v>6</v>
      </c>
      <c r="F30" s="33">
        <f t="shared" si="0"/>
        <v>833787</v>
      </c>
      <c r="G30" s="1">
        <f t="shared" si="1"/>
        <v>833787</v>
      </c>
      <c r="H30" s="1">
        <f t="shared" si="2"/>
        <v>0</v>
      </c>
      <c r="I30" s="1">
        <f t="shared" si="3"/>
        <v>833787</v>
      </c>
      <c r="J30" s="1">
        <f t="shared" si="4"/>
        <v>0</v>
      </c>
      <c r="K30" s="1"/>
      <c r="L30" s="2">
        <v>576</v>
      </c>
      <c r="M30">
        <v>245757</v>
      </c>
    </row>
    <row r="31" spans="1:13" x14ac:dyDescent="0.25">
      <c r="A31" s="3" t="s">
        <v>13</v>
      </c>
      <c r="B31" s="2">
        <v>747</v>
      </c>
      <c r="C31" s="3" t="s">
        <v>41</v>
      </c>
      <c r="D31" s="4">
        <v>0</v>
      </c>
      <c r="E31" s="4">
        <v>5</v>
      </c>
      <c r="F31" s="33">
        <f t="shared" si="0"/>
        <v>216379</v>
      </c>
      <c r="G31" s="1">
        <f t="shared" si="1"/>
        <v>216379</v>
      </c>
      <c r="H31" s="1">
        <f t="shared" si="2"/>
        <v>0</v>
      </c>
      <c r="I31" s="1">
        <f t="shared" si="3"/>
        <v>216379</v>
      </c>
      <c r="J31" s="1">
        <f t="shared" si="4"/>
        <v>0</v>
      </c>
      <c r="K31" s="1"/>
      <c r="L31" s="2">
        <v>585</v>
      </c>
      <c r="M31">
        <v>216984</v>
      </c>
    </row>
    <row r="32" spans="1:13" x14ac:dyDescent="0.25">
      <c r="A32" s="3" t="s">
        <v>13</v>
      </c>
      <c r="B32" s="2">
        <v>1917</v>
      </c>
      <c r="C32" s="3" t="s">
        <v>42</v>
      </c>
      <c r="D32" s="4">
        <v>0</v>
      </c>
      <c r="E32" s="4">
        <v>8</v>
      </c>
      <c r="F32" s="33">
        <f t="shared" si="0"/>
        <v>167484</v>
      </c>
      <c r="G32" s="1">
        <f t="shared" si="1"/>
        <v>167484</v>
      </c>
      <c r="H32" s="1">
        <f t="shared" si="2"/>
        <v>0</v>
      </c>
      <c r="I32" s="1">
        <f t="shared" si="3"/>
        <v>167484</v>
      </c>
      <c r="J32" s="1">
        <f t="shared" si="4"/>
        <v>0</v>
      </c>
      <c r="K32" s="1"/>
      <c r="L32" s="2">
        <v>594</v>
      </c>
      <c r="M32">
        <v>0</v>
      </c>
    </row>
    <row r="33" spans="1:13" x14ac:dyDescent="0.25">
      <c r="A33" s="3" t="s">
        <v>13</v>
      </c>
      <c r="B33" s="2">
        <v>846</v>
      </c>
      <c r="C33" s="3" t="s">
        <v>43</v>
      </c>
      <c r="D33" s="4">
        <v>3</v>
      </c>
      <c r="E33" s="4">
        <v>2</v>
      </c>
      <c r="F33" s="33">
        <f t="shared" si="0"/>
        <v>146777</v>
      </c>
      <c r="G33" s="1">
        <f t="shared" si="1"/>
        <v>146777</v>
      </c>
      <c r="H33" s="1">
        <f t="shared" si="2"/>
        <v>88066.2</v>
      </c>
      <c r="I33" s="1">
        <f t="shared" si="3"/>
        <v>58710.8</v>
      </c>
      <c r="J33" s="1">
        <f t="shared" si="4"/>
        <v>0</v>
      </c>
      <c r="K33" s="1"/>
      <c r="L33" s="2">
        <v>603</v>
      </c>
      <c r="M33">
        <v>12358</v>
      </c>
    </row>
    <row r="34" spans="1:13" x14ac:dyDescent="0.25">
      <c r="A34" s="3" t="s">
        <v>13</v>
      </c>
      <c r="B34" s="2">
        <v>916</v>
      </c>
      <c r="C34" s="3" t="s">
        <v>2</v>
      </c>
      <c r="D34" s="4">
        <v>3</v>
      </c>
      <c r="E34" s="4">
        <v>13</v>
      </c>
      <c r="F34" s="33">
        <f t="shared" si="0"/>
        <v>180381</v>
      </c>
      <c r="G34" s="1">
        <f t="shared" si="1"/>
        <v>180381</v>
      </c>
      <c r="H34" s="1">
        <f t="shared" si="2"/>
        <v>33821.440000000002</v>
      </c>
      <c r="I34" s="1">
        <f t="shared" si="3"/>
        <v>146559.56</v>
      </c>
      <c r="J34" s="1">
        <f t="shared" si="4"/>
        <v>0</v>
      </c>
      <c r="K34" s="1"/>
      <c r="L34" s="2">
        <v>609</v>
      </c>
      <c r="M34">
        <v>430866</v>
      </c>
    </row>
    <row r="35" spans="1:13" x14ac:dyDescent="0.25">
      <c r="A35" s="3" t="s">
        <v>13</v>
      </c>
      <c r="B35" s="2">
        <v>918</v>
      </c>
      <c r="C35" s="3" t="s">
        <v>44</v>
      </c>
      <c r="D35" s="4">
        <v>0</v>
      </c>
      <c r="E35" s="4">
        <v>6</v>
      </c>
      <c r="F35" s="33">
        <f t="shared" si="0"/>
        <v>135928</v>
      </c>
      <c r="G35" s="1">
        <f t="shared" si="1"/>
        <v>135928</v>
      </c>
      <c r="H35" s="1">
        <f t="shared" si="2"/>
        <v>0</v>
      </c>
      <c r="I35" s="1">
        <f t="shared" si="3"/>
        <v>135928</v>
      </c>
      <c r="J35" s="1">
        <f t="shared" si="4"/>
        <v>0</v>
      </c>
      <c r="K35" s="1"/>
      <c r="L35" s="2">
        <v>621</v>
      </c>
      <c r="M35">
        <v>0</v>
      </c>
    </row>
    <row r="36" spans="1:13" x14ac:dyDescent="0.25">
      <c r="A36" s="3" t="s">
        <v>13</v>
      </c>
      <c r="B36" s="2">
        <v>914</v>
      </c>
      <c r="C36" s="3" t="s">
        <v>3</v>
      </c>
      <c r="D36" s="4">
        <v>0</v>
      </c>
      <c r="E36" s="4">
        <v>9</v>
      </c>
      <c r="F36" s="33">
        <f t="shared" si="0"/>
        <v>204421</v>
      </c>
      <c r="G36" s="1">
        <f t="shared" si="1"/>
        <v>204421</v>
      </c>
      <c r="H36" s="1">
        <f t="shared" si="2"/>
        <v>0</v>
      </c>
      <c r="I36" s="1">
        <f t="shared" si="3"/>
        <v>204421</v>
      </c>
      <c r="J36" s="1">
        <f t="shared" si="4"/>
        <v>0</v>
      </c>
      <c r="K36" s="1"/>
      <c r="L36" s="2">
        <v>657</v>
      </c>
      <c r="M36">
        <v>181402</v>
      </c>
    </row>
    <row r="37" spans="1:13" x14ac:dyDescent="0.25">
      <c r="A37" s="3" t="s">
        <v>13</v>
      </c>
      <c r="B37" s="2">
        <v>977</v>
      </c>
      <c r="C37" s="3" t="s">
        <v>45</v>
      </c>
      <c r="D37" s="4">
        <v>0</v>
      </c>
      <c r="E37" s="4">
        <v>10</v>
      </c>
      <c r="F37" s="33">
        <f t="shared" si="0"/>
        <v>251620</v>
      </c>
      <c r="G37" s="1">
        <f t="shared" si="1"/>
        <v>251620</v>
      </c>
      <c r="H37" s="1">
        <f t="shared" si="2"/>
        <v>0</v>
      </c>
      <c r="I37" s="1">
        <f t="shared" si="3"/>
        <v>251620</v>
      </c>
      <c r="J37" s="1">
        <f t="shared" si="4"/>
        <v>0</v>
      </c>
      <c r="K37" s="1"/>
      <c r="L37" s="2">
        <v>720</v>
      </c>
      <c r="M37">
        <v>295420</v>
      </c>
    </row>
    <row r="38" spans="1:13" x14ac:dyDescent="0.25">
      <c r="A38" s="3" t="s">
        <v>13</v>
      </c>
      <c r="B38" s="2">
        <v>999</v>
      </c>
      <c r="C38" s="3" t="s">
        <v>46</v>
      </c>
      <c r="D38" s="4">
        <v>0</v>
      </c>
      <c r="E38" s="4">
        <v>3</v>
      </c>
      <c r="F38" s="33">
        <f t="shared" si="0"/>
        <v>489182</v>
      </c>
      <c r="G38" s="1">
        <f t="shared" si="1"/>
        <v>489182</v>
      </c>
      <c r="H38" s="1">
        <f t="shared" si="2"/>
        <v>0</v>
      </c>
      <c r="I38" s="1">
        <f t="shared" si="3"/>
        <v>489182</v>
      </c>
      <c r="J38" s="1">
        <f t="shared" si="4"/>
        <v>0</v>
      </c>
      <c r="K38" s="1"/>
      <c r="L38" s="2">
        <v>729</v>
      </c>
      <c r="M38">
        <v>833787</v>
      </c>
    </row>
    <row r="39" spans="1:13" x14ac:dyDescent="0.25">
      <c r="A39" s="3" t="s">
        <v>13</v>
      </c>
      <c r="B39" s="2">
        <v>1053</v>
      </c>
      <c r="C39" s="3" t="s">
        <v>47</v>
      </c>
      <c r="D39" s="4">
        <v>0</v>
      </c>
      <c r="E39" s="4">
        <v>5</v>
      </c>
      <c r="F39" s="33">
        <f t="shared" si="0"/>
        <v>7523491</v>
      </c>
      <c r="G39" s="1">
        <f t="shared" si="1"/>
        <v>7523491</v>
      </c>
      <c r="H39" s="1">
        <f t="shared" si="2"/>
        <v>0</v>
      </c>
      <c r="I39" s="1">
        <f t="shared" si="3"/>
        <v>7523491</v>
      </c>
      <c r="J39" s="1">
        <f t="shared" si="4"/>
        <v>0</v>
      </c>
      <c r="K39" s="1"/>
      <c r="L39" s="2">
        <v>747</v>
      </c>
      <c r="M39">
        <v>216379</v>
      </c>
    </row>
    <row r="40" spans="1:13" x14ac:dyDescent="0.25">
      <c r="A40" s="3" t="s">
        <v>13</v>
      </c>
      <c r="B40" s="2">
        <v>1062</v>
      </c>
      <c r="C40" s="3" t="s">
        <v>48</v>
      </c>
      <c r="D40" s="4">
        <v>0</v>
      </c>
      <c r="E40" s="4">
        <v>7.0000000000000009</v>
      </c>
      <c r="F40" s="33">
        <f t="shared" si="0"/>
        <v>605438</v>
      </c>
      <c r="G40" s="1">
        <f t="shared" si="1"/>
        <v>605438</v>
      </c>
      <c r="H40" s="1">
        <f t="shared" si="2"/>
        <v>0</v>
      </c>
      <c r="I40" s="1">
        <f t="shared" si="3"/>
        <v>605438</v>
      </c>
      <c r="J40" s="1">
        <f t="shared" si="4"/>
        <v>0</v>
      </c>
      <c r="K40" s="1"/>
      <c r="L40" s="2">
        <v>819</v>
      </c>
      <c r="M40">
        <v>324700</v>
      </c>
    </row>
    <row r="41" spans="1:13" x14ac:dyDescent="0.25">
      <c r="A41" s="3" t="s">
        <v>13</v>
      </c>
      <c r="B41" s="2">
        <v>1071</v>
      </c>
      <c r="C41" s="3" t="s">
        <v>49</v>
      </c>
      <c r="D41" s="4">
        <v>2</v>
      </c>
      <c r="E41" s="4">
        <v>1</v>
      </c>
      <c r="F41" s="33">
        <f t="shared" si="0"/>
        <v>158309</v>
      </c>
      <c r="G41" s="1">
        <f t="shared" si="1"/>
        <v>158309</v>
      </c>
      <c r="H41" s="1">
        <f t="shared" si="2"/>
        <v>105539.33</v>
      </c>
      <c r="I41" s="1">
        <f t="shared" si="3"/>
        <v>52769.67</v>
      </c>
      <c r="J41" s="1">
        <f t="shared" si="4"/>
        <v>0</v>
      </c>
      <c r="K41" s="1"/>
      <c r="L41" s="2">
        <v>846</v>
      </c>
      <c r="M41">
        <v>146777</v>
      </c>
    </row>
    <row r="42" spans="1:13" x14ac:dyDescent="0.25">
      <c r="A42" s="3" t="s">
        <v>13</v>
      </c>
      <c r="B42" s="2">
        <v>1080</v>
      </c>
      <c r="C42" s="3" t="s">
        <v>50</v>
      </c>
      <c r="D42" s="4">
        <v>1</v>
      </c>
      <c r="E42" s="4">
        <v>1</v>
      </c>
      <c r="F42" s="33">
        <f t="shared" si="0"/>
        <v>57141</v>
      </c>
      <c r="G42" s="1">
        <f t="shared" si="1"/>
        <v>57141</v>
      </c>
      <c r="H42" s="1">
        <f t="shared" si="2"/>
        <v>28570.5</v>
      </c>
      <c r="I42" s="1">
        <f>G42-H42</f>
        <v>28570.5</v>
      </c>
      <c r="J42" s="1">
        <f t="shared" si="4"/>
        <v>0</v>
      </c>
      <c r="K42" s="1"/>
      <c r="L42" s="2">
        <v>873</v>
      </c>
      <c r="M42">
        <v>208800</v>
      </c>
    </row>
    <row r="43" spans="1:13" x14ac:dyDescent="0.25">
      <c r="A43" s="3" t="s">
        <v>13</v>
      </c>
      <c r="B43" s="2">
        <v>1082</v>
      </c>
      <c r="C43" s="3" t="s">
        <v>51</v>
      </c>
      <c r="D43" s="4">
        <v>0</v>
      </c>
      <c r="E43" s="4">
        <v>7.0000000000000009</v>
      </c>
      <c r="F43" s="33">
        <f t="shared" si="0"/>
        <v>666806</v>
      </c>
      <c r="G43" s="1">
        <f t="shared" si="1"/>
        <v>666806</v>
      </c>
      <c r="H43" s="1">
        <f t="shared" si="2"/>
        <v>0</v>
      </c>
      <c r="I43" s="1">
        <f>G43-H43</f>
        <v>666806</v>
      </c>
      <c r="J43" s="1">
        <f t="shared" si="4"/>
        <v>0</v>
      </c>
      <c r="K43" s="1"/>
      <c r="L43" s="2">
        <v>882</v>
      </c>
      <c r="M43">
        <v>0</v>
      </c>
    </row>
    <row r="44" spans="1:13" x14ac:dyDescent="0.25">
      <c r="A44" s="3" t="s">
        <v>13</v>
      </c>
      <c r="B44" s="2">
        <v>1093</v>
      </c>
      <c r="C44" s="3" t="s">
        <v>52</v>
      </c>
      <c r="D44" s="4">
        <v>0</v>
      </c>
      <c r="E44" s="4">
        <v>12</v>
      </c>
      <c r="F44" s="33">
        <f t="shared" si="0"/>
        <v>250872</v>
      </c>
      <c r="G44" s="1">
        <f t="shared" si="1"/>
        <v>250872</v>
      </c>
      <c r="H44" s="1">
        <f t="shared" si="2"/>
        <v>0</v>
      </c>
      <c r="I44" s="1">
        <f t="shared" ref="I44:I107" si="5">G44-H44</f>
        <v>250872</v>
      </c>
      <c r="J44" s="1">
        <f t="shared" si="4"/>
        <v>0</v>
      </c>
      <c r="K44" s="1"/>
      <c r="L44" s="2">
        <v>914</v>
      </c>
      <c r="M44">
        <v>204421</v>
      </c>
    </row>
    <row r="45" spans="1:13" x14ac:dyDescent="0.25">
      <c r="A45" s="3" t="s">
        <v>13</v>
      </c>
      <c r="B45" s="2">
        <v>1079</v>
      </c>
      <c r="C45" s="3" t="s">
        <v>53</v>
      </c>
      <c r="D45" s="4">
        <v>0</v>
      </c>
      <c r="E45" s="4">
        <v>3</v>
      </c>
      <c r="F45" s="33">
        <f t="shared" si="0"/>
        <v>126335</v>
      </c>
      <c r="G45" s="1">
        <f t="shared" si="1"/>
        <v>126335</v>
      </c>
      <c r="H45" s="1">
        <f t="shared" si="2"/>
        <v>0</v>
      </c>
      <c r="I45" s="1">
        <f t="shared" si="5"/>
        <v>126335</v>
      </c>
      <c r="J45" s="1">
        <f t="shared" si="4"/>
        <v>0</v>
      </c>
      <c r="K45" s="1"/>
      <c r="L45" s="2">
        <v>916</v>
      </c>
      <c r="M45">
        <v>180381</v>
      </c>
    </row>
    <row r="46" spans="1:13" x14ac:dyDescent="0.25">
      <c r="A46" s="3" t="s">
        <v>13</v>
      </c>
      <c r="B46" s="2">
        <v>1095</v>
      </c>
      <c r="C46" s="3" t="s">
        <v>54</v>
      </c>
      <c r="D46" s="4">
        <v>0</v>
      </c>
      <c r="E46" s="4">
        <v>7.0000000000000009</v>
      </c>
      <c r="F46" s="33">
        <f t="shared" si="0"/>
        <v>297335</v>
      </c>
      <c r="G46" s="1">
        <f t="shared" si="1"/>
        <v>297335</v>
      </c>
      <c r="H46" s="1">
        <f t="shared" si="2"/>
        <v>0</v>
      </c>
      <c r="I46" s="1">
        <f t="shared" si="5"/>
        <v>297335</v>
      </c>
      <c r="J46" s="1">
        <f t="shared" si="4"/>
        <v>0</v>
      </c>
      <c r="K46" s="1"/>
      <c r="L46" s="2">
        <v>918</v>
      </c>
      <c r="M46">
        <v>135928</v>
      </c>
    </row>
    <row r="47" spans="1:13" x14ac:dyDescent="0.25">
      <c r="A47" s="3" t="s">
        <v>13</v>
      </c>
      <c r="B47" s="2">
        <v>4772</v>
      </c>
      <c r="C47" s="3" t="s">
        <v>55</v>
      </c>
      <c r="D47" s="4">
        <v>0</v>
      </c>
      <c r="E47" s="4">
        <v>7.0000000000000009</v>
      </c>
      <c r="F47" s="33">
        <f t="shared" si="0"/>
        <v>333354</v>
      </c>
      <c r="G47" s="1">
        <f t="shared" si="1"/>
        <v>333354</v>
      </c>
      <c r="H47" s="1">
        <f t="shared" si="2"/>
        <v>0</v>
      </c>
      <c r="I47" s="1">
        <f t="shared" si="5"/>
        <v>333354</v>
      </c>
      <c r="J47" s="1">
        <f t="shared" si="4"/>
        <v>0</v>
      </c>
      <c r="K47" s="1"/>
      <c r="L47" s="2">
        <v>936</v>
      </c>
      <c r="M47">
        <v>0</v>
      </c>
    </row>
    <row r="48" spans="1:13" x14ac:dyDescent="0.25">
      <c r="A48" s="3" t="s">
        <v>13</v>
      </c>
      <c r="B48" s="2">
        <v>1107</v>
      </c>
      <c r="C48" s="3" t="s">
        <v>56</v>
      </c>
      <c r="D48" s="4">
        <v>1</v>
      </c>
      <c r="E48" s="4">
        <v>2</v>
      </c>
      <c r="F48" s="33">
        <f t="shared" si="0"/>
        <v>177518</v>
      </c>
      <c r="G48" s="1">
        <f t="shared" si="1"/>
        <v>177518</v>
      </c>
      <c r="H48" s="1">
        <f t="shared" si="2"/>
        <v>59172.67</v>
      </c>
      <c r="I48" s="1">
        <f>G48-H48</f>
        <v>118345.33</v>
      </c>
      <c r="J48" s="1">
        <f t="shared" si="4"/>
        <v>0</v>
      </c>
      <c r="K48" s="1"/>
      <c r="L48" s="2">
        <v>977</v>
      </c>
      <c r="M48">
        <v>251620</v>
      </c>
    </row>
    <row r="49" spans="1:13" x14ac:dyDescent="0.25">
      <c r="A49" s="3" t="s">
        <v>13</v>
      </c>
      <c r="B49" s="2">
        <v>1116</v>
      </c>
      <c r="C49" s="3" t="s">
        <v>57</v>
      </c>
      <c r="D49" s="4">
        <v>1</v>
      </c>
      <c r="E49" s="4">
        <v>6</v>
      </c>
      <c r="F49" s="33">
        <f t="shared" si="0"/>
        <v>628576</v>
      </c>
      <c r="G49" s="1">
        <f t="shared" si="1"/>
        <v>628576</v>
      </c>
      <c r="H49" s="1">
        <f t="shared" si="2"/>
        <v>89796.57</v>
      </c>
      <c r="I49" s="1">
        <f t="shared" si="5"/>
        <v>538779.42999999993</v>
      </c>
      <c r="J49" s="1">
        <f t="shared" si="4"/>
        <v>0</v>
      </c>
      <c r="K49" s="1"/>
      <c r="L49" s="2">
        <v>981</v>
      </c>
      <c r="M49">
        <v>0</v>
      </c>
    </row>
    <row r="50" spans="1:13" x14ac:dyDescent="0.25">
      <c r="A50" s="3" t="s">
        <v>13</v>
      </c>
      <c r="B50" s="2">
        <v>1134</v>
      </c>
      <c r="C50" s="3" t="s">
        <v>58</v>
      </c>
      <c r="D50" s="4">
        <v>5</v>
      </c>
      <c r="E50" s="4">
        <v>5</v>
      </c>
      <c r="F50" s="33">
        <f t="shared" si="0"/>
        <v>149572</v>
      </c>
      <c r="G50" s="1">
        <f t="shared" si="1"/>
        <v>149572</v>
      </c>
      <c r="H50" s="1">
        <f t="shared" si="2"/>
        <v>74786</v>
      </c>
      <c r="I50" s="1">
        <f t="shared" si="5"/>
        <v>74786</v>
      </c>
      <c r="J50" s="1">
        <f t="shared" si="4"/>
        <v>0</v>
      </c>
      <c r="K50" s="1"/>
      <c r="L50" s="2">
        <v>999</v>
      </c>
      <c r="M50">
        <v>489182</v>
      </c>
    </row>
    <row r="51" spans="1:13" x14ac:dyDescent="0.25">
      <c r="A51" s="3" t="s">
        <v>13</v>
      </c>
      <c r="B51" s="2">
        <v>1152</v>
      </c>
      <c r="C51" s="3" t="s">
        <v>59</v>
      </c>
      <c r="D51" s="4">
        <v>0</v>
      </c>
      <c r="E51" s="4">
        <v>5</v>
      </c>
      <c r="F51" s="33">
        <f t="shared" si="0"/>
        <v>277261</v>
      </c>
      <c r="G51" s="1">
        <f t="shared" si="1"/>
        <v>277261</v>
      </c>
      <c r="H51" s="1">
        <f t="shared" si="2"/>
        <v>0</v>
      </c>
      <c r="I51" s="1">
        <f t="shared" si="5"/>
        <v>277261</v>
      </c>
      <c r="J51" s="1">
        <f t="shared" si="4"/>
        <v>0</v>
      </c>
      <c r="K51" s="1"/>
      <c r="L51" s="2">
        <v>1044</v>
      </c>
      <c r="M51">
        <v>0</v>
      </c>
    </row>
    <row r="52" spans="1:13" x14ac:dyDescent="0.25">
      <c r="A52" s="3" t="s">
        <v>13</v>
      </c>
      <c r="B52" s="2">
        <v>1197</v>
      </c>
      <c r="C52" s="3" t="s">
        <v>60</v>
      </c>
      <c r="D52" s="4">
        <v>0</v>
      </c>
      <c r="E52" s="4">
        <v>4</v>
      </c>
      <c r="F52" s="33">
        <f t="shared" si="0"/>
        <v>190690</v>
      </c>
      <c r="G52" s="1">
        <f t="shared" si="1"/>
        <v>190690</v>
      </c>
      <c r="H52" s="1">
        <f t="shared" si="2"/>
        <v>0</v>
      </c>
      <c r="I52" s="1">
        <f>G52-H52</f>
        <v>190690</v>
      </c>
      <c r="J52" s="1">
        <f t="shared" si="4"/>
        <v>0</v>
      </c>
      <c r="K52" s="1"/>
      <c r="L52" s="2">
        <v>1053</v>
      </c>
      <c r="M52">
        <v>7523491</v>
      </c>
    </row>
    <row r="53" spans="1:13" x14ac:dyDescent="0.25">
      <c r="A53" s="3" t="s">
        <v>13</v>
      </c>
      <c r="B53" s="2">
        <v>1211</v>
      </c>
      <c r="C53" s="3" t="s">
        <v>61</v>
      </c>
      <c r="D53" s="4">
        <v>5</v>
      </c>
      <c r="E53" s="4">
        <v>0</v>
      </c>
      <c r="F53" s="33">
        <f t="shared" si="0"/>
        <v>275178</v>
      </c>
      <c r="G53" s="1">
        <f t="shared" si="1"/>
        <v>275178</v>
      </c>
      <c r="H53" s="1">
        <f t="shared" si="2"/>
        <v>275178</v>
      </c>
      <c r="I53" s="1">
        <f t="shared" si="5"/>
        <v>0</v>
      </c>
      <c r="J53" s="1">
        <f t="shared" si="4"/>
        <v>0</v>
      </c>
      <c r="K53" s="1"/>
      <c r="L53" s="2">
        <v>1062</v>
      </c>
      <c r="M53">
        <v>605438</v>
      </c>
    </row>
    <row r="54" spans="1:13" x14ac:dyDescent="0.25">
      <c r="A54" s="3" t="s">
        <v>13</v>
      </c>
      <c r="B54" s="2">
        <v>1215</v>
      </c>
      <c r="C54" s="3" t="s">
        <v>62</v>
      </c>
      <c r="D54" s="4">
        <v>3</v>
      </c>
      <c r="E54" s="4">
        <v>6</v>
      </c>
      <c r="F54" s="33">
        <f t="shared" si="0"/>
        <v>145804</v>
      </c>
      <c r="G54" s="1">
        <f t="shared" si="1"/>
        <v>145804</v>
      </c>
      <c r="H54" s="1">
        <f t="shared" si="2"/>
        <v>48601.33</v>
      </c>
      <c r="I54" s="1">
        <f t="shared" si="5"/>
        <v>97202.67</v>
      </c>
      <c r="J54" s="1">
        <f t="shared" si="4"/>
        <v>0</v>
      </c>
      <c r="K54" s="1"/>
      <c r="L54" s="2">
        <v>1071</v>
      </c>
      <c r="M54">
        <v>158309</v>
      </c>
    </row>
    <row r="55" spans="1:13" x14ac:dyDescent="0.25">
      <c r="A55" s="3" t="s">
        <v>13</v>
      </c>
      <c r="B55" s="2">
        <v>1218</v>
      </c>
      <c r="C55" s="3" t="s">
        <v>63</v>
      </c>
      <c r="D55" s="4">
        <v>0</v>
      </c>
      <c r="E55" s="4">
        <v>1</v>
      </c>
      <c r="F55" s="33">
        <f t="shared" si="0"/>
        <v>22453</v>
      </c>
      <c r="G55" s="1">
        <f t="shared" si="1"/>
        <v>22453</v>
      </c>
      <c r="H55" s="1">
        <f t="shared" si="2"/>
        <v>0</v>
      </c>
      <c r="I55" s="1">
        <f t="shared" si="5"/>
        <v>22453</v>
      </c>
      <c r="J55" s="1">
        <f t="shared" si="4"/>
        <v>0</v>
      </c>
      <c r="K55" s="1"/>
      <c r="L55" s="2">
        <v>1079</v>
      </c>
      <c r="M55">
        <v>126335</v>
      </c>
    </row>
    <row r="56" spans="1:13" x14ac:dyDescent="0.25">
      <c r="A56" s="3" t="s">
        <v>13</v>
      </c>
      <c r="B56" s="2">
        <v>1221</v>
      </c>
      <c r="C56" s="3" t="s">
        <v>64</v>
      </c>
      <c r="D56" s="4">
        <v>6</v>
      </c>
      <c r="E56" s="4">
        <v>7.0000000000000009</v>
      </c>
      <c r="F56" s="33">
        <f t="shared" si="0"/>
        <v>1888713</v>
      </c>
      <c r="G56" s="1">
        <f t="shared" si="1"/>
        <v>1888713</v>
      </c>
      <c r="H56" s="1">
        <f t="shared" si="2"/>
        <v>871713.69</v>
      </c>
      <c r="I56" s="1">
        <f t="shared" si="5"/>
        <v>1016999.31</v>
      </c>
      <c r="J56" s="1">
        <f t="shared" si="4"/>
        <v>0</v>
      </c>
      <c r="K56" s="1"/>
      <c r="L56" s="2">
        <v>1080</v>
      </c>
      <c r="M56">
        <v>57141</v>
      </c>
    </row>
    <row r="57" spans="1:13" x14ac:dyDescent="0.25">
      <c r="A57" s="3" t="s">
        <v>13</v>
      </c>
      <c r="B57" s="2">
        <v>1233</v>
      </c>
      <c r="C57" s="3" t="s">
        <v>65</v>
      </c>
      <c r="D57" s="4">
        <v>0</v>
      </c>
      <c r="E57" s="4">
        <v>5</v>
      </c>
      <c r="F57" s="33">
        <f t="shared" si="0"/>
        <v>564572</v>
      </c>
      <c r="G57" s="1">
        <f t="shared" si="1"/>
        <v>564572</v>
      </c>
      <c r="H57" s="1">
        <f t="shared" si="2"/>
        <v>0</v>
      </c>
      <c r="I57" s="1">
        <f t="shared" si="5"/>
        <v>564572</v>
      </c>
      <c r="J57" s="1">
        <f t="shared" si="4"/>
        <v>0</v>
      </c>
      <c r="K57" s="1"/>
      <c r="L57" s="2">
        <v>1082</v>
      </c>
      <c r="M57">
        <v>666806</v>
      </c>
    </row>
    <row r="58" spans="1:13" x14ac:dyDescent="0.25">
      <c r="A58" s="3" t="s">
        <v>13</v>
      </c>
      <c r="B58" s="2">
        <v>1278</v>
      </c>
      <c r="C58" s="3" t="s">
        <v>66</v>
      </c>
      <c r="D58" s="4">
        <v>0</v>
      </c>
      <c r="E58" s="4">
        <v>8</v>
      </c>
      <c r="F58" s="33">
        <f t="shared" si="0"/>
        <v>1511562</v>
      </c>
      <c r="G58" s="1">
        <f t="shared" si="1"/>
        <v>1511562</v>
      </c>
      <c r="H58" s="1">
        <f t="shared" si="2"/>
        <v>0</v>
      </c>
      <c r="I58" s="1">
        <f t="shared" si="5"/>
        <v>1511562</v>
      </c>
      <c r="J58" s="1">
        <f t="shared" si="4"/>
        <v>0</v>
      </c>
      <c r="K58" s="1"/>
      <c r="L58" s="2">
        <v>1089</v>
      </c>
      <c r="M58">
        <v>0</v>
      </c>
    </row>
    <row r="59" spans="1:13" x14ac:dyDescent="0.25">
      <c r="A59" s="3" t="s">
        <v>13</v>
      </c>
      <c r="B59" s="2">
        <v>1332</v>
      </c>
      <c r="C59" s="3" t="s">
        <v>67</v>
      </c>
      <c r="D59" s="4">
        <v>0</v>
      </c>
      <c r="E59" s="4">
        <v>8</v>
      </c>
      <c r="F59" s="33">
        <f t="shared" si="0"/>
        <v>312389</v>
      </c>
      <c r="G59" s="1">
        <f t="shared" si="1"/>
        <v>312389</v>
      </c>
      <c r="H59" s="1">
        <f t="shared" si="2"/>
        <v>0</v>
      </c>
      <c r="I59" s="1">
        <f t="shared" si="5"/>
        <v>312389</v>
      </c>
      <c r="J59" s="1">
        <f t="shared" si="4"/>
        <v>0</v>
      </c>
      <c r="K59" s="1"/>
      <c r="L59" s="2">
        <v>1093</v>
      </c>
      <c r="M59">
        <v>250872</v>
      </c>
    </row>
    <row r="60" spans="1:13" x14ac:dyDescent="0.25">
      <c r="A60" s="3" t="s">
        <v>13</v>
      </c>
      <c r="B60" s="2">
        <v>1350</v>
      </c>
      <c r="C60" s="3" t="s">
        <v>68</v>
      </c>
      <c r="D60" s="4">
        <v>0</v>
      </c>
      <c r="E60" s="4">
        <v>7.0000000000000009</v>
      </c>
      <c r="F60" s="33">
        <f t="shared" si="0"/>
        <v>190471</v>
      </c>
      <c r="G60" s="1">
        <f t="shared" si="1"/>
        <v>190471</v>
      </c>
      <c r="H60" s="1">
        <f t="shared" si="2"/>
        <v>0</v>
      </c>
      <c r="I60" s="1">
        <f t="shared" si="5"/>
        <v>190471</v>
      </c>
      <c r="J60" s="1">
        <f t="shared" si="4"/>
        <v>0</v>
      </c>
      <c r="K60" s="1"/>
      <c r="L60" s="2">
        <v>1095</v>
      </c>
      <c r="M60">
        <v>297335</v>
      </c>
    </row>
    <row r="61" spans="1:13" x14ac:dyDescent="0.25">
      <c r="A61" s="3" t="s">
        <v>13</v>
      </c>
      <c r="B61" s="2">
        <v>1359</v>
      </c>
      <c r="C61" s="3" t="s">
        <v>69</v>
      </c>
      <c r="D61" s="4">
        <v>0</v>
      </c>
      <c r="E61" s="4">
        <v>8</v>
      </c>
      <c r="F61" s="33">
        <f t="shared" si="0"/>
        <v>214086</v>
      </c>
      <c r="G61" s="1">
        <f t="shared" si="1"/>
        <v>214086</v>
      </c>
      <c r="H61" s="1">
        <f t="shared" si="2"/>
        <v>0</v>
      </c>
      <c r="I61" s="1">
        <f t="shared" si="5"/>
        <v>214086</v>
      </c>
      <c r="J61" s="1">
        <f t="shared" si="4"/>
        <v>0</v>
      </c>
      <c r="K61" s="1"/>
      <c r="L61" s="2">
        <v>1107</v>
      </c>
      <c r="M61">
        <v>177518</v>
      </c>
    </row>
    <row r="62" spans="1:13" x14ac:dyDescent="0.25">
      <c r="A62" s="3" t="s">
        <v>13</v>
      </c>
      <c r="B62" s="2">
        <v>1368</v>
      </c>
      <c r="C62" s="3" t="s">
        <v>70</v>
      </c>
      <c r="D62" s="4">
        <v>0</v>
      </c>
      <c r="E62" s="4">
        <v>12</v>
      </c>
      <c r="F62" s="33">
        <f t="shared" si="0"/>
        <v>388953</v>
      </c>
      <c r="G62" s="1">
        <f t="shared" si="1"/>
        <v>388953</v>
      </c>
      <c r="H62" s="1">
        <f t="shared" si="2"/>
        <v>0</v>
      </c>
      <c r="I62" s="1">
        <f t="shared" si="5"/>
        <v>388953</v>
      </c>
      <c r="J62" s="1">
        <f t="shared" si="4"/>
        <v>0</v>
      </c>
      <c r="K62" s="1"/>
      <c r="L62" s="2">
        <v>1116</v>
      </c>
      <c r="M62">
        <v>628576</v>
      </c>
    </row>
    <row r="63" spans="1:13" x14ac:dyDescent="0.25">
      <c r="A63" s="3" t="s">
        <v>13</v>
      </c>
      <c r="B63" s="2">
        <v>1413</v>
      </c>
      <c r="C63" s="3" t="s">
        <v>71</v>
      </c>
      <c r="D63" s="4">
        <v>0</v>
      </c>
      <c r="E63" s="4">
        <v>7.0000000000000009</v>
      </c>
      <c r="F63" s="33">
        <f t="shared" si="0"/>
        <v>132088</v>
      </c>
      <c r="G63" s="1">
        <f t="shared" si="1"/>
        <v>132088</v>
      </c>
      <c r="H63" s="1">
        <f t="shared" si="2"/>
        <v>0</v>
      </c>
      <c r="I63" s="1">
        <f t="shared" si="5"/>
        <v>132088</v>
      </c>
      <c r="J63" s="1">
        <f t="shared" si="4"/>
        <v>0</v>
      </c>
      <c r="K63" s="1"/>
      <c r="L63" s="2">
        <v>1134</v>
      </c>
      <c r="M63">
        <v>149572</v>
      </c>
    </row>
    <row r="64" spans="1:13" x14ac:dyDescent="0.25">
      <c r="A64" s="3" t="s">
        <v>13</v>
      </c>
      <c r="B64" s="2">
        <v>1431</v>
      </c>
      <c r="C64" s="3" t="s">
        <v>72</v>
      </c>
      <c r="D64" s="4">
        <v>0</v>
      </c>
      <c r="E64" s="4">
        <v>7.0000000000000009</v>
      </c>
      <c r="F64" s="33">
        <f t="shared" si="0"/>
        <v>152425</v>
      </c>
      <c r="G64" s="1">
        <f t="shared" si="1"/>
        <v>152425</v>
      </c>
      <c r="H64" s="1">
        <f t="shared" si="2"/>
        <v>0</v>
      </c>
      <c r="I64" s="1">
        <f t="shared" si="5"/>
        <v>152425</v>
      </c>
      <c r="J64" s="1">
        <f t="shared" si="4"/>
        <v>0</v>
      </c>
      <c r="K64" s="1"/>
      <c r="L64" s="2">
        <v>1152</v>
      </c>
      <c r="M64">
        <v>277261</v>
      </c>
    </row>
    <row r="65" spans="1:13" x14ac:dyDescent="0.25">
      <c r="A65" s="3" t="s">
        <v>13</v>
      </c>
      <c r="B65" s="2">
        <v>1503</v>
      </c>
      <c r="C65" s="3" t="s">
        <v>73</v>
      </c>
      <c r="D65" s="4">
        <v>2</v>
      </c>
      <c r="E65" s="4">
        <v>0</v>
      </c>
      <c r="F65" s="33">
        <f t="shared" si="0"/>
        <v>146166</v>
      </c>
      <c r="G65" s="1">
        <f t="shared" si="1"/>
        <v>146166</v>
      </c>
      <c r="H65" s="1">
        <f t="shared" si="2"/>
        <v>146166</v>
      </c>
      <c r="I65" s="1">
        <f t="shared" si="5"/>
        <v>0</v>
      </c>
      <c r="J65" s="1">
        <f t="shared" si="4"/>
        <v>0</v>
      </c>
      <c r="K65" s="1"/>
      <c r="L65" s="2">
        <v>1197</v>
      </c>
      <c r="M65">
        <v>190690</v>
      </c>
    </row>
    <row r="66" spans="1:13" x14ac:dyDescent="0.25">
      <c r="A66" s="3" t="s">
        <v>13</v>
      </c>
      <c r="B66" s="2">
        <v>1602</v>
      </c>
      <c r="C66" s="3" t="s">
        <v>74</v>
      </c>
      <c r="D66" s="4">
        <v>0</v>
      </c>
      <c r="E66" s="4">
        <v>8</v>
      </c>
      <c r="F66" s="33">
        <f t="shared" si="0"/>
        <v>228938</v>
      </c>
      <c r="G66" s="1">
        <f t="shared" si="1"/>
        <v>228938</v>
      </c>
      <c r="H66" s="1">
        <f t="shared" si="2"/>
        <v>0</v>
      </c>
      <c r="I66" s="1">
        <f t="shared" si="5"/>
        <v>228938</v>
      </c>
      <c r="J66" s="1">
        <f t="shared" si="4"/>
        <v>0</v>
      </c>
      <c r="K66" s="1"/>
      <c r="L66" s="2">
        <v>1206</v>
      </c>
      <c r="M66">
        <v>0</v>
      </c>
    </row>
    <row r="67" spans="1:13" x14ac:dyDescent="0.25">
      <c r="A67" s="3" t="s">
        <v>13</v>
      </c>
      <c r="B67" s="2">
        <v>1619</v>
      </c>
      <c r="C67" s="3" t="s">
        <v>75</v>
      </c>
      <c r="D67" s="4">
        <v>0</v>
      </c>
      <c r="E67" s="4">
        <v>1</v>
      </c>
      <c r="F67" s="33">
        <f t="shared" ref="F67:F130" si="6">INDEX($L$2:$M$336,MATCH(B67,$L$2:$L$336,0),2)</f>
        <v>55258</v>
      </c>
      <c r="G67" s="1">
        <f t="shared" ref="G67:G130" si="7">F67</f>
        <v>55258</v>
      </c>
      <c r="H67" s="1">
        <f t="shared" ref="H67:H130" si="8">ROUND((D67/(D67+E67))*$G67,2)</f>
        <v>0</v>
      </c>
      <c r="I67" s="1">
        <f t="shared" si="5"/>
        <v>55258</v>
      </c>
      <c r="J67" s="1">
        <f t="shared" ref="J67:J130" si="9">H67+I67-G67</f>
        <v>0</v>
      </c>
      <c r="K67" s="1"/>
      <c r="L67" s="2">
        <v>1211</v>
      </c>
      <c r="M67">
        <v>275178</v>
      </c>
    </row>
    <row r="68" spans="1:13" x14ac:dyDescent="0.25">
      <c r="A68" s="3" t="s">
        <v>13</v>
      </c>
      <c r="B68" s="2">
        <v>1638</v>
      </c>
      <c r="C68" s="3" t="s">
        <v>76</v>
      </c>
      <c r="D68" s="4">
        <v>0</v>
      </c>
      <c r="E68" s="4">
        <v>6</v>
      </c>
      <c r="F68" s="33">
        <f t="shared" si="6"/>
        <v>645008</v>
      </c>
      <c r="G68" s="1">
        <f t="shared" si="7"/>
        <v>645008</v>
      </c>
      <c r="H68" s="1">
        <f t="shared" si="8"/>
        <v>0</v>
      </c>
      <c r="I68" s="1">
        <f t="shared" si="5"/>
        <v>645008</v>
      </c>
      <c r="J68" s="1">
        <f t="shared" si="9"/>
        <v>0</v>
      </c>
      <c r="K68" s="1"/>
      <c r="L68" s="2">
        <v>1215</v>
      </c>
      <c r="M68">
        <v>145804</v>
      </c>
    </row>
    <row r="69" spans="1:13" x14ac:dyDescent="0.25">
      <c r="A69" s="3" t="s">
        <v>13</v>
      </c>
      <c r="B69" s="2">
        <v>1675</v>
      </c>
      <c r="C69" s="3" t="s">
        <v>77</v>
      </c>
      <c r="D69" s="4">
        <v>0</v>
      </c>
      <c r="E69" s="4">
        <v>10</v>
      </c>
      <c r="F69" s="33">
        <f t="shared" si="6"/>
        <v>96565</v>
      </c>
      <c r="G69" s="1">
        <f t="shared" si="7"/>
        <v>96565</v>
      </c>
      <c r="H69" s="1">
        <f t="shared" si="8"/>
        <v>0</v>
      </c>
      <c r="I69" s="1">
        <f t="shared" si="5"/>
        <v>96565</v>
      </c>
      <c r="J69" s="1">
        <f t="shared" si="9"/>
        <v>0</v>
      </c>
      <c r="K69" s="1"/>
      <c r="L69" s="2">
        <v>1218</v>
      </c>
      <c r="M69">
        <v>22453</v>
      </c>
    </row>
    <row r="70" spans="1:13" x14ac:dyDescent="0.25">
      <c r="A70" s="3" t="s">
        <v>13</v>
      </c>
      <c r="B70" s="2">
        <v>1701</v>
      </c>
      <c r="C70" s="3" t="s">
        <v>78</v>
      </c>
      <c r="D70" s="4">
        <v>0</v>
      </c>
      <c r="E70" s="4">
        <v>8</v>
      </c>
      <c r="F70" s="33">
        <f t="shared" si="6"/>
        <v>679466</v>
      </c>
      <c r="G70" s="1">
        <f t="shared" si="7"/>
        <v>679466</v>
      </c>
      <c r="H70" s="1">
        <f t="shared" si="8"/>
        <v>0</v>
      </c>
      <c r="I70" s="1">
        <f t="shared" si="5"/>
        <v>679466</v>
      </c>
      <c r="J70" s="1">
        <f t="shared" si="9"/>
        <v>0</v>
      </c>
      <c r="K70" s="1"/>
      <c r="L70" s="2">
        <v>1221</v>
      </c>
      <c r="M70">
        <v>1888713</v>
      </c>
    </row>
    <row r="71" spans="1:13" x14ac:dyDescent="0.25">
      <c r="A71" s="3" t="s">
        <v>13</v>
      </c>
      <c r="B71" s="2">
        <v>1719</v>
      </c>
      <c r="C71" s="3" t="s">
        <v>79</v>
      </c>
      <c r="D71" s="4">
        <v>0</v>
      </c>
      <c r="E71" s="4">
        <v>6</v>
      </c>
      <c r="F71" s="33">
        <f t="shared" si="6"/>
        <v>329817</v>
      </c>
      <c r="G71" s="1">
        <f t="shared" si="7"/>
        <v>329817</v>
      </c>
      <c r="H71" s="1">
        <f t="shared" si="8"/>
        <v>0</v>
      </c>
      <c r="I71" s="1">
        <f t="shared" si="5"/>
        <v>329817</v>
      </c>
      <c r="J71" s="1">
        <f t="shared" si="9"/>
        <v>0</v>
      </c>
      <c r="K71" s="1"/>
      <c r="L71" s="2">
        <v>1233</v>
      </c>
      <c r="M71">
        <v>564572</v>
      </c>
    </row>
    <row r="72" spans="1:13" x14ac:dyDescent="0.25">
      <c r="A72" s="3" t="s">
        <v>13</v>
      </c>
      <c r="B72" s="2">
        <v>1782</v>
      </c>
      <c r="C72" s="3" t="s">
        <v>80</v>
      </c>
      <c r="D72" s="4">
        <v>0</v>
      </c>
      <c r="E72" s="4">
        <v>9</v>
      </c>
      <c r="F72" s="33">
        <f t="shared" si="6"/>
        <v>37243</v>
      </c>
      <c r="G72" s="1">
        <f t="shared" si="7"/>
        <v>37243</v>
      </c>
      <c r="H72" s="1">
        <f t="shared" si="8"/>
        <v>0</v>
      </c>
      <c r="I72" s="1">
        <f t="shared" si="5"/>
        <v>37243</v>
      </c>
      <c r="J72" s="1">
        <f t="shared" si="9"/>
        <v>0</v>
      </c>
      <c r="K72" s="1"/>
      <c r="L72" s="2">
        <v>1278</v>
      </c>
      <c r="M72">
        <v>1511562</v>
      </c>
    </row>
    <row r="73" spans="1:13" x14ac:dyDescent="0.25">
      <c r="A73" s="3" t="s">
        <v>13</v>
      </c>
      <c r="B73" s="2">
        <v>1791</v>
      </c>
      <c r="C73" s="3" t="s">
        <v>81</v>
      </c>
      <c r="D73" s="4">
        <v>0</v>
      </c>
      <c r="E73" s="4">
        <v>8</v>
      </c>
      <c r="F73" s="33">
        <f t="shared" si="6"/>
        <v>394110</v>
      </c>
      <c r="G73" s="1">
        <f t="shared" si="7"/>
        <v>394110</v>
      </c>
      <c r="H73" s="1">
        <f t="shared" si="8"/>
        <v>0</v>
      </c>
      <c r="I73" s="1">
        <f t="shared" si="5"/>
        <v>394110</v>
      </c>
      <c r="J73" s="1">
        <f t="shared" si="9"/>
        <v>0</v>
      </c>
      <c r="K73" s="1"/>
      <c r="L73" s="2">
        <v>1332</v>
      </c>
      <c r="M73">
        <v>312389</v>
      </c>
    </row>
    <row r="74" spans="1:13" x14ac:dyDescent="0.25">
      <c r="A74" s="3" t="s">
        <v>13</v>
      </c>
      <c r="B74" s="2">
        <v>1908</v>
      </c>
      <c r="C74" s="3" t="s">
        <v>82</v>
      </c>
      <c r="D74" s="4">
        <v>0</v>
      </c>
      <c r="E74" s="4">
        <v>10</v>
      </c>
      <c r="F74" s="33">
        <f t="shared" si="6"/>
        <v>228991</v>
      </c>
      <c r="G74" s="1">
        <f t="shared" si="7"/>
        <v>228991</v>
      </c>
      <c r="H74" s="1">
        <f t="shared" si="8"/>
        <v>0</v>
      </c>
      <c r="I74" s="1">
        <f t="shared" si="5"/>
        <v>228991</v>
      </c>
      <c r="J74" s="1">
        <f t="shared" si="9"/>
        <v>0</v>
      </c>
      <c r="K74" s="1"/>
      <c r="L74" s="2">
        <v>1337</v>
      </c>
      <c r="M74">
        <v>0</v>
      </c>
    </row>
    <row r="75" spans="1:13" x14ac:dyDescent="0.25">
      <c r="A75" s="3" t="s">
        <v>13</v>
      </c>
      <c r="B75" s="2">
        <v>1926</v>
      </c>
      <c r="C75" s="3" t="s">
        <v>83</v>
      </c>
      <c r="D75" s="4">
        <v>4</v>
      </c>
      <c r="E75" s="4">
        <v>0</v>
      </c>
      <c r="F75" s="33">
        <f t="shared" si="6"/>
        <v>125087</v>
      </c>
      <c r="G75" s="1">
        <f t="shared" si="7"/>
        <v>125087</v>
      </c>
      <c r="H75" s="1">
        <f t="shared" si="8"/>
        <v>125087</v>
      </c>
      <c r="I75" s="1">
        <f t="shared" si="5"/>
        <v>0</v>
      </c>
      <c r="J75" s="1">
        <f t="shared" si="9"/>
        <v>0</v>
      </c>
      <c r="K75" s="1"/>
      <c r="L75" s="2">
        <v>1350</v>
      </c>
      <c r="M75">
        <v>190471</v>
      </c>
    </row>
    <row r="76" spans="1:13" x14ac:dyDescent="0.25">
      <c r="A76" s="3" t="s">
        <v>13</v>
      </c>
      <c r="B76" s="2">
        <v>1944</v>
      </c>
      <c r="C76" s="3" t="s">
        <v>84</v>
      </c>
      <c r="D76" s="4">
        <v>0</v>
      </c>
      <c r="E76" s="4">
        <v>7.0000000000000009</v>
      </c>
      <c r="F76" s="33">
        <f t="shared" si="6"/>
        <v>241124</v>
      </c>
      <c r="G76" s="1">
        <f t="shared" si="7"/>
        <v>241124</v>
      </c>
      <c r="H76" s="1">
        <f t="shared" si="8"/>
        <v>0</v>
      </c>
      <c r="I76" s="1">
        <f t="shared" si="5"/>
        <v>241124</v>
      </c>
      <c r="J76" s="1">
        <f t="shared" si="9"/>
        <v>0</v>
      </c>
      <c r="K76" s="1"/>
      <c r="L76" s="2">
        <v>1359</v>
      </c>
      <c r="M76">
        <v>214086</v>
      </c>
    </row>
    <row r="77" spans="1:13" x14ac:dyDescent="0.25">
      <c r="A77" s="3" t="s">
        <v>13</v>
      </c>
      <c r="B77" s="2">
        <v>1963</v>
      </c>
      <c r="C77" s="3" t="s">
        <v>85</v>
      </c>
      <c r="D77" s="4">
        <v>0</v>
      </c>
      <c r="E77" s="4">
        <v>1</v>
      </c>
      <c r="F77" s="33">
        <f t="shared" si="6"/>
        <v>27899</v>
      </c>
      <c r="G77" s="1">
        <f t="shared" si="7"/>
        <v>27899</v>
      </c>
      <c r="H77" s="1">
        <f t="shared" si="8"/>
        <v>0</v>
      </c>
      <c r="I77" s="1">
        <f t="shared" si="5"/>
        <v>27899</v>
      </c>
      <c r="J77" s="1">
        <f t="shared" si="9"/>
        <v>0</v>
      </c>
      <c r="K77" s="1"/>
      <c r="L77" s="2">
        <v>1368</v>
      </c>
      <c r="M77">
        <v>388953</v>
      </c>
    </row>
    <row r="78" spans="1:13" x14ac:dyDescent="0.25">
      <c r="A78" s="3" t="s">
        <v>13</v>
      </c>
      <c r="B78" s="2">
        <v>3582</v>
      </c>
      <c r="C78" s="3" t="s">
        <v>86</v>
      </c>
      <c r="D78" s="4">
        <v>0</v>
      </c>
      <c r="E78" s="4">
        <v>10</v>
      </c>
      <c r="F78" s="33">
        <f t="shared" si="6"/>
        <v>293389</v>
      </c>
      <c r="G78" s="1">
        <f t="shared" si="7"/>
        <v>293389</v>
      </c>
      <c r="H78" s="1">
        <f t="shared" si="8"/>
        <v>0</v>
      </c>
      <c r="I78" s="1">
        <f t="shared" si="5"/>
        <v>293389</v>
      </c>
      <c r="J78" s="1">
        <f t="shared" si="9"/>
        <v>0</v>
      </c>
      <c r="K78" s="1"/>
      <c r="L78" s="2">
        <v>1413</v>
      </c>
      <c r="M78">
        <v>132088</v>
      </c>
    </row>
    <row r="79" spans="1:13" x14ac:dyDescent="0.25">
      <c r="A79" s="3" t="s">
        <v>13</v>
      </c>
      <c r="B79" s="2">
        <v>3978</v>
      </c>
      <c r="C79" s="3" t="s">
        <v>87</v>
      </c>
      <c r="D79" s="4">
        <v>1</v>
      </c>
      <c r="E79" s="4">
        <v>10</v>
      </c>
      <c r="F79" s="33">
        <f t="shared" si="6"/>
        <v>249602</v>
      </c>
      <c r="G79" s="1">
        <f t="shared" si="7"/>
        <v>249602</v>
      </c>
      <c r="H79" s="1">
        <f t="shared" si="8"/>
        <v>22691.09</v>
      </c>
      <c r="I79" s="1">
        <f t="shared" si="5"/>
        <v>226910.91</v>
      </c>
      <c r="J79" s="1">
        <f t="shared" si="9"/>
        <v>0</v>
      </c>
      <c r="K79" s="1"/>
      <c r="L79" s="2">
        <v>1431</v>
      </c>
      <c r="M79">
        <v>152425</v>
      </c>
    </row>
    <row r="80" spans="1:13" x14ac:dyDescent="0.25">
      <c r="A80" s="3" t="s">
        <v>13</v>
      </c>
      <c r="B80" s="2">
        <v>6741</v>
      </c>
      <c r="C80" s="3" t="s">
        <v>88</v>
      </c>
      <c r="D80" s="4">
        <v>0</v>
      </c>
      <c r="E80" s="4">
        <v>1</v>
      </c>
      <c r="F80" s="33">
        <f t="shared" si="6"/>
        <v>55840</v>
      </c>
      <c r="G80" s="1">
        <f t="shared" si="7"/>
        <v>55840</v>
      </c>
      <c r="H80" s="1">
        <f t="shared" si="8"/>
        <v>0</v>
      </c>
      <c r="I80" s="1">
        <f t="shared" si="5"/>
        <v>55840</v>
      </c>
      <c r="J80" s="1">
        <f t="shared" si="9"/>
        <v>0</v>
      </c>
      <c r="K80" s="1"/>
      <c r="L80" s="2">
        <v>1476</v>
      </c>
      <c r="M80">
        <v>0</v>
      </c>
    </row>
    <row r="81" spans="1:13" x14ac:dyDescent="0.25">
      <c r="A81" s="3" t="s">
        <v>13</v>
      </c>
      <c r="B81" s="2">
        <v>1970</v>
      </c>
      <c r="C81" s="3" t="s">
        <v>89</v>
      </c>
      <c r="D81" s="4">
        <v>0</v>
      </c>
      <c r="E81" s="4">
        <v>13</v>
      </c>
      <c r="F81" s="33">
        <f t="shared" si="6"/>
        <v>253403</v>
      </c>
      <c r="G81" s="1">
        <f t="shared" si="7"/>
        <v>253403</v>
      </c>
      <c r="H81" s="1">
        <f t="shared" si="8"/>
        <v>0</v>
      </c>
      <c r="I81" s="1">
        <f t="shared" si="5"/>
        <v>253403</v>
      </c>
      <c r="J81" s="1">
        <f t="shared" si="9"/>
        <v>0</v>
      </c>
      <c r="K81" s="1"/>
      <c r="L81" s="2">
        <v>1503</v>
      </c>
      <c r="M81">
        <v>146166</v>
      </c>
    </row>
    <row r="82" spans="1:13" x14ac:dyDescent="0.25">
      <c r="A82" s="3" t="s">
        <v>13</v>
      </c>
      <c r="B82" s="2">
        <v>1972</v>
      </c>
      <c r="C82" s="3" t="s">
        <v>90</v>
      </c>
      <c r="D82" s="4">
        <v>0</v>
      </c>
      <c r="E82" s="4">
        <v>10</v>
      </c>
      <c r="F82" s="33">
        <f t="shared" si="6"/>
        <v>147277</v>
      </c>
      <c r="G82" s="1">
        <f t="shared" si="7"/>
        <v>147277</v>
      </c>
      <c r="H82" s="1">
        <f t="shared" si="8"/>
        <v>0</v>
      </c>
      <c r="I82" s="1">
        <f t="shared" si="5"/>
        <v>147277</v>
      </c>
      <c r="J82" s="1">
        <f t="shared" si="9"/>
        <v>0</v>
      </c>
      <c r="K82" s="1"/>
      <c r="L82" s="2">
        <v>1576</v>
      </c>
      <c r="M82">
        <v>0</v>
      </c>
    </row>
    <row r="83" spans="1:13" x14ac:dyDescent="0.25">
      <c r="A83" s="3" t="s">
        <v>13</v>
      </c>
      <c r="B83" s="2">
        <v>657</v>
      </c>
      <c r="C83" s="3" t="s">
        <v>91</v>
      </c>
      <c r="D83" s="4">
        <v>0</v>
      </c>
      <c r="E83" s="4">
        <v>5</v>
      </c>
      <c r="F83" s="33">
        <f t="shared" si="6"/>
        <v>181402</v>
      </c>
      <c r="G83" s="1">
        <f t="shared" si="7"/>
        <v>181402</v>
      </c>
      <c r="H83" s="1">
        <f t="shared" si="8"/>
        <v>0</v>
      </c>
      <c r="I83" s="1">
        <f t="shared" si="5"/>
        <v>181402</v>
      </c>
      <c r="J83" s="1">
        <f t="shared" si="9"/>
        <v>0</v>
      </c>
      <c r="K83" s="1"/>
      <c r="L83" s="2">
        <v>1602</v>
      </c>
      <c r="M83">
        <v>228938</v>
      </c>
    </row>
    <row r="84" spans="1:13" x14ac:dyDescent="0.25">
      <c r="A84" s="3" t="s">
        <v>13</v>
      </c>
      <c r="B84" s="2">
        <v>1989</v>
      </c>
      <c r="C84" s="3" t="s">
        <v>92</v>
      </c>
      <c r="D84" s="4">
        <v>0</v>
      </c>
      <c r="E84" s="4">
        <v>8</v>
      </c>
      <c r="F84" s="33">
        <f t="shared" si="6"/>
        <v>163193</v>
      </c>
      <c r="G84" s="1">
        <f t="shared" si="7"/>
        <v>163193</v>
      </c>
      <c r="H84" s="1">
        <f t="shared" si="8"/>
        <v>0</v>
      </c>
      <c r="I84" s="1">
        <f t="shared" si="5"/>
        <v>163193</v>
      </c>
      <c r="J84" s="1">
        <f t="shared" si="9"/>
        <v>0</v>
      </c>
      <c r="K84" s="1"/>
      <c r="L84" s="2">
        <v>1611</v>
      </c>
      <c r="M84">
        <v>0</v>
      </c>
    </row>
    <row r="85" spans="1:13" x14ac:dyDescent="0.25">
      <c r="A85" s="3" t="s">
        <v>13</v>
      </c>
      <c r="B85" s="2">
        <v>2007</v>
      </c>
      <c r="C85" s="3" t="s">
        <v>93</v>
      </c>
      <c r="D85" s="4">
        <v>0</v>
      </c>
      <c r="E85" s="4">
        <v>5</v>
      </c>
      <c r="F85" s="33">
        <f t="shared" si="6"/>
        <v>145432</v>
      </c>
      <c r="G85" s="1">
        <f t="shared" si="7"/>
        <v>145432</v>
      </c>
      <c r="H85" s="1">
        <f t="shared" si="8"/>
        <v>0</v>
      </c>
      <c r="I85" s="1">
        <f t="shared" si="5"/>
        <v>145432</v>
      </c>
      <c r="J85" s="1">
        <f t="shared" si="9"/>
        <v>0</v>
      </c>
      <c r="K85" s="1"/>
      <c r="L85" s="2">
        <v>1619</v>
      </c>
      <c r="M85">
        <v>55258</v>
      </c>
    </row>
    <row r="86" spans="1:13" x14ac:dyDescent="0.25">
      <c r="A86" s="3" t="s">
        <v>13</v>
      </c>
      <c r="B86" s="2">
        <v>2088</v>
      </c>
      <c r="C86" s="3" t="s">
        <v>94</v>
      </c>
      <c r="D86" s="4">
        <v>6</v>
      </c>
      <c r="E86" s="4">
        <v>7.0000000000000009</v>
      </c>
      <c r="F86" s="33">
        <f t="shared" si="6"/>
        <v>534609</v>
      </c>
      <c r="G86" s="1">
        <f t="shared" si="7"/>
        <v>534609</v>
      </c>
      <c r="H86" s="1">
        <f t="shared" si="8"/>
        <v>246742.62</v>
      </c>
      <c r="I86" s="1">
        <f t="shared" si="5"/>
        <v>287866.38</v>
      </c>
      <c r="J86" s="1">
        <f t="shared" si="9"/>
        <v>0</v>
      </c>
      <c r="K86" s="1"/>
      <c r="L86" s="2">
        <v>1638</v>
      </c>
      <c r="M86">
        <v>645008</v>
      </c>
    </row>
    <row r="87" spans="1:13" x14ac:dyDescent="0.25">
      <c r="A87" s="3" t="s">
        <v>13</v>
      </c>
      <c r="B87" s="2">
        <v>2097</v>
      </c>
      <c r="C87" s="3" t="s">
        <v>95</v>
      </c>
      <c r="D87" s="4">
        <v>5</v>
      </c>
      <c r="E87" s="4">
        <v>11</v>
      </c>
      <c r="F87" s="33">
        <f t="shared" si="6"/>
        <v>321792</v>
      </c>
      <c r="G87" s="1">
        <f t="shared" si="7"/>
        <v>321792</v>
      </c>
      <c r="H87" s="1">
        <f t="shared" si="8"/>
        <v>100560</v>
      </c>
      <c r="I87" s="1">
        <f t="shared" si="5"/>
        <v>221232</v>
      </c>
      <c r="J87" s="1">
        <f t="shared" si="9"/>
        <v>0</v>
      </c>
      <c r="K87" s="1"/>
      <c r="L87" s="2">
        <v>1675</v>
      </c>
      <c r="M87">
        <v>96565</v>
      </c>
    </row>
    <row r="88" spans="1:13" x14ac:dyDescent="0.25">
      <c r="A88" s="3" t="s">
        <v>13</v>
      </c>
      <c r="B88" s="2">
        <v>2113</v>
      </c>
      <c r="C88" s="3" t="s">
        <v>96</v>
      </c>
      <c r="D88" s="4">
        <v>0</v>
      </c>
      <c r="E88" s="4">
        <v>10</v>
      </c>
      <c r="F88" s="33">
        <f t="shared" si="6"/>
        <v>107718</v>
      </c>
      <c r="G88" s="1">
        <f t="shared" si="7"/>
        <v>107718</v>
      </c>
      <c r="H88" s="1">
        <f t="shared" si="8"/>
        <v>0</v>
      </c>
      <c r="I88" s="1">
        <f t="shared" si="5"/>
        <v>107718</v>
      </c>
      <c r="J88" s="1">
        <f t="shared" si="9"/>
        <v>0</v>
      </c>
      <c r="K88" s="1"/>
      <c r="L88" s="2">
        <v>1701</v>
      </c>
      <c r="M88">
        <v>679466</v>
      </c>
    </row>
    <row r="89" spans="1:13" x14ac:dyDescent="0.25">
      <c r="A89" s="3" t="s">
        <v>13</v>
      </c>
      <c r="B89" s="2">
        <v>2124</v>
      </c>
      <c r="C89" s="3" t="s">
        <v>97</v>
      </c>
      <c r="D89" s="4">
        <v>0</v>
      </c>
      <c r="E89" s="4">
        <v>10</v>
      </c>
      <c r="F89" s="33">
        <f t="shared" si="6"/>
        <v>583210</v>
      </c>
      <c r="G89" s="1">
        <f t="shared" si="7"/>
        <v>583210</v>
      </c>
      <c r="H89" s="1">
        <f t="shared" si="8"/>
        <v>0</v>
      </c>
      <c r="I89" s="1">
        <f t="shared" si="5"/>
        <v>583210</v>
      </c>
      <c r="J89" s="1">
        <f t="shared" si="9"/>
        <v>0</v>
      </c>
      <c r="K89" s="1"/>
      <c r="L89" s="2">
        <v>1719</v>
      </c>
      <c r="M89">
        <v>329817</v>
      </c>
    </row>
    <row r="90" spans="1:13" x14ac:dyDescent="0.25">
      <c r="A90" s="3" t="s">
        <v>13</v>
      </c>
      <c r="B90" s="2">
        <v>2151</v>
      </c>
      <c r="C90" s="3" t="s">
        <v>98</v>
      </c>
      <c r="D90" s="4">
        <v>0</v>
      </c>
      <c r="E90" s="4">
        <v>7.0000000000000009</v>
      </c>
      <c r="F90" s="33">
        <f t="shared" si="6"/>
        <v>189214</v>
      </c>
      <c r="G90" s="1">
        <f t="shared" si="7"/>
        <v>189214</v>
      </c>
      <c r="H90" s="1">
        <f t="shared" si="8"/>
        <v>0</v>
      </c>
      <c r="I90" s="1">
        <f t="shared" si="5"/>
        <v>189214</v>
      </c>
      <c r="J90" s="1">
        <f t="shared" si="9"/>
        <v>0</v>
      </c>
      <c r="K90" s="1"/>
      <c r="L90" s="2">
        <v>1737</v>
      </c>
      <c r="M90">
        <v>0</v>
      </c>
    </row>
    <row r="91" spans="1:13" x14ac:dyDescent="0.25">
      <c r="A91" s="3" t="s">
        <v>13</v>
      </c>
      <c r="B91" s="2">
        <v>2169</v>
      </c>
      <c r="C91" s="3" t="s">
        <v>99</v>
      </c>
      <c r="D91" s="4">
        <v>0</v>
      </c>
      <c r="E91" s="4">
        <v>1</v>
      </c>
      <c r="F91" s="33">
        <f t="shared" si="6"/>
        <v>136037</v>
      </c>
      <c r="G91" s="1">
        <f t="shared" si="7"/>
        <v>136037</v>
      </c>
      <c r="H91" s="1">
        <f t="shared" si="8"/>
        <v>0</v>
      </c>
      <c r="I91" s="1">
        <f t="shared" si="5"/>
        <v>136037</v>
      </c>
      <c r="J91" s="1">
        <f t="shared" si="9"/>
        <v>0</v>
      </c>
      <c r="K91" s="1"/>
      <c r="L91" s="2">
        <v>1782</v>
      </c>
      <c r="M91">
        <v>37243</v>
      </c>
    </row>
    <row r="92" spans="1:13" x14ac:dyDescent="0.25">
      <c r="A92" s="8" t="s">
        <v>13</v>
      </c>
      <c r="B92" s="22">
        <v>2205</v>
      </c>
      <c r="C92" s="8" t="s">
        <v>100</v>
      </c>
      <c r="D92" s="10">
        <v>0</v>
      </c>
      <c r="E92" s="10">
        <v>7.0000000000000009</v>
      </c>
      <c r="F92" s="35">
        <f t="shared" si="6"/>
        <v>73719</v>
      </c>
      <c r="G92" s="1">
        <f t="shared" si="7"/>
        <v>73719</v>
      </c>
      <c r="H92" s="23">
        <f t="shared" si="8"/>
        <v>0</v>
      </c>
      <c r="I92" s="23">
        <f t="shared" si="5"/>
        <v>73719</v>
      </c>
      <c r="J92" s="1">
        <f t="shared" si="9"/>
        <v>0</v>
      </c>
      <c r="K92" s="1"/>
      <c r="L92" s="2">
        <v>1791</v>
      </c>
      <c r="M92">
        <v>394110</v>
      </c>
    </row>
    <row r="93" spans="1:13" x14ac:dyDescent="0.25">
      <c r="A93" s="3" t="s">
        <v>13</v>
      </c>
      <c r="B93" s="2">
        <v>2295</v>
      </c>
      <c r="C93" s="3" t="s">
        <v>101</v>
      </c>
      <c r="D93" s="4">
        <v>0</v>
      </c>
      <c r="E93" s="4">
        <v>8</v>
      </c>
      <c r="F93" s="33">
        <f t="shared" si="6"/>
        <v>534624</v>
      </c>
      <c r="G93" s="1">
        <f t="shared" si="7"/>
        <v>534624</v>
      </c>
      <c r="H93" s="1">
        <f t="shared" si="8"/>
        <v>0</v>
      </c>
      <c r="I93" s="1">
        <f t="shared" si="5"/>
        <v>534624</v>
      </c>
      <c r="J93" s="1">
        <f t="shared" si="9"/>
        <v>0</v>
      </c>
      <c r="K93" s="1"/>
      <c r="L93" s="2">
        <v>1863</v>
      </c>
      <c r="M93">
        <v>0</v>
      </c>
    </row>
    <row r="94" spans="1:13" x14ac:dyDescent="0.25">
      <c r="A94" s="3" t="s">
        <v>13</v>
      </c>
      <c r="B94" s="2">
        <v>2313</v>
      </c>
      <c r="C94" s="3" t="s">
        <v>102</v>
      </c>
      <c r="D94" s="4">
        <v>1</v>
      </c>
      <c r="E94" s="4">
        <v>1</v>
      </c>
      <c r="F94" s="33">
        <f t="shared" si="6"/>
        <v>471423</v>
      </c>
      <c r="G94" s="1">
        <f t="shared" si="7"/>
        <v>471423</v>
      </c>
      <c r="H94" s="1">
        <f t="shared" si="8"/>
        <v>235711.5</v>
      </c>
      <c r="I94" s="1">
        <f t="shared" si="5"/>
        <v>235711.5</v>
      </c>
      <c r="J94" s="1">
        <f t="shared" si="9"/>
        <v>0</v>
      </c>
      <c r="K94" s="1"/>
      <c r="L94" s="2">
        <v>1908</v>
      </c>
      <c r="M94">
        <v>228991</v>
      </c>
    </row>
    <row r="95" spans="1:13" x14ac:dyDescent="0.25">
      <c r="A95" s="11" t="s">
        <v>13</v>
      </c>
      <c r="B95" s="24">
        <v>2369</v>
      </c>
      <c r="C95" s="11" t="s">
        <v>103</v>
      </c>
      <c r="D95" s="13">
        <v>6</v>
      </c>
      <c r="E95" s="13">
        <v>10</v>
      </c>
      <c r="F95" s="36">
        <f t="shared" si="6"/>
        <v>244694</v>
      </c>
      <c r="G95" s="1">
        <f t="shared" si="7"/>
        <v>244694</v>
      </c>
      <c r="H95" s="25">
        <f>ROUND((D95/(D95+E95))*$G95,2)</f>
        <v>91760.25</v>
      </c>
      <c r="I95" s="25">
        <f t="shared" si="5"/>
        <v>152933.75</v>
      </c>
      <c r="J95" s="1">
        <f t="shared" si="9"/>
        <v>0</v>
      </c>
      <c r="K95" s="1"/>
      <c r="L95" s="2">
        <v>1917</v>
      </c>
      <c r="M95">
        <v>167484</v>
      </c>
    </row>
    <row r="96" spans="1:13" x14ac:dyDescent="0.25">
      <c r="A96" s="3" t="s">
        <v>13</v>
      </c>
      <c r="B96" s="2">
        <v>2376</v>
      </c>
      <c r="C96" s="3" t="s">
        <v>104</v>
      </c>
      <c r="D96" s="4">
        <v>3</v>
      </c>
      <c r="E96" s="4">
        <v>7.0000000000000009</v>
      </c>
      <c r="F96" s="33">
        <f t="shared" si="6"/>
        <v>282805</v>
      </c>
      <c r="G96" s="1">
        <f t="shared" si="7"/>
        <v>282805</v>
      </c>
      <c r="H96" s="1">
        <f t="shared" si="8"/>
        <v>84841.5</v>
      </c>
      <c r="I96" s="1">
        <f t="shared" si="5"/>
        <v>197963.5</v>
      </c>
      <c r="J96" s="1">
        <f t="shared" si="9"/>
        <v>0</v>
      </c>
      <c r="K96" s="1"/>
      <c r="L96" s="2">
        <v>1926</v>
      </c>
      <c r="M96">
        <v>125087</v>
      </c>
    </row>
    <row r="97" spans="1:13" x14ac:dyDescent="0.25">
      <c r="A97" s="3" t="s">
        <v>13</v>
      </c>
      <c r="B97" s="2">
        <v>2403</v>
      </c>
      <c r="C97" s="3" t="s">
        <v>105</v>
      </c>
      <c r="D97" s="4">
        <v>3</v>
      </c>
      <c r="E97" s="4">
        <v>3</v>
      </c>
      <c r="F97" s="33">
        <f t="shared" si="6"/>
        <v>330425</v>
      </c>
      <c r="G97" s="1">
        <f t="shared" si="7"/>
        <v>330425</v>
      </c>
      <c r="H97" s="1">
        <f t="shared" si="8"/>
        <v>165212.5</v>
      </c>
      <c r="I97" s="1">
        <f t="shared" si="5"/>
        <v>165212.5</v>
      </c>
      <c r="J97" s="1">
        <f t="shared" si="9"/>
        <v>0</v>
      </c>
      <c r="K97" s="1"/>
      <c r="L97" s="2">
        <v>1935</v>
      </c>
      <c r="M97">
        <v>534738</v>
      </c>
    </row>
    <row r="98" spans="1:13" x14ac:dyDescent="0.25">
      <c r="A98" s="3" t="s">
        <v>13</v>
      </c>
      <c r="B98" s="2">
        <v>2457</v>
      </c>
      <c r="C98" s="3" t="s">
        <v>106</v>
      </c>
      <c r="D98" s="4">
        <v>5</v>
      </c>
      <c r="E98" s="4">
        <v>9</v>
      </c>
      <c r="F98" s="33">
        <f t="shared" si="6"/>
        <v>288123</v>
      </c>
      <c r="G98" s="1">
        <f t="shared" si="7"/>
        <v>288123</v>
      </c>
      <c r="H98" s="1">
        <f t="shared" si="8"/>
        <v>102901.07</v>
      </c>
      <c r="I98" s="1">
        <f t="shared" si="5"/>
        <v>185221.93</v>
      </c>
      <c r="J98" s="1">
        <f t="shared" si="9"/>
        <v>0</v>
      </c>
      <c r="K98" s="1"/>
      <c r="L98" s="2">
        <v>1944</v>
      </c>
      <c r="M98">
        <v>241124</v>
      </c>
    </row>
    <row r="99" spans="1:13" x14ac:dyDescent="0.25">
      <c r="A99" s="3" t="s">
        <v>13</v>
      </c>
      <c r="B99" s="2">
        <v>2493</v>
      </c>
      <c r="C99" s="3" t="s">
        <v>107</v>
      </c>
      <c r="D99" s="4">
        <v>0</v>
      </c>
      <c r="E99" s="4">
        <v>5</v>
      </c>
      <c r="F99" s="33">
        <f t="shared" si="6"/>
        <v>32014</v>
      </c>
      <c r="G99" s="1">
        <f t="shared" si="7"/>
        <v>32014</v>
      </c>
      <c r="H99" s="1">
        <f t="shared" si="8"/>
        <v>0</v>
      </c>
      <c r="I99" s="1">
        <f t="shared" si="5"/>
        <v>32014</v>
      </c>
      <c r="J99" s="1">
        <f t="shared" si="9"/>
        <v>0</v>
      </c>
      <c r="K99" s="1"/>
      <c r="L99" s="2">
        <v>1953</v>
      </c>
      <c r="M99">
        <v>0</v>
      </c>
    </row>
    <row r="100" spans="1:13" x14ac:dyDescent="0.25">
      <c r="A100" s="3" t="s">
        <v>13</v>
      </c>
      <c r="B100" s="2">
        <v>2502</v>
      </c>
      <c r="C100" s="3" t="s">
        <v>108</v>
      </c>
      <c r="D100" s="4">
        <v>1</v>
      </c>
      <c r="E100" s="4">
        <v>2</v>
      </c>
      <c r="F100" s="33">
        <f t="shared" si="6"/>
        <v>135580</v>
      </c>
      <c r="G100" s="1">
        <f t="shared" si="7"/>
        <v>135580</v>
      </c>
      <c r="H100" s="1">
        <f t="shared" si="8"/>
        <v>45193.33</v>
      </c>
      <c r="I100" s="1">
        <f t="shared" si="5"/>
        <v>90386.67</v>
      </c>
      <c r="J100" s="1">
        <f t="shared" si="9"/>
        <v>0</v>
      </c>
      <c r="K100" s="1"/>
      <c r="L100" s="2">
        <v>1963</v>
      </c>
      <c r="M100">
        <v>27899</v>
      </c>
    </row>
    <row r="101" spans="1:13" x14ac:dyDescent="0.25">
      <c r="A101" s="3" t="s">
        <v>13</v>
      </c>
      <c r="B101" s="2">
        <v>2511</v>
      </c>
      <c r="C101" s="3" t="s">
        <v>109</v>
      </c>
      <c r="D101" s="4">
        <v>0</v>
      </c>
      <c r="E101" s="4">
        <v>7.0000000000000009</v>
      </c>
      <c r="F101" s="33">
        <f t="shared" si="6"/>
        <v>512555</v>
      </c>
      <c r="G101" s="1">
        <f t="shared" si="7"/>
        <v>512555</v>
      </c>
      <c r="H101" s="1">
        <f t="shared" si="8"/>
        <v>0</v>
      </c>
      <c r="I101" s="1">
        <f t="shared" si="5"/>
        <v>512555</v>
      </c>
      <c r="J101" s="1">
        <f t="shared" si="9"/>
        <v>0</v>
      </c>
      <c r="K101" s="1"/>
      <c r="L101" s="2">
        <v>1965</v>
      </c>
      <c r="M101">
        <v>0</v>
      </c>
    </row>
    <row r="102" spans="1:13" x14ac:dyDescent="0.25">
      <c r="A102" s="3" t="s">
        <v>13</v>
      </c>
      <c r="B102" s="2">
        <v>2520</v>
      </c>
      <c r="C102" s="3" t="s">
        <v>110</v>
      </c>
      <c r="D102" s="4">
        <v>0</v>
      </c>
      <c r="E102" s="4">
        <v>8</v>
      </c>
      <c r="F102" s="33">
        <f t="shared" si="6"/>
        <v>139312</v>
      </c>
      <c r="G102" s="1">
        <f t="shared" si="7"/>
        <v>139312</v>
      </c>
      <c r="H102" s="1">
        <f t="shared" si="8"/>
        <v>0</v>
      </c>
      <c r="I102" s="1">
        <f t="shared" si="5"/>
        <v>139312</v>
      </c>
      <c r="J102" s="1">
        <f t="shared" si="9"/>
        <v>0</v>
      </c>
      <c r="K102" s="1"/>
      <c r="L102" s="2">
        <v>1970</v>
      </c>
      <c r="M102">
        <v>253403</v>
      </c>
    </row>
    <row r="103" spans="1:13" x14ac:dyDescent="0.25">
      <c r="A103" s="3" t="s">
        <v>13</v>
      </c>
      <c r="B103" s="2">
        <v>2682</v>
      </c>
      <c r="C103" s="3" t="s">
        <v>4</v>
      </c>
      <c r="D103" s="4">
        <v>0</v>
      </c>
      <c r="E103" s="4">
        <v>10</v>
      </c>
      <c r="F103" s="33">
        <f t="shared" si="6"/>
        <v>163905</v>
      </c>
      <c r="G103" s="1">
        <f t="shared" si="7"/>
        <v>163905</v>
      </c>
      <c r="H103" s="1">
        <f t="shared" si="8"/>
        <v>0</v>
      </c>
      <c r="I103" s="1">
        <f t="shared" si="5"/>
        <v>163905</v>
      </c>
      <c r="J103" s="1">
        <f t="shared" si="9"/>
        <v>0</v>
      </c>
      <c r="K103" s="1"/>
      <c r="L103" s="2">
        <v>1972</v>
      </c>
      <c r="M103">
        <v>147277</v>
      </c>
    </row>
    <row r="104" spans="1:13" x14ac:dyDescent="0.25">
      <c r="A104" s="3" t="s">
        <v>13</v>
      </c>
      <c r="B104" s="2">
        <v>2556</v>
      </c>
      <c r="C104" s="3" t="s">
        <v>111</v>
      </c>
      <c r="D104" s="4">
        <v>1</v>
      </c>
      <c r="E104" s="4">
        <v>1</v>
      </c>
      <c r="F104" s="33">
        <f t="shared" si="6"/>
        <v>40642</v>
      </c>
      <c r="G104" s="1">
        <f t="shared" si="7"/>
        <v>40642</v>
      </c>
      <c r="H104" s="1">
        <f t="shared" si="8"/>
        <v>20321</v>
      </c>
      <c r="I104" s="1">
        <f t="shared" si="5"/>
        <v>20321</v>
      </c>
      <c r="J104" s="1">
        <f t="shared" si="9"/>
        <v>0</v>
      </c>
      <c r="K104" s="1"/>
      <c r="L104" s="2">
        <v>1975</v>
      </c>
      <c r="M104">
        <v>196922</v>
      </c>
    </row>
    <row r="105" spans="1:13" x14ac:dyDescent="0.25">
      <c r="A105" s="3" t="s">
        <v>13</v>
      </c>
      <c r="B105" s="2">
        <v>3195</v>
      </c>
      <c r="C105" s="3" t="s">
        <v>112</v>
      </c>
      <c r="D105" s="4">
        <v>5</v>
      </c>
      <c r="E105" s="4">
        <v>7.0000000000000009</v>
      </c>
      <c r="F105" s="33">
        <f t="shared" si="6"/>
        <v>754936</v>
      </c>
      <c r="G105" s="1">
        <f t="shared" si="7"/>
        <v>754936</v>
      </c>
      <c r="H105" s="1">
        <f t="shared" si="8"/>
        <v>314556.67</v>
      </c>
      <c r="I105" s="1">
        <f t="shared" si="5"/>
        <v>440379.33</v>
      </c>
      <c r="J105" s="1">
        <f t="shared" si="9"/>
        <v>0</v>
      </c>
      <c r="K105" s="1"/>
      <c r="L105" s="2">
        <v>1989</v>
      </c>
      <c r="M105">
        <v>163193</v>
      </c>
    </row>
    <row r="106" spans="1:13" x14ac:dyDescent="0.25">
      <c r="A106" s="3" t="s">
        <v>13</v>
      </c>
      <c r="B106" s="2">
        <v>2709</v>
      </c>
      <c r="C106" s="3" t="s">
        <v>113</v>
      </c>
      <c r="D106" s="4">
        <v>1</v>
      </c>
      <c r="E106" s="4">
        <v>5</v>
      </c>
      <c r="F106" s="33">
        <f t="shared" si="6"/>
        <v>610908</v>
      </c>
      <c r="G106" s="1">
        <f t="shared" si="7"/>
        <v>610908</v>
      </c>
      <c r="H106" s="1">
        <f t="shared" si="8"/>
        <v>101818</v>
      </c>
      <c r="I106" s="1">
        <f t="shared" si="5"/>
        <v>509090</v>
      </c>
      <c r="J106" s="1">
        <f t="shared" si="9"/>
        <v>0</v>
      </c>
      <c r="K106" s="1"/>
      <c r="L106" s="2">
        <v>2007</v>
      </c>
      <c r="M106">
        <v>145432</v>
      </c>
    </row>
    <row r="107" spans="1:13" x14ac:dyDescent="0.25">
      <c r="A107" s="3" t="s">
        <v>13</v>
      </c>
      <c r="B107" s="2">
        <v>2718</v>
      </c>
      <c r="C107" s="3" t="s">
        <v>114</v>
      </c>
      <c r="D107" s="4">
        <v>0</v>
      </c>
      <c r="E107" s="4">
        <v>1</v>
      </c>
      <c r="F107" s="33">
        <f t="shared" si="6"/>
        <v>27536</v>
      </c>
      <c r="G107" s="1">
        <f t="shared" si="7"/>
        <v>27536</v>
      </c>
      <c r="H107" s="1">
        <f t="shared" si="8"/>
        <v>0</v>
      </c>
      <c r="I107" s="1">
        <f t="shared" si="5"/>
        <v>27536</v>
      </c>
      <c r="J107" s="1">
        <f t="shared" si="9"/>
        <v>0</v>
      </c>
      <c r="K107" s="1"/>
      <c r="L107" s="2">
        <v>2088</v>
      </c>
      <c r="M107">
        <v>534609</v>
      </c>
    </row>
    <row r="108" spans="1:13" x14ac:dyDescent="0.25">
      <c r="A108" s="3" t="s">
        <v>13</v>
      </c>
      <c r="B108" s="2">
        <v>2727</v>
      </c>
      <c r="C108" s="3" t="s">
        <v>115</v>
      </c>
      <c r="D108" s="4">
        <v>0</v>
      </c>
      <c r="E108" s="4">
        <v>7.0000000000000009</v>
      </c>
      <c r="F108" s="33">
        <f t="shared" si="6"/>
        <v>244159</v>
      </c>
      <c r="G108" s="1">
        <f t="shared" si="7"/>
        <v>244159</v>
      </c>
      <c r="H108" s="1">
        <f t="shared" si="8"/>
        <v>0</v>
      </c>
      <c r="I108" s="1">
        <f t="shared" ref="I108:I171" si="10">G108-H108</f>
        <v>244159</v>
      </c>
      <c r="J108" s="1">
        <f t="shared" si="9"/>
        <v>0</v>
      </c>
      <c r="K108" s="1"/>
      <c r="L108" s="2">
        <v>2097</v>
      </c>
      <c r="M108">
        <v>321792</v>
      </c>
    </row>
    <row r="109" spans="1:13" x14ac:dyDescent="0.25">
      <c r="A109" s="3" t="s">
        <v>13</v>
      </c>
      <c r="B109" s="2">
        <v>2754</v>
      </c>
      <c r="C109" s="3" t="s">
        <v>116</v>
      </c>
      <c r="D109" s="4">
        <v>0</v>
      </c>
      <c r="E109" s="4">
        <v>7.0000000000000009</v>
      </c>
      <c r="F109" s="33">
        <f t="shared" si="6"/>
        <v>165478</v>
      </c>
      <c r="G109" s="1">
        <f t="shared" si="7"/>
        <v>165478</v>
      </c>
      <c r="H109" s="1">
        <f t="shared" si="8"/>
        <v>0</v>
      </c>
      <c r="I109" s="1">
        <f t="shared" si="10"/>
        <v>165478</v>
      </c>
      <c r="J109" s="1">
        <f t="shared" si="9"/>
        <v>0</v>
      </c>
      <c r="K109" s="1"/>
      <c r="L109" s="2">
        <v>2113</v>
      </c>
      <c r="M109">
        <v>107718</v>
      </c>
    </row>
    <row r="110" spans="1:13" x14ac:dyDescent="0.25">
      <c r="A110" s="11" t="s">
        <v>13</v>
      </c>
      <c r="B110" s="24">
        <v>2772</v>
      </c>
      <c r="C110" s="11" t="s">
        <v>117</v>
      </c>
      <c r="D110" s="13">
        <v>3</v>
      </c>
      <c r="E110" s="13">
        <v>4</v>
      </c>
      <c r="F110" s="36">
        <f t="shared" si="6"/>
        <v>86719</v>
      </c>
      <c r="G110" s="1">
        <f t="shared" si="7"/>
        <v>86719</v>
      </c>
      <c r="H110" s="25">
        <f t="shared" si="8"/>
        <v>37165.29</v>
      </c>
      <c r="I110" s="25">
        <f t="shared" si="10"/>
        <v>49553.71</v>
      </c>
      <c r="J110" s="1">
        <f t="shared" si="9"/>
        <v>0</v>
      </c>
      <c r="K110" s="1"/>
      <c r="L110" s="2">
        <v>2124</v>
      </c>
      <c r="M110">
        <v>583210</v>
      </c>
    </row>
    <row r="111" spans="1:13" x14ac:dyDescent="0.25">
      <c r="A111" s="3" t="s">
        <v>13</v>
      </c>
      <c r="B111" s="2">
        <v>2781</v>
      </c>
      <c r="C111" s="3" t="s">
        <v>118</v>
      </c>
      <c r="D111" s="4">
        <v>0</v>
      </c>
      <c r="E111" s="4">
        <v>3</v>
      </c>
      <c r="F111" s="33">
        <f t="shared" si="6"/>
        <v>166104</v>
      </c>
      <c r="G111" s="1">
        <f t="shared" si="7"/>
        <v>166104</v>
      </c>
      <c r="H111" s="1">
        <f t="shared" si="8"/>
        <v>0</v>
      </c>
      <c r="I111" s="1">
        <f t="shared" si="10"/>
        <v>166104</v>
      </c>
      <c r="J111" s="1">
        <f t="shared" si="9"/>
        <v>0</v>
      </c>
      <c r="K111" s="1"/>
      <c r="L111" s="2">
        <v>2151</v>
      </c>
      <c r="M111">
        <v>189214</v>
      </c>
    </row>
    <row r="112" spans="1:13" x14ac:dyDescent="0.25">
      <c r="A112" s="3" t="s">
        <v>13</v>
      </c>
      <c r="B112" s="2">
        <v>2826</v>
      </c>
      <c r="C112" s="3" t="s">
        <v>119</v>
      </c>
      <c r="D112" s="4">
        <v>0</v>
      </c>
      <c r="E112" s="4">
        <v>7.0000000000000009</v>
      </c>
      <c r="F112" s="33">
        <f t="shared" si="6"/>
        <v>583070</v>
      </c>
      <c r="G112" s="1">
        <f t="shared" si="7"/>
        <v>583070</v>
      </c>
      <c r="H112" s="1">
        <f t="shared" si="8"/>
        <v>0</v>
      </c>
      <c r="I112" s="1">
        <f t="shared" si="10"/>
        <v>583070</v>
      </c>
      <c r="J112" s="1">
        <f t="shared" si="9"/>
        <v>0</v>
      </c>
      <c r="K112" s="1"/>
      <c r="L112" s="2">
        <v>2169</v>
      </c>
      <c r="M112">
        <v>136037</v>
      </c>
    </row>
    <row r="113" spans="1:13" x14ac:dyDescent="0.25">
      <c r="A113" s="3" t="s">
        <v>13</v>
      </c>
      <c r="B113" s="2">
        <v>2834</v>
      </c>
      <c r="C113" s="3" t="s">
        <v>120</v>
      </c>
      <c r="D113" s="4">
        <v>0</v>
      </c>
      <c r="E113" s="4">
        <v>10</v>
      </c>
      <c r="F113" s="33">
        <f t="shared" si="6"/>
        <v>138725</v>
      </c>
      <c r="G113" s="1">
        <f t="shared" si="7"/>
        <v>138725</v>
      </c>
      <c r="H113" s="1">
        <f t="shared" si="8"/>
        <v>0</v>
      </c>
      <c r="I113" s="1">
        <f t="shared" si="10"/>
        <v>138725</v>
      </c>
      <c r="J113" s="1">
        <f t="shared" si="9"/>
        <v>0</v>
      </c>
      <c r="K113" s="1"/>
      <c r="L113" s="2">
        <v>2205</v>
      </c>
      <c r="M113">
        <v>73719</v>
      </c>
    </row>
    <row r="114" spans="1:13" x14ac:dyDescent="0.25">
      <c r="A114" s="3" t="s">
        <v>13</v>
      </c>
      <c r="B114" s="2">
        <v>2862</v>
      </c>
      <c r="C114" s="3" t="s">
        <v>121</v>
      </c>
      <c r="D114" s="4">
        <v>2</v>
      </c>
      <c r="E114" s="4">
        <v>5</v>
      </c>
      <c r="F114" s="33">
        <f t="shared" si="6"/>
        <v>268720</v>
      </c>
      <c r="G114" s="1">
        <f t="shared" si="7"/>
        <v>268720</v>
      </c>
      <c r="H114" s="1">
        <f t="shared" si="8"/>
        <v>76777.14</v>
      </c>
      <c r="I114" s="1">
        <f t="shared" si="10"/>
        <v>191942.86</v>
      </c>
      <c r="J114" s="1">
        <f t="shared" si="9"/>
        <v>0</v>
      </c>
      <c r="K114" s="1"/>
      <c r="L114" s="2">
        <v>2295</v>
      </c>
      <c r="M114">
        <v>534624</v>
      </c>
    </row>
    <row r="115" spans="1:13" x14ac:dyDescent="0.25">
      <c r="A115" s="3" t="s">
        <v>13</v>
      </c>
      <c r="B115" s="2">
        <v>2977</v>
      </c>
      <c r="C115" s="3" t="s">
        <v>122</v>
      </c>
      <c r="D115" s="4">
        <v>0</v>
      </c>
      <c r="E115" s="4">
        <v>7.0000000000000009</v>
      </c>
      <c r="F115" s="33">
        <f t="shared" si="6"/>
        <v>312056</v>
      </c>
      <c r="G115" s="1">
        <f t="shared" si="7"/>
        <v>312056</v>
      </c>
      <c r="H115" s="1">
        <f t="shared" si="8"/>
        <v>0</v>
      </c>
      <c r="I115" s="1">
        <f t="shared" si="10"/>
        <v>312056</v>
      </c>
      <c r="J115" s="1">
        <f t="shared" si="9"/>
        <v>0</v>
      </c>
      <c r="K115" s="1"/>
      <c r="L115" s="2">
        <v>2313</v>
      </c>
      <c r="M115">
        <v>471423</v>
      </c>
    </row>
    <row r="116" spans="1:13" x14ac:dyDescent="0.25">
      <c r="A116" s="3" t="s">
        <v>13</v>
      </c>
      <c r="B116" s="2">
        <v>2988</v>
      </c>
      <c r="C116" s="3" t="s">
        <v>123</v>
      </c>
      <c r="D116" s="4">
        <v>0</v>
      </c>
      <c r="E116" s="4">
        <v>7.0000000000000009</v>
      </c>
      <c r="F116" s="33">
        <f t="shared" si="6"/>
        <v>263039</v>
      </c>
      <c r="G116" s="1">
        <f t="shared" si="7"/>
        <v>263039</v>
      </c>
      <c r="H116" s="1">
        <f t="shared" si="8"/>
        <v>0</v>
      </c>
      <c r="I116" s="1">
        <f t="shared" si="10"/>
        <v>263039</v>
      </c>
      <c r="J116" s="1">
        <f t="shared" si="9"/>
        <v>0</v>
      </c>
      <c r="K116" s="1"/>
      <c r="L116" s="2">
        <v>2322</v>
      </c>
      <c r="M116">
        <v>0</v>
      </c>
    </row>
    <row r="117" spans="1:13" x14ac:dyDescent="0.25">
      <c r="A117" s="3" t="s">
        <v>13</v>
      </c>
      <c r="B117" s="2">
        <v>2766</v>
      </c>
      <c r="C117" s="3" t="s">
        <v>5</v>
      </c>
      <c r="D117" s="4">
        <v>0</v>
      </c>
      <c r="E117" s="4">
        <v>8</v>
      </c>
      <c r="F117" s="33">
        <f t="shared" si="6"/>
        <v>166507</v>
      </c>
      <c r="G117" s="1">
        <f t="shared" si="7"/>
        <v>166507</v>
      </c>
      <c r="H117" s="1">
        <f t="shared" si="8"/>
        <v>0</v>
      </c>
      <c r="I117" s="1">
        <f t="shared" si="10"/>
        <v>166507</v>
      </c>
      <c r="J117" s="1">
        <f t="shared" si="9"/>
        <v>0</v>
      </c>
      <c r="K117" s="1"/>
      <c r="L117" s="2">
        <v>2369</v>
      </c>
      <c r="M117">
        <v>244694</v>
      </c>
    </row>
    <row r="118" spans="1:13" x14ac:dyDescent="0.25">
      <c r="A118" s="3" t="s">
        <v>13</v>
      </c>
      <c r="B118" s="2">
        <v>3029</v>
      </c>
      <c r="C118" s="3" t="s">
        <v>124</v>
      </c>
      <c r="D118" s="4">
        <v>3</v>
      </c>
      <c r="E118" s="4">
        <v>3</v>
      </c>
      <c r="F118" s="33">
        <f t="shared" si="6"/>
        <v>385379</v>
      </c>
      <c r="G118" s="1">
        <f t="shared" si="7"/>
        <v>385379</v>
      </c>
      <c r="H118" s="1">
        <f t="shared" si="8"/>
        <v>192689.5</v>
      </c>
      <c r="I118" s="1">
        <f t="shared" si="10"/>
        <v>192689.5</v>
      </c>
      <c r="J118" s="1">
        <f t="shared" si="9"/>
        <v>0</v>
      </c>
      <c r="K118" s="1"/>
      <c r="L118" s="2">
        <v>2376</v>
      </c>
      <c r="M118">
        <v>282805</v>
      </c>
    </row>
    <row r="119" spans="1:13" x14ac:dyDescent="0.25">
      <c r="A119" s="3" t="s">
        <v>13</v>
      </c>
      <c r="B119" s="2">
        <v>3042</v>
      </c>
      <c r="C119" s="3" t="s">
        <v>125</v>
      </c>
      <c r="D119" s="4">
        <v>0</v>
      </c>
      <c r="E119" s="4">
        <v>2</v>
      </c>
      <c r="F119" s="33">
        <f t="shared" si="6"/>
        <v>85480</v>
      </c>
      <c r="G119" s="1">
        <f t="shared" si="7"/>
        <v>85480</v>
      </c>
      <c r="H119" s="1">
        <f t="shared" si="8"/>
        <v>0</v>
      </c>
      <c r="I119" s="1">
        <f t="shared" si="10"/>
        <v>85480</v>
      </c>
      <c r="J119" s="1">
        <f t="shared" si="9"/>
        <v>0</v>
      </c>
      <c r="K119" s="1"/>
      <c r="L119" s="2">
        <v>2403</v>
      </c>
      <c r="M119">
        <v>330425</v>
      </c>
    </row>
    <row r="120" spans="1:13" x14ac:dyDescent="0.25">
      <c r="A120" s="3" t="s">
        <v>13</v>
      </c>
      <c r="B120" s="2">
        <v>3060</v>
      </c>
      <c r="C120" s="3" t="s">
        <v>126</v>
      </c>
      <c r="D120" s="4">
        <v>0</v>
      </c>
      <c r="E120" s="4">
        <v>5</v>
      </c>
      <c r="F120" s="33">
        <f t="shared" si="6"/>
        <v>411657</v>
      </c>
      <c r="G120" s="1">
        <f t="shared" si="7"/>
        <v>411657</v>
      </c>
      <c r="H120" s="1">
        <f t="shared" si="8"/>
        <v>0</v>
      </c>
      <c r="I120" s="1">
        <f t="shared" si="10"/>
        <v>411657</v>
      </c>
      <c r="J120" s="1">
        <f t="shared" si="9"/>
        <v>0</v>
      </c>
      <c r="K120" s="1"/>
      <c r="L120" s="2">
        <v>2457</v>
      </c>
      <c r="M120">
        <v>288123</v>
      </c>
    </row>
    <row r="121" spans="1:13" x14ac:dyDescent="0.25">
      <c r="A121" s="3" t="s">
        <v>13</v>
      </c>
      <c r="B121" s="2">
        <v>3168</v>
      </c>
      <c r="C121" s="3" t="s">
        <v>127</v>
      </c>
      <c r="D121" s="4">
        <v>0</v>
      </c>
      <c r="E121" s="4">
        <v>9</v>
      </c>
      <c r="F121" s="33">
        <f t="shared" si="6"/>
        <v>358100</v>
      </c>
      <c r="G121" s="1">
        <f t="shared" si="7"/>
        <v>358100</v>
      </c>
      <c r="H121" s="1">
        <f t="shared" si="8"/>
        <v>0</v>
      </c>
      <c r="I121" s="1">
        <f t="shared" si="10"/>
        <v>358100</v>
      </c>
      <c r="J121" s="1">
        <f t="shared" si="9"/>
        <v>0</v>
      </c>
      <c r="K121" s="1"/>
      <c r="L121" s="2">
        <v>2466</v>
      </c>
      <c r="M121">
        <v>0</v>
      </c>
    </row>
    <row r="122" spans="1:13" x14ac:dyDescent="0.25">
      <c r="A122" s="3" t="s">
        <v>13</v>
      </c>
      <c r="B122" s="2">
        <v>3105</v>
      </c>
      <c r="C122" s="3" t="s">
        <v>128</v>
      </c>
      <c r="D122" s="4">
        <v>0</v>
      </c>
      <c r="E122" s="4">
        <v>7.0000000000000009</v>
      </c>
      <c r="F122" s="33">
        <f t="shared" si="6"/>
        <v>623663</v>
      </c>
      <c r="G122" s="1">
        <f t="shared" si="7"/>
        <v>623663</v>
      </c>
      <c r="H122" s="1">
        <f t="shared" si="8"/>
        <v>0</v>
      </c>
      <c r="I122" s="1">
        <f t="shared" si="10"/>
        <v>623663</v>
      </c>
      <c r="J122" s="1">
        <f t="shared" si="9"/>
        <v>0</v>
      </c>
      <c r="K122" s="1"/>
      <c r="L122" s="2">
        <v>2493</v>
      </c>
      <c r="M122">
        <v>32014</v>
      </c>
    </row>
    <row r="123" spans="1:13" x14ac:dyDescent="0.25">
      <c r="A123" s="3" t="s">
        <v>13</v>
      </c>
      <c r="B123" s="2">
        <v>3114</v>
      </c>
      <c r="C123" s="3" t="s">
        <v>129</v>
      </c>
      <c r="D123" s="4">
        <v>0</v>
      </c>
      <c r="E123" s="4">
        <v>5</v>
      </c>
      <c r="F123" s="33">
        <f t="shared" si="6"/>
        <v>1073134</v>
      </c>
      <c r="G123" s="1">
        <f t="shared" si="7"/>
        <v>1073134</v>
      </c>
      <c r="H123" s="1">
        <f t="shared" si="8"/>
        <v>0</v>
      </c>
      <c r="I123" s="1">
        <f t="shared" si="10"/>
        <v>1073134</v>
      </c>
      <c r="J123" s="1">
        <f t="shared" si="9"/>
        <v>0</v>
      </c>
      <c r="K123" s="1"/>
      <c r="L123" s="2">
        <v>2502</v>
      </c>
      <c r="M123">
        <v>135580</v>
      </c>
    </row>
    <row r="124" spans="1:13" x14ac:dyDescent="0.25">
      <c r="A124" s="3" t="s">
        <v>13</v>
      </c>
      <c r="B124" s="2">
        <v>3141</v>
      </c>
      <c r="C124" s="3" t="s">
        <v>130</v>
      </c>
      <c r="D124" s="4">
        <v>0</v>
      </c>
      <c r="E124" s="4">
        <v>5</v>
      </c>
      <c r="F124" s="33">
        <f t="shared" si="6"/>
        <v>6810977</v>
      </c>
      <c r="G124" s="1">
        <f t="shared" si="7"/>
        <v>6810977</v>
      </c>
      <c r="H124" s="1">
        <f t="shared" si="8"/>
        <v>0</v>
      </c>
      <c r="I124" s="1">
        <f t="shared" si="10"/>
        <v>6810977</v>
      </c>
      <c r="J124" s="1">
        <f t="shared" si="9"/>
        <v>0</v>
      </c>
      <c r="K124" s="1"/>
      <c r="L124" s="2">
        <v>2511</v>
      </c>
      <c r="M124">
        <v>512555</v>
      </c>
    </row>
    <row r="125" spans="1:13" x14ac:dyDescent="0.25">
      <c r="A125" s="3" t="s">
        <v>13</v>
      </c>
      <c r="B125" s="2">
        <v>3150</v>
      </c>
      <c r="C125" s="3" t="s">
        <v>131</v>
      </c>
      <c r="D125" s="4">
        <v>0</v>
      </c>
      <c r="E125" s="4">
        <v>7.0000000000000009</v>
      </c>
      <c r="F125" s="33">
        <f t="shared" si="6"/>
        <v>503711</v>
      </c>
      <c r="G125" s="1">
        <f t="shared" si="7"/>
        <v>503711</v>
      </c>
      <c r="H125" s="1">
        <f t="shared" si="8"/>
        <v>0</v>
      </c>
      <c r="I125" s="1">
        <f t="shared" si="10"/>
        <v>503711</v>
      </c>
      <c r="J125" s="1">
        <f t="shared" si="9"/>
        <v>0</v>
      </c>
      <c r="K125" s="1"/>
      <c r="L125" s="2">
        <v>2520</v>
      </c>
      <c r="M125">
        <v>139312</v>
      </c>
    </row>
    <row r="126" spans="1:13" x14ac:dyDescent="0.25">
      <c r="A126" s="3" t="s">
        <v>13</v>
      </c>
      <c r="B126" s="2">
        <v>3154</v>
      </c>
      <c r="C126" s="3" t="s">
        <v>132</v>
      </c>
      <c r="D126" s="4">
        <v>6</v>
      </c>
      <c r="E126" s="4">
        <v>8</v>
      </c>
      <c r="F126" s="33">
        <f t="shared" si="6"/>
        <v>426916</v>
      </c>
      <c r="G126" s="1">
        <f t="shared" si="7"/>
        <v>426916</v>
      </c>
      <c r="H126" s="1">
        <f t="shared" si="8"/>
        <v>182964</v>
      </c>
      <c r="I126" s="1">
        <f t="shared" si="10"/>
        <v>243952</v>
      </c>
      <c r="J126" s="1">
        <f t="shared" si="9"/>
        <v>0</v>
      </c>
      <c r="K126" s="1"/>
      <c r="L126" s="2">
        <v>2556</v>
      </c>
      <c r="M126">
        <v>40642</v>
      </c>
    </row>
    <row r="127" spans="1:13" x14ac:dyDescent="0.25">
      <c r="A127" s="3" t="s">
        <v>13</v>
      </c>
      <c r="B127" s="2">
        <v>3186</v>
      </c>
      <c r="C127" s="3" t="s">
        <v>133</v>
      </c>
      <c r="D127" s="4">
        <v>0</v>
      </c>
      <c r="E127" s="4">
        <v>7.0000000000000009</v>
      </c>
      <c r="F127" s="33">
        <f t="shared" si="6"/>
        <v>172477</v>
      </c>
      <c r="G127" s="1">
        <f t="shared" si="7"/>
        <v>172477</v>
      </c>
      <c r="H127" s="1">
        <f t="shared" si="8"/>
        <v>0</v>
      </c>
      <c r="I127" s="1">
        <f t="shared" si="10"/>
        <v>172477</v>
      </c>
      <c r="J127" s="1">
        <f t="shared" si="9"/>
        <v>0</v>
      </c>
      <c r="K127" s="1"/>
      <c r="L127" s="2">
        <v>2673</v>
      </c>
      <c r="M127">
        <v>157981</v>
      </c>
    </row>
    <row r="128" spans="1:13" x14ac:dyDescent="0.25">
      <c r="A128" s="3" t="s">
        <v>13</v>
      </c>
      <c r="B128" s="2">
        <v>3330</v>
      </c>
      <c r="C128" s="3" t="s">
        <v>134</v>
      </c>
      <c r="D128" s="4">
        <v>0</v>
      </c>
      <c r="E128" s="4">
        <v>1</v>
      </c>
      <c r="F128" s="33">
        <f t="shared" si="6"/>
        <v>17745</v>
      </c>
      <c r="G128" s="1">
        <f t="shared" si="7"/>
        <v>17745</v>
      </c>
      <c r="H128" s="1">
        <f t="shared" si="8"/>
        <v>0</v>
      </c>
      <c r="I128" s="1">
        <f t="shared" si="10"/>
        <v>17745</v>
      </c>
      <c r="J128" s="1">
        <f t="shared" si="9"/>
        <v>0</v>
      </c>
      <c r="K128" s="1"/>
      <c r="L128" s="2">
        <v>2682</v>
      </c>
      <c r="M128">
        <v>163905</v>
      </c>
    </row>
    <row r="129" spans="1:13" x14ac:dyDescent="0.25">
      <c r="A129" s="3" t="s">
        <v>13</v>
      </c>
      <c r="B129" s="2">
        <v>3348</v>
      </c>
      <c r="C129" s="3" t="s">
        <v>135</v>
      </c>
      <c r="D129" s="4">
        <v>3</v>
      </c>
      <c r="E129" s="4">
        <v>1</v>
      </c>
      <c r="F129" s="33">
        <f t="shared" si="6"/>
        <v>104704</v>
      </c>
      <c r="G129" s="1">
        <f t="shared" si="7"/>
        <v>104704</v>
      </c>
      <c r="H129" s="1">
        <f t="shared" si="8"/>
        <v>78528</v>
      </c>
      <c r="I129" s="1">
        <f t="shared" si="10"/>
        <v>26176</v>
      </c>
      <c r="J129" s="1">
        <f t="shared" si="9"/>
        <v>0</v>
      </c>
      <c r="K129" s="1"/>
      <c r="L129" s="2">
        <v>2709</v>
      </c>
      <c r="M129">
        <v>610908</v>
      </c>
    </row>
    <row r="130" spans="1:13" x14ac:dyDescent="0.25">
      <c r="A130" s="3" t="s">
        <v>13</v>
      </c>
      <c r="B130" s="2">
        <v>3375</v>
      </c>
      <c r="C130" s="3" t="s">
        <v>136</v>
      </c>
      <c r="D130" s="4">
        <v>0</v>
      </c>
      <c r="E130" s="4">
        <v>6</v>
      </c>
      <c r="F130" s="33">
        <f t="shared" si="6"/>
        <v>553596</v>
      </c>
      <c r="G130" s="1">
        <f t="shared" si="7"/>
        <v>553596</v>
      </c>
      <c r="H130" s="1">
        <f t="shared" si="8"/>
        <v>0</v>
      </c>
      <c r="I130" s="1">
        <f t="shared" si="10"/>
        <v>553596</v>
      </c>
      <c r="J130" s="1">
        <f t="shared" si="9"/>
        <v>0</v>
      </c>
      <c r="K130" s="1"/>
      <c r="L130" s="2">
        <v>2718</v>
      </c>
      <c r="M130">
        <v>27536</v>
      </c>
    </row>
    <row r="131" spans="1:13" x14ac:dyDescent="0.25">
      <c r="A131" s="3" t="s">
        <v>13</v>
      </c>
      <c r="B131" s="2">
        <v>3420</v>
      </c>
      <c r="C131" s="3" t="s">
        <v>137</v>
      </c>
      <c r="D131" s="4">
        <v>0</v>
      </c>
      <c r="E131" s="4">
        <v>9</v>
      </c>
      <c r="F131" s="33">
        <f t="shared" ref="F131:F194" si="11">INDEX($L$2:$M$336,MATCH(B131,$L$2:$L$336,0),2)</f>
        <v>285007</v>
      </c>
      <c r="G131" s="1">
        <f t="shared" ref="G131:G194" si="12">F131</f>
        <v>285007</v>
      </c>
      <c r="H131" s="1">
        <f t="shared" ref="H131:H194" si="13">ROUND((D131/(D131+E131))*$G131,2)</f>
        <v>0</v>
      </c>
      <c r="I131" s="1">
        <f t="shared" si="10"/>
        <v>285007</v>
      </c>
      <c r="J131" s="1">
        <f t="shared" ref="J131:J194" si="14">H131+I131-G131</f>
        <v>0</v>
      </c>
      <c r="K131" s="1"/>
      <c r="L131" s="2">
        <v>2727</v>
      </c>
      <c r="M131">
        <v>244159</v>
      </c>
    </row>
    <row r="132" spans="1:13" x14ac:dyDescent="0.25">
      <c r="A132" s="3" t="s">
        <v>13</v>
      </c>
      <c r="B132" s="2">
        <v>3465</v>
      </c>
      <c r="C132" s="3" t="s">
        <v>138</v>
      </c>
      <c r="D132" s="4">
        <v>2</v>
      </c>
      <c r="E132" s="4">
        <v>5</v>
      </c>
      <c r="F132" s="33">
        <f t="shared" si="11"/>
        <v>71419</v>
      </c>
      <c r="G132" s="1">
        <f t="shared" si="12"/>
        <v>71419</v>
      </c>
      <c r="H132" s="1">
        <f t="shared" si="13"/>
        <v>20405.43</v>
      </c>
      <c r="I132" s="1">
        <f t="shared" si="10"/>
        <v>51013.57</v>
      </c>
      <c r="J132" s="1">
        <f t="shared" si="14"/>
        <v>0</v>
      </c>
      <c r="K132" s="1"/>
      <c r="L132" s="2">
        <v>2754</v>
      </c>
      <c r="M132">
        <v>165478</v>
      </c>
    </row>
    <row r="133" spans="1:13" x14ac:dyDescent="0.25">
      <c r="A133" s="3" t="s">
        <v>13</v>
      </c>
      <c r="B133" s="2">
        <v>3537</v>
      </c>
      <c r="C133" s="3" t="s">
        <v>139</v>
      </c>
      <c r="D133" s="4">
        <v>4</v>
      </c>
      <c r="E133" s="4">
        <v>4</v>
      </c>
      <c r="F133" s="33">
        <f t="shared" si="11"/>
        <v>122553</v>
      </c>
      <c r="G133" s="1">
        <f t="shared" si="12"/>
        <v>122553</v>
      </c>
      <c r="H133" s="1">
        <f t="shared" si="13"/>
        <v>61276.5</v>
      </c>
      <c r="I133" s="1">
        <f t="shared" si="10"/>
        <v>61276.5</v>
      </c>
      <c r="J133" s="1">
        <f t="shared" si="14"/>
        <v>0</v>
      </c>
      <c r="K133" s="1"/>
      <c r="L133" s="2">
        <v>2763</v>
      </c>
      <c r="M133">
        <v>0</v>
      </c>
    </row>
    <row r="134" spans="1:13" x14ac:dyDescent="0.25">
      <c r="A134" s="3" t="s">
        <v>13</v>
      </c>
      <c r="B134" s="2">
        <v>3555</v>
      </c>
      <c r="C134" s="3" t="s">
        <v>140</v>
      </c>
      <c r="D134" s="4">
        <v>0</v>
      </c>
      <c r="E134" s="4">
        <v>5</v>
      </c>
      <c r="F134" s="33">
        <f t="shared" si="11"/>
        <v>176311</v>
      </c>
      <c r="G134" s="1">
        <f t="shared" si="12"/>
        <v>176311</v>
      </c>
      <c r="H134" s="1">
        <f t="shared" si="13"/>
        <v>0</v>
      </c>
      <c r="I134" s="1">
        <f t="shared" si="10"/>
        <v>176311</v>
      </c>
      <c r="J134" s="1">
        <f t="shared" si="14"/>
        <v>0</v>
      </c>
      <c r="K134" s="1"/>
      <c r="L134" s="2">
        <v>2766</v>
      </c>
      <c r="M134">
        <v>166507</v>
      </c>
    </row>
    <row r="135" spans="1:13" x14ac:dyDescent="0.25">
      <c r="A135" s="3" t="s">
        <v>13</v>
      </c>
      <c r="B135" s="2">
        <v>3609</v>
      </c>
      <c r="C135" s="3" t="s">
        <v>141</v>
      </c>
      <c r="D135" s="4">
        <v>1</v>
      </c>
      <c r="E135" s="4">
        <v>5</v>
      </c>
      <c r="F135" s="33">
        <f t="shared" si="11"/>
        <v>111753</v>
      </c>
      <c r="G135" s="1">
        <f t="shared" si="12"/>
        <v>111753</v>
      </c>
      <c r="H135" s="1">
        <f t="shared" si="13"/>
        <v>18625.5</v>
      </c>
      <c r="I135" s="1">
        <f t="shared" si="10"/>
        <v>93127.5</v>
      </c>
      <c r="J135" s="1">
        <f t="shared" si="14"/>
        <v>0</v>
      </c>
      <c r="K135" s="1"/>
      <c r="L135" s="2">
        <v>2772</v>
      </c>
      <c r="M135">
        <v>86719</v>
      </c>
    </row>
    <row r="136" spans="1:13" x14ac:dyDescent="0.25">
      <c r="A136" s="3" t="s">
        <v>13</v>
      </c>
      <c r="B136" s="2">
        <v>3645</v>
      </c>
      <c r="C136" s="3" t="s">
        <v>142</v>
      </c>
      <c r="D136" s="4">
        <v>0</v>
      </c>
      <c r="E136" s="4">
        <v>6</v>
      </c>
      <c r="F136" s="33">
        <f t="shared" si="11"/>
        <v>627620</v>
      </c>
      <c r="G136" s="1">
        <f t="shared" si="12"/>
        <v>627620</v>
      </c>
      <c r="H136" s="1">
        <f t="shared" si="13"/>
        <v>0</v>
      </c>
      <c r="I136" s="1">
        <f t="shared" si="10"/>
        <v>627620</v>
      </c>
      <c r="J136" s="1">
        <f t="shared" si="14"/>
        <v>0</v>
      </c>
      <c r="K136" s="1"/>
      <c r="L136" s="2">
        <v>2781</v>
      </c>
      <c r="M136">
        <v>166104</v>
      </c>
    </row>
    <row r="137" spans="1:13" x14ac:dyDescent="0.25">
      <c r="A137" s="3" t="s">
        <v>13</v>
      </c>
      <c r="B137" s="2">
        <v>3744</v>
      </c>
      <c r="C137" s="3" t="s">
        <v>143</v>
      </c>
      <c r="D137" s="4">
        <v>0</v>
      </c>
      <c r="E137" s="4">
        <v>5</v>
      </c>
      <c r="F137" s="33">
        <f t="shared" si="11"/>
        <v>185589</v>
      </c>
      <c r="G137" s="1">
        <f t="shared" si="12"/>
        <v>185589</v>
      </c>
      <c r="H137" s="1">
        <f t="shared" si="13"/>
        <v>0</v>
      </c>
      <c r="I137" s="1">
        <f t="shared" si="10"/>
        <v>185589</v>
      </c>
      <c r="J137" s="1">
        <f t="shared" si="14"/>
        <v>0</v>
      </c>
      <c r="K137" s="1"/>
      <c r="L137" s="2">
        <v>2826</v>
      </c>
      <c r="M137">
        <v>583070</v>
      </c>
    </row>
    <row r="138" spans="1:13" x14ac:dyDescent="0.25">
      <c r="A138" s="3" t="s">
        <v>13</v>
      </c>
      <c r="B138" s="2">
        <v>3798</v>
      </c>
      <c r="C138" s="3" t="s">
        <v>144</v>
      </c>
      <c r="D138" s="4">
        <v>0</v>
      </c>
      <c r="E138" s="4">
        <v>7.0000000000000009</v>
      </c>
      <c r="F138" s="33">
        <f t="shared" si="11"/>
        <v>144666</v>
      </c>
      <c r="G138" s="1">
        <f t="shared" si="12"/>
        <v>144666</v>
      </c>
      <c r="H138" s="1">
        <f t="shared" si="13"/>
        <v>0</v>
      </c>
      <c r="I138" s="1">
        <f t="shared" si="10"/>
        <v>144666</v>
      </c>
      <c r="J138" s="1">
        <f t="shared" si="14"/>
        <v>0</v>
      </c>
      <c r="K138" s="1"/>
      <c r="L138" s="2">
        <v>2834</v>
      </c>
      <c r="M138">
        <v>138725</v>
      </c>
    </row>
    <row r="139" spans="1:13" x14ac:dyDescent="0.25">
      <c r="A139" s="3" t="s">
        <v>13</v>
      </c>
      <c r="B139" s="2">
        <v>3816</v>
      </c>
      <c r="C139" s="3" t="s">
        <v>145</v>
      </c>
      <c r="D139" s="4">
        <v>0</v>
      </c>
      <c r="E139" s="4">
        <v>9</v>
      </c>
      <c r="F139" s="33">
        <f t="shared" si="11"/>
        <v>213646</v>
      </c>
      <c r="G139" s="1">
        <f t="shared" si="12"/>
        <v>213646</v>
      </c>
      <c r="H139" s="1">
        <f t="shared" si="13"/>
        <v>0</v>
      </c>
      <c r="I139" s="1">
        <f t="shared" si="10"/>
        <v>213646</v>
      </c>
      <c r="J139" s="1">
        <f t="shared" si="14"/>
        <v>0</v>
      </c>
      <c r="K139" s="1"/>
      <c r="L139" s="2">
        <v>2846</v>
      </c>
      <c r="M139">
        <v>0</v>
      </c>
    </row>
    <row r="140" spans="1:13" x14ac:dyDescent="0.25">
      <c r="A140" s="3" t="s">
        <v>13</v>
      </c>
      <c r="B140" s="2">
        <v>3841</v>
      </c>
      <c r="C140" s="3" t="s">
        <v>146</v>
      </c>
      <c r="D140" s="4">
        <v>0</v>
      </c>
      <c r="E140" s="4">
        <v>9</v>
      </c>
      <c r="F140" s="33">
        <f t="shared" si="11"/>
        <v>345027</v>
      </c>
      <c r="G140" s="1">
        <f t="shared" si="12"/>
        <v>345027</v>
      </c>
      <c r="H140" s="1">
        <f t="shared" si="13"/>
        <v>0</v>
      </c>
      <c r="I140" s="1">
        <f t="shared" si="10"/>
        <v>345027</v>
      </c>
      <c r="J140" s="1">
        <f t="shared" si="14"/>
        <v>0</v>
      </c>
      <c r="K140" s="1"/>
      <c r="L140" s="2">
        <v>2862</v>
      </c>
      <c r="M140">
        <v>268720</v>
      </c>
    </row>
    <row r="141" spans="1:13" x14ac:dyDescent="0.25">
      <c r="A141" s="3" t="s">
        <v>13</v>
      </c>
      <c r="B141" s="2">
        <v>3897</v>
      </c>
      <c r="C141" s="3" t="s">
        <v>147</v>
      </c>
      <c r="D141" s="4">
        <v>0</v>
      </c>
      <c r="E141" s="4">
        <v>13</v>
      </c>
      <c r="F141" s="33">
        <f t="shared" si="11"/>
        <v>125694</v>
      </c>
      <c r="G141" s="1">
        <f t="shared" si="12"/>
        <v>125694</v>
      </c>
      <c r="H141" s="1">
        <f t="shared" si="13"/>
        <v>0</v>
      </c>
      <c r="I141" s="1">
        <f t="shared" si="10"/>
        <v>125694</v>
      </c>
      <c r="J141" s="1">
        <f t="shared" si="14"/>
        <v>0</v>
      </c>
      <c r="K141" s="1"/>
      <c r="L141" s="2">
        <v>2977</v>
      </c>
      <c r="M141">
        <v>312056</v>
      </c>
    </row>
    <row r="142" spans="1:13" x14ac:dyDescent="0.25">
      <c r="A142" s="3" t="s">
        <v>13</v>
      </c>
      <c r="B142" s="2">
        <v>3906</v>
      </c>
      <c r="C142" s="3" t="s">
        <v>148</v>
      </c>
      <c r="D142" s="4">
        <v>2</v>
      </c>
      <c r="E142" s="4">
        <v>6</v>
      </c>
      <c r="F142" s="33">
        <f t="shared" si="11"/>
        <v>285277</v>
      </c>
      <c r="G142" s="1">
        <f t="shared" si="12"/>
        <v>285277</v>
      </c>
      <c r="H142" s="1">
        <f t="shared" si="13"/>
        <v>71319.25</v>
      </c>
      <c r="I142" s="1">
        <f t="shared" si="10"/>
        <v>213957.75</v>
      </c>
      <c r="J142" s="1">
        <f t="shared" si="14"/>
        <v>0</v>
      </c>
      <c r="K142" s="1"/>
      <c r="L142" s="2">
        <v>2988</v>
      </c>
      <c r="M142">
        <v>263039</v>
      </c>
    </row>
    <row r="143" spans="1:13" x14ac:dyDescent="0.25">
      <c r="A143" s="3" t="s">
        <v>13</v>
      </c>
      <c r="B143" s="2">
        <v>3942</v>
      </c>
      <c r="C143" s="3" t="s">
        <v>149</v>
      </c>
      <c r="D143" s="4">
        <v>0</v>
      </c>
      <c r="E143" s="4">
        <v>2</v>
      </c>
      <c r="F143" s="33">
        <f t="shared" si="11"/>
        <v>75812</v>
      </c>
      <c r="G143" s="1">
        <f t="shared" si="12"/>
        <v>75812</v>
      </c>
      <c r="H143" s="1">
        <f t="shared" si="13"/>
        <v>0</v>
      </c>
      <c r="I143" s="1">
        <f t="shared" si="10"/>
        <v>75812</v>
      </c>
      <c r="J143" s="1">
        <f t="shared" si="14"/>
        <v>0</v>
      </c>
      <c r="K143" s="1"/>
      <c r="L143" s="2">
        <v>3029</v>
      </c>
      <c r="M143">
        <v>385379</v>
      </c>
    </row>
    <row r="144" spans="1:13" x14ac:dyDescent="0.25">
      <c r="A144" s="3" t="s">
        <v>13</v>
      </c>
      <c r="B144" s="2">
        <v>4023</v>
      </c>
      <c r="C144" s="3" t="s">
        <v>150</v>
      </c>
      <c r="D144" s="4">
        <v>0</v>
      </c>
      <c r="E144" s="4">
        <v>7.0000000000000009</v>
      </c>
      <c r="F144" s="33">
        <f t="shared" si="11"/>
        <v>322508</v>
      </c>
      <c r="G144" s="1">
        <f t="shared" si="12"/>
        <v>322508</v>
      </c>
      <c r="H144" s="1">
        <f t="shared" si="13"/>
        <v>0</v>
      </c>
      <c r="I144" s="1">
        <f t="shared" si="10"/>
        <v>322508</v>
      </c>
      <c r="J144" s="1">
        <f t="shared" si="14"/>
        <v>0</v>
      </c>
      <c r="K144" s="1"/>
      <c r="L144" s="2">
        <v>3033</v>
      </c>
      <c r="M144">
        <v>0</v>
      </c>
    </row>
    <row r="145" spans="1:13" x14ac:dyDescent="0.25">
      <c r="A145" s="3" t="s">
        <v>13</v>
      </c>
      <c r="B145" s="2">
        <v>4033</v>
      </c>
      <c r="C145" s="3" t="s">
        <v>151</v>
      </c>
      <c r="D145" s="4">
        <v>0</v>
      </c>
      <c r="E145" s="4">
        <v>2</v>
      </c>
      <c r="F145" s="33">
        <f t="shared" si="11"/>
        <v>71756</v>
      </c>
      <c r="G145" s="1">
        <f t="shared" si="12"/>
        <v>71756</v>
      </c>
      <c r="H145" s="1">
        <f t="shared" si="13"/>
        <v>0</v>
      </c>
      <c r="I145" s="1">
        <f t="shared" si="10"/>
        <v>71756</v>
      </c>
      <c r="J145" s="1">
        <f t="shared" si="14"/>
        <v>0</v>
      </c>
      <c r="K145" s="1"/>
      <c r="L145" s="2">
        <v>3042</v>
      </c>
      <c r="M145">
        <v>85480</v>
      </c>
    </row>
    <row r="146" spans="1:13" x14ac:dyDescent="0.25">
      <c r="A146" s="3" t="s">
        <v>13</v>
      </c>
      <c r="B146" s="2">
        <v>4041</v>
      </c>
      <c r="C146" s="3" t="s">
        <v>152</v>
      </c>
      <c r="D146" s="4">
        <v>0</v>
      </c>
      <c r="E146" s="4">
        <v>10</v>
      </c>
      <c r="F146" s="33">
        <f t="shared" si="11"/>
        <v>704840</v>
      </c>
      <c r="G146" s="1">
        <f t="shared" si="12"/>
        <v>704840</v>
      </c>
      <c r="H146" s="1">
        <f t="shared" si="13"/>
        <v>0</v>
      </c>
      <c r="I146" s="1">
        <f t="shared" si="10"/>
        <v>704840</v>
      </c>
      <c r="J146" s="1">
        <f t="shared" si="14"/>
        <v>0</v>
      </c>
      <c r="K146" s="1"/>
      <c r="L146" s="2">
        <v>3060</v>
      </c>
      <c r="M146">
        <v>411657</v>
      </c>
    </row>
    <row r="147" spans="1:13" x14ac:dyDescent="0.25">
      <c r="A147" s="3" t="s">
        <v>13</v>
      </c>
      <c r="B147" s="2">
        <v>4068</v>
      </c>
      <c r="C147" s="3" t="s">
        <v>153</v>
      </c>
      <c r="D147" s="4">
        <v>0</v>
      </c>
      <c r="E147" s="4">
        <v>8</v>
      </c>
      <c r="F147" s="33">
        <f t="shared" si="11"/>
        <v>228296</v>
      </c>
      <c r="G147" s="1">
        <f t="shared" si="12"/>
        <v>228296</v>
      </c>
      <c r="H147" s="1">
        <f t="shared" si="13"/>
        <v>0</v>
      </c>
      <c r="I147" s="1">
        <f t="shared" si="10"/>
        <v>228296</v>
      </c>
      <c r="J147" s="1">
        <f t="shared" si="14"/>
        <v>0</v>
      </c>
      <c r="K147" s="1"/>
      <c r="L147" s="2">
        <v>3105</v>
      </c>
      <c r="M147">
        <v>623663</v>
      </c>
    </row>
    <row r="148" spans="1:13" x14ac:dyDescent="0.25">
      <c r="A148" s="3" t="s">
        <v>13</v>
      </c>
      <c r="B148" s="2">
        <v>4086</v>
      </c>
      <c r="C148" s="3" t="s">
        <v>154</v>
      </c>
      <c r="D148" s="4">
        <v>4</v>
      </c>
      <c r="E148" s="4">
        <v>0</v>
      </c>
      <c r="F148" s="33">
        <f t="shared" si="11"/>
        <v>520534</v>
      </c>
      <c r="G148" s="1">
        <f t="shared" si="12"/>
        <v>520534</v>
      </c>
      <c r="H148" s="1">
        <f t="shared" si="13"/>
        <v>520534</v>
      </c>
      <c r="I148" s="1">
        <f t="shared" si="10"/>
        <v>0</v>
      </c>
      <c r="J148" s="1">
        <f t="shared" si="14"/>
        <v>0</v>
      </c>
      <c r="K148" s="1"/>
      <c r="L148" s="2">
        <v>3114</v>
      </c>
      <c r="M148">
        <v>1073134</v>
      </c>
    </row>
    <row r="149" spans="1:13" x14ac:dyDescent="0.25">
      <c r="A149" s="3" t="s">
        <v>13</v>
      </c>
      <c r="B149" s="2">
        <v>4122</v>
      </c>
      <c r="C149" s="3" t="s">
        <v>155</v>
      </c>
      <c r="D149" s="4">
        <v>0</v>
      </c>
      <c r="E149" s="4">
        <v>1</v>
      </c>
      <c r="F149" s="33">
        <f t="shared" si="11"/>
        <v>33788</v>
      </c>
      <c r="G149" s="1">
        <f t="shared" si="12"/>
        <v>33788</v>
      </c>
      <c r="H149" s="1">
        <f t="shared" si="13"/>
        <v>0</v>
      </c>
      <c r="I149" s="1">
        <f t="shared" si="10"/>
        <v>33788</v>
      </c>
      <c r="J149" s="1">
        <f t="shared" si="14"/>
        <v>0</v>
      </c>
      <c r="K149" s="1"/>
      <c r="L149" s="2">
        <v>3119</v>
      </c>
      <c r="M149">
        <v>0</v>
      </c>
    </row>
    <row r="150" spans="1:13" x14ac:dyDescent="0.25">
      <c r="A150" s="3" t="s">
        <v>13</v>
      </c>
      <c r="B150" s="2">
        <v>4131</v>
      </c>
      <c r="C150" s="3" t="s">
        <v>156</v>
      </c>
      <c r="D150" s="4">
        <v>0</v>
      </c>
      <c r="E150" s="4">
        <v>7.0000000000000009</v>
      </c>
      <c r="F150" s="33">
        <f t="shared" si="11"/>
        <v>1822502</v>
      </c>
      <c r="G150" s="1">
        <f t="shared" si="12"/>
        <v>1822502</v>
      </c>
      <c r="H150" s="1">
        <f t="shared" si="13"/>
        <v>0</v>
      </c>
      <c r="I150" s="1">
        <f t="shared" si="10"/>
        <v>1822502</v>
      </c>
      <c r="J150" s="1">
        <f t="shared" si="14"/>
        <v>0</v>
      </c>
      <c r="K150" s="1"/>
      <c r="L150" s="2">
        <v>3141</v>
      </c>
      <c r="M150">
        <v>6810977</v>
      </c>
    </row>
    <row r="151" spans="1:13" x14ac:dyDescent="0.25">
      <c r="A151" s="3" t="s">
        <v>13</v>
      </c>
      <c r="B151" s="2">
        <v>4203</v>
      </c>
      <c r="C151" s="3" t="s">
        <v>157</v>
      </c>
      <c r="D151" s="4">
        <v>3</v>
      </c>
      <c r="E151" s="4">
        <v>4</v>
      </c>
      <c r="F151" s="33">
        <f t="shared" si="11"/>
        <v>347385</v>
      </c>
      <c r="G151" s="1">
        <f t="shared" si="12"/>
        <v>347385</v>
      </c>
      <c r="H151" s="1">
        <f t="shared" si="13"/>
        <v>148879.29</v>
      </c>
      <c r="I151" s="1">
        <f t="shared" si="10"/>
        <v>198505.71</v>
      </c>
      <c r="J151" s="1">
        <f t="shared" si="14"/>
        <v>0</v>
      </c>
      <c r="K151" s="1"/>
      <c r="L151" s="2">
        <v>3150</v>
      </c>
      <c r="M151">
        <v>503711</v>
      </c>
    </row>
    <row r="152" spans="1:13" x14ac:dyDescent="0.25">
      <c r="A152" s="3" t="s">
        <v>13</v>
      </c>
      <c r="B152" s="2">
        <v>4212</v>
      </c>
      <c r="C152" s="3" t="s">
        <v>158</v>
      </c>
      <c r="D152" s="4">
        <v>0</v>
      </c>
      <c r="E152" s="4">
        <v>1</v>
      </c>
      <c r="F152" s="33">
        <f t="shared" si="11"/>
        <v>10868</v>
      </c>
      <c r="G152" s="1">
        <f t="shared" si="12"/>
        <v>10868</v>
      </c>
      <c r="H152" s="1">
        <f t="shared" si="13"/>
        <v>0</v>
      </c>
      <c r="I152" s="1">
        <f t="shared" si="10"/>
        <v>10868</v>
      </c>
      <c r="J152" s="1">
        <f t="shared" si="14"/>
        <v>0</v>
      </c>
      <c r="K152" s="1"/>
      <c r="L152" s="2">
        <v>3154</v>
      </c>
      <c r="M152">
        <v>426916</v>
      </c>
    </row>
    <row r="153" spans="1:13" x14ac:dyDescent="0.25">
      <c r="A153" s="3" t="s">
        <v>13</v>
      </c>
      <c r="B153" s="2">
        <v>4419</v>
      </c>
      <c r="C153" s="3" t="s">
        <v>159</v>
      </c>
      <c r="D153" s="4">
        <v>5</v>
      </c>
      <c r="E153" s="4">
        <v>5</v>
      </c>
      <c r="F153" s="33">
        <f t="shared" si="11"/>
        <v>342341</v>
      </c>
      <c r="G153" s="1">
        <f t="shared" si="12"/>
        <v>342341</v>
      </c>
      <c r="H153" s="1">
        <f t="shared" si="13"/>
        <v>171170.5</v>
      </c>
      <c r="I153" s="1">
        <f t="shared" si="10"/>
        <v>171170.5</v>
      </c>
      <c r="J153" s="1">
        <f t="shared" si="14"/>
        <v>0</v>
      </c>
      <c r="K153" s="1"/>
      <c r="L153" s="2">
        <v>3168</v>
      </c>
      <c r="M153">
        <v>358100</v>
      </c>
    </row>
    <row r="154" spans="1:13" x14ac:dyDescent="0.25">
      <c r="A154" s="3" t="s">
        <v>13</v>
      </c>
      <c r="B154" s="2">
        <v>4271</v>
      </c>
      <c r="C154" s="3" t="s">
        <v>160</v>
      </c>
      <c r="D154" s="4">
        <v>6</v>
      </c>
      <c r="E154" s="4">
        <v>8</v>
      </c>
      <c r="F154" s="33">
        <f t="shared" si="11"/>
        <v>1073575</v>
      </c>
      <c r="G154" s="1">
        <f t="shared" si="12"/>
        <v>1073575</v>
      </c>
      <c r="H154" s="1">
        <f t="shared" si="13"/>
        <v>460103.57</v>
      </c>
      <c r="I154" s="1">
        <f t="shared" si="10"/>
        <v>613471.42999999993</v>
      </c>
      <c r="J154" s="1">
        <f t="shared" si="14"/>
        <v>0</v>
      </c>
      <c r="K154" s="1"/>
      <c r="L154" s="2">
        <v>3186</v>
      </c>
      <c r="M154">
        <v>172477</v>
      </c>
    </row>
    <row r="155" spans="1:13" x14ac:dyDescent="0.25">
      <c r="A155" s="3" t="s">
        <v>13</v>
      </c>
      <c r="B155" s="2">
        <v>4269</v>
      </c>
      <c r="C155" s="3" t="s">
        <v>161</v>
      </c>
      <c r="D155" s="4">
        <v>0</v>
      </c>
      <c r="E155" s="4">
        <v>12</v>
      </c>
      <c r="F155" s="33">
        <f t="shared" si="11"/>
        <v>287883</v>
      </c>
      <c r="G155" s="1">
        <f t="shared" si="12"/>
        <v>287883</v>
      </c>
      <c r="H155" s="1">
        <f t="shared" si="13"/>
        <v>0</v>
      </c>
      <c r="I155" s="1">
        <f t="shared" si="10"/>
        <v>287883</v>
      </c>
      <c r="J155" s="1">
        <f t="shared" si="14"/>
        <v>0</v>
      </c>
      <c r="K155" s="1"/>
      <c r="L155" s="2">
        <v>3195</v>
      </c>
      <c r="M155">
        <v>754936</v>
      </c>
    </row>
    <row r="156" spans="1:13" x14ac:dyDescent="0.25">
      <c r="A156" s="3" t="s">
        <v>13</v>
      </c>
      <c r="B156" s="2">
        <v>4356</v>
      </c>
      <c r="C156" s="3" t="s">
        <v>162</v>
      </c>
      <c r="D156" s="4">
        <v>0</v>
      </c>
      <c r="E156" s="4">
        <v>7.0000000000000009</v>
      </c>
      <c r="F156" s="33">
        <f t="shared" si="11"/>
        <v>216793</v>
      </c>
      <c r="G156" s="1">
        <f t="shared" si="12"/>
        <v>216793</v>
      </c>
      <c r="H156" s="1">
        <f t="shared" si="13"/>
        <v>0</v>
      </c>
      <c r="I156" s="1">
        <f t="shared" si="10"/>
        <v>216793</v>
      </c>
      <c r="J156" s="1">
        <f t="shared" si="14"/>
        <v>0</v>
      </c>
      <c r="K156" s="1"/>
      <c r="L156" s="2">
        <v>3204</v>
      </c>
      <c r="M156">
        <v>0</v>
      </c>
    </row>
    <row r="157" spans="1:13" x14ac:dyDescent="0.25">
      <c r="A157" s="3" t="s">
        <v>13</v>
      </c>
      <c r="B157" s="2">
        <v>4149</v>
      </c>
      <c r="C157" s="3" t="s">
        <v>163</v>
      </c>
      <c r="D157" s="4">
        <v>0</v>
      </c>
      <c r="E157" s="4">
        <v>5</v>
      </c>
      <c r="F157" s="33">
        <f t="shared" si="11"/>
        <v>539157</v>
      </c>
      <c r="G157" s="1">
        <f t="shared" si="12"/>
        <v>539157</v>
      </c>
      <c r="H157" s="1">
        <f t="shared" si="13"/>
        <v>0</v>
      </c>
      <c r="I157" s="1">
        <f t="shared" si="10"/>
        <v>539157</v>
      </c>
      <c r="J157" s="1">
        <f t="shared" si="14"/>
        <v>0</v>
      </c>
      <c r="K157" s="1"/>
      <c r="L157" s="2">
        <v>3231</v>
      </c>
      <c r="M157">
        <v>0</v>
      </c>
    </row>
    <row r="158" spans="1:13" x14ac:dyDescent="0.25">
      <c r="A158" s="3" t="s">
        <v>13</v>
      </c>
      <c r="B158" s="2">
        <v>4437</v>
      </c>
      <c r="C158" s="3" t="s">
        <v>164</v>
      </c>
      <c r="D158" s="4">
        <v>0</v>
      </c>
      <c r="E158" s="4">
        <v>8</v>
      </c>
      <c r="F158" s="33">
        <f t="shared" si="11"/>
        <v>233784</v>
      </c>
      <c r="G158" s="1">
        <f t="shared" si="12"/>
        <v>233784</v>
      </c>
      <c r="H158" s="1">
        <f t="shared" si="13"/>
        <v>0</v>
      </c>
      <c r="I158" s="1">
        <f t="shared" si="10"/>
        <v>233784</v>
      </c>
      <c r="J158" s="1">
        <f t="shared" si="14"/>
        <v>0</v>
      </c>
      <c r="K158" s="1"/>
      <c r="L158" s="2">
        <v>3312</v>
      </c>
      <c r="M158">
        <v>0</v>
      </c>
    </row>
    <row r="159" spans="1:13" x14ac:dyDescent="0.25">
      <c r="A159" s="3" t="s">
        <v>13</v>
      </c>
      <c r="B159" s="2">
        <v>4446</v>
      </c>
      <c r="C159" s="3" t="s">
        <v>165</v>
      </c>
      <c r="D159" s="4">
        <v>0</v>
      </c>
      <c r="E159" s="4">
        <v>5</v>
      </c>
      <c r="F159" s="33">
        <f t="shared" si="11"/>
        <v>286296</v>
      </c>
      <c r="G159" s="1">
        <f t="shared" si="12"/>
        <v>286296</v>
      </c>
      <c r="H159" s="1">
        <f t="shared" si="13"/>
        <v>0</v>
      </c>
      <c r="I159" s="1">
        <f t="shared" si="10"/>
        <v>286296</v>
      </c>
      <c r="J159" s="1">
        <f t="shared" si="14"/>
        <v>0</v>
      </c>
      <c r="K159" s="1"/>
      <c r="L159" s="2">
        <v>3330</v>
      </c>
      <c r="M159">
        <v>17745</v>
      </c>
    </row>
    <row r="160" spans="1:13" x14ac:dyDescent="0.25">
      <c r="A160" s="3" t="s">
        <v>13</v>
      </c>
      <c r="B160" s="2">
        <v>4491</v>
      </c>
      <c r="C160" s="3" t="s">
        <v>166</v>
      </c>
      <c r="D160" s="4">
        <v>0</v>
      </c>
      <c r="E160" s="4">
        <v>12</v>
      </c>
      <c r="F160" s="33">
        <f t="shared" si="11"/>
        <v>149783</v>
      </c>
      <c r="G160" s="1">
        <f t="shared" si="12"/>
        <v>149783</v>
      </c>
      <c r="H160" s="1">
        <f t="shared" si="13"/>
        <v>0</v>
      </c>
      <c r="I160" s="1">
        <f t="shared" si="10"/>
        <v>149783</v>
      </c>
      <c r="J160" s="1">
        <f t="shared" si="14"/>
        <v>0</v>
      </c>
      <c r="K160" s="1"/>
      <c r="L160" s="2">
        <v>3348</v>
      </c>
      <c r="M160">
        <v>104704</v>
      </c>
    </row>
    <row r="161" spans="1:13" x14ac:dyDescent="0.25">
      <c r="A161" s="3" t="s">
        <v>13</v>
      </c>
      <c r="B161" s="2">
        <v>4505</v>
      </c>
      <c r="C161" s="3" t="s">
        <v>167</v>
      </c>
      <c r="D161" s="4">
        <v>0</v>
      </c>
      <c r="E161" s="4">
        <v>11</v>
      </c>
      <c r="F161" s="33">
        <f t="shared" si="11"/>
        <v>114341</v>
      </c>
      <c r="G161" s="1">
        <f t="shared" si="12"/>
        <v>114341</v>
      </c>
      <c r="H161" s="1">
        <f t="shared" si="13"/>
        <v>0</v>
      </c>
      <c r="I161" s="1">
        <f t="shared" si="10"/>
        <v>114341</v>
      </c>
      <c r="J161" s="1">
        <f t="shared" si="14"/>
        <v>0</v>
      </c>
      <c r="K161" s="1"/>
      <c r="L161" s="2">
        <v>3375</v>
      </c>
      <c r="M161">
        <v>553596</v>
      </c>
    </row>
    <row r="162" spans="1:13" x14ac:dyDescent="0.25">
      <c r="A162" s="3" t="s">
        <v>13</v>
      </c>
      <c r="B162" s="2">
        <v>4509</v>
      </c>
      <c r="C162" s="3" t="s">
        <v>168</v>
      </c>
      <c r="D162" s="4">
        <v>0</v>
      </c>
      <c r="E162" s="4">
        <v>7.0000000000000009</v>
      </c>
      <c r="F162" s="33">
        <f t="shared" si="11"/>
        <v>75728</v>
      </c>
      <c r="G162" s="1">
        <f t="shared" si="12"/>
        <v>75728</v>
      </c>
      <c r="H162" s="1">
        <f t="shared" si="13"/>
        <v>0</v>
      </c>
      <c r="I162" s="1">
        <f t="shared" si="10"/>
        <v>75728</v>
      </c>
      <c r="J162" s="1">
        <f t="shared" si="14"/>
        <v>0</v>
      </c>
      <c r="K162" s="1"/>
      <c r="L162" s="2">
        <v>3411</v>
      </c>
      <c r="M162">
        <v>0</v>
      </c>
    </row>
    <row r="163" spans="1:13" x14ac:dyDescent="0.25">
      <c r="A163" s="3" t="s">
        <v>13</v>
      </c>
      <c r="B163" s="2">
        <v>4518</v>
      </c>
      <c r="C163" s="3" t="s">
        <v>169</v>
      </c>
      <c r="D163" s="4">
        <v>0</v>
      </c>
      <c r="E163" s="4">
        <v>12</v>
      </c>
      <c r="F163" s="33">
        <f t="shared" si="11"/>
        <v>87037</v>
      </c>
      <c r="G163" s="1">
        <f t="shared" si="12"/>
        <v>87037</v>
      </c>
      <c r="H163" s="1">
        <f t="shared" si="13"/>
        <v>0</v>
      </c>
      <c r="I163" s="1">
        <f t="shared" si="10"/>
        <v>87037</v>
      </c>
      <c r="J163" s="1">
        <f t="shared" si="14"/>
        <v>0</v>
      </c>
      <c r="K163" s="1"/>
      <c r="L163" s="2">
        <v>3420</v>
      </c>
      <c r="M163">
        <v>285007</v>
      </c>
    </row>
    <row r="164" spans="1:13" x14ac:dyDescent="0.25">
      <c r="A164" s="3" t="s">
        <v>13</v>
      </c>
      <c r="B164" s="2">
        <v>4527</v>
      </c>
      <c r="C164" s="3" t="s">
        <v>170</v>
      </c>
      <c r="D164" s="4">
        <v>0</v>
      </c>
      <c r="E164" s="4">
        <v>6</v>
      </c>
      <c r="F164" s="33">
        <f t="shared" si="11"/>
        <v>174666</v>
      </c>
      <c r="G164" s="1">
        <f t="shared" si="12"/>
        <v>174666</v>
      </c>
      <c r="H164" s="1">
        <f t="shared" si="13"/>
        <v>0</v>
      </c>
      <c r="I164" s="1">
        <f t="shared" si="10"/>
        <v>174666</v>
      </c>
      <c r="J164" s="1">
        <f t="shared" si="14"/>
        <v>0</v>
      </c>
      <c r="K164" s="1"/>
      <c r="L164" s="2">
        <v>3465</v>
      </c>
      <c r="M164">
        <v>71419</v>
      </c>
    </row>
    <row r="165" spans="1:13" x14ac:dyDescent="0.25">
      <c r="A165" s="3" t="s">
        <v>13</v>
      </c>
      <c r="B165" s="2">
        <v>4536</v>
      </c>
      <c r="C165" s="3" t="s">
        <v>171</v>
      </c>
      <c r="D165" s="4">
        <v>0</v>
      </c>
      <c r="E165" s="4">
        <v>5</v>
      </c>
      <c r="F165" s="33">
        <f t="shared" si="11"/>
        <v>467389</v>
      </c>
      <c r="G165" s="1">
        <f t="shared" si="12"/>
        <v>467389</v>
      </c>
      <c r="H165" s="1">
        <f t="shared" si="13"/>
        <v>0</v>
      </c>
      <c r="I165" s="1">
        <f t="shared" si="10"/>
        <v>467389</v>
      </c>
      <c r="J165" s="1">
        <f t="shared" si="14"/>
        <v>0</v>
      </c>
      <c r="K165" s="1"/>
      <c r="L165" s="2">
        <v>3537</v>
      </c>
      <c r="M165">
        <v>122553</v>
      </c>
    </row>
    <row r="166" spans="1:13" x14ac:dyDescent="0.25">
      <c r="A166" s="3" t="s">
        <v>13</v>
      </c>
      <c r="B166" s="2">
        <v>4554</v>
      </c>
      <c r="C166" s="3" t="s">
        <v>172</v>
      </c>
      <c r="D166" s="4">
        <v>0</v>
      </c>
      <c r="E166" s="4">
        <v>6</v>
      </c>
      <c r="F166" s="33">
        <f t="shared" si="11"/>
        <v>451102</v>
      </c>
      <c r="G166" s="1">
        <f t="shared" si="12"/>
        <v>451102</v>
      </c>
      <c r="H166" s="1">
        <f t="shared" si="13"/>
        <v>0</v>
      </c>
      <c r="I166" s="1">
        <f t="shared" si="10"/>
        <v>451102</v>
      </c>
      <c r="J166" s="1">
        <f t="shared" si="14"/>
        <v>0</v>
      </c>
      <c r="K166" s="1"/>
      <c r="L166" s="2">
        <v>3555</v>
      </c>
      <c r="M166">
        <v>176311</v>
      </c>
    </row>
    <row r="167" spans="1:13" x14ac:dyDescent="0.25">
      <c r="A167" s="3" t="s">
        <v>13</v>
      </c>
      <c r="B167" s="2">
        <v>4572</v>
      </c>
      <c r="C167" s="3" t="s">
        <v>173</v>
      </c>
      <c r="D167" s="4">
        <v>0</v>
      </c>
      <c r="E167" s="4">
        <v>13</v>
      </c>
      <c r="F167" s="33">
        <f t="shared" si="11"/>
        <v>127348</v>
      </c>
      <c r="G167" s="1">
        <f t="shared" si="12"/>
        <v>127348</v>
      </c>
      <c r="H167" s="1">
        <f t="shared" si="13"/>
        <v>0</v>
      </c>
      <c r="I167" s="1">
        <f t="shared" si="10"/>
        <v>127348</v>
      </c>
      <c r="J167" s="1">
        <f t="shared" si="14"/>
        <v>0</v>
      </c>
      <c r="K167" s="1"/>
      <c r="L167" s="2">
        <v>3582</v>
      </c>
      <c r="M167">
        <v>293389</v>
      </c>
    </row>
    <row r="168" spans="1:13" x14ac:dyDescent="0.25">
      <c r="A168" s="3" t="s">
        <v>13</v>
      </c>
      <c r="B168" s="2">
        <v>4581</v>
      </c>
      <c r="C168" s="3" t="s">
        <v>174</v>
      </c>
      <c r="D168" s="4">
        <v>0</v>
      </c>
      <c r="E168" s="4">
        <v>1</v>
      </c>
      <c r="F168" s="33">
        <f t="shared" si="11"/>
        <v>292111</v>
      </c>
      <c r="G168" s="1">
        <f t="shared" si="12"/>
        <v>292111</v>
      </c>
      <c r="H168" s="1">
        <f t="shared" si="13"/>
        <v>0</v>
      </c>
      <c r="I168" s="1">
        <f t="shared" si="10"/>
        <v>292111</v>
      </c>
      <c r="J168" s="1">
        <f t="shared" si="14"/>
        <v>0</v>
      </c>
      <c r="K168" s="1"/>
      <c r="L168" s="2">
        <v>3600</v>
      </c>
      <c r="M168">
        <v>0</v>
      </c>
    </row>
    <row r="169" spans="1:13" x14ac:dyDescent="0.25">
      <c r="A169" s="3" t="s">
        <v>13</v>
      </c>
      <c r="B169" s="2">
        <v>4599</v>
      </c>
      <c r="C169" s="3" t="s">
        <v>175</v>
      </c>
      <c r="D169" s="4">
        <v>0</v>
      </c>
      <c r="E169" s="4">
        <v>9</v>
      </c>
      <c r="F169" s="33">
        <f t="shared" si="11"/>
        <v>299192</v>
      </c>
      <c r="G169" s="1">
        <f t="shared" si="12"/>
        <v>299192</v>
      </c>
      <c r="H169" s="1">
        <f t="shared" si="13"/>
        <v>0</v>
      </c>
      <c r="I169" s="1">
        <f t="shared" si="10"/>
        <v>299192</v>
      </c>
      <c r="J169" s="1">
        <f t="shared" si="14"/>
        <v>0</v>
      </c>
      <c r="K169" s="1"/>
      <c r="L169" s="2">
        <v>3609</v>
      </c>
      <c r="M169">
        <v>111753</v>
      </c>
    </row>
    <row r="170" spans="1:13" x14ac:dyDescent="0.25">
      <c r="A170" s="3" t="s">
        <v>13</v>
      </c>
      <c r="B170" s="2">
        <v>4617</v>
      </c>
      <c r="C170" s="3" t="s">
        <v>176</v>
      </c>
      <c r="D170" s="4">
        <v>0</v>
      </c>
      <c r="E170" s="4">
        <v>5</v>
      </c>
      <c r="F170" s="33">
        <f t="shared" si="11"/>
        <v>445837</v>
      </c>
      <c r="G170" s="1">
        <f t="shared" si="12"/>
        <v>445837</v>
      </c>
      <c r="H170" s="1">
        <f t="shared" si="13"/>
        <v>0</v>
      </c>
      <c r="I170" s="1">
        <f t="shared" si="10"/>
        <v>445837</v>
      </c>
      <c r="J170" s="1">
        <f t="shared" si="14"/>
        <v>0</v>
      </c>
      <c r="K170" s="1"/>
      <c r="L170" s="2">
        <v>3645</v>
      </c>
      <c r="M170">
        <v>627620</v>
      </c>
    </row>
    <row r="171" spans="1:13" x14ac:dyDescent="0.25">
      <c r="A171" s="3" t="s">
        <v>13</v>
      </c>
      <c r="B171" s="2">
        <v>4662</v>
      </c>
      <c r="C171" s="3" t="s">
        <v>177</v>
      </c>
      <c r="D171" s="4">
        <v>0</v>
      </c>
      <c r="E171" s="4">
        <v>7.0000000000000009</v>
      </c>
      <c r="F171" s="33">
        <f t="shared" si="11"/>
        <v>496524</v>
      </c>
      <c r="G171" s="1">
        <f t="shared" si="12"/>
        <v>496524</v>
      </c>
      <c r="H171" s="1">
        <f t="shared" si="13"/>
        <v>0</v>
      </c>
      <c r="I171" s="1">
        <f t="shared" si="10"/>
        <v>496524</v>
      </c>
      <c r="J171" s="1">
        <f t="shared" si="14"/>
        <v>0</v>
      </c>
      <c r="K171" s="1"/>
      <c r="L171" s="2">
        <v>3691</v>
      </c>
      <c r="M171">
        <v>464892</v>
      </c>
    </row>
    <row r="172" spans="1:13" x14ac:dyDescent="0.25">
      <c r="A172" s="3" t="s">
        <v>13</v>
      </c>
      <c r="B172" s="2">
        <v>4689</v>
      </c>
      <c r="C172" s="3" t="s">
        <v>178</v>
      </c>
      <c r="D172" s="4">
        <v>2</v>
      </c>
      <c r="E172" s="4">
        <v>7.0000000000000009</v>
      </c>
      <c r="F172" s="33">
        <f t="shared" si="11"/>
        <v>212604</v>
      </c>
      <c r="G172" s="1">
        <f t="shared" si="12"/>
        <v>212604</v>
      </c>
      <c r="H172" s="1">
        <f t="shared" si="13"/>
        <v>47245.33</v>
      </c>
      <c r="I172" s="1">
        <f t="shared" ref="I172:I235" si="15">G172-H172</f>
        <v>165358.66999999998</v>
      </c>
      <c r="J172" s="1">
        <f t="shared" si="14"/>
        <v>0</v>
      </c>
      <c r="K172" s="1"/>
      <c r="L172" s="2">
        <v>3715</v>
      </c>
      <c r="M172">
        <v>0</v>
      </c>
    </row>
    <row r="173" spans="1:13" x14ac:dyDescent="0.25">
      <c r="A173" s="3" t="s">
        <v>13</v>
      </c>
      <c r="B173" s="2">
        <v>4644</v>
      </c>
      <c r="C173" s="3" t="s">
        <v>179</v>
      </c>
      <c r="D173" s="4">
        <v>0</v>
      </c>
      <c r="E173" s="4">
        <v>7.0000000000000009</v>
      </c>
      <c r="F173" s="33">
        <f t="shared" si="11"/>
        <v>147552</v>
      </c>
      <c r="G173" s="1">
        <f t="shared" si="12"/>
        <v>147552</v>
      </c>
      <c r="H173" s="1">
        <f t="shared" si="13"/>
        <v>0</v>
      </c>
      <c r="I173" s="1">
        <f t="shared" si="15"/>
        <v>147552</v>
      </c>
      <c r="J173" s="1">
        <f t="shared" si="14"/>
        <v>0</v>
      </c>
      <c r="K173" s="1"/>
      <c r="L173" s="2">
        <v>3744</v>
      </c>
      <c r="M173">
        <v>185589</v>
      </c>
    </row>
    <row r="174" spans="1:13" x14ac:dyDescent="0.25">
      <c r="A174" s="3" t="s">
        <v>13</v>
      </c>
      <c r="B174" s="2">
        <v>4725</v>
      </c>
      <c r="C174" s="3" t="s">
        <v>180</v>
      </c>
      <c r="D174" s="4">
        <v>0</v>
      </c>
      <c r="E174" s="4">
        <v>5</v>
      </c>
      <c r="F174" s="33">
        <f t="shared" si="11"/>
        <v>809854</v>
      </c>
      <c r="G174" s="1">
        <f t="shared" si="12"/>
        <v>809854</v>
      </c>
      <c r="H174" s="1">
        <f t="shared" si="13"/>
        <v>0</v>
      </c>
      <c r="I174" s="1">
        <f t="shared" si="15"/>
        <v>809854</v>
      </c>
      <c r="J174" s="1">
        <f t="shared" si="14"/>
        <v>0</v>
      </c>
      <c r="K174" s="1"/>
      <c r="L174" s="2">
        <v>3798</v>
      </c>
      <c r="M174">
        <v>144666</v>
      </c>
    </row>
    <row r="175" spans="1:13" x14ac:dyDescent="0.25">
      <c r="A175" s="3" t="s">
        <v>13</v>
      </c>
      <c r="B175" s="2">
        <v>2673</v>
      </c>
      <c r="C175" s="3" t="s">
        <v>181</v>
      </c>
      <c r="D175" s="4">
        <v>0</v>
      </c>
      <c r="E175" s="4">
        <v>5</v>
      </c>
      <c r="F175" s="33">
        <f t="shared" si="11"/>
        <v>157981</v>
      </c>
      <c r="G175" s="1">
        <f t="shared" si="12"/>
        <v>157981</v>
      </c>
      <c r="H175" s="1">
        <f t="shared" si="13"/>
        <v>0</v>
      </c>
      <c r="I175" s="1">
        <f t="shared" si="15"/>
        <v>157981</v>
      </c>
      <c r="J175" s="1">
        <f t="shared" si="14"/>
        <v>0</v>
      </c>
      <c r="K175" s="1"/>
      <c r="L175" s="2">
        <v>3816</v>
      </c>
      <c r="M175">
        <v>213646</v>
      </c>
    </row>
    <row r="176" spans="1:13" x14ac:dyDescent="0.25">
      <c r="A176" s="3" t="s">
        <v>13</v>
      </c>
      <c r="B176" s="2">
        <v>153</v>
      </c>
      <c r="C176" s="3" t="s">
        <v>182</v>
      </c>
      <c r="D176" s="4">
        <v>0</v>
      </c>
      <c r="E176" s="4">
        <v>5</v>
      </c>
      <c r="F176" s="33">
        <f t="shared" si="11"/>
        <v>156683</v>
      </c>
      <c r="G176" s="1">
        <f t="shared" si="12"/>
        <v>156683</v>
      </c>
      <c r="H176" s="1">
        <f t="shared" si="13"/>
        <v>0</v>
      </c>
      <c r="I176" s="1">
        <f t="shared" si="15"/>
        <v>156683</v>
      </c>
      <c r="J176" s="1">
        <f t="shared" si="14"/>
        <v>0</v>
      </c>
      <c r="K176" s="1"/>
      <c r="L176" s="2">
        <v>3841</v>
      </c>
      <c r="M176">
        <v>345027</v>
      </c>
    </row>
    <row r="177" spans="1:13" x14ac:dyDescent="0.25">
      <c r="A177" s="3" t="s">
        <v>13</v>
      </c>
      <c r="B177" s="2">
        <v>3691</v>
      </c>
      <c r="C177" s="3" t="s">
        <v>183</v>
      </c>
      <c r="D177" s="4">
        <v>3</v>
      </c>
      <c r="E177" s="4">
        <v>7.0000000000000009</v>
      </c>
      <c r="F177" s="33">
        <f t="shared" si="11"/>
        <v>464892</v>
      </c>
      <c r="G177" s="1">
        <f t="shared" si="12"/>
        <v>464892</v>
      </c>
      <c r="H177" s="1">
        <f t="shared" si="13"/>
        <v>139467.6</v>
      </c>
      <c r="I177" s="1">
        <f t="shared" si="15"/>
        <v>325424.40000000002</v>
      </c>
      <c r="J177" s="1">
        <f t="shared" si="14"/>
        <v>0</v>
      </c>
      <c r="K177" s="1"/>
      <c r="L177" s="2">
        <v>3897</v>
      </c>
      <c r="M177">
        <v>125694</v>
      </c>
    </row>
    <row r="178" spans="1:13" x14ac:dyDescent="0.25">
      <c r="A178" s="3" t="s">
        <v>13</v>
      </c>
      <c r="B178" s="2">
        <v>4774</v>
      </c>
      <c r="C178" s="3" t="s">
        <v>184</v>
      </c>
      <c r="D178" s="4">
        <v>0</v>
      </c>
      <c r="E178" s="4">
        <v>8</v>
      </c>
      <c r="F178" s="33">
        <f t="shared" si="11"/>
        <v>376498</v>
      </c>
      <c r="G178" s="1">
        <f t="shared" si="12"/>
        <v>376498</v>
      </c>
      <c r="H178" s="1">
        <f t="shared" si="13"/>
        <v>0</v>
      </c>
      <c r="I178" s="1">
        <f t="shared" si="15"/>
        <v>376498</v>
      </c>
      <c r="J178" s="1">
        <f t="shared" si="14"/>
        <v>0</v>
      </c>
      <c r="K178" s="1"/>
      <c r="L178" s="2">
        <v>3906</v>
      </c>
      <c r="M178">
        <v>285277</v>
      </c>
    </row>
    <row r="179" spans="1:13" x14ac:dyDescent="0.25">
      <c r="A179" s="3" t="s">
        <v>13</v>
      </c>
      <c r="B179" s="2">
        <v>873</v>
      </c>
      <c r="C179" s="3" t="s">
        <v>185</v>
      </c>
      <c r="D179" s="4">
        <v>0</v>
      </c>
      <c r="E179" s="4">
        <v>7.0000000000000009</v>
      </c>
      <c r="F179" s="33">
        <f t="shared" si="11"/>
        <v>208800</v>
      </c>
      <c r="G179" s="1">
        <f t="shared" si="12"/>
        <v>208800</v>
      </c>
      <c r="H179" s="1">
        <f t="shared" si="13"/>
        <v>0</v>
      </c>
      <c r="I179" s="1">
        <f t="shared" si="15"/>
        <v>208800</v>
      </c>
      <c r="J179" s="1">
        <f t="shared" si="14"/>
        <v>0</v>
      </c>
      <c r="K179" s="1"/>
      <c r="L179" s="2">
        <v>3942</v>
      </c>
      <c r="M179">
        <v>75812</v>
      </c>
    </row>
    <row r="180" spans="1:13" x14ac:dyDescent="0.25">
      <c r="A180" s="3" t="s">
        <v>13</v>
      </c>
      <c r="B180" s="2">
        <v>4778</v>
      </c>
      <c r="C180" s="3" t="s">
        <v>186</v>
      </c>
      <c r="D180" s="4">
        <v>0</v>
      </c>
      <c r="E180" s="4">
        <v>6</v>
      </c>
      <c r="F180" s="33">
        <f t="shared" si="11"/>
        <v>92853</v>
      </c>
      <c r="G180" s="1">
        <f t="shared" si="12"/>
        <v>92853</v>
      </c>
      <c r="H180" s="1">
        <f t="shared" si="13"/>
        <v>0</v>
      </c>
      <c r="I180" s="1">
        <f t="shared" si="15"/>
        <v>92853</v>
      </c>
      <c r="J180" s="1">
        <f t="shared" si="14"/>
        <v>0</v>
      </c>
      <c r="K180" s="1"/>
      <c r="L180" s="2">
        <v>3978</v>
      </c>
      <c r="M180">
        <v>249602</v>
      </c>
    </row>
    <row r="181" spans="1:13" x14ac:dyDescent="0.25">
      <c r="A181" s="3" t="s">
        <v>13</v>
      </c>
      <c r="B181" s="2">
        <v>4777</v>
      </c>
      <c r="C181" s="3" t="s">
        <v>187</v>
      </c>
      <c r="D181" s="4">
        <v>0</v>
      </c>
      <c r="E181" s="4">
        <v>5</v>
      </c>
      <c r="F181" s="33">
        <f t="shared" si="11"/>
        <v>171051</v>
      </c>
      <c r="G181" s="1">
        <f t="shared" si="12"/>
        <v>171051</v>
      </c>
      <c r="H181" s="1">
        <f t="shared" si="13"/>
        <v>0</v>
      </c>
      <c r="I181" s="1">
        <f t="shared" si="15"/>
        <v>171051</v>
      </c>
      <c r="J181" s="1">
        <f t="shared" si="14"/>
        <v>0</v>
      </c>
      <c r="K181" s="1"/>
      <c r="L181" s="2">
        <v>4023</v>
      </c>
      <c r="M181">
        <v>322508</v>
      </c>
    </row>
    <row r="182" spans="1:13" x14ac:dyDescent="0.25">
      <c r="A182" s="3" t="s">
        <v>13</v>
      </c>
      <c r="B182" s="2">
        <v>4776</v>
      </c>
      <c r="C182" s="3" t="s">
        <v>188</v>
      </c>
      <c r="D182" s="4">
        <v>0</v>
      </c>
      <c r="E182" s="4">
        <v>3</v>
      </c>
      <c r="F182" s="33">
        <f t="shared" si="11"/>
        <v>75658</v>
      </c>
      <c r="G182" s="1">
        <f t="shared" si="12"/>
        <v>75658</v>
      </c>
      <c r="H182" s="1">
        <f t="shared" si="13"/>
        <v>0</v>
      </c>
      <c r="I182" s="1">
        <f t="shared" si="15"/>
        <v>75658</v>
      </c>
      <c r="J182" s="1">
        <f t="shared" si="14"/>
        <v>0</v>
      </c>
      <c r="K182" s="1"/>
      <c r="L182" s="2">
        <v>4033</v>
      </c>
      <c r="M182">
        <v>71756</v>
      </c>
    </row>
    <row r="183" spans="1:13" x14ac:dyDescent="0.25">
      <c r="A183" s="3" t="s">
        <v>13</v>
      </c>
      <c r="B183" s="2">
        <v>4779</v>
      </c>
      <c r="C183" s="3" t="s">
        <v>189</v>
      </c>
      <c r="D183" s="4">
        <v>0</v>
      </c>
      <c r="E183" s="4">
        <v>5</v>
      </c>
      <c r="F183" s="33">
        <f t="shared" si="11"/>
        <v>555198</v>
      </c>
      <c r="G183" s="1">
        <f t="shared" si="12"/>
        <v>555198</v>
      </c>
      <c r="H183" s="1">
        <f t="shared" si="13"/>
        <v>0</v>
      </c>
      <c r="I183" s="1">
        <f t="shared" si="15"/>
        <v>555198</v>
      </c>
      <c r="J183" s="1">
        <f t="shared" si="14"/>
        <v>0</v>
      </c>
      <c r="K183" s="1"/>
      <c r="L183" s="2">
        <v>4041</v>
      </c>
      <c r="M183">
        <v>704840</v>
      </c>
    </row>
    <row r="184" spans="1:13" x14ac:dyDescent="0.25">
      <c r="A184" s="3" t="s">
        <v>13</v>
      </c>
      <c r="B184" s="2">
        <v>4784</v>
      </c>
      <c r="C184" s="3" t="s">
        <v>190</v>
      </c>
      <c r="D184" s="4">
        <v>0</v>
      </c>
      <c r="E184" s="4">
        <v>1</v>
      </c>
      <c r="F184" s="33">
        <f t="shared" si="11"/>
        <v>199503</v>
      </c>
      <c r="G184" s="1">
        <f t="shared" si="12"/>
        <v>199503</v>
      </c>
      <c r="H184" s="1">
        <f t="shared" si="13"/>
        <v>0</v>
      </c>
      <c r="I184" s="1">
        <f t="shared" si="15"/>
        <v>199503</v>
      </c>
      <c r="J184" s="1">
        <f t="shared" si="14"/>
        <v>0</v>
      </c>
      <c r="K184" s="1"/>
      <c r="L184" s="2">
        <v>4043</v>
      </c>
      <c r="M184">
        <v>0</v>
      </c>
    </row>
    <row r="185" spans="1:13" x14ac:dyDescent="0.25">
      <c r="A185" s="3" t="s">
        <v>13</v>
      </c>
      <c r="B185" s="2">
        <v>4785</v>
      </c>
      <c r="C185" s="3" t="s">
        <v>191</v>
      </c>
      <c r="D185" s="4">
        <v>0</v>
      </c>
      <c r="E185" s="4">
        <v>9</v>
      </c>
      <c r="F185" s="33">
        <f t="shared" si="11"/>
        <v>257865</v>
      </c>
      <c r="G185" s="1">
        <f t="shared" si="12"/>
        <v>257865</v>
      </c>
      <c r="H185" s="1">
        <f t="shared" si="13"/>
        <v>0</v>
      </c>
      <c r="I185" s="1">
        <f t="shared" si="15"/>
        <v>257865</v>
      </c>
      <c r="J185" s="1">
        <f t="shared" si="14"/>
        <v>0</v>
      </c>
      <c r="K185" s="1"/>
      <c r="L185" s="2">
        <v>4068</v>
      </c>
      <c r="M185">
        <v>228296</v>
      </c>
    </row>
    <row r="186" spans="1:13" x14ac:dyDescent="0.25">
      <c r="A186" s="3" t="s">
        <v>13</v>
      </c>
      <c r="B186" s="2">
        <v>333</v>
      </c>
      <c r="C186" s="3" t="s">
        <v>192</v>
      </c>
      <c r="D186" s="4">
        <v>8</v>
      </c>
      <c r="E186" s="4">
        <v>4</v>
      </c>
      <c r="F186" s="33">
        <f t="shared" si="11"/>
        <v>297964</v>
      </c>
      <c r="G186" s="1">
        <f t="shared" si="12"/>
        <v>297964</v>
      </c>
      <c r="H186" s="1">
        <f t="shared" si="13"/>
        <v>198642.67</v>
      </c>
      <c r="I186" s="1">
        <f t="shared" si="15"/>
        <v>99321.329999999987</v>
      </c>
      <c r="J186" s="1">
        <f t="shared" si="14"/>
        <v>0</v>
      </c>
      <c r="K186" s="1"/>
      <c r="L186" s="2">
        <v>4086</v>
      </c>
      <c r="M186">
        <v>520534</v>
      </c>
    </row>
    <row r="187" spans="1:13" x14ac:dyDescent="0.25">
      <c r="A187" s="3" t="s">
        <v>13</v>
      </c>
      <c r="B187" s="2">
        <v>4787</v>
      </c>
      <c r="C187" s="3" t="s">
        <v>193</v>
      </c>
      <c r="D187" s="4">
        <v>0</v>
      </c>
      <c r="E187" s="4">
        <v>10</v>
      </c>
      <c r="F187" s="33">
        <f t="shared" si="11"/>
        <v>127434</v>
      </c>
      <c r="G187" s="1">
        <f t="shared" si="12"/>
        <v>127434</v>
      </c>
      <c r="H187" s="1">
        <f t="shared" si="13"/>
        <v>0</v>
      </c>
      <c r="I187" s="1">
        <f t="shared" si="15"/>
        <v>127434</v>
      </c>
      <c r="J187" s="1">
        <f t="shared" si="14"/>
        <v>0</v>
      </c>
      <c r="K187" s="1"/>
      <c r="L187" s="2">
        <v>4104</v>
      </c>
      <c r="M187">
        <v>0</v>
      </c>
    </row>
    <row r="188" spans="1:13" x14ac:dyDescent="0.25">
      <c r="A188" s="3" t="s">
        <v>13</v>
      </c>
      <c r="B188" s="2">
        <v>4773</v>
      </c>
      <c r="C188" s="3" t="s">
        <v>194</v>
      </c>
      <c r="D188" s="4">
        <v>0</v>
      </c>
      <c r="E188" s="4">
        <v>10</v>
      </c>
      <c r="F188" s="33">
        <f t="shared" si="11"/>
        <v>256915</v>
      </c>
      <c r="G188" s="1">
        <f t="shared" si="12"/>
        <v>256915</v>
      </c>
      <c r="H188" s="1">
        <f t="shared" si="13"/>
        <v>0</v>
      </c>
      <c r="I188" s="1">
        <f t="shared" si="15"/>
        <v>256915</v>
      </c>
      <c r="J188" s="1">
        <f t="shared" si="14"/>
        <v>0</v>
      </c>
      <c r="K188" s="1"/>
      <c r="L188" s="2">
        <v>4122</v>
      </c>
      <c r="M188">
        <v>33788</v>
      </c>
    </row>
    <row r="189" spans="1:13" x14ac:dyDescent="0.25">
      <c r="A189" s="3" t="s">
        <v>13</v>
      </c>
      <c r="B189" s="2">
        <v>4775</v>
      </c>
      <c r="C189" s="3" t="s">
        <v>195</v>
      </c>
      <c r="D189" s="4">
        <v>1</v>
      </c>
      <c r="E189" s="4">
        <v>8</v>
      </c>
      <c r="F189" s="33">
        <f t="shared" si="11"/>
        <v>97501</v>
      </c>
      <c r="G189" s="1">
        <f t="shared" si="12"/>
        <v>97501</v>
      </c>
      <c r="H189" s="1">
        <f t="shared" si="13"/>
        <v>10833.44</v>
      </c>
      <c r="I189" s="1">
        <f t="shared" si="15"/>
        <v>86667.56</v>
      </c>
      <c r="J189" s="1">
        <f t="shared" si="14"/>
        <v>0</v>
      </c>
      <c r="K189" s="1"/>
      <c r="L189" s="2">
        <v>4131</v>
      </c>
      <c r="M189">
        <v>1822502</v>
      </c>
    </row>
    <row r="190" spans="1:13" x14ac:dyDescent="0.25">
      <c r="A190" s="3" t="s">
        <v>13</v>
      </c>
      <c r="B190" s="2">
        <v>4788</v>
      </c>
      <c r="C190" s="3" t="s">
        <v>196</v>
      </c>
      <c r="D190" s="4">
        <v>0</v>
      </c>
      <c r="E190" s="4">
        <v>5</v>
      </c>
      <c r="F190" s="33">
        <f t="shared" si="11"/>
        <v>131006</v>
      </c>
      <c r="G190" s="1">
        <f t="shared" si="12"/>
        <v>131006</v>
      </c>
      <c r="H190" s="1">
        <f t="shared" si="13"/>
        <v>0</v>
      </c>
      <c r="I190" s="1">
        <f t="shared" si="15"/>
        <v>131006</v>
      </c>
      <c r="J190" s="1">
        <f t="shared" si="14"/>
        <v>0</v>
      </c>
      <c r="K190" s="1"/>
      <c r="L190" s="2">
        <v>4149</v>
      </c>
      <c r="M190">
        <v>539157</v>
      </c>
    </row>
    <row r="191" spans="1:13" x14ac:dyDescent="0.25">
      <c r="A191" s="3" t="s">
        <v>13</v>
      </c>
      <c r="B191" s="2">
        <v>4860</v>
      </c>
      <c r="C191" s="3" t="s">
        <v>197</v>
      </c>
      <c r="D191" s="4">
        <v>1</v>
      </c>
      <c r="E191" s="4">
        <v>1</v>
      </c>
      <c r="F191" s="33">
        <f t="shared" si="11"/>
        <v>35213</v>
      </c>
      <c r="G191" s="1">
        <f t="shared" si="12"/>
        <v>35213</v>
      </c>
      <c r="H191" s="1">
        <f t="shared" si="13"/>
        <v>17606.5</v>
      </c>
      <c r="I191" s="1">
        <f t="shared" si="15"/>
        <v>17606.5</v>
      </c>
      <c r="J191" s="1">
        <f t="shared" si="14"/>
        <v>0</v>
      </c>
      <c r="K191" s="1"/>
      <c r="L191" s="2">
        <v>4203</v>
      </c>
      <c r="M191">
        <v>347385</v>
      </c>
    </row>
    <row r="192" spans="1:13" x14ac:dyDescent="0.25">
      <c r="A192" s="3" t="s">
        <v>13</v>
      </c>
      <c r="B192" s="2">
        <v>4869</v>
      </c>
      <c r="C192" s="3" t="s">
        <v>198</v>
      </c>
      <c r="D192" s="4">
        <v>3</v>
      </c>
      <c r="E192" s="4">
        <v>4</v>
      </c>
      <c r="F192" s="33">
        <f t="shared" si="11"/>
        <v>371394</v>
      </c>
      <c r="G192" s="1">
        <f t="shared" si="12"/>
        <v>371394</v>
      </c>
      <c r="H192" s="1">
        <f t="shared" si="13"/>
        <v>159168.85999999999</v>
      </c>
      <c r="I192" s="1">
        <f t="shared" si="15"/>
        <v>212225.14</v>
      </c>
      <c r="J192" s="1">
        <f t="shared" si="14"/>
        <v>0</v>
      </c>
      <c r="K192" s="1"/>
      <c r="L192" s="2">
        <v>4212</v>
      </c>
      <c r="M192">
        <v>10868</v>
      </c>
    </row>
    <row r="193" spans="1:13" x14ac:dyDescent="0.25">
      <c r="A193" s="3" t="s">
        <v>13</v>
      </c>
      <c r="B193" s="2">
        <v>4878</v>
      </c>
      <c r="C193" s="3" t="s">
        <v>199</v>
      </c>
      <c r="D193" s="4">
        <v>0</v>
      </c>
      <c r="E193" s="4">
        <v>7.0000000000000009</v>
      </c>
      <c r="F193" s="33">
        <f t="shared" si="11"/>
        <v>258546</v>
      </c>
      <c r="G193" s="1">
        <f t="shared" si="12"/>
        <v>258546</v>
      </c>
      <c r="H193" s="1">
        <f t="shared" si="13"/>
        <v>0</v>
      </c>
      <c r="I193" s="1">
        <f t="shared" si="15"/>
        <v>258546</v>
      </c>
      <c r="J193" s="1">
        <f t="shared" si="14"/>
        <v>0</v>
      </c>
      <c r="K193" s="1"/>
      <c r="L193" s="2">
        <v>4269</v>
      </c>
      <c r="M193">
        <v>287883</v>
      </c>
    </row>
    <row r="194" spans="1:13" x14ac:dyDescent="0.25">
      <c r="A194" s="3" t="s">
        <v>13</v>
      </c>
      <c r="B194" s="2">
        <v>4890</v>
      </c>
      <c r="C194" s="3" t="s">
        <v>200</v>
      </c>
      <c r="D194" s="4">
        <v>0</v>
      </c>
      <c r="E194" s="4">
        <v>2</v>
      </c>
      <c r="F194" s="33">
        <f t="shared" si="11"/>
        <v>165184</v>
      </c>
      <c r="G194" s="1">
        <f t="shared" si="12"/>
        <v>165184</v>
      </c>
      <c r="H194" s="1">
        <f t="shared" si="13"/>
        <v>0</v>
      </c>
      <c r="I194" s="1">
        <f t="shared" si="15"/>
        <v>165184</v>
      </c>
      <c r="J194" s="1">
        <f t="shared" si="14"/>
        <v>0</v>
      </c>
      <c r="K194" s="1"/>
      <c r="L194" s="2">
        <v>4271</v>
      </c>
      <c r="M194">
        <v>1073575</v>
      </c>
    </row>
    <row r="195" spans="1:13" x14ac:dyDescent="0.25">
      <c r="A195" s="3" t="s">
        <v>13</v>
      </c>
      <c r="B195" s="2">
        <v>4905</v>
      </c>
      <c r="C195" s="3" t="s">
        <v>201</v>
      </c>
      <c r="D195" s="4">
        <v>0</v>
      </c>
      <c r="E195" s="4">
        <v>10</v>
      </c>
      <c r="F195" s="33">
        <f t="shared" ref="F195:F256" si="16">INDEX($L$2:$M$336,MATCH(B195,$L$2:$L$336,0),2)</f>
        <v>106808</v>
      </c>
      <c r="G195" s="1">
        <f t="shared" ref="G195:G260" si="17">F195</f>
        <v>106808</v>
      </c>
      <c r="H195" s="1">
        <f t="shared" ref="H195:H258" si="18">ROUND((D195/(D195+E195))*$G195,2)</f>
        <v>0</v>
      </c>
      <c r="I195" s="1">
        <f t="shared" si="15"/>
        <v>106808</v>
      </c>
      <c r="J195" s="1">
        <f t="shared" ref="J195:J258" si="19">H195+I195-G195</f>
        <v>0</v>
      </c>
      <c r="K195" s="1"/>
      <c r="L195" s="2">
        <v>4356</v>
      </c>
      <c r="M195">
        <v>216793</v>
      </c>
    </row>
    <row r="196" spans="1:13" x14ac:dyDescent="0.25">
      <c r="A196" s="3" t="s">
        <v>13</v>
      </c>
      <c r="B196" s="2">
        <v>4978</v>
      </c>
      <c r="C196" s="3" t="s">
        <v>202</v>
      </c>
      <c r="D196" s="4">
        <v>5</v>
      </c>
      <c r="E196" s="4">
        <v>10</v>
      </c>
      <c r="F196" s="33">
        <f t="shared" si="16"/>
        <v>121384</v>
      </c>
      <c r="G196" s="1">
        <f t="shared" si="17"/>
        <v>121384</v>
      </c>
      <c r="H196" s="1">
        <f t="shared" si="18"/>
        <v>40461.33</v>
      </c>
      <c r="I196" s="1">
        <f t="shared" si="15"/>
        <v>80922.67</v>
      </c>
      <c r="J196" s="1">
        <f t="shared" si="19"/>
        <v>0</v>
      </c>
      <c r="K196" s="1"/>
      <c r="L196" s="2">
        <v>4419</v>
      </c>
      <c r="M196">
        <v>342341</v>
      </c>
    </row>
    <row r="197" spans="1:13" x14ac:dyDescent="0.25">
      <c r="A197" s="3" t="s">
        <v>13</v>
      </c>
      <c r="B197" s="2">
        <v>4995</v>
      </c>
      <c r="C197" s="3" t="s">
        <v>203</v>
      </c>
      <c r="D197" s="4">
        <v>1</v>
      </c>
      <c r="E197" s="4">
        <v>1</v>
      </c>
      <c r="F197" s="33">
        <f t="shared" si="16"/>
        <v>109021</v>
      </c>
      <c r="G197" s="1">
        <f t="shared" si="17"/>
        <v>109021</v>
      </c>
      <c r="H197" s="1">
        <f t="shared" si="18"/>
        <v>54510.5</v>
      </c>
      <c r="I197" s="1">
        <f t="shared" si="15"/>
        <v>54510.5</v>
      </c>
      <c r="J197" s="1">
        <f t="shared" si="19"/>
        <v>0</v>
      </c>
      <c r="K197" s="1"/>
      <c r="L197" s="2">
        <v>4437</v>
      </c>
      <c r="M197">
        <v>233784</v>
      </c>
    </row>
    <row r="198" spans="1:13" x14ac:dyDescent="0.25">
      <c r="A198" s="3" t="s">
        <v>13</v>
      </c>
      <c r="B198" s="2">
        <v>5013</v>
      </c>
      <c r="C198" s="3" t="s">
        <v>204</v>
      </c>
      <c r="D198" s="4">
        <v>0</v>
      </c>
      <c r="E198" s="4">
        <v>1</v>
      </c>
      <c r="F198" s="33">
        <f t="shared" si="16"/>
        <v>124331</v>
      </c>
      <c r="G198" s="1">
        <f t="shared" si="17"/>
        <v>124331</v>
      </c>
      <c r="H198" s="1">
        <f t="shared" si="18"/>
        <v>0</v>
      </c>
      <c r="I198" s="1">
        <f t="shared" si="15"/>
        <v>124331</v>
      </c>
      <c r="J198" s="1">
        <f t="shared" si="19"/>
        <v>0</v>
      </c>
      <c r="K198" s="1"/>
      <c r="L198" s="2">
        <v>4446</v>
      </c>
      <c r="M198">
        <v>286296</v>
      </c>
    </row>
    <row r="199" spans="1:13" x14ac:dyDescent="0.25">
      <c r="A199" s="3" t="s">
        <v>13</v>
      </c>
      <c r="B199" s="2">
        <v>5121</v>
      </c>
      <c r="C199" s="3" t="s">
        <v>205</v>
      </c>
      <c r="D199" s="4">
        <v>0</v>
      </c>
      <c r="E199" s="4">
        <v>4</v>
      </c>
      <c r="F199" s="33">
        <f t="shared" si="16"/>
        <v>192035</v>
      </c>
      <c r="G199" s="1">
        <f t="shared" si="17"/>
        <v>192035</v>
      </c>
      <c r="H199" s="1">
        <f t="shared" si="18"/>
        <v>0</v>
      </c>
      <c r="I199" s="1">
        <f t="shared" si="15"/>
        <v>192035</v>
      </c>
      <c r="J199" s="1">
        <f t="shared" si="19"/>
        <v>0</v>
      </c>
      <c r="K199" s="1"/>
      <c r="L199" s="2">
        <v>4491</v>
      </c>
      <c r="M199">
        <v>149783</v>
      </c>
    </row>
    <row r="200" spans="1:13" x14ac:dyDescent="0.25">
      <c r="A200" s="3" t="s">
        <v>13</v>
      </c>
      <c r="B200" s="2">
        <v>5139</v>
      </c>
      <c r="C200" s="3" t="s">
        <v>206</v>
      </c>
      <c r="D200" s="4">
        <v>0</v>
      </c>
      <c r="E200" s="4">
        <v>5</v>
      </c>
      <c r="F200" s="33">
        <f t="shared" si="16"/>
        <v>46464</v>
      </c>
      <c r="G200" s="1">
        <f t="shared" si="17"/>
        <v>46464</v>
      </c>
      <c r="H200" s="1">
        <f t="shared" si="18"/>
        <v>0</v>
      </c>
      <c r="I200" s="1">
        <f t="shared" si="15"/>
        <v>46464</v>
      </c>
      <c r="J200" s="1">
        <f t="shared" si="19"/>
        <v>0</v>
      </c>
      <c r="K200" s="1"/>
      <c r="L200" s="2">
        <v>4505</v>
      </c>
      <c r="M200">
        <v>114341</v>
      </c>
    </row>
    <row r="201" spans="1:13" x14ac:dyDescent="0.25">
      <c r="A201" s="3" t="s">
        <v>13</v>
      </c>
      <c r="B201" s="2">
        <v>5319</v>
      </c>
      <c r="C201" s="3" t="s">
        <v>6</v>
      </c>
      <c r="D201" s="4">
        <v>0</v>
      </c>
      <c r="E201" s="4">
        <v>3</v>
      </c>
      <c r="F201" s="33">
        <f t="shared" si="16"/>
        <v>171089</v>
      </c>
      <c r="G201" s="1">
        <f t="shared" si="17"/>
        <v>171089</v>
      </c>
      <c r="H201" s="1">
        <f t="shared" si="18"/>
        <v>0</v>
      </c>
      <c r="I201" s="1">
        <f t="shared" si="15"/>
        <v>171089</v>
      </c>
      <c r="J201" s="1">
        <f t="shared" si="19"/>
        <v>0</v>
      </c>
      <c r="K201" s="1"/>
      <c r="L201" s="2">
        <v>4509</v>
      </c>
      <c r="M201">
        <v>75728</v>
      </c>
    </row>
    <row r="202" spans="1:13" x14ac:dyDescent="0.25">
      <c r="A202" s="3" t="s">
        <v>13</v>
      </c>
      <c r="B202" s="2">
        <v>5163</v>
      </c>
      <c r="C202" s="3" t="s">
        <v>207</v>
      </c>
      <c r="D202" s="4">
        <v>3</v>
      </c>
      <c r="E202" s="4">
        <v>5</v>
      </c>
      <c r="F202" s="33">
        <f t="shared" si="16"/>
        <v>217976</v>
      </c>
      <c r="G202" s="1">
        <f t="shared" si="17"/>
        <v>217976</v>
      </c>
      <c r="H202" s="1">
        <f t="shared" si="18"/>
        <v>81741</v>
      </c>
      <c r="I202" s="1">
        <f t="shared" si="15"/>
        <v>136235</v>
      </c>
      <c r="J202" s="1">
        <f t="shared" si="19"/>
        <v>0</v>
      </c>
      <c r="K202" s="1"/>
      <c r="L202" s="2">
        <v>4518</v>
      </c>
      <c r="M202">
        <v>87037</v>
      </c>
    </row>
    <row r="203" spans="1:13" x14ac:dyDescent="0.25">
      <c r="A203" s="3" t="s">
        <v>13</v>
      </c>
      <c r="B203" s="2">
        <v>5166</v>
      </c>
      <c r="C203" s="3" t="s">
        <v>208</v>
      </c>
      <c r="D203" s="4">
        <v>0</v>
      </c>
      <c r="E203" s="4">
        <v>5</v>
      </c>
      <c r="F203" s="33">
        <f t="shared" si="16"/>
        <v>922690</v>
      </c>
      <c r="G203" s="1">
        <f t="shared" si="17"/>
        <v>922690</v>
      </c>
      <c r="H203" s="1">
        <f t="shared" si="18"/>
        <v>0</v>
      </c>
      <c r="I203" s="1">
        <f t="shared" si="15"/>
        <v>922690</v>
      </c>
      <c r="J203" s="1">
        <f t="shared" si="19"/>
        <v>0</v>
      </c>
      <c r="K203" s="1"/>
      <c r="L203" s="2">
        <v>4527</v>
      </c>
      <c r="M203">
        <v>174666</v>
      </c>
    </row>
    <row r="204" spans="1:13" x14ac:dyDescent="0.25">
      <c r="A204" s="3" t="s">
        <v>13</v>
      </c>
      <c r="B204" s="2">
        <v>5184</v>
      </c>
      <c r="C204" s="3" t="s">
        <v>209</v>
      </c>
      <c r="D204" s="4">
        <v>3</v>
      </c>
      <c r="E204" s="4">
        <v>0</v>
      </c>
      <c r="F204" s="33">
        <f t="shared" si="16"/>
        <v>213545</v>
      </c>
      <c r="G204" s="1">
        <f t="shared" si="17"/>
        <v>213545</v>
      </c>
      <c r="H204" s="1">
        <f t="shared" si="18"/>
        <v>213545</v>
      </c>
      <c r="I204" s="1">
        <f t="shared" si="15"/>
        <v>0</v>
      </c>
      <c r="J204" s="1">
        <f t="shared" si="19"/>
        <v>0</v>
      </c>
      <c r="K204" s="1"/>
      <c r="L204" s="2">
        <v>4536</v>
      </c>
      <c r="M204">
        <v>467389</v>
      </c>
    </row>
    <row r="205" spans="1:13" x14ac:dyDescent="0.25">
      <c r="A205" s="3" t="s">
        <v>13</v>
      </c>
      <c r="B205" s="2">
        <v>5256</v>
      </c>
      <c r="C205" s="3" t="s">
        <v>210</v>
      </c>
      <c r="D205" s="4">
        <v>0</v>
      </c>
      <c r="E205" s="4">
        <v>9</v>
      </c>
      <c r="F205" s="33">
        <f t="shared" si="16"/>
        <v>298745</v>
      </c>
      <c r="G205" s="1">
        <f t="shared" si="17"/>
        <v>298745</v>
      </c>
      <c r="H205" s="1">
        <f t="shared" si="18"/>
        <v>0</v>
      </c>
      <c r="I205" s="1">
        <f t="shared" si="15"/>
        <v>298745</v>
      </c>
      <c r="J205" s="1">
        <f t="shared" si="19"/>
        <v>0</v>
      </c>
      <c r="K205" s="1"/>
      <c r="L205" s="2">
        <v>4554</v>
      </c>
      <c r="M205">
        <v>451102</v>
      </c>
    </row>
    <row r="206" spans="1:13" x14ac:dyDescent="0.25">
      <c r="A206" s="3" t="s">
        <v>13</v>
      </c>
      <c r="B206" s="2">
        <v>5283</v>
      </c>
      <c r="C206" s="3" t="s">
        <v>211</v>
      </c>
      <c r="D206" s="4">
        <v>0</v>
      </c>
      <c r="E206" s="4">
        <v>1</v>
      </c>
      <c r="F206" s="33">
        <f t="shared" si="16"/>
        <v>42152</v>
      </c>
      <c r="G206" s="1">
        <f t="shared" si="17"/>
        <v>42152</v>
      </c>
      <c r="H206" s="1">
        <f t="shared" si="18"/>
        <v>0</v>
      </c>
      <c r="I206" s="1">
        <f t="shared" si="15"/>
        <v>42152</v>
      </c>
      <c r="J206" s="1">
        <f t="shared" si="19"/>
        <v>0</v>
      </c>
      <c r="K206" s="1"/>
      <c r="L206" s="2">
        <v>4572</v>
      </c>
      <c r="M206">
        <v>127348</v>
      </c>
    </row>
    <row r="207" spans="1:13" x14ac:dyDescent="0.25">
      <c r="A207" s="3" t="s">
        <v>13</v>
      </c>
      <c r="B207" s="2">
        <v>5310</v>
      </c>
      <c r="C207" s="3" t="s">
        <v>212</v>
      </c>
      <c r="D207" s="4">
        <v>2</v>
      </c>
      <c r="E207" s="4">
        <v>13</v>
      </c>
      <c r="F207" s="33">
        <f t="shared" si="16"/>
        <v>305468</v>
      </c>
      <c r="G207" s="1">
        <f t="shared" si="17"/>
        <v>305468</v>
      </c>
      <c r="H207" s="1">
        <f t="shared" si="18"/>
        <v>40729.07</v>
      </c>
      <c r="I207" s="1">
        <f t="shared" si="15"/>
        <v>264738.93</v>
      </c>
      <c r="J207" s="1">
        <f t="shared" si="19"/>
        <v>0</v>
      </c>
      <c r="K207" s="1"/>
      <c r="L207" s="2">
        <v>4581</v>
      </c>
      <c r="M207">
        <v>292111</v>
      </c>
    </row>
    <row r="208" spans="1:13" x14ac:dyDescent="0.25">
      <c r="A208" s="3" t="s">
        <v>13</v>
      </c>
      <c r="B208" s="2">
        <v>5323</v>
      </c>
      <c r="C208" s="3" t="s">
        <v>213</v>
      </c>
      <c r="D208" s="4">
        <v>0</v>
      </c>
      <c r="E208" s="4">
        <v>1</v>
      </c>
      <c r="F208" s="33">
        <f t="shared" si="16"/>
        <v>31840</v>
      </c>
      <c r="G208" s="1">
        <f t="shared" si="17"/>
        <v>31840</v>
      </c>
      <c r="H208" s="1">
        <f t="shared" si="18"/>
        <v>0</v>
      </c>
      <c r="I208" s="1">
        <f t="shared" si="15"/>
        <v>31840</v>
      </c>
      <c r="J208" s="1">
        <f t="shared" si="19"/>
        <v>0</v>
      </c>
      <c r="K208" s="1"/>
      <c r="L208" s="2">
        <v>4599</v>
      </c>
      <c r="M208">
        <v>299192</v>
      </c>
    </row>
    <row r="209" spans="1:13" x14ac:dyDescent="0.25">
      <c r="A209" s="3" t="s">
        <v>13</v>
      </c>
      <c r="B209" s="2">
        <v>5463</v>
      </c>
      <c r="C209" s="3" t="s">
        <v>214</v>
      </c>
      <c r="D209" s="4">
        <v>1</v>
      </c>
      <c r="E209" s="4">
        <v>8</v>
      </c>
      <c r="F209" s="33">
        <f t="shared" si="16"/>
        <v>437990</v>
      </c>
      <c r="G209" s="1">
        <f t="shared" si="17"/>
        <v>437990</v>
      </c>
      <c r="H209" s="1">
        <f t="shared" si="18"/>
        <v>48665.56</v>
      </c>
      <c r="I209" s="1">
        <f t="shared" si="15"/>
        <v>389324.44</v>
      </c>
      <c r="J209" s="1">
        <f t="shared" si="19"/>
        <v>0</v>
      </c>
      <c r="K209" s="1"/>
      <c r="L209" s="2">
        <v>4617</v>
      </c>
      <c r="M209">
        <v>445837</v>
      </c>
    </row>
    <row r="210" spans="1:13" x14ac:dyDescent="0.25">
      <c r="A210" s="3" t="s">
        <v>13</v>
      </c>
      <c r="B210" s="2">
        <v>5486</v>
      </c>
      <c r="C210" s="3" t="s">
        <v>215</v>
      </c>
      <c r="D210" s="4">
        <v>0</v>
      </c>
      <c r="E210" s="4">
        <v>7.0000000000000009</v>
      </c>
      <c r="F210" s="33">
        <f t="shared" si="16"/>
        <v>198626</v>
      </c>
      <c r="G210" s="1">
        <f t="shared" si="17"/>
        <v>198626</v>
      </c>
      <c r="H210" s="1">
        <f t="shared" si="18"/>
        <v>0</v>
      </c>
      <c r="I210" s="1">
        <f t="shared" si="15"/>
        <v>198626</v>
      </c>
      <c r="J210" s="1">
        <f t="shared" si="19"/>
        <v>0</v>
      </c>
      <c r="K210" s="1"/>
      <c r="L210" s="2">
        <v>4644</v>
      </c>
      <c r="M210">
        <v>147552</v>
      </c>
    </row>
    <row r="211" spans="1:13" x14ac:dyDescent="0.25">
      <c r="A211" s="3" t="s">
        <v>13</v>
      </c>
      <c r="B211" s="2">
        <v>5508</v>
      </c>
      <c r="C211" s="3" t="s">
        <v>216</v>
      </c>
      <c r="D211" s="4">
        <v>6</v>
      </c>
      <c r="E211" s="4">
        <v>5</v>
      </c>
      <c r="F211" s="33">
        <f t="shared" si="16"/>
        <v>160929</v>
      </c>
      <c r="G211" s="1">
        <f t="shared" si="17"/>
        <v>160929</v>
      </c>
      <c r="H211" s="1">
        <f t="shared" si="18"/>
        <v>87779.45</v>
      </c>
      <c r="I211" s="1">
        <f t="shared" si="15"/>
        <v>73149.55</v>
      </c>
      <c r="J211" s="1">
        <f t="shared" si="19"/>
        <v>0</v>
      </c>
      <c r="K211" s="1"/>
      <c r="L211" s="2">
        <v>4662</v>
      </c>
      <c r="M211">
        <v>496524</v>
      </c>
    </row>
    <row r="212" spans="1:13" x14ac:dyDescent="0.25">
      <c r="A212" s="3" t="s">
        <v>13</v>
      </c>
      <c r="B212" s="2">
        <v>1975</v>
      </c>
      <c r="C212" s="3" t="s">
        <v>217</v>
      </c>
      <c r="D212" s="4">
        <v>0</v>
      </c>
      <c r="E212" s="4">
        <v>10</v>
      </c>
      <c r="F212" s="33">
        <f t="shared" si="16"/>
        <v>196922</v>
      </c>
      <c r="G212" s="1">
        <f t="shared" si="17"/>
        <v>196922</v>
      </c>
      <c r="H212" s="1">
        <f t="shared" si="18"/>
        <v>0</v>
      </c>
      <c r="I212" s="1">
        <f t="shared" si="15"/>
        <v>196922</v>
      </c>
      <c r="J212" s="1">
        <f t="shared" si="19"/>
        <v>0</v>
      </c>
      <c r="K212" s="1"/>
      <c r="L212" s="2">
        <v>4689</v>
      </c>
      <c r="M212">
        <v>212604</v>
      </c>
    </row>
    <row r="213" spans="1:13" x14ac:dyDescent="0.25">
      <c r="A213" s="3" t="s">
        <v>13</v>
      </c>
      <c r="B213" s="2">
        <v>4824</v>
      </c>
      <c r="C213" s="3" t="s">
        <v>218</v>
      </c>
      <c r="D213" s="4">
        <v>0</v>
      </c>
      <c r="E213" s="4">
        <v>7.0000000000000009</v>
      </c>
      <c r="F213" s="33">
        <f t="shared" si="16"/>
        <v>210629</v>
      </c>
      <c r="G213" s="1">
        <f t="shared" si="17"/>
        <v>210629</v>
      </c>
      <c r="H213" s="1">
        <f t="shared" si="18"/>
        <v>0</v>
      </c>
      <c r="I213" s="1">
        <f t="shared" si="15"/>
        <v>210629</v>
      </c>
      <c r="J213" s="1">
        <f t="shared" si="19"/>
        <v>0</v>
      </c>
      <c r="K213" s="1"/>
      <c r="L213" s="2">
        <v>4725</v>
      </c>
      <c r="M213">
        <v>809854</v>
      </c>
    </row>
    <row r="214" spans="1:13" x14ac:dyDescent="0.25">
      <c r="A214" s="3" t="s">
        <v>13</v>
      </c>
      <c r="B214" s="2">
        <v>5643</v>
      </c>
      <c r="C214" s="3" t="s">
        <v>219</v>
      </c>
      <c r="D214" s="4">
        <v>2</v>
      </c>
      <c r="E214" s="4">
        <v>6</v>
      </c>
      <c r="F214" s="33">
        <f t="shared" si="16"/>
        <v>546877</v>
      </c>
      <c r="G214" s="1">
        <f t="shared" si="17"/>
        <v>546877</v>
      </c>
      <c r="H214" s="1">
        <f t="shared" si="18"/>
        <v>136719.25</v>
      </c>
      <c r="I214" s="1">
        <f t="shared" si="15"/>
        <v>410157.75</v>
      </c>
      <c r="J214" s="1">
        <f t="shared" si="19"/>
        <v>0</v>
      </c>
      <c r="K214" s="1"/>
      <c r="L214" s="2">
        <v>4772</v>
      </c>
      <c r="M214">
        <v>333354</v>
      </c>
    </row>
    <row r="215" spans="1:13" x14ac:dyDescent="0.25">
      <c r="A215" s="3" t="s">
        <v>13</v>
      </c>
      <c r="B215" s="2">
        <v>5697</v>
      </c>
      <c r="C215" s="3" t="s">
        <v>220</v>
      </c>
      <c r="D215" s="4">
        <v>0</v>
      </c>
      <c r="E215" s="4">
        <v>3</v>
      </c>
      <c r="F215" s="33">
        <f t="shared" si="16"/>
        <v>85402</v>
      </c>
      <c r="G215" s="1">
        <f t="shared" si="17"/>
        <v>85402</v>
      </c>
      <c r="H215" s="1">
        <f t="shared" si="18"/>
        <v>0</v>
      </c>
      <c r="I215" s="1">
        <f t="shared" si="15"/>
        <v>85402</v>
      </c>
      <c r="J215" s="1">
        <f t="shared" si="19"/>
        <v>0</v>
      </c>
      <c r="K215" s="1"/>
      <c r="L215" s="2">
        <v>4773</v>
      </c>
      <c r="M215">
        <v>256915</v>
      </c>
    </row>
    <row r="216" spans="1:13" x14ac:dyDescent="0.25">
      <c r="A216" s="3" t="s">
        <v>13</v>
      </c>
      <c r="B216" s="2">
        <v>5724</v>
      </c>
      <c r="C216" s="3" t="s">
        <v>221</v>
      </c>
      <c r="D216" s="4">
        <v>0</v>
      </c>
      <c r="E216" s="4">
        <v>10</v>
      </c>
      <c r="F216" s="33">
        <f t="shared" si="16"/>
        <v>117688</v>
      </c>
      <c r="G216" s="1">
        <f t="shared" si="17"/>
        <v>117688</v>
      </c>
      <c r="H216" s="1">
        <f t="shared" si="18"/>
        <v>0</v>
      </c>
      <c r="I216" s="1">
        <f t="shared" si="15"/>
        <v>117688</v>
      </c>
      <c r="J216" s="1">
        <f t="shared" si="19"/>
        <v>0</v>
      </c>
      <c r="K216" s="1"/>
      <c r="L216" s="2">
        <v>4774</v>
      </c>
      <c r="M216">
        <v>376498</v>
      </c>
    </row>
    <row r="217" spans="1:13" x14ac:dyDescent="0.25">
      <c r="A217" s="3" t="s">
        <v>13</v>
      </c>
      <c r="B217" s="2">
        <v>5823</v>
      </c>
      <c r="C217" s="3" t="s">
        <v>222</v>
      </c>
      <c r="D217" s="4">
        <v>7.0000000000000009</v>
      </c>
      <c r="E217" s="4">
        <v>5</v>
      </c>
      <c r="F217" s="33">
        <f t="shared" si="16"/>
        <v>238094</v>
      </c>
      <c r="G217" s="1">
        <f t="shared" si="17"/>
        <v>238094</v>
      </c>
      <c r="H217" s="1">
        <f t="shared" si="18"/>
        <v>138888.17000000001</v>
      </c>
      <c r="I217" s="1">
        <f t="shared" si="15"/>
        <v>99205.829999999987</v>
      </c>
      <c r="J217" s="1">
        <f t="shared" si="19"/>
        <v>0</v>
      </c>
      <c r="K217" s="1"/>
      <c r="L217" s="2">
        <v>4775</v>
      </c>
      <c r="M217">
        <v>97501</v>
      </c>
    </row>
    <row r="218" spans="1:13" x14ac:dyDescent="0.25">
      <c r="A218" s="3" t="s">
        <v>13</v>
      </c>
      <c r="B218" s="2">
        <v>5832</v>
      </c>
      <c r="C218" s="3" t="s">
        <v>223</v>
      </c>
      <c r="D218" s="4">
        <v>0</v>
      </c>
      <c r="E218" s="4">
        <v>7.0000000000000009</v>
      </c>
      <c r="F218" s="33">
        <f t="shared" si="16"/>
        <v>91946</v>
      </c>
      <c r="G218" s="1">
        <f t="shared" si="17"/>
        <v>91946</v>
      </c>
      <c r="H218" s="1">
        <f t="shared" si="18"/>
        <v>0</v>
      </c>
      <c r="I218" s="1">
        <f t="shared" si="15"/>
        <v>91946</v>
      </c>
      <c r="J218" s="1">
        <f t="shared" si="19"/>
        <v>0</v>
      </c>
      <c r="K218" s="1"/>
      <c r="L218" s="2">
        <v>4776</v>
      </c>
      <c r="M218">
        <v>75658</v>
      </c>
    </row>
    <row r="219" spans="1:13" x14ac:dyDescent="0.25">
      <c r="A219" s="3" t="s">
        <v>13</v>
      </c>
      <c r="B219" s="2">
        <v>5895</v>
      </c>
      <c r="C219" s="3" t="s">
        <v>224</v>
      </c>
      <c r="D219" s="4">
        <v>0</v>
      </c>
      <c r="E219" s="4">
        <v>10</v>
      </c>
      <c r="F219" s="33">
        <f t="shared" si="16"/>
        <v>90902</v>
      </c>
      <c r="G219" s="1">
        <f t="shared" si="17"/>
        <v>90902</v>
      </c>
      <c r="H219" s="1">
        <f t="shared" si="18"/>
        <v>0</v>
      </c>
      <c r="I219" s="1">
        <f t="shared" si="15"/>
        <v>90902</v>
      </c>
      <c r="J219" s="1">
        <f t="shared" si="19"/>
        <v>0</v>
      </c>
      <c r="K219" s="1"/>
      <c r="L219" s="2">
        <v>4777</v>
      </c>
      <c r="M219">
        <v>171051</v>
      </c>
    </row>
    <row r="220" spans="1:13" x14ac:dyDescent="0.25">
      <c r="A220" s="3" t="s">
        <v>13</v>
      </c>
      <c r="B220" s="2">
        <v>5949</v>
      </c>
      <c r="C220" s="3" t="s">
        <v>225</v>
      </c>
      <c r="D220" s="4">
        <v>0</v>
      </c>
      <c r="E220" s="4">
        <v>7.0000000000000009</v>
      </c>
      <c r="F220" s="33">
        <f t="shared" si="16"/>
        <v>467230</v>
      </c>
      <c r="G220" s="1">
        <f t="shared" si="17"/>
        <v>467230</v>
      </c>
      <c r="H220" s="1">
        <f t="shared" si="18"/>
        <v>0</v>
      </c>
      <c r="I220" s="1">
        <f t="shared" si="15"/>
        <v>467230</v>
      </c>
      <c r="J220" s="1">
        <f t="shared" si="19"/>
        <v>0</v>
      </c>
      <c r="K220" s="1"/>
      <c r="L220" s="2">
        <v>4778</v>
      </c>
      <c r="M220">
        <v>92853</v>
      </c>
    </row>
    <row r="221" spans="1:13" x14ac:dyDescent="0.25">
      <c r="A221" s="11" t="s">
        <v>13</v>
      </c>
      <c r="B221" s="24">
        <v>5976</v>
      </c>
      <c r="C221" s="11" t="s">
        <v>226</v>
      </c>
      <c r="D221" s="13">
        <v>7.0000000000000009</v>
      </c>
      <c r="E221" s="13">
        <v>4</v>
      </c>
      <c r="F221" s="36">
        <f t="shared" si="16"/>
        <v>464755</v>
      </c>
      <c r="G221" s="1">
        <f t="shared" si="17"/>
        <v>464755</v>
      </c>
      <c r="H221" s="25">
        <f t="shared" si="18"/>
        <v>295753.18</v>
      </c>
      <c r="I221" s="25">
        <f t="shared" si="15"/>
        <v>169001.82</v>
      </c>
      <c r="J221" s="1">
        <f t="shared" si="19"/>
        <v>0</v>
      </c>
      <c r="K221" s="1"/>
      <c r="L221" s="2">
        <v>4779</v>
      </c>
      <c r="M221">
        <v>555198</v>
      </c>
    </row>
    <row r="222" spans="1:13" x14ac:dyDescent="0.25">
      <c r="A222" s="3" t="s">
        <v>13</v>
      </c>
      <c r="B222" s="2">
        <v>5994</v>
      </c>
      <c r="C222" s="3" t="s">
        <v>227</v>
      </c>
      <c r="D222" s="4">
        <v>0</v>
      </c>
      <c r="E222" s="4">
        <v>9</v>
      </c>
      <c r="F222" s="33">
        <f t="shared" si="16"/>
        <v>341952</v>
      </c>
      <c r="G222" s="1">
        <f t="shared" si="17"/>
        <v>341952</v>
      </c>
      <c r="H222" s="1">
        <f t="shared" si="18"/>
        <v>0</v>
      </c>
      <c r="I222" s="1">
        <f t="shared" si="15"/>
        <v>341952</v>
      </c>
      <c r="J222" s="1">
        <f t="shared" si="19"/>
        <v>0</v>
      </c>
      <c r="K222" s="1"/>
      <c r="L222" s="2">
        <v>4784</v>
      </c>
      <c r="M222">
        <v>199503</v>
      </c>
    </row>
    <row r="223" spans="1:13" x14ac:dyDescent="0.25">
      <c r="A223" s="11" t="s">
        <v>13</v>
      </c>
      <c r="B223" s="24">
        <v>6003</v>
      </c>
      <c r="C223" s="11" t="s">
        <v>228</v>
      </c>
      <c r="D223" s="13">
        <v>0</v>
      </c>
      <c r="E223" s="13">
        <v>9</v>
      </c>
      <c r="F223" s="36">
        <f t="shared" si="16"/>
        <v>111958</v>
      </c>
      <c r="G223" s="1">
        <f t="shared" si="17"/>
        <v>111958</v>
      </c>
      <c r="H223" s="25">
        <f t="shared" si="18"/>
        <v>0</v>
      </c>
      <c r="I223" s="25">
        <f t="shared" si="15"/>
        <v>111958</v>
      </c>
      <c r="J223" s="1">
        <f t="shared" si="19"/>
        <v>0</v>
      </c>
      <c r="K223" s="1"/>
      <c r="L223" s="2">
        <v>4785</v>
      </c>
      <c r="M223">
        <v>257865</v>
      </c>
    </row>
    <row r="224" spans="1:13" x14ac:dyDescent="0.25">
      <c r="A224" s="3" t="s">
        <v>13</v>
      </c>
      <c r="B224" s="2">
        <v>6012</v>
      </c>
      <c r="C224" s="3" t="s">
        <v>229</v>
      </c>
      <c r="D224" s="4">
        <v>0</v>
      </c>
      <c r="E224" s="4">
        <v>1</v>
      </c>
      <c r="F224" s="33">
        <f t="shared" si="16"/>
        <v>24987</v>
      </c>
      <c r="G224" s="1">
        <f t="shared" si="17"/>
        <v>24987</v>
      </c>
      <c r="H224" s="1">
        <f t="shared" si="18"/>
        <v>0</v>
      </c>
      <c r="I224" s="1">
        <f t="shared" si="15"/>
        <v>24987</v>
      </c>
      <c r="J224" s="1">
        <f t="shared" si="19"/>
        <v>0</v>
      </c>
      <c r="K224" s="1"/>
      <c r="L224" s="2">
        <v>4787</v>
      </c>
      <c r="M224">
        <v>127434</v>
      </c>
    </row>
    <row r="225" spans="1:13" x14ac:dyDescent="0.25">
      <c r="A225" s="3" t="s">
        <v>13</v>
      </c>
      <c r="B225" s="2">
        <v>6030</v>
      </c>
      <c r="C225" s="3" t="s">
        <v>230</v>
      </c>
      <c r="D225" s="4">
        <v>0</v>
      </c>
      <c r="E225" s="4">
        <v>5</v>
      </c>
      <c r="F225" s="33">
        <f t="shared" si="16"/>
        <v>530907</v>
      </c>
      <c r="G225" s="1">
        <f t="shared" si="17"/>
        <v>530907</v>
      </c>
      <c r="H225" s="1">
        <f t="shared" si="18"/>
        <v>0</v>
      </c>
      <c r="I225" s="1">
        <f t="shared" si="15"/>
        <v>530907</v>
      </c>
      <c r="J225" s="1">
        <f t="shared" si="19"/>
        <v>0</v>
      </c>
      <c r="K225" s="1"/>
      <c r="L225" s="2">
        <v>4788</v>
      </c>
      <c r="M225">
        <v>131006</v>
      </c>
    </row>
    <row r="226" spans="1:13" x14ac:dyDescent="0.25">
      <c r="A226" s="3" t="s">
        <v>13</v>
      </c>
      <c r="B226" s="2">
        <v>6039</v>
      </c>
      <c r="C226" s="3" t="s">
        <v>231</v>
      </c>
      <c r="D226" s="4">
        <v>0</v>
      </c>
      <c r="E226" s="4">
        <v>3</v>
      </c>
      <c r="F226" s="33">
        <f t="shared" si="16"/>
        <v>1864174</v>
      </c>
      <c r="G226" s="1">
        <f t="shared" si="17"/>
        <v>1864174</v>
      </c>
      <c r="H226" s="1">
        <f t="shared" si="18"/>
        <v>0</v>
      </c>
      <c r="I226" s="1">
        <f t="shared" si="15"/>
        <v>1864174</v>
      </c>
      <c r="J226" s="1">
        <f t="shared" si="19"/>
        <v>0</v>
      </c>
      <c r="K226" s="1"/>
      <c r="L226" s="2">
        <v>4797</v>
      </c>
      <c r="M226">
        <v>0</v>
      </c>
    </row>
    <row r="227" spans="1:13" x14ac:dyDescent="0.25">
      <c r="A227" s="3" t="s">
        <v>13</v>
      </c>
      <c r="B227" s="2">
        <v>6093</v>
      </c>
      <c r="C227" s="3" t="s">
        <v>232</v>
      </c>
      <c r="D227" s="4">
        <v>0</v>
      </c>
      <c r="E227" s="4">
        <v>6</v>
      </c>
      <c r="F227" s="33">
        <f t="shared" si="16"/>
        <v>683563</v>
      </c>
      <c r="G227" s="1">
        <f t="shared" si="17"/>
        <v>683563</v>
      </c>
      <c r="H227" s="1">
        <f t="shared" si="18"/>
        <v>0</v>
      </c>
      <c r="I227" s="1">
        <f t="shared" si="15"/>
        <v>683563</v>
      </c>
      <c r="J227" s="1">
        <f t="shared" si="19"/>
        <v>0</v>
      </c>
      <c r="K227" s="1"/>
      <c r="L227" s="2">
        <v>4824</v>
      </c>
      <c r="M227">
        <v>210629</v>
      </c>
    </row>
    <row r="228" spans="1:13" x14ac:dyDescent="0.25">
      <c r="A228" s="3" t="s">
        <v>13</v>
      </c>
      <c r="B228" s="2">
        <v>6095</v>
      </c>
      <c r="C228" s="3" t="s">
        <v>233</v>
      </c>
      <c r="D228" s="4">
        <v>0</v>
      </c>
      <c r="E228" s="4">
        <v>8</v>
      </c>
      <c r="F228" s="33">
        <f t="shared" si="16"/>
        <v>319857</v>
      </c>
      <c r="G228" s="1">
        <f t="shared" si="17"/>
        <v>319857</v>
      </c>
      <c r="H228" s="1">
        <f t="shared" si="18"/>
        <v>0</v>
      </c>
      <c r="I228" s="1">
        <f t="shared" si="15"/>
        <v>319857</v>
      </c>
      <c r="J228" s="1">
        <f t="shared" si="19"/>
        <v>0</v>
      </c>
      <c r="K228" s="1"/>
      <c r="L228" s="2">
        <v>4860</v>
      </c>
      <c r="M228">
        <v>35213</v>
      </c>
    </row>
    <row r="229" spans="1:13" x14ac:dyDescent="0.25">
      <c r="A229" s="3" t="s">
        <v>13</v>
      </c>
      <c r="B229" s="2">
        <v>5157</v>
      </c>
      <c r="C229" s="3" t="s">
        <v>234</v>
      </c>
      <c r="D229" s="4">
        <v>2</v>
      </c>
      <c r="E229" s="4">
        <v>8</v>
      </c>
      <c r="F229" s="33">
        <f t="shared" si="16"/>
        <v>380498</v>
      </c>
      <c r="G229" s="1">
        <f t="shared" si="17"/>
        <v>380498</v>
      </c>
      <c r="H229" s="1">
        <f t="shared" si="18"/>
        <v>76099.600000000006</v>
      </c>
      <c r="I229" s="1">
        <f t="shared" si="15"/>
        <v>304398.40000000002</v>
      </c>
      <c r="J229" s="1">
        <f t="shared" si="19"/>
        <v>0</v>
      </c>
      <c r="K229" s="1"/>
      <c r="L229" s="2">
        <v>4869</v>
      </c>
      <c r="M229">
        <v>371394</v>
      </c>
    </row>
    <row r="230" spans="1:13" x14ac:dyDescent="0.25">
      <c r="A230" s="3" t="s">
        <v>13</v>
      </c>
      <c r="B230" s="2">
        <v>6097</v>
      </c>
      <c r="C230" s="3" t="s">
        <v>235</v>
      </c>
      <c r="D230" s="4">
        <v>0</v>
      </c>
      <c r="E230" s="4">
        <v>11</v>
      </c>
      <c r="F230" s="33">
        <f t="shared" si="16"/>
        <v>88709</v>
      </c>
      <c r="G230" s="1">
        <f t="shared" si="17"/>
        <v>88709</v>
      </c>
      <c r="H230" s="1">
        <f t="shared" si="18"/>
        <v>0</v>
      </c>
      <c r="I230" s="1">
        <f t="shared" si="15"/>
        <v>88709</v>
      </c>
      <c r="J230" s="1">
        <f t="shared" si="19"/>
        <v>0</v>
      </c>
      <c r="K230" s="1"/>
      <c r="L230" s="2">
        <v>4878</v>
      </c>
      <c r="M230">
        <v>258546</v>
      </c>
    </row>
    <row r="231" spans="1:13" x14ac:dyDescent="0.25">
      <c r="A231" s="3" t="s">
        <v>13</v>
      </c>
      <c r="B231" s="2">
        <v>6098</v>
      </c>
      <c r="C231" s="3" t="s">
        <v>236</v>
      </c>
      <c r="D231" s="4">
        <v>0</v>
      </c>
      <c r="E231" s="4">
        <v>9</v>
      </c>
      <c r="F231" s="33">
        <f t="shared" si="16"/>
        <v>508404</v>
      </c>
      <c r="G231" s="1">
        <f t="shared" si="17"/>
        <v>508404</v>
      </c>
      <c r="H231" s="1">
        <f t="shared" si="18"/>
        <v>0</v>
      </c>
      <c r="I231" s="1">
        <f t="shared" si="15"/>
        <v>508404</v>
      </c>
      <c r="J231" s="1">
        <f t="shared" si="19"/>
        <v>0</v>
      </c>
      <c r="K231" s="1"/>
      <c r="L231" s="2">
        <v>4890</v>
      </c>
      <c r="M231">
        <v>165184</v>
      </c>
    </row>
    <row r="232" spans="1:13" x14ac:dyDescent="0.25">
      <c r="A232" s="3" t="s">
        <v>13</v>
      </c>
      <c r="B232" s="2">
        <v>6100</v>
      </c>
      <c r="C232" s="3" t="s">
        <v>237</v>
      </c>
      <c r="D232" s="4">
        <v>3</v>
      </c>
      <c r="E232" s="4">
        <v>3</v>
      </c>
      <c r="F232" s="33">
        <f t="shared" si="16"/>
        <v>210973</v>
      </c>
      <c r="G232" s="1">
        <f t="shared" si="17"/>
        <v>210973</v>
      </c>
      <c r="H232" s="1">
        <f t="shared" si="18"/>
        <v>105486.5</v>
      </c>
      <c r="I232" s="1">
        <f t="shared" si="15"/>
        <v>105486.5</v>
      </c>
      <c r="J232" s="1">
        <f t="shared" si="19"/>
        <v>0</v>
      </c>
      <c r="K232" s="1"/>
      <c r="L232" s="2">
        <v>4905</v>
      </c>
      <c r="M232">
        <v>106808</v>
      </c>
    </row>
    <row r="233" spans="1:13" x14ac:dyDescent="0.25">
      <c r="A233" s="3" t="s">
        <v>13</v>
      </c>
      <c r="B233" s="2">
        <v>6101</v>
      </c>
      <c r="C233" s="3" t="s">
        <v>238</v>
      </c>
      <c r="D233" s="4">
        <v>0</v>
      </c>
      <c r="E233" s="4">
        <v>5</v>
      </c>
      <c r="F233" s="33">
        <f t="shared" si="16"/>
        <v>2082723</v>
      </c>
      <c r="G233" s="1">
        <f t="shared" si="17"/>
        <v>2082723</v>
      </c>
      <c r="H233" s="1">
        <f t="shared" si="18"/>
        <v>0</v>
      </c>
      <c r="I233" s="1">
        <f t="shared" si="15"/>
        <v>2082723</v>
      </c>
      <c r="J233" s="1">
        <f t="shared" si="19"/>
        <v>0</v>
      </c>
      <c r="K233" s="1"/>
      <c r="L233" s="2">
        <v>4978</v>
      </c>
      <c r="M233">
        <v>121384</v>
      </c>
    </row>
    <row r="234" spans="1:13" x14ac:dyDescent="0.25">
      <c r="A234" s="3" t="s">
        <v>13</v>
      </c>
      <c r="B234" s="2">
        <v>6094</v>
      </c>
      <c r="C234" s="3" t="s">
        <v>239</v>
      </c>
      <c r="D234" s="4">
        <v>0</v>
      </c>
      <c r="E234" s="4">
        <v>10</v>
      </c>
      <c r="F234" s="33">
        <f t="shared" si="16"/>
        <v>260387</v>
      </c>
      <c r="G234" s="1">
        <f t="shared" si="17"/>
        <v>260387</v>
      </c>
      <c r="H234" s="1">
        <f t="shared" si="18"/>
        <v>0</v>
      </c>
      <c r="I234" s="1">
        <f t="shared" si="15"/>
        <v>260387</v>
      </c>
      <c r="J234" s="1">
        <f t="shared" si="19"/>
        <v>0</v>
      </c>
      <c r="K234" s="1"/>
      <c r="L234" s="2">
        <v>4995</v>
      </c>
      <c r="M234">
        <v>109021</v>
      </c>
    </row>
    <row r="235" spans="1:13" x14ac:dyDescent="0.25">
      <c r="A235" s="3" t="s">
        <v>13</v>
      </c>
      <c r="B235" s="2">
        <v>6096</v>
      </c>
      <c r="C235" s="3" t="s">
        <v>240</v>
      </c>
      <c r="D235" s="4">
        <v>4</v>
      </c>
      <c r="E235" s="4">
        <v>6</v>
      </c>
      <c r="F235" s="33">
        <f t="shared" si="16"/>
        <v>292071</v>
      </c>
      <c r="G235" s="1">
        <f t="shared" si="17"/>
        <v>292071</v>
      </c>
      <c r="H235" s="1">
        <f t="shared" si="18"/>
        <v>116828.4</v>
      </c>
      <c r="I235" s="1">
        <f t="shared" si="15"/>
        <v>175242.6</v>
      </c>
      <c r="J235" s="1">
        <f t="shared" si="19"/>
        <v>0</v>
      </c>
      <c r="K235" s="1"/>
      <c r="L235" s="2">
        <v>5013</v>
      </c>
      <c r="M235">
        <v>124331</v>
      </c>
    </row>
    <row r="236" spans="1:13" x14ac:dyDescent="0.25">
      <c r="A236" s="3" t="s">
        <v>13</v>
      </c>
      <c r="B236" s="2">
        <v>6102</v>
      </c>
      <c r="C236" s="3" t="s">
        <v>241</v>
      </c>
      <c r="D236" s="4">
        <v>0</v>
      </c>
      <c r="E236" s="4">
        <v>4</v>
      </c>
      <c r="F236" s="33">
        <f t="shared" si="16"/>
        <v>527424</v>
      </c>
      <c r="G236" s="1">
        <f t="shared" si="17"/>
        <v>527424</v>
      </c>
      <c r="H236" s="1">
        <f t="shared" si="18"/>
        <v>0</v>
      </c>
      <c r="I236" s="1">
        <f t="shared" ref="I236:I285" si="20">G236-H236</f>
        <v>527424</v>
      </c>
      <c r="J236" s="1">
        <f t="shared" si="19"/>
        <v>0</v>
      </c>
      <c r="K236" s="1"/>
      <c r="L236" s="2">
        <v>5049</v>
      </c>
      <c r="M236">
        <v>0</v>
      </c>
    </row>
    <row r="237" spans="1:13" x14ac:dyDescent="0.25">
      <c r="A237" s="3" t="s">
        <v>13</v>
      </c>
      <c r="B237" s="2">
        <v>6120</v>
      </c>
      <c r="C237" s="3" t="s">
        <v>242</v>
      </c>
      <c r="D237" s="4">
        <v>0</v>
      </c>
      <c r="E237" s="4">
        <v>6</v>
      </c>
      <c r="F237" s="33">
        <f t="shared" si="16"/>
        <v>621227</v>
      </c>
      <c r="G237" s="1">
        <f t="shared" si="17"/>
        <v>621227</v>
      </c>
      <c r="H237" s="1">
        <f t="shared" si="18"/>
        <v>0</v>
      </c>
      <c r="I237" s="1">
        <f t="shared" si="20"/>
        <v>621227</v>
      </c>
      <c r="J237" s="1">
        <f t="shared" si="19"/>
        <v>0</v>
      </c>
      <c r="K237" s="1"/>
      <c r="L237" s="2">
        <v>5121</v>
      </c>
      <c r="M237">
        <v>192035</v>
      </c>
    </row>
    <row r="238" spans="1:13" x14ac:dyDescent="0.25">
      <c r="A238" s="3" t="s">
        <v>13</v>
      </c>
      <c r="B238" s="2">
        <v>6138</v>
      </c>
      <c r="C238" s="3" t="s">
        <v>243</v>
      </c>
      <c r="D238" s="4">
        <v>0</v>
      </c>
      <c r="E238" s="4">
        <v>6</v>
      </c>
      <c r="F238" s="33">
        <f t="shared" si="16"/>
        <v>182536</v>
      </c>
      <c r="G238" s="1">
        <f t="shared" si="17"/>
        <v>182536</v>
      </c>
      <c r="H238" s="1">
        <f t="shared" si="18"/>
        <v>0</v>
      </c>
      <c r="I238" s="1">
        <f t="shared" si="20"/>
        <v>182536</v>
      </c>
      <c r="J238" s="1">
        <f t="shared" si="19"/>
        <v>0</v>
      </c>
      <c r="K238" s="1"/>
      <c r="L238" s="2">
        <v>5139</v>
      </c>
      <c r="M238">
        <v>46464</v>
      </c>
    </row>
    <row r="239" spans="1:13" x14ac:dyDescent="0.25">
      <c r="A239" s="3" t="s">
        <v>13</v>
      </c>
      <c r="B239" s="2">
        <v>5751</v>
      </c>
      <c r="C239" s="3" t="s">
        <v>244</v>
      </c>
      <c r="D239" s="4">
        <v>0</v>
      </c>
      <c r="E239" s="4">
        <v>6</v>
      </c>
      <c r="F239" s="33">
        <f t="shared" si="16"/>
        <v>191669</v>
      </c>
      <c r="G239" s="1">
        <f t="shared" si="17"/>
        <v>191669</v>
      </c>
      <c r="H239" s="1">
        <f t="shared" si="18"/>
        <v>0</v>
      </c>
      <c r="I239" s="1">
        <f t="shared" si="20"/>
        <v>191669</v>
      </c>
      <c r="J239" s="1">
        <f t="shared" si="19"/>
        <v>0</v>
      </c>
      <c r="K239" s="1"/>
      <c r="L239" s="2">
        <v>5157</v>
      </c>
      <c r="M239">
        <v>380498</v>
      </c>
    </row>
    <row r="240" spans="1:13" x14ac:dyDescent="0.25">
      <c r="A240" s="3" t="s">
        <v>13</v>
      </c>
      <c r="B240" s="2">
        <v>6165</v>
      </c>
      <c r="C240" s="3" t="s">
        <v>245</v>
      </c>
      <c r="D240" s="4">
        <v>0</v>
      </c>
      <c r="E240" s="4">
        <v>4</v>
      </c>
      <c r="F240" s="33">
        <f t="shared" si="16"/>
        <v>41697</v>
      </c>
      <c r="G240" s="1">
        <f t="shared" si="17"/>
        <v>41697</v>
      </c>
      <c r="H240" s="1">
        <f t="shared" si="18"/>
        <v>0</v>
      </c>
      <c r="I240" s="1">
        <f t="shared" si="20"/>
        <v>41697</v>
      </c>
      <c r="J240" s="1">
        <f t="shared" si="19"/>
        <v>0</v>
      </c>
      <c r="K240" s="1"/>
      <c r="L240" s="2">
        <v>5163</v>
      </c>
      <c r="M240">
        <v>217976</v>
      </c>
    </row>
    <row r="241" spans="1:13" x14ac:dyDescent="0.25">
      <c r="A241" s="3" t="s">
        <v>13</v>
      </c>
      <c r="B241" s="2">
        <v>6219</v>
      </c>
      <c r="C241" s="3" t="s">
        <v>246</v>
      </c>
      <c r="D241" s="4">
        <v>0</v>
      </c>
      <c r="E241" s="4">
        <v>3</v>
      </c>
      <c r="F241" s="33">
        <f t="shared" si="16"/>
        <v>300082</v>
      </c>
      <c r="G241" s="1">
        <f t="shared" si="17"/>
        <v>300082</v>
      </c>
      <c r="H241" s="1">
        <f t="shared" si="18"/>
        <v>0</v>
      </c>
      <c r="I241" s="1">
        <f t="shared" si="20"/>
        <v>300082</v>
      </c>
      <c r="J241" s="1">
        <f t="shared" si="19"/>
        <v>0</v>
      </c>
      <c r="K241" s="1"/>
      <c r="L241" s="2">
        <v>5166</v>
      </c>
      <c r="M241">
        <v>922690</v>
      </c>
    </row>
    <row r="242" spans="1:13" x14ac:dyDescent="0.25">
      <c r="A242" s="3" t="s">
        <v>13</v>
      </c>
      <c r="B242" s="2">
        <v>6246</v>
      </c>
      <c r="C242" s="3" t="s">
        <v>247</v>
      </c>
      <c r="D242" s="4">
        <v>0</v>
      </c>
      <c r="E242" s="4">
        <v>9</v>
      </c>
      <c r="F242" s="33">
        <f t="shared" si="16"/>
        <v>92019</v>
      </c>
      <c r="G242" s="1">
        <f t="shared" si="17"/>
        <v>92019</v>
      </c>
      <c r="H242" s="1">
        <f t="shared" si="18"/>
        <v>0</v>
      </c>
      <c r="I242" s="1">
        <f t="shared" si="20"/>
        <v>92019</v>
      </c>
      <c r="J242" s="1">
        <f t="shared" si="19"/>
        <v>0</v>
      </c>
      <c r="K242" s="1"/>
      <c r="L242" s="2">
        <v>5184</v>
      </c>
      <c r="M242">
        <v>213545</v>
      </c>
    </row>
    <row r="243" spans="1:13" x14ac:dyDescent="0.25">
      <c r="A243" s="3" t="s">
        <v>13</v>
      </c>
      <c r="B243" s="2">
        <v>6273</v>
      </c>
      <c r="C243" s="3" t="s">
        <v>248</v>
      </c>
      <c r="D243" s="4">
        <v>0</v>
      </c>
      <c r="E243" s="4">
        <v>7.0000000000000009</v>
      </c>
      <c r="F243" s="33">
        <f t="shared" si="16"/>
        <v>310943</v>
      </c>
      <c r="G243" s="1">
        <f t="shared" si="17"/>
        <v>310943</v>
      </c>
      <c r="H243" s="1">
        <f t="shared" si="18"/>
        <v>0</v>
      </c>
      <c r="I243" s="1">
        <f t="shared" si="20"/>
        <v>310943</v>
      </c>
      <c r="J243" s="1">
        <f t="shared" si="19"/>
        <v>0</v>
      </c>
      <c r="K243" s="1"/>
      <c r="L243" s="2">
        <v>5250</v>
      </c>
      <c r="M243">
        <v>0</v>
      </c>
    </row>
    <row r="244" spans="1:13" x14ac:dyDescent="0.25">
      <c r="A244" s="3" t="s">
        <v>13</v>
      </c>
      <c r="B244" s="2">
        <v>6408</v>
      </c>
      <c r="C244" s="3" t="s">
        <v>249</v>
      </c>
      <c r="D244" s="4">
        <v>5</v>
      </c>
      <c r="E244" s="4">
        <v>5</v>
      </c>
      <c r="F244" s="33">
        <f t="shared" si="16"/>
        <v>523336</v>
      </c>
      <c r="G244" s="1">
        <f t="shared" si="17"/>
        <v>523336</v>
      </c>
      <c r="H244" s="1">
        <f t="shared" si="18"/>
        <v>261668</v>
      </c>
      <c r="I244" s="1">
        <f t="shared" si="20"/>
        <v>261668</v>
      </c>
      <c r="J244" s="1">
        <f t="shared" si="19"/>
        <v>0</v>
      </c>
      <c r="K244" s="1"/>
      <c r="L244" s="2">
        <v>5256</v>
      </c>
      <c r="M244">
        <v>298745</v>
      </c>
    </row>
    <row r="245" spans="1:13" x14ac:dyDescent="0.25">
      <c r="A245" s="3" t="s">
        <v>13</v>
      </c>
      <c r="B245" s="2">
        <v>6453</v>
      </c>
      <c r="C245" s="3" t="s">
        <v>250</v>
      </c>
      <c r="D245" s="4">
        <v>0</v>
      </c>
      <c r="E245" s="4">
        <v>4</v>
      </c>
      <c r="F245" s="33">
        <f t="shared" si="16"/>
        <v>114634</v>
      </c>
      <c r="G245" s="1">
        <f t="shared" si="17"/>
        <v>114634</v>
      </c>
      <c r="H245" s="1">
        <f t="shared" si="18"/>
        <v>0</v>
      </c>
      <c r="I245" s="1">
        <f t="shared" si="20"/>
        <v>114634</v>
      </c>
      <c r="J245" s="1">
        <f t="shared" si="19"/>
        <v>0</v>
      </c>
      <c r="K245" s="1"/>
      <c r="L245" s="2">
        <v>5283</v>
      </c>
      <c r="M245">
        <v>42152</v>
      </c>
    </row>
    <row r="246" spans="1:13" x14ac:dyDescent="0.25">
      <c r="A246" s="3" t="s">
        <v>13</v>
      </c>
      <c r="B246" s="2">
        <v>6460</v>
      </c>
      <c r="C246" s="3" t="s">
        <v>251</v>
      </c>
      <c r="D246" s="4">
        <v>0</v>
      </c>
      <c r="E246" s="4">
        <v>8</v>
      </c>
      <c r="F246" s="33">
        <f t="shared" si="16"/>
        <v>219660</v>
      </c>
      <c r="G246" s="1">
        <f t="shared" si="17"/>
        <v>219660</v>
      </c>
      <c r="H246" s="1">
        <f t="shared" si="18"/>
        <v>0</v>
      </c>
      <c r="I246" s="1">
        <f t="shared" si="20"/>
        <v>219660</v>
      </c>
      <c r="J246" s="1">
        <f t="shared" si="19"/>
        <v>0</v>
      </c>
      <c r="K246" s="1"/>
      <c r="L246" s="2">
        <v>5310</v>
      </c>
      <c r="M246">
        <v>305468</v>
      </c>
    </row>
    <row r="247" spans="1:13" x14ac:dyDescent="0.25">
      <c r="A247" s="3" t="s">
        <v>13</v>
      </c>
      <c r="B247" s="2">
        <v>6462</v>
      </c>
      <c r="C247" s="3" t="s">
        <v>252</v>
      </c>
      <c r="D247" s="4">
        <v>4</v>
      </c>
      <c r="E247" s="4">
        <v>8</v>
      </c>
      <c r="F247" s="33">
        <f t="shared" si="16"/>
        <v>135565</v>
      </c>
      <c r="G247" s="1">
        <f t="shared" si="17"/>
        <v>135565</v>
      </c>
      <c r="H247" s="1">
        <f t="shared" si="18"/>
        <v>45188.33</v>
      </c>
      <c r="I247" s="1">
        <f t="shared" si="20"/>
        <v>90376.67</v>
      </c>
      <c r="J247" s="1">
        <f t="shared" si="19"/>
        <v>0</v>
      </c>
      <c r="K247" s="1"/>
      <c r="L247" s="2">
        <v>5319</v>
      </c>
      <c r="M247">
        <v>171089</v>
      </c>
    </row>
    <row r="248" spans="1:13" x14ac:dyDescent="0.25">
      <c r="A248" s="3" t="s">
        <v>13</v>
      </c>
      <c r="B248" s="2">
        <v>6512</v>
      </c>
      <c r="C248" s="3" t="s">
        <v>253</v>
      </c>
      <c r="D248" s="4">
        <v>0</v>
      </c>
      <c r="E248" s="4">
        <v>11</v>
      </c>
      <c r="F248" s="33">
        <f t="shared" si="16"/>
        <v>181345</v>
      </c>
      <c r="G248" s="1">
        <f t="shared" si="17"/>
        <v>181345</v>
      </c>
      <c r="H248" s="1">
        <f t="shared" si="18"/>
        <v>0</v>
      </c>
      <c r="I248" s="1">
        <f t="shared" si="20"/>
        <v>181345</v>
      </c>
      <c r="J248" s="1">
        <f t="shared" si="19"/>
        <v>0</v>
      </c>
      <c r="K248" s="1"/>
      <c r="L248" s="2">
        <v>5323</v>
      </c>
      <c r="M248">
        <v>31840</v>
      </c>
    </row>
    <row r="249" spans="1:13" x14ac:dyDescent="0.25">
      <c r="A249" s="3" t="s">
        <v>13</v>
      </c>
      <c r="B249" s="2">
        <v>6516</v>
      </c>
      <c r="C249" s="3" t="s">
        <v>254</v>
      </c>
      <c r="D249" s="4">
        <v>0</v>
      </c>
      <c r="E249" s="4">
        <v>10</v>
      </c>
      <c r="F249" s="33">
        <f t="shared" si="16"/>
        <v>109256</v>
      </c>
      <c r="G249" s="1">
        <f t="shared" si="17"/>
        <v>109256</v>
      </c>
      <c r="H249" s="1">
        <f t="shared" si="18"/>
        <v>0</v>
      </c>
      <c r="I249" s="1">
        <f t="shared" si="20"/>
        <v>109256</v>
      </c>
      <c r="J249" s="1">
        <f t="shared" si="19"/>
        <v>0</v>
      </c>
      <c r="K249" s="1"/>
      <c r="L249" s="2">
        <v>5463</v>
      </c>
      <c r="M249">
        <v>437990</v>
      </c>
    </row>
    <row r="250" spans="1:13" x14ac:dyDescent="0.25">
      <c r="A250" s="3" t="s">
        <v>13</v>
      </c>
      <c r="B250" s="2">
        <v>1935</v>
      </c>
      <c r="C250" s="3" t="s">
        <v>255</v>
      </c>
      <c r="D250" s="4">
        <v>0</v>
      </c>
      <c r="E250" s="4">
        <v>8</v>
      </c>
      <c r="F250" s="33">
        <f t="shared" si="16"/>
        <v>534738</v>
      </c>
      <c r="G250" s="1">
        <f t="shared" si="17"/>
        <v>534738</v>
      </c>
      <c r="H250" s="1">
        <f t="shared" si="18"/>
        <v>0</v>
      </c>
      <c r="I250" s="1">
        <f t="shared" si="20"/>
        <v>534738</v>
      </c>
      <c r="J250" s="1">
        <f t="shared" si="19"/>
        <v>0</v>
      </c>
      <c r="K250" s="1"/>
      <c r="L250" s="2">
        <v>5486</v>
      </c>
      <c r="M250">
        <v>198626</v>
      </c>
    </row>
    <row r="251" spans="1:13" x14ac:dyDescent="0.25">
      <c r="A251" s="3" t="s">
        <v>13</v>
      </c>
      <c r="B251" s="2">
        <v>6561</v>
      </c>
      <c r="C251" s="3" t="s">
        <v>256</v>
      </c>
      <c r="D251" s="4">
        <v>0</v>
      </c>
      <c r="E251" s="4">
        <v>7.0000000000000009</v>
      </c>
      <c r="F251" s="33">
        <f t="shared" si="16"/>
        <v>163675</v>
      </c>
      <c r="G251" s="1">
        <f t="shared" si="17"/>
        <v>163675</v>
      </c>
      <c r="H251" s="1">
        <f t="shared" si="18"/>
        <v>0</v>
      </c>
      <c r="I251" s="1">
        <f t="shared" si="20"/>
        <v>163675</v>
      </c>
      <c r="J251" s="1">
        <f t="shared" si="19"/>
        <v>0</v>
      </c>
      <c r="K251" s="1"/>
      <c r="L251" s="2">
        <v>5508</v>
      </c>
      <c r="M251">
        <v>160929</v>
      </c>
    </row>
    <row r="252" spans="1:13" x14ac:dyDescent="0.25">
      <c r="A252" s="3" t="s">
        <v>13</v>
      </c>
      <c r="B252" s="2">
        <v>6591</v>
      </c>
      <c r="C252" s="3" t="s">
        <v>257</v>
      </c>
      <c r="D252" s="4">
        <v>3</v>
      </c>
      <c r="E252" s="4">
        <v>5</v>
      </c>
      <c r="F252" s="33">
        <f t="shared" si="16"/>
        <v>143061</v>
      </c>
      <c r="G252" s="1">
        <f t="shared" si="17"/>
        <v>143061</v>
      </c>
      <c r="H252" s="1">
        <f t="shared" si="18"/>
        <v>53647.88</v>
      </c>
      <c r="I252" s="1">
        <f t="shared" si="20"/>
        <v>89413.119999999995</v>
      </c>
      <c r="J252" s="1">
        <f t="shared" si="19"/>
        <v>0</v>
      </c>
      <c r="K252" s="1"/>
      <c r="L252" s="2">
        <v>5607</v>
      </c>
      <c r="M252">
        <v>0</v>
      </c>
    </row>
    <row r="253" spans="1:13" x14ac:dyDescent="0.25">
      <c r="A253" s="3" t="s">
        <v>13</v>
      </c>
      <c r="B253" s="2">
        <v>6592</v>
      </c>
      <c r="C253" s="3" t="s">
        <v>258</v>
      </c>
      <c r="D253" s="4">
        <v>0</v>
      </c>
      <c r="E253" s="4">
        <v>9</v>
      </c>
      <c r="F253" s="33">
        <f t="shared" si="16"/>
        <v>299216</v>
      </c>
      <c r="G253" s="1">
        <f t="shared" si="17"/>
        <v>299216</v>
      </c>
      <c r="H253" s="1">
        <f t="shared" si="18"/>
        <v>0</v>
      </c>
      <c r="I253" s="1">
        <f t="shared" si="20"/>
        <v>299216</v>
      </c>
      <c r="J253" s="1">
        <f t="shared" si="19"/>
        <v>0</v>
      </c>
      <c r="K253" s="1"/>
      <c r="L253" s="2">
        <v>5643</v>
      </c>
      <c r="M253">
        <v>546877</v>
      </c>
    </row>
    <row r="254" spans="1:13" x14ac:dyDescent="0.25">
      <c r="A254" s="3" t="s">
        <v>13</v>
      </c>
      <c r="B254" s="2">
        <v>6615</v>
      </c>
      <c r="C254" s="3" t="s">
        <v>259</v>
      </c>
      <c r="D254" s="4">
        <v>0</v>
      </c>
      <c r="E254" s="4">
        <v>5</v>
      </c>
      <c r="F254" s="33">
        <f t="shared" si="16"/>
        <v>312645</v>
      </c>
      <c r="G254" s="1">
        <f t="shared" si="17"/>
        <v>312645</v>
      </c>
      <c r="H254" s="1">
        <f t="shared" si="18"/>
        <v>0</v>
      </c>
      <c r="I254" s="1">
        <f t="shared" si="20"/>
        <v>312645</v>
      </c>
      <c r="J254" s="1">
        <f t="shared" si="19"/>
        <v>0</v>
      </c>
      <c r="K254" s="1"/>
      <c r="L254" s="2">
        <v>5697</v>
      </c>
      <c r="M254">
        <v>85402</v>
      </c>
    </row>
    <row r="255" spans="1:13" x14ac:dyDescent="0.25">
      <c r="A255" s="3" t="s">
        <v>13</v>
      </c>
      <c r="B255" s="2">
        <v>6651</v>
      </c>
      <c r="C255" s="3" t="s">
        <v>260</v>
      </c>
      <c r="D255" s="4">
        <v>1</v>
      </c>
      <c r="E255" s="4">
        <v>0</v>
      </c>
      <c r="F255" s="33">
        <f t="shared" si="16"/>
        <v>13836</v>
      </c>
      <c r="G255" s="1">
        <f t="shared" si="17"/>
        <v>13836</v>
      </c>
      <c r="H255" s="1">
        <f t="shared" si="18"/>
        <v>13836</v>
      </c>
      <c r="I255" s="1">
        <f t="shared" si="20"/>
        <v>0</v>
      </c>
      <c r="J255" s="1">
        <f t="shared" si="19"/>
        <v>0</v>
      </c>
      <c r="K255" s="1"/>
      <c r="L255" s="2">
        <v>5724</v>
      </c>
      <c r="M255">
        <v>117688</v>
      </c>
    </row>
    <row r="256" spans="1:13" x14ac:dyDescent="0.25">
      <c r="A256" s="3" t="s">
        <v>13</v>
      </c>
      <c r="B256" s="2">
        <v>6660</v>
      </c>
      <c r="C256" s="3" t="s">
        <v>261</v>
      </c>
      <c r="D256" s="4">
        <v>5</v>
      </c>
      <c r="E256" s="4">
        <v>2</v>
      </c>
      <c r="F256" s="33">
        <f t="shared" si="16"/>
        <v>636245</v>
      </c>
      <c r="G256" s="1">
        <f t="shared" si="17"/>
        <v>636245</v>
      </c>
      <c r="H256" s="1">
        <f t="shared" si="18"/>
        <v>454460.71</v>
      </c>
      <c r="I256" s="1">
        <f t="shared" si="20"/>
        <v>181784.28999999998</v>
      </c>
      <c r="J256" s="1">
        <f t="shared" si="19"/>
        <v>0</v>
      </c>
      <c r="K256" s="1"/>
      <c r="L256" s="2">
        <v>5751</v>
      </c>
      <c r="M256">
        <v>191669</v>
      </c>
    </row>
    <row r="257" spans="1:13" x14ac:dyDescent="0.25">
      <c r="A257" s="5" t="s">
        <v>13</v>
      </c>
      <c r="B257" s="15">
        <v>6750</v>
      </c>
      <c r="C257" s="5" t="s">
        <v>262</v>
      </c>
      <c r="D257" s="7">
        <v>0</v>
      </c>
      <c r="E257" s="7">
        <v>1</v>
      </c>
      <c r="F257" s="34">
        <v>9490</v>
      </c>
      <c r="G257" s="1">
        <f t="shared" si="17"/>
        <v>9490</v>
      </c>
      <c r="H257" s="21">
        <f t="shared" si="18"/>
        <v>0</v>
      </c>
      <c r="I257" s="21">
        <f t="shared" si="20"/>
        <v>9490</v>
      </c>
      <c r="J257" s="1">
        <f t="shared" si="19"/>
        <v>0</v>
      </c>
      <c r="K257" s="1"/>
      <c r="L257" s="2">
        <v>5805</v>
      </c>
      <c r="M257">
        <v>0</v>
      </c>
    </row>
    <row r="258" spans="1:13" x14ac:dyDescent="0.25">
      <c r="A258" s="3" t="s">
        <v>13</v>
      </c>
      <c r="B258" s="2">
        <v>6759</v>
      </c>
      <c r="C258" s="3" t="s">
        <v>263</v>
      </c>
      <c r="D258" s="4">
        <v>0</v>
      </c>
      <c r="E258" s="4">
        <v>6</v>
      </c>
      <c r="F258" s="33">
        <f t="shared" ref="F258:F284" si="21">INDEX($L$2:$M$336,MATCH(B258,$L$2:$L$336,0),2)</f>
        <v>176126</v>
      </c>
      <c r="G258" s="1">
        <f t="shared" si="17"/>
        <v>176126</v>
      </c>
      <c r="H258" s="1">
        <f t="shared" si="18"/>
        <v>0</v>
      </c>
      <c r="I258" s="1">
        <f t="shared" si="20"/>
        <v>176126</v>
      </c>
      <c r="J258" s="1">
        <f t="shared" si="19"/>
        <v>0</v>
      </c>
      <c r="K258" s="1"/>
      <c r="L258" s="2">
        <v>5823</v>
      </c>
      <c r="M258">
        <v>238094</v>
      </c>
    </row>
    <row r="259" spans="1:13" x14ac:dyDescent="0.25">
      <c r="A259" s="3" t="s">
        <v>13</v>
      </c>
      <c r="B259" s="2">
        <v>6762</v>
      </c>
      <c r="C259" s="3" t="s">
        <v>264</v>
      </c>
      <c r="D259" s="4">
        <v>2</v>
      </c>
      <c r="E259" s="4">
        <v>10</v>
      </c>
      <c r="F259" s="33">
        <f t="shared" si="21"/>
        <v>401095</v>
      </c>
      <c r="G259" s="1">
        <f t="shared" ref="G259" si="22">F259</f>
        <v>401095</v>
      </c>
      <c r="H259" s="1">
        <f t="shared" ref="H259:H285" si="23">ROUND((D259/(D259+E259))*$G259,2)</f>
        <v>66849.17</v>
      </c>
      <c r="I259" s="1">
        <f t="shared" si="20"/>
        <v>334245.83</v>
      </c>
      <c r="J259" s="1">
        <f t="shared" ref="J259:J285" si="24">H259+I259-G259</f>
        <v>0</v>
      </c>
      <c r="K259" s="1"/>
      <c r="L259" s="2">
        <v>5832</v>
      </c>
      <c r="M259">
        <v>91946</v>
      </c>
    </row>
    <row r="260" spans="1:13" x14ac:dyDescent="0.25">
      <c r="A260" s="3" t="s">
        <v>13</v>
      </c>
      <c r="B260" s="2">
        <v>6768</v>
      </c>
      <c r="C260" s="3" t="s">
        <v>265</v>
      </c>
      <c r="D260" s="4">
        <v>0</v>
      </c>
      <c r="E260" s="4">
        <v>9</v>
      </c>
      <c r="F260" s="33">
        <f t="shared" si="21"/>
        <v>735788</v>
      </c>
      <c r="G260" s="1">
        <f t="shared" si="17"/>
        <v>735788</v>
      </c>
      <c r="H260" s="1">
        <f t="shared" si="23"/>
        <v>0</v>
      </c>
      <c r="I260" s="1">
        <f t="shared" si="20"/>
        <v>735788</v>
      </c>
      <c r="J260" s="1">
        <f t="shared" si="24"/>
        <v>0</v>
      </c>
      <c r="K260" s="1"/>
      <c r="L260" s="2">
        <v>5877</v>
      </c>
      <c r="M260">
        <v>0</v>
      </c>
    </row>
    <row r="261" spans="1:13" x14ac:dyDescent="0.25">
      <c r="A261" s="3" t="s">
        <v>13</v>
      </c>
      <c r="B261" s="2">
        <v>6840</v>
      </c>
      <c r="C261" s="3" t="s">
        <v>266</v>
      </c>
      <c r="D261" s="4">
        <v>0</v>
      </c>
      <c r="E261" s="4">
        <v>6</v>
      </c>
      <c r="F261" s="33">
        <f t="shared" si="21"/>
        <v>841033</v>
      </c>
      <c r="G261" s="1">
        <f t="shared" ref="G261:G285" si="25">F261</f>
        <v>841033</v>
      </c>
      <c r="H261" s="1">
        <f t="shared" si="23"/>
        <v>0</v>
      </c>
      <c r="I261" s="1">
        <f t="shared" si="20"/>
        <v>841033</v>
      </c>
      <c r="J261" s="1">
        <f t="shared" si="24"/>
        <v>0</v>
      </c>
      <c r="K261" s="1"/>
      <c r="L261" s="2">
        <v>5895</v>
      </c>
      <c r="M261">
        <v>90902</v>
      </c>
    </row>
    <row r="262" spans="1:13" x14ac:dyDescent="0.25">
      <c r="A262" s="3" t="s">
        <v>13</v>
      </c>
      <c r="B262" s="2">
        <v>6854</v>
      </c>
      <c r="C262" s="3" t="s">
        <v>267</v>
      </c>
      <c r="D262" s="4">
        <v>0</v>
      </c>
      <c r="E262" s="4">
        <v>2</v>
      </c>
      <c r="F262" s="33">
        <f t="shared" si="21"/>
        <v>49057</v>
      </c>
      <c r="G262" s="1">
        <f t="shared" si="25"/>
        <v>49057</v>
      </c>
      <c r="H262" s="1">
        <f t="shared" si="23"/>
        <v>0</v>
      </c>
      <c r="I262" s="1">
        <f t="shared" si="20"/>
        <v>49057</v>
      </c>
      <c r="J262" s="1">
        <f t="shared" si="24"/>
        <v>0</v>
      </c>
      <c r="K262" s="1"/>
      <c r="L262" s="2">
        <v>5922</v>
      </c>
      <c r="M262">
        <v>234046</v>
      </c>
    </row>
    <row r="263" spans="1:13" x14ac:dyDescent="0.25">
      <c r="A263" s="3" t="s">
        <v>13</v>
      </c>
      <c r="B263" s="2">
        <v>6867</v>
      </c>
      <c r="C263" s="3" t="s">
        <v>268</v>
      </c>
      <c r="D263" s="4">
        <v>0</v>
      </c>
      <c r="E263" s="4">
        <v>5</v>
      </c>
      <c r="F263" s="33">
        <f t="shared" si="21"/>
        <v>462058</v>
      </c>
      <c r="G263" s="1">
        <f t="shared" si="25"/>
        <v>462058</v>
      </c>
      <c r="H263" s="1">
        <f t="shared" si="23"/>
        <v>0</v>
      </c>
      <c r="I263" s="1">
        <f t="shared" si="20"/>
        <v>462058</v>
      </c>
      <c r="J263" s="1">
        <f t="shared" si="24"/>
        <v>0</v>
      </c>
      <c r="K263" s="1"/>
      <c r="L263" s="2">
        <v>5949</v>
      </c>
      <c r="M263">
        <v>467230</v>
      </c>
    </row>
    <row r="264" spans="1:13" x14ac:dyDescent="0.25">
      <c r="A264" s="3" t="s">
        <v>13</v>
      </c>
      <c r="B264" s="2">
        <v>6930</v>
      </c>
      <c r="C264" s="3" t="s">
        <v>269</v>
      </c>
      <c r="D264" s="4">
        <v>5</v>
      </c>
      <c r="E264" s="4">
        <v>5</v>
      </c>
      <c r="F264" s="33">
        <f t="shared" si="21"/>
        <v>475467</v>
      </c>
      <c r="G264" s="1">
        <f t="shared" si="25"/>
        <v>475467</v>
      </c>
      <c r="H264" s="1">
        <f t="shared" si="23"/>
        <v>237733.5</v>
      </c>
      <c r="I264" s="1">
        <f t="shared" si="20"/>
        <v>237733.5</v>
      </c>
      <c r="J264" s="1">
        <f t="shared" si="24"/>
        <v>0</v>
      </c>
      <c r="K264" s="1"/>
      <c r="L264" s="2">
        <v>5976</v>
      </c>
      <c r="M264">
        <v>464755</v>
      </c>
    </row>
    <row r="265" spans="1:13" x14ac:dyDescent="0.25">
      <c r="A265" s="3" t="s">
        <v>13</v>
      </c>
      <c r="B265" s="2">
        <v>6943</v>
      </c>
      <c r="C265" s="3" t="s">
        <v>270</v>
      </c>
      <c r="D265" s="4">
        <v>3</v>
      </c>
      <c r="E265" s="4">
        <v>10</v>
      </c>
      <c r="F265" s="33">
        <f t="shared" si="21"/>
        <v>170715</v>
      </c>
      <c r="G265" s="1">
        <f t="shared" si="25"/>
        <v>170715</v>
      </c>
      <c r="H265" s="1">
        <f t="shared" si="23"/>
        <v>39395.769999999997</v>
      </c>
      <c r="I265" s="1">
        <f t="shared" si="20"/>
        <v>131319.23000000001</v>
      </c>
      <c r="J265" s="1">
        <f t="shared" si="24"/>
        <v>0</v>
      </c>
      <c r="K265" s="1"/>
      <c r="L265" s="2">
        <v>5994</v>
      </c>
      <c r="M265">
        <v>341952</v>
      </c>
    </row>
    <row r="266" spans="1:13" x14ac:dyDescent="0.25">
      <c r="A266" s="3" t="s">
        <v>13</v>
      </c>
      <c r="B266" s="2">
        <v>6264</v>
      </c>
      <c r="C266" s="3" t="s">
        <v>271</v>
      </c>
      <c r="D266" s="4">
        <v>0</v>
      </c>
      <c r="E266" s="4">
        <v>5</v>
      </c>
      <c r="F266" s="33">
        <f t="shared" si="21"/>
        <v>236989</v>
      </c>
      <c r="G266" s="1">
        <f t="shared" si="25"/>
        <v>236989</v>
      </c>
      <c r="H266" s="1">
        <f t="shared" si="23"/>
        <v>0</v>
      </c>
      <c r="I266" s="1">
        <f t="shared" si="20"/>
        <v>236989</v>
      </c>
      <c r="J266" s="1">
        <f t="shared" si="24"/>
        <v>0</v>
      </c>
      <c r="K266" s="1"/>
      <c r="L266" s="2">
        <v>6003</v>
      </c>
      <c r="M266">
        <v>111958</v>
      </c>
    </row>
    <row r="267" spans="1:13" x14ac:dyDescent="0.25">
      <c r="A267" s="3" t="s">
        <v>13</v>
      </c>
      <c r="B267" s="2">
        <v>6950</v>
      </c>
      <c r="C267" s="3" t="s">
        <v>272</v>
      </c>
      <c r="D267" s="4">
        <v>0</v>
      </c>
      <c r="E267" s="4">
        <v>5</v>
      </c>
      <c r="F267" s="33">
        <f t="shared" si="21"/>
        <v>437186</v>
      </c>
      <c r="G267" s="1">
        <f t="shared" si="25"/>
        <v>437186</v>
      </c>
      <c r="H267" s="1">
        <f t="shared" si="23"/>
        <v>0</v>
      </c>
      <c r="I267" s="1">
        <f t="shared" si="20"/>
        <v>437186</v>
      </c>
      <c r="J267" s="1">
        <f t="shared" si="24"/>
        <v>0</v>
      </c>
      <c r="K267" s="1"/>
      <c r="L267" s="2">
        <v>6012</v>
      </c>
      <c r="M267">
        <v>24987</v>
      </c>
    </row>
    <row r="268" spans="1:13" x14ac:dyDescent="0.25">
      <c r="A268" s="3" t="s">
        <v>13</v>
      </c>
      <c r="B268" s="2">
        <v>5922</v>
      </c>
      <c r="C268" s="3" t="s">
        <v>273</v>
      </c>
      <c r="D268" s="4">
        <v>0</v>
      </c>
      <c r="E268" s="4">
        <v>5</v>
      </c>
      <c r="F268" s="33">
        <f t="shared" si="21"/>
        <v>234046</v>
      </c>
      <c r="G268" s="1">
        <f t="shared" si="25"/>
        <v>234046</v>
      </c>
      <c r="H268" s="1">
        <f t="shared" si="23"/>
        <v>0</v>
      </c>
      <c r="I268" s="1">
        <f t="shared" si="20"/>
        <v>234046</v>
      </c>
      <c r="J268" s="1">
        <f t="shared" si="24"/>
        <v>0</v>
      </c>
      <c r="K268" s="1"/>
      <c r="L268" s="2">
        <v>6030</v>
      </c>
      <c r="M268">
        <v>530907</v>
      </c>
    </row>
    <row r="269" spans="1:13" x14ac:dyDescent="0.25">
      <c r="A269" s="3" t="s">
        <v>13</v>
      </c>
      <c r="B269" s="2">
        <v>819</v>
      </c>
      <c r="C269" s="3" t="s">
        <v>274</v>
      </c>
      <c r="D269" s="4">
        <v>0</v>
      </c>
      <c r="E269" s="4">
        <v>10</v>
      </c>
      <c r="F269" s="33">
        <f t="shared" si="21"/>
        <v>324700</v>
      </c>
      <c r="G269" s="1">
        <f t="shared" si="25"/>
        <v>324700</v>
      </c>
      <c r="H269" s="1">
        <f t="shared" si="23"/>
        <v>0</v>
      </c>
      <c r="I269" s="1">
        <f t="shared" si="20"/>
        <v>324700</v>
      </c>
      <c r="J269" s="1">
        <f t="shared" si="24"/>
        <v>0</v>
      </c>
      <c r="K269" s="1"/>
      <c r="L269" s="2">
        <v>6039</v>
      </c>
      <c r="M269">
        <v>1864174</v>
      </c>
    </row>
    <row r="270" spans="1:13" x14ac:dyDescent="0.25">
      <c r="A270" s="3" t="s">
        <v>13</v>
      </c>
      <c r="B270" s="2">
        <v>6969</v>
      </c>
      <c r="C270" s="3" t="s">
        <v>275</v>
      </c>
      <c r="D270" s="4">
        <v>0</v>
      </c>
      <c r="E270" s="4">
        <v>2</v>
      </c>
      <c r="F270" s="33">
        <f t="shared" si="21"/>
        <v>26191</v>
      </c>
      <c r="G270" s="1">
        <f t="shared" si="25"/>
        <v>26191</v>
      </c>
      <c r="H270" s="1">
        <f t="shared" si="23"/>
        <v>0</v>
      </c>
      <c r="I270" s="1">
        <f t="shared" si="20"/>
        <v>26191</v>
      </c>
      <c r="J270" s="1">
        <f t="shared" si="24"/>
        <v>0</v>
      </c>
      <c r="K270" s="1"/>
      <c r="L270" s="2">
        <v>6048</v>
      </c>
      <c r="M270">
        <v>0</v>
      </c>
    </row>
    <row r="271" spans="1:13" x14ac:dyDescent="0.25">
      <c r="A271" s="3" t="s">
        <v>13</v>
      </c>
      <c r="B271" s="2">
        <v>6975</v>
      </c>
      <c r="C271" s="3" t="s">
        <v>276</v>
      </c>
      <c r="D271" s="4">
        <v>7.0000000000000009</v>
      </c>
      <c r="E271" s="4">
        <v>10</v>
      </c>
      <c r="F271" s="33">
        <f t="shared" si="21"/>
        <v>942111</v>
      </c>
      <c r="G271" s="1">
        <f t="shared" si="25"/>
        <v>942111</v>
      </c>
      <c r="H271" s="1">
        <f t="shared" si="23"/>
        <v>387928.06</v>
      </c>
      <c r="I271" s="1">
        <f t="shared" si="20"/>
        <v>554182.93999999994</v>
      </c>
      <c r="J271" s="1">
        <f t="shared" si="24"/>
        <v>0</v>
      </c>
      <c r="K271" s="1"/>
      <c r="L271" s="2">
        <v>6093</v>
      </c>
      <c r="M271">
        <v>683563</v>
      </c>
    </row>
    <row r="272" spans="1:13" x14ac:dyDescent="0.25">
      <c r="A272" s="3" t="s">
        <v>13</v>
      </c>
      <c r="B272" s="2">
        <v>6983</v>
      </c>
      <c r="C272" s="3" t="s">
        <v>277</v>
      </c>
      <c r="D272" s="4">
        <v>0</v>
      </c>
      <c r="E272" s="4">
        <v>10</v>
      </c>
      <c r="F272" s="33">
        <f t="shared" si="21"/>
        <v>509379</v>
      </c>
      <c r="G272" s="1">
        <f t="shared" si="25"/>
        <v>509379</v>
      </c>
      <c r="H272" s="1">
        <f t="shared" si="23"/>
        <v>0</v>
      </c>
      <c r="I272" s="1">
        <f t="shared" si="20"/>
        <v>509379</v>
      </c>
      <c r="J272" s="1">
        <f t="shared" si="24"/>
        <v>0</v>
      </c>
      <c r="K272" s="1"/>
      <c r="L272" s="2">
        <v>6094</v>
      </c>
      <c r="M272">
        <v>260387</v>
      </c>
    </row>
    <row r="273" spans="1:13" x14ac:dyDescent="0.25">
      <c r="A273" s="3" t="s">
        <v>13</v>
      </c>
      <c r="B273" s="2">
        <v>6985</v>
      </c>
      <c r="C273" s="3" t="s">
        <v>278</v>
      </c>
      <c r="D273" s="4">
        <v>0</v>
      </c>
      <c r="E273" s="4">
        <v>9</v>
      </c>
      <c r="F273" s="33">
        <f t="shared" si="21"/>
        <v>420335</v>
      </c>
      <c r="G273" s="1">
        <f t="shared" si="25"/>
        <v>420335</v>
      </c>
      <c r="H273" s="1">
        <f t="shared" si="23"/>
        <v>0</v>
      </c>
      <c r="I273" s="1">
        <f t="shared" si="20"/>
        <v>420335</v>
      </c>
      <c r="J273" s="1">
        <f t="shared" si="24"/>
        <v>0</v>
      </c>
      <c r="K273" s="1"/>
      <c r="L273" s="2">
        <v>6095</v>
      </c>
      <c r="M273">
        <v>319857</v>
      </c>
    </row>
    <row r="274" spans="1:13" x14ac:dyDescent="0.25">
      <c r="A274" s="3" t="s">
        <v>13</v>
      </c>
      <c r="B274" s="2">
        <v>6987</v>
      </c>
      <c r="C274" s="3" t="s">
        <v>279</v>
      </c>
      <c r="D274" s="4">
        <v>2</v>
      </c>
      <c r="E274" s="4">
        <v>4</v>
      </c>
      <c r="F274" s="33">
        <f t="shared" si="21"/>
        <v>203203</v>
      </c>
      <c r="G274" s="1">
        <f t="shared" si="25"/>
        <v>203203</v>
      </c>
      <c r="H274" s="1">
        <f t="shared" si="23"/>
        <v>67734.33</v>
      </c>
      <c r="I274" s="1">
        <f t="shared" si="20"/>
        <v>135468.66999999998</v>
      </c>
      <c r="J274" s="1">
        <f t="shared" si="24"/>
        <v>0</v>
      </c>
      <c r="K274" s="1"/>
      <c r="L274" s="2">
        <v>6096</v>
      </c>
      <c r="M274">
        <v>292071</v>
      </c>
    </row>
    <row r="275" spans="1:13" x14ac:dyDescent="0.25">
      <c r="A275" s="3" t="s">
        <v>13</v>
      </c>
      <c r="B275" s="2">
        <v>6990</v>
      </c>
      <c r="C275" s="3" t="s">
        <v>280</v>
      </c>
      <c r="D275" s="4">
        <v>0</v>
      </c>
      <c r="E275" s="4">
        <v>6</v>
      </c>
      <c r="F275" s="33">
        <f t="shared" si="21"/>
        <v>201930</v>
      </c>
      <c r="G275" s="1">
        <f t="shared" si="25"/>
        <v>201930</v>
      </c>
      <c r="H275" s="1">
        <f t="shared" si="23"/>
        <v>0</v>
      </c>
      <c r="I275" s="1">
        <f t="shared" si="20"/>
        <v>201930</v>
      </c>
      <c r="J275" s="1">
        <f t="shared" si="24"/>
        <v>0</v>
      </c>
      <c r="K275" s="1"/>
      <c r="L275" s="2">
        <v>6097</v>
      </c>
      <c r="M275">
        <v>88709</v>
      </c>
    </row>
    <row r="276" spans="1:13" x14ac:dyDescent="0.25">
      <c r="A276" s="3" t="s">
        <v>13</v>
      </c>
      <c r="B276" s="2">
        <v>6961</v>
      </c>
      <c r="C276" s="3" t="s">
        <v>281</v>
      </c>
      <c r="D276" s="4">
        <v>0</v>
      </c>
      <c r="E276" s="4">
        <v>6</v>
      </c>
      <c r="F276" s="33">
        <f t="shared" si="21"/>
        <v>1401537</v>
      </c>
      <c r="G276" s="1">
        <f t="shared" si="25"/>
        <v>1401537</v>
      </c>
      <c r="H276" s="1">
        <f t="shared" si="23"/>
        <v>0</v>
      </c>
      <c r="I276" s="1">
        <f t="shared" si="20"/>
        <v>1401537</v>
      </c>
      <c r="J276" s="1">
        <f t="shared" si="24"/>
        <v>0</v>
      </c>
      <c r="K276" s="1"/>
      <c r="L276" s="2">
        <v>6098</v>
      </c>
      <c r="M276">
        <v>508404</v>
      </c>
    </row>
    <row r="277" spans="1:13" x14ac:dyDescent="0.25">
      <c r="A277" s="3" t="s">
        <v>13</v>
      </c>
      <c r="B277" s="2">
        <v>6992</v>
      </c>
      <c r="C277" s="3" t="s">
        <v>282</v>
      </c>
      <c r="D277" s="4">
        <v>0</v>
      </c>
      <c r="E277" s="4">
        <v>6</v>
      </c>
      <c r="F277" s="33">
        <f t="shared" si="21"/>
        <v>186746</v>
      </c>
      <c r="G277" s="1">
        <f t="shared" si="25"/>
        <v>186746</v>
      </c>
      <c r="H277" s="1">
        <f t="shared" si="23"/>
        <v>0</v>
      </c>
      <c r="I277" s="1">
        <f t="shared" si="20"/>
        <v>186746</v>
      </c>
      <c r="J277" s="1">
        <f t="shared" si="24"/>
        <v>0</v>
      </c>
      <c r="K277" s="1"/>
      <c r="L277" s="2">
        <v>6100</v>
      </c>
      <c r="M277">
        <v>210973</v>
      </c>
    </row>
    <row r="278" spans="1:13" x14ac:dyDescent="0.25">
      <c r="A278" s="3" t="s">
        <v>13</v>
      </c>
      <c r="B278" s="2">
        <v>7002</v>
      </c>
      <c r="C278" s="3" t="s">
        <v>283</v>
      </c>
      <c r="D278" s="4">
        <v>0</v>
      </c>
      <c r="E278" s="4">
        <v>5</v>
      </c>
      <c r="F278" s="33">
        <f t="shared" si="21"/>
        <v>43166</v>
      </c>
      <c r="G278" s="1">
        <f t="shared" si="25"/>
        <v>43166</v>
      </c>
      <c r="H278" s="1">
        <f t="shared" si="23"/>
        <v>0</v>
      </c>
      <c r="I278" s="1">
        <f t="shared" si="20"/>
        <v>43166</v>
      </c>
      <c r="J278" s="1">
        <f t="shared" si="24"/>
        <v>0</v>
      </c>
      <c r="K278" s="1"/>
      <c r="L278" s="2">
        <v>6101</v>
      </c>
      <c r="M278">
        <v>2082723</v>
      </c>
    </row>
    <row r="279" spans="1:13" x14ac:dyDescent="0.25">
      <c r="A279" s="3" t="s">
        <v>13</v>
      </c>
      <c r="B279" s="2">
        <v>7029</v>
      </c>
      <c r="C279" s="3" t="s">
        <v>284</v>
      </c>
      <c r="D279" s="4">
        <v>0</v>
      </c>
      <c r="E279" s="4">
        <v>6</v>
      </c>
      <c r="F279" s="33">
        <f t="shared" si="21"/>
        <v>409876</v>
      </c>
      <c r="G279" s="1">
        <f t="shared" si="25"/>
        <v>409876</v>
      </c>
      <c r="H279" s="1">
        <f t="shared" si="23"/>
        <v>0</v>
      </c>
      <c r="I279" s="1">
        <f t="shared" si="20"/>
        <v>409876</v>
      </c>
      <c r="J279" s="1">
        <f t="shared" si="24"/>
        <v>0</v>
      </c>
      <c r="K279" s="1"/>
      <c r="L279" s="2">
        <v>6102</v>
      </c>
      <c r="M279">
        <v>527424</v>
      </c>
    </row>
    <row r="280" spans="1:13" x14ac:dyDescent="0.25">
      <c r="A280" s="3" t="s">
        <v>13</v>
      </c>
      <c r="B280" s="2">
        <v>7038</v>
      </c>
      <c r="C280" s="3" t="s">
        <v>285</v>
      </c>
      <c r="D280" s="4">
        <v>0</v>
      </c>
      <c r="E280" s="4">
        <v>7.0000000000000009</v>
      </c>
      <c r="F280" s="33">
        <f t="shared" si="21"/>
        <v>327537</v>
      </c>
      <c r="G280" s="1">
        <f t="shared" si="25"/>
        <v>327537</v>
      </c>
      <c r="H280" s="1">
        <f t="shared" si="23"/>
        <v>0</v>
      </c>
      <c r="I280" s="1">
        <f t="shared" si="20"/>
        <v>327537</v>
      </c>
      <c r="J280" s="1">
        <f t="shared" si="24"/>
        <v>0</v>
      </c>
      <c r="K280" s="1"/>
      <c r="L280" s="2">
        <v>6120</v>
      </c>
      <c r="M280">
        <v>621227</v>
      </c>
    </row>
    <row r="281" spans="1:13" x14ac:dyDescent="0.25">
      <c r="A281" s="3" t="s">
        <v>13</v>
      </c>
      <c r="B281" s="2">
        <v>7047</v>
      </c>
      <c r="C281" s="3" t="s">
        <v>286</v>
      </c>
      <c r="D281" s="4">
        <v>0</v>
      </c>
      <c r="E281" s="4">
        <v>7.0000000000000009</v>
      </c>
      <c r="F281" s="33">
        <f t="shared" si="21"/>
        <v>97932</v>
      </c>
      <c r="G281" s="1">
        <f t="shared" si="25"/>
        <v>97932</v>
      </c>
      <c r="H281" s="1">
        <f t="shared" si="23"/>
        <v>0</v>
      </c>
      <c r="I281" s="1">
        <f t="shared" si="20"/>
        <v>97932</v>
      </c>
      <c r="J281" s="1">
        <f t="shared" si="24"/>
        <v>0</v>
      </c>
      <c r="K281" s="1"/>
      <c r="L281" s="2">
        <v>6138</v>
      </c>
      <c r="M281">
        <v>182536</v>
      </c>
    </row>
    <row r="282" spans="1:13" x14ac:dyDescent="0.25">
      <c r="A282" s="3" t="s">
        <v>13</v>
      </c>
      <c r="B282" s="2">
        <v>7056</v>
      </c>
      <c r="C282" s="3" t="s">
        <v>287</v>
      </c>
      <c r="D282" s="4">
        <v>0</v>
      </c>
      <c r="E282" s="4">
        <v>4</v>
      </c>
      <c r="F282" s="33">
        <f t="shared" si="21"/>
        <v>440746</v>
      </c>
      <c r="G282" s="1">
        <f t="shared" si="25"/>
        <v>440746</v>
      </c>
      <c r="H282" s="1">
        <f t="shared" si="23"/>
        <v>0</v>
      </c>
      <c r="I282" s="1">
        <f t="shared" si="20"/>
        <v>440746</v>
      </c>
      <c r="J282" s="1">
        <f t="shared" si="24"/>
        <v>0</v>
      </c>
      <c r="K282" s="1"/>
      <c r="L282" s="2">
        <v>6165</v>
      </c>
      <c r="M282">
        <v>41697</v>
      </c>
    </row>
    <row r="283" spans="1:13" x14ac:dyDescent="0.25">
      <c r="A283" s="3" t="s">
        <v>13</v>
      </c>
      <c r="B283" s="2">
        <v>7092</v>
      </c>
      <c r="C283" s="3" t="s">
        <v>288</v>
      </c>
      <c r="D283" s="4">
        <v>5</v>
      </c>
      <c r="E283" s="4">
        <v>9</v>
      </c>
      <c r="F283" s="33">
        <f t="shared" si="21"/>
        <v>256518</v>
      </c>
      <c r="G283" s="1">
        <f t="shared" si="25"/>
        <v>256518</v>
      </c>
      <c r="H283" s="1">
        <f t="shared" si="23"/>
        <v>91613.57</v>
      </c>
      <c r="I283" s="1">
        <f t="shared" si="20"/>
        <v>164904.43</v>
      </c>
      <c r="J283" s="1">
        <f t="shared" si="24"/>
        <v>0</v>
      </c>
      <c r="K283" s="1"/>
      <c r="L283" s="2">
        <v>6175</v>
      </c>
      <c r="M283">
        <v>0</v>
      </c>
    </row>
    <row r="284" spans="1:13" x14ac:dyDescent="0.25">
      <c r="A284" s="3" t="s">
        <v>13</v>
      </c>
      <c r="B284" s="2">
        <v>7098</v>
      </c>
      <c r="C284" s="3" t="s">
        <v>289</v>
      </c>
      <c r="D284" s="4">
        <v>0</v>
      </c>
      <c r="E284" s="4">
        <v>5</v>
      </c>
      <c r="F284" s="33">
        <f t="shared" si="21"/>
        <v>244679</v>
      </c>
      <c r="G284" s="1">
        <f t="shared" si="25"/>
        <v>244679</v>
      </c>
      <c r="H284" s="1">
        <f t="shared" si="23"/>
        <v>0</v>
      </c>
      <c r="I284" s="1">
        <f t="shared" si="20"/>
        <v>244679</v>
      </c>
      <c r="J284" s="1">
        <f t="shared" si="24"/>
        <v>0</v>
      </c>
      <c r="K284" s="1"/>
      <c r="L284" s="2">
        <v>6219</v>
      </c>
      <c r="M284">
        <v>300082</v>
      </c>
    </row>
    <row r="285" spans="1:13" x14ac:dyDescent="0.25">
      <c r="A285" s="3" t="s">
        <v>13</v>
      </c>
      <c r="B285" s="2">
        <v>7110</v>
      </c>
      <c r="C285" s="3" t="s">
        <v>290</v>
      </c>
      <c r="D285" s="4">
        <v>0</v>
      </c>
      <c r="E285" s="4">
        <v>7.0000000000000009</v>
      </c>
      <c r="F285" s="33">
        <f>INDEX($L$2:$M$336,MATCH(B285,$L$2:$L$336,0),2)</f>
        <v>443996</v>
      </c>
      <c r="G285" s="1">
        <f t="shared" si="25"/>
        <v>443996</v>
      </c>
      <c r="H285" s="1">
        <f t="shared" si="23"/>
        <v>0</v>
      </c>
      <c r="I285" s="1">
        <f t="shared" si="20"/>
        <v>443996</v>
      </c>
      <c r="J285" s="1">
        <f t="shared" si="24"/>
        <v>0</v>
      </c>
      <c r="K285" s="1"/>
      <c r="L285" s="2">
        <v>6246</v>
      </c>
      <c r="M285">
        <v>92019</v>
      </c>
    </row>
    <row r="286" spans="1:13" x14ac:dyDescent="0.25">
      <c r="G286" s="1">
        <f>SUM(G2:G285)</f>
        <v>103132659</v>
      </c>
      <c r="K286" s="1"/>
      <c r="L286" s="2">
        <v>6264</v>
      </c>
      <c r="M286">
        <v>236989</v>
      </c>
    </row>
    <row r="287" spans="1:13" x14ac:dyDescent="0.25">
      <c r="G287" s="1">
        <f>G286-103132659</f>
        <v>0</v>
      </c>
      <c r="K287" s="1"/>
      <c r="L287" s="2">
        <v>6273</v>
      </c>
      <c r="M287">
        <v>310943</v>
      </c>
    </row>
    <row r="288" spans="1:13" x14ac:dyDescent="0.25">
      <c r="K288" s="1"/>
      <c r="L288" s="2">
        <v>6408</v>
      </c>
      <c r="M288">
        <v>523336</v>
      </c>
    </row>
    <row r="289" spans="1:13" x14ac:dyDescent="0.25">
      <c r="A289" s="16" t="s">
        <v>13</v>
      </c>
      <c r="B289" s="17">
        <v>441</v>
      </c>
      <c r="C289" s="16" t="s">
        <v>14</v>
      </c>
      <c r="D289" s="18">
        <v>3</v>
      </c>
      <c r="E289" s="18">
        <v>9</v>
      </c>
      <c r="F289" s="34">
        <v>369257</v>
      </c>
      <c r="G289" s="20">
        <f>F289</f>
        <v>369257</v>
      </c>
      <c r="H289" s="20">
        <f>ROUND((D289/(D289+E289))*$G289,2)</f>
        <v>92314.25</v>
      </c>
      <c r="I289" s="20">
        <f>G289-H289</f>
        <v>276942.75</v>
      </c>
      <c r="J289" s="111" t="s">
        <v>297</v>
      </c>
      <c r="K289" s="1"/>
      <c r="L289" s="2">
        <v>6453</v>
      </c>
      <c r="M289">
        <v>114634</v>
      </c>
    </row>
    <row r="290" spans="1:13" x14ac:dyDescent="0.25">
      <c r="A290" s="16" t="s">
        <v>13</v>
      </c>
      <c r="B290" s="17">
        <v>6750</v>
      </c>
      <c r="C290" s="16" t="s">
        <v>262</v>
      </c>
      <c r="D290" s="18">
        <v>0</v>
      </c>
      <c r="E290" s="18">
        <v>1</v>
      </c>
      <c r="F290" s="34">
        <v>9490</v>
      </c>
      <c r="G290" s="20">
        <f>F290</f>
        <v>9490</v>
      </c>
      <c r="H290" s="20">
        <f t="shared" ref="H290" si="26">ROUND((D290/(D290+E290))*$G290,2)</f>
        <v>0</v>
      </c>
      <c r="I290" s="20">
        <f t="shared" ref="I290" si="27">G290-H290</f>
        <v>9490</v>
      </c>
      <c r="J290" s="111"/>
      <c r="K290" s="1"/>
      <c r="L290" s="2">
        <v>6460</v>
      </c>
      <c r="M290">
        <v>219660</v>
      </c>
    </row>
    <row r="291" spans="1:13" x14ac:dyDescent="0.25">
      <c r="C291" t="s">
        <v>298</v>
      </c>
      <c r="H291" s="1">
        <f>SUM(H289:H290)</f>
        <v>92314.25</v>
      </c>
      <c r="I291" s="1">
        <f>SUM(I289:I290)</f>
        <v>286432.75</v>
      </c>
      <c r="K291" s="1"/>
      <c r="L291" s="2">
        <v>6462</v>
      </c>
      <c r="M291">
        <v>135565</v>
      </c>
    </row>
    <row r="292" spans="1:13" x14ac:dyDescent="0.25">
      <c r="K292" s="1"/>
      <c r="L292" s="2">
        <v>6471</v>
      </c>
      <c r="M292">
        <v>0</v>
      </c>
    </row>
    <row r="293" spans="1:13" x14ac:dyDescent="0.25">
      <c r="K293" s="1"/>
      <c r="L293" s="2">
        <v>6509</v>
      </c>
      <c r="M293">
        <v>0</v>
      </c>
    </row>
    <row r="294" spans="1:13" x14ac:dyDescent="0.25">
      <c r="A294" s="8" t="s">
        <v>13</v>
      </c>
      <c r="B294" s="22">
        <v>2205</v>
      </c>
      <c r="C294" s="8" t="s">
        <v>100</v>
      </c>
      <c r="D294" s="10">
        <v>0</v>
      </c>
      <c r="E294" s="10">
        <v>7.0000000000000009</v>
      </c>
      <c r="F294" s="35">
        <f>INDEX($L$2:$M$336,MATCH(B294,$L$2:$L$336,0),2)</f>
        <v>73719</v>
      </c>
      <c r="G294" s="23">
        <f>F294</f>
        <v>73719</v>
      </c>
      <c r="H294" s="23">
        <f t="shared" ref="H294:H305" si="28">ROUND((D294/(D294+E294))*$G294,2)</f>
        <v>0</v>
      </c>
      <c r="I294" s="23">
        <f t="shared" ref="I294:I305" si="29">G294-H294</f>
        <v>73719</v>
      </c>
      <c r="K294" s="1"/>
      <c r="L294" s="2">
        <v>6512</v>
      </c>
      <c r="M294">
        <v>181345</v>
      </c>
    </row>
    <row r="295" spans="1:13" x14ac:dyDescent="0.25">
      <c r="A295" s="3"/>
      <c r="B295" s="2"/>
      <c r="D295" s="4"/>
      <c r="E295" s="4"/>
      <c r="G295" s="1"/>
      <c r="H295" s="1"/>
      <c r="I295" s="1"/>
      <c r="K295" s="1"/>
      <c r="L295" s="2">
        <v>6516</v>
      </c>
      <c r="M295">
        <v>109256</v>
      </c>
    </row>
    <row r="296" spans="1:13" x14ac:dyDescent="0.25">
      <c r="A296" s="11" t="s">
        <v>13</v>
      </c>
      <c r="B296" s="24">
        <v>2369</v>
      </c>
      <c r="C296" s="11" t="s">
        <v>103</v>
      </c>
      <c r="D296" s="13">
        <v>6</v>
      </c>
      <c r="E296" s="13">
        <v>10</v>
      </c>
      <c r="F296" s="36">
        <f>INDEX($L$2:$M$336,MATCH(B296,$L$2:$L$336,0),2)</f>
        <v>244694</v>
      </c>
      <c r="G296" s="25">
        <f>F296</f>
        <v>244694</v>
      </c>
      <c r="H296" s="25">
        <f t="shared" si="28"/>
        <v>91760.25</v>
      </c>
      <c r="I296" s="25">
        <f t="shared" si="29"/>
        <v>152933.75</v>
      </c>
      <c r="K296" s="1"/>
      <c r="L296" s="2">
        <v>6534</v>
      </c>
      <c r="M296">
        <v>0</v>
      </c>
    </row>
    <row r="297" spans="1:13" x14ac:dyDescent="0.25">
      <c r="A297" s="3"/>
      <c r="B297" s="2"/>
      <c r="C297" s="8" t="s">
        <v>100</v>
      </c>
      <c r="D297" s="4"/>
      <c r="E297" s="4"/>
      <c r="G297" s="1"/>
      <c r="H297" s="1">
        <f>H311</f>
        <v>0</v>
      </c>
      <c r="I297" s="1">
        <f>I311</f>
        <v>2949</v>
      </c>
      <c r="K297" s="1"/>
      <c r="L297" s="2">
        <v>6561</v>
      </c>
      <c r="M297">
        <v>163675</v>
      </c>
    </row>
    <row r="298" spans="1:13" x14ac:dyDescent="0.25">
      <c r="A298" s="3"/>
      <c r="B298" s="2"/>
      <c r="C298" t="s">
        <v>298</v>
      </c>
      <c r="D298" s="4"/>
      <c r="E298" s="4"/>
      <c r="G298" s="1"/>
      <c r="H298" s="28">
        <f>SUM(H296:H297)</f>
        <v>91760.25</v>
      </c>
      <c r="I298" s="28">
        <f>SUM(I296:I297)</f>
        <v>155882.75</v>
      </c>
      <c r="K298" s="1"/>
      <c r="L298" s="2">
        <v>6579</v>
      </c>
      <c r="M298">
        <v>0</v>
      </c>
    </row>
    <row r="299" spans="1:13" x14ac:dyDescent="0.25">
      <c r="A299" s="11" t="s">
        <v>13</v>
      </c>
      <c r="B299" s="24">
        <v>2772</v>
      </c>
      <c r="C299" s="11" t="s">
        <v>117</v>
      </c>
      <c r="D299" s="13">
        <v>3</v>
      </c>
      <c r="E299" s="13">
        <v>4</v>
      </c>
      <c r="F299" s="36">
        <f>INDEX($L$2:$M$336,MATCH(B299,$L$2:$L$336,0),2)</f>
        <v>86719</v>
      </c>
      <c r="G299" s="25">
        <f>F299</f>
        <v>86719</v>
      </c>
      <c r="H299" s="25">
        <f>ROUND((D299/(D299+E299))*$G299,2)</f>
        <v>37165.29</v>
      </c>
      <c r="I299" s="25">
        <f t="shared" si="29"/>
        <v>49553.71</v>
      </c>
      <c r="K299" s="1"/>
      <c r="L299" s="2">
        <v>6591</v>
      </c>
      <c r="M299">
        <v>143061</v>
      </c>
    </row>
    <row r="300" spans="1:13" x14ac:dyDescent="0.25">
      <c r="A300" s="3"/>
      <c r="B300" s="2"/>
      <c r="C300" s="8" t="s">
        <v>100</v>
      </c>
      <c r="D300" s="4"/>
      <c r="E300" s="4"/>
      <c r="G300" s="1"/>
      <c r="H300" s="1">
        <f>H312</f>
        <v>0</v>
      </c>
      <c r="I300" s="1">
        <f>I312</f>
        <v>5160</v>
      </c>
      <c r="K300" s="1"/>
      <c r="L300" s="2">
        <v>6592</v>
      </c>
      <c r="M300">
        <v>299216</v>
      </c>
    </row>
    <row r="301" spans="1:13" x14ac:dyDescent="0.25">
      <c r="A301" s="3"/>
      <c r="B301" s="2"/>
      <c r="C301" t="s">
        <v>298</v>
      </c>
      <c r="D301" s="4"/>
      <c r="E301" s="4"/>
      <c r="G301" s="1"/>
      <c r="H301" s="28">
        <f>SUM(H299:H300)</f>
        <v>37165.29</v>
      </c>
      <c r="I301" s="28">
        <f>SUM(I299:I300)</f>
        <v>54713.71</v>
      </c>
      <c r="K301" s="1"/>
      <c r="L301" s="2">
        <v>6615</v>
      </c>
      <c r="M301">
        <v>312645</v>
      </c>
    </row>
    <row r="302" spans="1:13" x14ac:dyDescent="0.25">
      <c r="A302" s="11" t="s">
        <v>13</v>
      </c>
      <c r="B302" s="24">
        <v>5976</v>
      </c>
      <c r="C302" s="11" t="s">
        <v>226</v>
      </c>
      <c r="D302" s="13">
        <v>7.0000000000000009</v>
      </c>
      <c r="E302" s="13">
        <v>4</v>
      </c>
      <c r="F302" s="36">
        <f>INDEX($L$2:$M$336,MATCH(B302,$L$2:$L$336,0),2)</f>
        <v>464755</v>
      </c>
      <c r="G302" s="25">
        <f>F302</f>
        <v>464755</v>
      </c>
      <c r="H302" s="25">
        <f t="shared" si="28"/>
        <v>295753.18</v>
      </c>
      <c r="I302" s="25">
        <f t="shared" si="29"/>
        <v>169001.82</v>
      </c>
      <c r="K302" s="1"/>
      <c r="L302" s="2">
        <v>6651</v>
      </c>
      <c r="M302">
        <v>13836</v>
      </c>
    </row>
    <row r="303" spans="1:13" x14ac:dyDescent="0.25">
      <c r="A303" s="3"/>
      <c r="B303" s="2"/>
      <c r="C303" s="8" t="s">
        <v>100</v>
      </c>
      <c r="D303" s="4"/>
      <c r="E303" s="4"/>
      <c r="G303" s="1"/>
      <c r="H303" s="1">
        <f>H313</f>
        <v>0</v>
      </c>
      <c r="I303" s="1">
        <f>I313</f>
        <v>47917</v>
      </c>
      <c r="K303" s="1"/>
      <c r="L303" s="2">
        <v>6660</v>
      </c>
      <c r="M303">
        <v>636245</v>
      </c>
    </row>
    <row r="304" spans="1:13" x14ac:dyDescent="0.25">
      <c r="A304" s="3"/>
      <c r="B304" s="2"/>
      <c r="C304" t="s">
        <v>298</v>
      </c>
      <c r="D304" s="4"/>
      <c r="E304" s="4"/>
      <c r="G304" s="1"/>
      <c r="H304" s="28">
        <f>SUM(H302:H303)</f>
        <v>295753.18</v>
      </c>
      <c r="I304" s="28">
        <f>SUM(I302:I303)</f>
        <v>216918.82</v>
      </c>
      <c r="K304" s="1"/>
      <c r="L304" s="2">
        <v>6700</v>
      </c>
      <c r="M304">
        <v>0</v>
      </c>
    </row>
    <row r="305" spans="1:13" x14ac:dyDescent="0.25">
      <c r="A305" s="11" t="s">
        <v>13</v>
      </c>
      <c r="B305" s="24">
        <v>6003</v>
      </c>
      <c r="C305" s="11" t="s">
        <v>228</v>
      </c>
      <c r="D305" s="13">
        <v>0</v>
      </c>
      <c r="E305" s="13">
        <v>9</v>
      </c>
      <c r="F305" s="36">
        <f>INDEX($L$2:$M$336,MATCH(B305,$L$2:$L$336,0),2)</f>
        <v>111958</v>
      </c>
      <c r="G305" s="25">
        <f>F305</f>
        <v>111958</v>
      </c>
      <c r="H305" s="25">
        <f t="shared" si="28"/>
        <v>0</v>
      </c>
      <c r="I305" s="25">
        <f t="shared" si="29"/>
        <v>111958</v>
      </c>
      <c r="K305" s="1"/>
      <c r="L305" s="2">
        <v>6741</v>
      </c>
      <c r="M305">
        <v>55840</v>
      </c>
    </row>
    <row r="306" spans="1:13" x14ac:dyDescent="0.25">
      <c r="A306" s="3"/>
      <c r="B306" s="2"/>
      <c r="C306" s="8" t="s">
        <v>100</v>
      </c>
      <c r="D306" s="4"/>
      <c r="E306" s="4"/>
      <c r="G306" s="1"/>
      <c r="H306" s="1">
        <f>H314</f>
        <v>0</v>
      </c>
      <c r="I306" s="1">
        <f>I314</f>
        <v>17693</v>
      </c>
      <c r="K306" s="1"/>
      <c r="L306" s="2">
        <v>6759</v>
      </c>
      <c r="M306">
        <v>176126</v>
      </c>
    </row>
    <row r="307" spans="1:13" x14ac:dyDescent="0.25">
      <c r="A307" s="3"/>
      <c r="B307" s="2"/>
      <c r="C307" t="s">
        <v>298</v>
      </c>
      <c r="D307" s="4"/>
      <c r="E307" s="4"/>
      <c r="G307" s="1"/>
      <c r="H307" s="28">
        <f>SUM(H305:H306)</f>
        <v>0</v>
      </c>
      <c r="I307" s="28">
        <f>SUM(I305:I306)</f>
        <v>129651</v>
      </c>
      <c r="K307" s="1"/>
      <c r="L307" s="2">
        <v>6762</v>
      </c>
      <c r="M307">
        <v>401095</v>
      </c>
    </row>
    <row r="308" spans="1:13" x14ac:dyDescent="0.25">
      <c r="K308" s="1"/>
      <c r="L308" s="2">
        <v>6768</v>
      </c>
      <c r="M308">
        <v>735788</v>
      </c>
    </row>
    <row r="309" spans="1:13" x14ac:dyDescent="0.25">
      <c r="C309" s="26"/>
      <c r="D309" t="s">
        <v>299</v>
      </c>
      <c r="H309" s="112" t="s">
        <v>302</v>
      </c>
      <c r="I309" s="112"/>
      <c r="K309" s="1"/>
      <c r="L309" s="2">
        <v>6795</v>
      </c>
      <c r="M309">
        <v>0</v>
      </c>
    </row>
    <row r="310" spans="1:13" x14ac:dyDescent="0.25">
      <c r="C310" s="26"/>
      <c r="D310" s="26" t="s">
        <v>300</v>
      </c>
      <c r="F310" s="33" t="s">
        <v>291</v>
      </c>
      <c r="H310" s="112"/>
      <c r="I310" s="112"/>
      <c r="K310" s="1"/>
      <c r="L310" s="2">
        <v>6822</v>
      </c>
      <c r="M310">
        <v>0</v>
      </c>
    </row>
    <row r="311" spans="1:13" x14ac:dyDescent="0.25">
      <c r="B311">
        <v>367934</v>
      </c>
      <c r="C311" t="s">
        <v>103</v>
      </c>
      <c r="D311" s="27">
        <v>0.04</v>
      </c>
      <c r="F311" s="33">
        <f>ROUND(D311*$F$318,0)</f>
        <v>2949</v>
      </c>
      <c r="G311" s="1">
        <f>F311</f>
        <v>2949</v>
      </c>
      <c r="H311" s="1">
        <f>ROUND(($D$318/($D$318+$E$318))*$G$318,2)</f>
        <v>0</v>
      </c>
      <c r="I311" s="1">
        <f>G311-H311</f>
        <v>2949</v>
      </c>
      <c r="K311" s="1"/>
      <c r="L311" s="2">
        <v>6840</v>
      </c>
      <c r="M311">
        <v>841033</v>
      </c>
    </row>
    <row r="312" spans="1:13" x14ac:dyDescent="0.25">
      <c r="B312">
        <v>367935</v>
      </c>
      <c r="C312" t="s">
        <v>117</v>
      </c>
      <c r="D312" s="27">
        <v>7.0000000000000007E-2</v>
      </c>
      <c r="F312" s="33">
        <f>ROUND(D312*$F$318,0)</f>
        <v>5160</v>
      </c>
      <c r="G312" s="1">
        <f t="shared" ref="G312:G314" si="30">F312</f>
        <v>5160</v>
      </c>
      <c r="H312" s="1">
        <f t="shared" ref="H312:H314" si="31">ROUND(($D$318/($D$318+$E$318))*$G$318,2)</f>
        <v>0</v>
      </c>
      <c r="I312" s="1">
        <f>G312-H312</f>
        <v>5160</v>
      </c>
      <c r="K312" s="1"/>
      <c r="L312" s="2">
        <v>6854</v>
      </c>
      <c r="M312">
        <v>49057</v>
      </c>
    </row>
    <row r="313" spans="1:13" x14ac:dyDescent="0.25">
      <c r="B313">
        <v>367936</v>
      </c>
      <c r="C313" t="s">
        <v>226</v>
      </c>
      <c r="D313" s="27">
        <v>0.65</v>
      </c>
      <c r="F313" s="33">
        <f>ROUND(D313*$F$318,0)</f>
        <v>47917</v>
      </c>
      <c r="G313" s="1">
        <f t="shared" si="30"/>
        <v>47917</v>
      </c>
      <c r="H313" s="1">
        <f t="shared" si="31"/>
        <v>0</v>
      </c>
      <c r="I313" s="1">
        <f t="shared" ref="I313:I314" si="32">G313-H313</f>
        <v>47917</v>
      </c>
      <c r="K313" s="1"/>
      <c r="L313" s="2">
        <v>6867</v>
      </c>
      <c r="M313">
        <v>462058</v>
      </c>
    </row>
    <row r="314" spans="1:13" x14ac:dyDescent="0.25">
      <c r="B314">
        <v>367937</v>
      </c>
      <c r="C314" t="s">
        <v>228</v>
      </c>
      <c r="D314" s="27">
        <v>0.24</v>
      </c>
      <c r="F314" s="33">
        <f>ROUND(D314*$F$318,0)</f>
        <v>17693</v>
      </c>
      <c r="G314" s="1">
        <f t="shared" si="30"/>
        <v>17693</v>
      </c>
      <c r="H314" s="1">
        <f t="shared" si="31"/>
        <v>0</v>
      </c>
      <c r="I314" s="1">
        <f t="shared" si="32"/>
        <v>17693</v>
      </c>
      <c r="K314" s="1"/>
      <c r="L314" s="2">
        <v>6921</v>
      </c>
      <c r="M314">
        <v>0</v>
      </c>
    </row>
    <row r="315" spans="1:13" x14ac:dyDescent="0.25">
      <c r="D315" s="14">
        <f>SUM(D311:D314)</f>
        <v>1</v>
      </c>
      <c r="K315" s="1"/>
      <c r="L315" s="2">
        <v>6930</v>
      </c>
      <c r="M315">
        <v>475467</v>
      </c>
    </row>
    <row r="316" spans="1:13" x14ac:dyDescent="0.25">
      <c r="D316" s="14"/>
      <c r="K316" s="1"/>
      <c r="L316" s="2">
        <v>6937</v>
      </c>
      <c r="M316">
        <v>0</v>
      </c>
    </row>
    <row r="317" spans="1:13" x14ac:dyDescent="0.25">
      <c r="D317" t="s">
        <v>11</v>
      </c>
      <c r="E317" t="s">
        <v>12</v>
      </c>
      <c r="K317" s="1"/>
      <c r="L317" s="2">
        <v>6943</v>
      </c>
      <c r="M317">
        <v>170715</v>
      </c>
    </row>
    <row r="318" spans="1:13" x14ac:dyDescent="0.25">
      <c r="B318" s="22">
        <v>2205</v>
      </c>
      <c r="C318" s="8" t="s">
        <v>100</v>
      </c>
      <c r="D318" s="10">
        <v>0</v>
      </c>
      <c r="E318" s="10">
        <v>7.0000000000000009</v>
      </c>
      <c r="F318" s="35">
        <f>INDEX($L$2:$M$336,MATCH(B318,$L$2:$L$336,0),2)</f>
        <v>73719</v>
      </c>
      <c r="G318" s="23">
        <f>F318</f>
        <v>73719</v>
      </c>
      <c r="H318" s="23">
        <f>ROUND((D318/(D318+E318))*$G318,2)</f>
        <v>0</v>
      </c>
      <c r="I318" s="23">
        <f>G318-H318</f>
        <v>73719</v>
      </c>
      <c r="K318" s="1"/>
      <c r="L318" s="2">
        <v>6950</v>
      </c>
      <c r="M318">
        <v>437186</v>
      </c>
    </row>
    <row r="319" spans="1:13" x14ac:dyDescent="0.25">
      <c r="C319" t="s">
        <v>301</v>
      </c>
      <c r="F319" s="33">
        <f>SUM(F311:F314)-F318</f>
        <v>0</v>
      </c>
      <c r="G319" s="1">
        <f>SUM(G311:G314)-G318</f>
        <v>0</v>
      </c>
      <c r="H319" s="1">
        <f>SUM(H311:H314)-H318</f>
        <v>0</v>
      </c>
      <c r="I319" s="1">
        <f>SUM(I311:I314)-I318</f>
        <v>0</v>
      </c>
      <c r="K319" s="1"/>
      <c r="L319" s="2">
        <v>6957</v>
      </c>
      <c r="M319">
        <v>0</v>
      </c>
    </row>
    <row r="320" spans="1:13" x14ac:dyDescent="0.25">
      <c r="K320" s="1"/>
      <c r="L320" s="2">
        <v>6961</v>
      </c>
      <c r="M320">
        <v>1401537</v>
      </c>
    </row>
    <row r="321" spans="11:13" x14ac:dyDescent="0.25">
      <c r="K321" s="1"/>
      <c r="L321" s="2">
        <v>6969</v>
      </c>
      <c r="M321">
        <v>26191</v>
      </c>
    </row>
    <row r="322" spans="11:13" x14ac:dyDescent="0.25">
      <c r="K322" s="1"/>
      <c r="L322" s="2">
        <v>6975</v>
      </c>
      <c r="M322">
        <v>942111</v>
      </c>
    </row>
    <row r="323" spans="11:13" x14ac:dyDescent="0.25">
      <c r="K323" s="1"/>
      <c r="L323" s="2">
        <v>6983</v>
      </c>
      <c r="M323">
        <v>509379</v>
      </c>
    </row>
    <row r="324" spans="11:13" x14ac:dyDescent="0.25">
      <c r="K324" s="1"/>
      <c r="L324" s="2">
        <v>6985</v>
      </c>
      <c r="M324">
        <v>420335</v>
      </c>
    </row>
    <row r="325" spans="11:13" x14ac:dyDescent="0.25">
      <c r="K325" s="1"/>
      <c r="L325" s="2">
        <v>6987</v>
      </c>
      <c r="M325">
        <v>203203</v>
      </c>
    </row>
    <row r="326" spans="11:13" x14ac:dyDescent="0.25">
      <c r="K326" s="1"/>
      <c r="L326" s="2">
        <v>6990</v>
      </c>
      <c r="M326">
        <v>201930</v>
      </c>
    </row>
    <row r="327" spans="11:13" x14ac:dyDescent="0.25">
      <c r="K327" s="1"/>
      <c r="L327" s="2">
        <v>6992</v>
      </c>
      <c r="M327">
        <v>186746</v>
      </c>
    </row>
    <row r="328" spans="11:13" x14ac:dyDescent="0.25">
      <c r="K328" s="1"/>
      <c r="L328" s="2">
        <v>7002</v>
      </c>
      <c r="M328">
        <v>43166</v>
      </c>
    </row>
    <row r="329" spans="11:13" x14ac:dyDescent="0.25">
      <c r="K329" s="1"/>
      <c r="L329" s="2">
        <v>7029</v>
      </c>
      <c r="M329">
        <v>409876</v>
      </c>
    </row>
    <row r="330" spans="11:13" x14ac:dyDescent="0.25">
      <c r="K330" s="1"/>
      <c r="L330" s="2">
        <v>7038</v>
      </c>
      <c r="M330">
        <v>327537</v>
      </c>
    </row>
    <row r="331" spans="11:13" x14ac:dyDescent="0.25">
      <c r="K331" s="1"/>
      <c r="L331" s="2">
        <v>7047</v>
      </c>
      <c r="M331">
        <v>97932</v>
      </c>
    </row>
    <row r="332" spans="11:13" x14ac:dyDescent="0.25">
      <c r="K332" s="1"/>
      <c r="L332" s="2">
        <v>7056</v>
      </c>
      <c r="M332">
        <v>440746</v>
      </c>
    </row>
    <row r="333" spans="11:13" x14ac:dyDescent="0.25">
      <c r="K333" s="1"/>
      <c r="L333" s="2">
        <v>7092</v>
      </c>
      <c r="M333">
        <v>256518</v>
      </c>
    </row>
    <row r="334" spans="11:13" x14ac:dyDescent="0.25">
      <c r="K334" s="1"/>
      <c r="L334" s="2">
        <v>7098</v>
      </c>
      <c r="M334">
        <v>244679</v>
      </c>
    </row>
    <row r="335" spans="11:13" x14ac:dyDescent="0.25">
      <c r="K335" s="1"/>
      <c r="L335" s="2">
        <v>7110</v>
      </c>
      <c r="M335">
        <v>443996</v>
      </c>
    </row>
    <row r="336" spans="11:13" x14ac:dyDescent="0.25">
      <c r="K336" s="1"/>
      <c r="L336" s="2"/>
    </row>
  </sheetData>
  <mergeCells count="2">
    <mergeCell ref="J289:J290"/>
    <mergeCell ref="H309:I310"/>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AB6CA-9928-432E-B6BF-5590C221BD89}">
  <dimension ref="A1:Y995"/>
  <sheetViews>
    <sheetView topLeftCell="A299" workbookViewId="0">
      <selection sqref="A1:K326"/>
    </sheetView>
  </sheetViews>
  <sheetFormatPr defaultColWidth="44.28515625" defaultRowHeight="15" x14ac:dyDescent="0.25"/>
  <cols>
    <col min="1" max="1" width="9.85546875" bestFit="1" customWidth="1"/>
    <col min="2" max="2" width="4.5703125" bestFit="1" customWidth="1"/>
    <col min="3" max="3" width="10.28515625" style="3" bestFit="1" customWidth="1"/>
    <col min="4" max="4" width="18.7109375" style="3" bestFit="1" customWidth="1"/>
    <col min="5" max="5" width="35.42578125" bestFit="1" customWidth="1"/>
    <col min="6" max="6" width="20.85546875" bestFit="1" customWidth="1"/>
    <col min="7" max="7" width="35" bestFit="1" customWidth="1"/>
    <col min="8" max="8" width="19.85546875" bestFit="1" customWidth="1"/>
    <col min="9" max="9" width="36.7109375" bestFit="1" customWidth="1"/>
    <col min="10" max="10" width="26.42578125" bestFit="1" customWidth="1"/>
    <col min="11" max="11" width="34.85546875" bestFit="1" customWidth="1"/>
  </cols>
  <sheetData>
    <row r="1" spans="1:25" ht="15.75" thickBot="1" x14ac:dyDescent="0.3">
      <c r="A1" s="71" t="s">
        <v>8</v>
      </c>
      <c r="B1" s="72" t="s">
        <v>677</v>
      </c>
      <c r="C1" s="84" t="s">
        <v>1667</v>
      </c>
      <c r="D1" s="84" t="s">
        <v>1668</v>
      </c>
      <c r="E1" s="72" t="s">
        <v>1669</v>
      </c>
      <c r="F1" s="73" t="s">
        <v>1670</v>
      </c>
      <c r="G1" s="73" t="s">
        <v>1671</v>
      </c>
      <c r="H1" s="73" t="s">
        <v>1672</v>
      </c>
      <c r="I1" s="73" t="s">
        <v>1673</v>
      </c>
      <c r="J1" s="73" t="s">
        <v>1674</v>
      </c>
      <c r="K1" s="73" t="s">
        <v>1675</v>
      </c>
      <c r="L1" s="74"/>
      <c r="M1" s="74"/>
      <c r="N1" s="74"/>
      <c r="O1" s="74"/>
      <c r="P1" s="74"/>
      <c r="Q1" s="74"/>
      <c r="R1" s="74"/>
      <c r="S1" s="74"/>
      <c r="T1" s="74"/>
      <c r="U1" s="74"/>
      <c r="V1" s="74"/>
      <c r="W1" s="74"/>
      <c r="X1" s="74"/>
      <c r="Y1" s="74"/>
    </row>
    <row r="2" spans="1:25" ht="15.75" thickBot="1" x14ac:dyDescent="0.3">
      <c r="A2" s="75">
        <v>2025</v>
      </c>
      <c r="B2" s="76">
        <v>11</v>
      </c>
      <c r="C2" s="85" t="s">
        <v>313</v>
      </c>
      <c r="D2" s="85" t="s">
        <v>313</v>
      </c>
      <c r="E2" s="76" t="s">
        <v>15</v>
      </c>
      <c r="F2" s="77" t="s">
        <v>1517</v>
      </c>
      <c r="G2" s="77" t="s">
        <v>1518</v>
      </c>
      <c r="H2" s="77" t="s">
        <v>800</v>
      </c>
      <c r="I2" s="77" t="s">
        <v>1654</v>
      </c>
      <c r="J2" s="77"/>
      <c r="K2" s="77"/>
      <c r="L2" s="74"/>
      <c r="M2" s="74"/>
      <c r="N2" s="74"/>
      <c r="O2" s="74"/>
      <c r="P2" s="74"/>
      <c r="Q2" s="74"/>
      <c r="R2" s="74"/>
      <c r="S2" s="74"/>
      <c r="T2" s="74"/>
      <c r="U2" s="74"/>
      <c r="V2" s="74"/>
      <c r="W2" s="74"/>
      <c r="X2" s="74"/>
      <c r="Y2" s="74"/>
    </row>
    <row r="3" spans="1:25" ht="15.75" thickBot="1" x14ac:dyDescent="0.3">
      <c r="A3" s="78">
        <v>2025</v>
      </c>
      <c r="B3" s="79">
        <v>11</v>
      </c>
      <c r="C3" s="86" t="s">
        <v>314</v>
      </c>
      <c r="D3" s="86" t="s">
        <v>314</v>
      </c>
      <c r="E3" s="79" t="s">
        <v>694</v>
      </c>
      <c r="F3" s="80" t="s">
        <v>756</v>
      </c>
      <c r="G3" s="80" t="s">
        <v>2107</v>
      </c>
      <c r="H3" s="80" t="s">
        <v>757</v>
      </c>
      <c r="I3" s="80" t="s">
        <v>758</v>
      </c>
      <c r="J3" s="80"/>
      <c r="K3" s="80"/>
      <c r="L3" s="74"/>
      <c r="M3" s="74"/>
      <c r="N3" s="74"/>
      <c r="O3" s="74"/>
      <c r="P3" s="74"/>
      <c r="Q3" s="74"/>
      <c r="R3" s="74"/>
      <c r="S3" s="74"/>
      <c r="T3" s="74"/>
      <c r="U3" s="74"/>
      <c r="V3" s="74"/>
      <c r="W3" s="74"/>
      <c r="X3" s="74"/>
      <c r="Y3" s="74"/>
    </row>
    <row r="4" spans="1:25" ht="15.75" thickBot="1" x14ac:dyDescent="0.3">
      <c r="A4" s="75">
        <v>2025</v>
      </c>
      <c r="B4" s="113" t="s">
        <v>658</v>
      </c>
      <c r="C4" s="85" t="s">
        <v>312</v>
      </c>
      <c r="D4" s="85" t="s">
        <v>312</v>
      </c>
      <c r="E4" s="76" t="s">
        <v>0</v>
      </c>
      <c r="F4" s="77" t="s">
        <v>759</v>
      </c>
      <c r="G4" s="77" t="s">
        <v>760</v>
      </c>
      <c r="H4" s="77" t="s">
        <v>761</v>
      </c>
      <c r="I4" s="77" t="s">
        <v>762</v>
      </c>
      <c r="J4" s="77"/>
      <c r="K4" s="77"/>
      <c r="L4" s="74"/>
      <c r="M4" s="74"/>
      <c r="N4" s="74"/>
      <c r="O4" s="74"/>
      <c r="P4" s="74"/>
      <c r="Q4" s="74"/>
      <c r="R4" s="74"/>
      <c r="S4" s="74"/>
      <c r="T4" s="74"/>
      <c r="U4" s="74"/>
      <c r="V4" s="74"/>
      <c r="W4" s="74"/>
      <c r="X4" s="74"/>
      <c r="Y4" s="74"/>
    </row>
    <row r="5" spans="1:25" ht="15.75" thickBot="1" x14ac:dyDescent="0.3">
      <c r="A5" s="78">
        <v>2025</v>
      </c>
      <c r="B5" s="79">
        <v>13</v>
      </c>
      <c r="C5" s="86" t="s">
        <v>333</v>
      </c>
      <c r="D5" s="86" t="s">
        <v>333</v>
      </c>
      <c r="E5" s="79" t="s">
        <v>7</v>
      </c>
      <c r="F5" s="80" t="s">
        <v>763</v>
      </c>
      <c r="G5" s="80" t="s">
        <v>764</v>
      </c>
      <c r="H5" s="80" t="s">
        <v>1519</v>
      </c>
      <c r="I5" s="80" t="s">
        <v>1520</v>
      </c>
      <c r="J5" s="80"/>
      <c r="K5" s="80"/>
      <c r="L5" s="74"/>
      <c r="M5" s="74"/>
      <c r="N5" s="74"/>
      <c r="O5" s="74"/>
      <c r="P5" s="74"/>
      <c r="Q5" s="74"/>
      <c r="R5" s="74"/>
      <c r="S5" s="74"/>
      <c r="T5" s="74"/>
      <c r="U5" s="74"/>
      <c r="V5" s="74"/>
      <c r="W5" s="74"/>
      <c r="X5" s="74"/>
      <c r="Y5" s="74"/>
    </row>
    <row r="6" spans="1:25" ht="15.75" thickBot="1" x14ac:dyDescent="0.3">
      <c r="A6" s="75">
        <v>2025</v>
      </c>
      <c r="B6" s="76">
        <v>12</v>
      </c>
      <c r="C6" s="85" t="s">
        <v>315</v>
      </c>
      <c r="D6" s="85" t="s">
        <v>315</v>
      </c>
      <c r="E6" s="76" t="s">
        <v>16</v>
      </c>
      <c r="F6" s="77" t="s">
        <v>767</v>
      </c>
      <c r="G6" s="77" t="s">
        <v>768</v>
      </c>
      <c r="H6" s="77" t="s">
        <v>765</v>
      </c>
      <c r="I6" s="77" t="s">
        <v>766</v>
      </c>
      <c r="J6" s="77"/>
      <c r="K6" s="77"/>
      <c r="L6" s="74"/>
      <c r="M6" s="74"/>
      <c r="N6" s="74"/>
      <c r="O6" s="74"/>
      <c r="P6" s="74"/>
      <c r="Q6" s="74"/>
      <c r="R6" s="74"/>
      <c r="S6" s="74"/>
      <c r="T6" s="74"/>
      <c r="U6" s="74"/>
      <c r="V6" s="74"/>
      <c r="W6" s="74"/>
      <c r="X6" s="74"/>
      <c r="Y6" s="74"/>
    </row>
    <row r="7" spans="1:25" ht="15.75" thickBot="1" x14ac:dyDescent="0.3">
      <c r="A7" s="78">
        <v>2025</v>
      </c>
      <c r="B7" s="114" t="s">
        <v>661</v>
      </c>
      <c r="C7" s="86" t="s">
        <v>316</v>
      </c>
      <c r="D7" s="86" t="s">
        <v>316</v>
      </c>
      <c r="E7" s="79" t="s">
        <v>695</v>
      </c>
      <c r="F7" s="80" t="s">
        <v>2108</v>
      </c>
      <c r="G7" s="80" t="s">
        <v>2109</v>
      </c>
      <c r="H7" s="80" t="s">
        <v>769</v>
      </c>
      <c r="I7" s="80" t="s">
        <v>770</v>
      </c>
      <c r="J7" s="80"/>
      <c r="K7" s="80"/>
      <c r="L7" s="74"/>
      <c r="M7" s="74"/>
      <c r="N7" s="74"/>
      <c r="O7" s="74"/>
      <c r="P7" s="74"/>
      <c r="Q7" s="74"/>
      <c r="R7" s="74"/>
      <c r="S7" s="74"/>
      <c r="T7" s="74"/>
      <c r="U7" s="74"/>
      <c r="V7" s="74"/>
      <c r="W7" s="74"/>
      <c r="X7" s="74"/>
      <c r="Y7" s="74"/>
    </row>
    <row r="8" spans="1:25" ht="15.75" thickBot="1" x14ac:dyDescent="0.3">
      <c r="A8" s="75">
        <v>2025</v>
      </c>
      <c r="B8" s="76">
        <v>15</v>
      </c>
      <c r="C8" s="85" t="s">
        <v>317</v>
      </c>
      <c r="D8" s="85" t="s">
        <v>317</v>
      </c>
      <c r="E8" s="76" t="s">
        <v>17</v>
      </c>
      <c r="F8" s="77" t="s">
        <v>1682</v>
      </c>
      <c r="G8" s="77" t="s">
        <v>2110</v>
      </c>
      <c r="H8" s="77" t="s">
        <v>771</v>
      </c>
      <c r="I8" s="77" t="s">
        <v>772</v>
      </c>
      <c r="J8" s="77"/>
      <c r="K8" s="77"/>
      <c r="L8" s="74"/>
      <c r="M8" s="74"/>
      <c r="N8" s="74"/>
      <c r="O8" s="74"/>
      <c r="P8" s="74"/>
      <c r="Q8" s="74"/>
      <c r="R8" s="74"/>
      <c r="S8" s="74"/>
      <c r="T8" s="74"/>
      <c r="U8" s="74"/>
      <c r="V8" s="74"/>
      <c r="W8" s="74"/>
      <c r="X8" s="74"/>
      <c r="Y8" s="74"/>
    </row>
    <row r="9" spans="1:25" ht="15.75" thickBot="1" x14ac:dyDescent="0.3">
      <c r="A9" s="78">
        <v>2025</v>
      </c>
      <c r="B9" s="79">
        <v>10</v>
      </c>
      <c r="C9" s="86" t="s">
        <v>318</v>
      </c>
      <c r="D9" s="86" t="s">
        <v>318</v>
      </c>
      <c r="E9" s="79" t="s">
        <v>18</v>
      </c>
      <c r="F9" s="80" t="s">
        <v>2111</v>
      </c>
      <c r="G9" s="80" t="s">
        <v>2112</v>
      </c>
      <c r="H9" s="80" t="s">
        <v>773</v>
      </c>
      <c r="I9" s="80" t="s">
        <v>774</v>
      </c>
      <c r="J9" s="80"/>
      <c r="K9" s="80"/>
      <c r="L9" s="74"/>
      <c r="M9" s="74"/>
      <c r="N9" s="74"/>
      <c r="O9" s="74"/>
      <c r="P9" s="74"/>
      <c r="Q9" s="74"/>
      <c r="R9" s="74"/>
      <c r="S9" s="74"/>
      <c r="T9" s="74"/>
      <c r="U9" s="74"/>
      <c r="V9" s="74"/>
      <c r="W9" s="74"/>
      <c r="X9" s="74"/>
      <c r="Y9" s="74"/>
    </row>
    <row r="10" spans="1:25" ht="15.75" thickBot="1" x14ac:dyDescent="0.3">
      <c r="A10" s="75">
        <v>2025</v>
      </c>
      <c r="B10" s="113" t="s">
        <v>658</v>
      </c>
      <c r="C10" s="85" t="s">
        <v>319</v>
      </c>
      <c r="D10" s="85" t="s">
        <v>319</v>
      </c>
      <c r="E10" s="76" t="s">
        <v>19</v>
      </c>
      <c r="F10" s="77" t="s">
        <v>775</v>
      </c>
      <c r="G10" s="77" t="s">
        <v>776</v>
      </c>
      <c r="H10" s="77" t="s">
        <v>777</v>
      </c>
      <c r="I10" s="77" t="s">
        <v>778</v>
      </c>
      <c r="J10" s="77"/>
      <c r="K10" s="77"/>
      <c r="L10" s="74"/>
      <c r="M10" s="74"/>
      <c r="N10" s="74"/>
      <c r="O10" s="74"/>
      <c r="P10" s="74"/>
      <c r="Q10" s="74"/>
      <c r="R10" s="74"/>
      <c r="S10" s="74"/>
      <c r="T10" s="74"/>
      <c r="U10" s="74"/>
      <c r="V10" s="74"/>
      <c r="W10" s="74"/>
      <c r="X10" s="74"/>
      <c r="Y10" s="74"/>
    </row>
    <row r="11" spans="1:25" ht="15.75" thickBot="1" x14ac:dyDescent="0.3">
      <c r="A11" s="78">
        <v>2025</v>
      </c>
      <c r="B11" s="114" t="s">
        <v>661</v>
      </c>
      <c r="C11" s="86" t="s">
        <v>320</v>
      </c>
      <c r="D11" s="86" t="s">
        <v>320</v>
      </c>
      <c r="E11" s="79" t="s">
        <v>20</v>
      </c>
      <c r="F11" s="80" t="s">
        <v>779</v>
      </c>
      <c r="G11" s="80" t="s">
        <v>780</v>
      </c>
      <c r="H11" s="80" t="s">
        <v>992</v>
      </c>
      <c r="I11" s="80" t="s">
        <v>1521</v>
      </c>
      <c r="J11" s="80"/>
      <c r="K11" s="80"/>
      <c r="L11" s="74"/>
      <c r="M11" s="74"/>
      <c r="N11" s="74"/>
      <c r="O11" s="74"/>
      <c r="P11" s="74"/>
      <c r="Q11" s="74"/>
      <c r="R11" s="74"/>
      <c r="S11" s="74"/>
      <c r="T11" s="74"/>
      <c r="U11" s="74"/>
      <c r="V11" s="74"/>
      <c r="W11" s="74"/>
      <c r="X11" s="74"/>
      <c r="Y11" s="74"/>
    </row>
    <row r="12" spans="1:25" ht="15.75" thickBot="1" x14ac:dyDescent="0.3">
      <c r="A12" s="75">
        <v>2025</v>
      </c>
      <c r="B12" s="113" t="s">
        <v>665</v>
      </c>
      <c r="C12" s="85" t="s">
        <v>321</v>
      </c>
      <c r="D12" s="85" t="s">
        <v>321</v>
      </c>
      <c r="E12" s="76" t="s">
        <v>21</v>
      </c>
      <c r="F12" s="77" t="s">
        <v>781</v>
      </c>
      <c r="G12" s="77" t="s">
        <v>782</v>
      </c>
      <c r="H12" s="77" t="s">
        <v>783</v>
      </c>
      <c r="I12" s="77" t="s">
        <v>784</v>
      </c>
      <c r="J12" s="77" t="s">
        <v>785</v>
      </c>
      <c r="K12" s="77" t="s">
        <v>786</v>
      </c>
      <c r="L12" s="74"/>
      <c r="M12" s="74"/>
      <c r="N12" s="74"/>
      <c r="O12" s="74"/>
      <c r="P12" s="74"/>
      <c r="Q12" s="74"/>
      <c r="R12" s="74"/>
      <c r="S12" s="74"/>
      <c r="T12" s="74"/>
      <c r="U12" s="74"/>
      <c r="V12" s="74"/>
      <c r="W12" s="74"/>
      <c r="X12" s="74"/>
      <c r="Y12" s="74"/>
    </row>
    <row r="13" spans="1:25" ht="15.75" thickBot="1" x14ac:dyDescent="0.3">
      <c r="A13" s="78">
        <v>2025</v>
      </c>
      <c r="B13" s="114" t="s">
        <v>661</v>
      </c>
      <c r="C13" s="86" t="s">
        <v>323</v>
      </c>
      <c r="D13" s="86" t="s">
        <v>323</v>
      </c>
      <c r="E13" s="79" t="s">
        <v>687</v>
      </c>
      <c r="F13" s="80" t="s">
        <v>1522</v>
      </c>
      <c r="G13" s="80" t="s">
        <v>2113</v>
      </c>
      <c r="H13" s="80" t="s">
        <v>1523</v>
      </c>
      <c r="I13" s="80" t="s">
        <v>1524</v>
      </c>
      <c r="J13" s="80"/>
      <c r="K13" s="80"/>
      <c r="L13" s="74"/>
      <c r="M13" s="74"/>
      <c r="N13" s="74"/>
      <c r="O13" s="74"/>
      <c r="P13" s="74"/>
      <c r="Q13" s="74"/>
      <c r="R13" s="74"/>
      <c r="S13" s="74"/>
      <c r="T13" s="74"/>
      <c r="U13" s="74"/>
      <c r="V13" s="74"/>
      <c r="W13" s="74"/>
      <c r="X13" s="74"/>
      <c r="Y13" s="74"/>
    </row>
    <row r="14" spans="1:25" ht="15.75" thickBot="1" x14ac:dyDescent="0.3">
      <c r="A14" s="75">
        <v>2025</v>
      </c>
      <c r="B14" s="76">
        <v>11</v>
      </c>
      <c r="C14" s="85" t="s">
        <v>324</v>
      </c>
      <c r="D14" s="85" t="s">
        <v>324</v>
      </c>
      <c r="E14" s="76" t="s">
        <v>23</v>
      </c>
      <c r="F14" s="77" t="s">
        <v>928</v>
      </c>
      <c r="G14" s="77" t="s">
        <v>2114</v>
      </c>
      <c r="H14" s="77" t="s">
        <v>1335</v>
      </c>
      <c r="I14" s="77" t="s">
        <v>1683</v>
      </c>
      <c r="J14" s="77" t="s">
        <v>787</v>
      </c>
      <c r="K14" s="77" t="s">
        <v>788</v>
      </c>
      <c r="L14" s="74"/>
      <c r="M14" s="74"/>
      <c r="N14" s="74"/>
      <c r="O14" s="74"/>
      <c r="P14" s="74"/>
      <c r="Q14" s="74"/>
      <c r="R14" s="74"/>
      <c r="S14" s="74"/>
      <c r="T14" s="74"/>
      <c r="U14" s="74"/>
      <c r="V14" s="74"/>
      <c r="W14" s="74"/>
      <c r="X14" s="74"/>
      <c r="Y14" s="74"/>
    </row>
    <row r="15" spans="1:25" ht="15.75" thickBot="1" x14ac:dyDescent="0.3">
      <c r="A15" s="78">
        <v>2025</v>
      </c>
      <c r="B15" s="79">
        <v>10</v>
      </c>
      <c r="C15" s="86" t="s">
        <v>325</v>
      </c>
      <c r="D15" s="86" t="s">
        <v>325</v>
      </c>
      <c r="E15" s="79" t="s">
        <v>24</v>
      </c>
      <c r="F15" s="80" t="s">
        <v>991</v>
      </c>
      <c r="G15" s="80" t="s">
        <v>1525</v>
      </c>
      <c r="H15" s="80" t="s">
        <v>789</v>
      </c>
      <c r="I15" s="80" t="s">
        <v>790</v>
      </c>
      <c r="J15" s="80"/>
      <c r="K15" s="80"/>
      <c r="L15" s="74"/>
      <c r="M15" s="74"/>
      <c r="N15" s="74"/>
      <c r="O15" s="74"/>
      <c r="P15" s="74"/>
      <c r="Q15" s="74"/>
      <c r="R15" s="74"/>
      <c r="S15" s="74"/>
      <c r="T15" s="74"/>
      <c r="U15" s="74"/>
      <c r="V15" s="74"/>
      <c r="W15" s="74"/>
      <c r="X15" s="74"/>
      <c r="Y15" s="74"/>
    </row>
    <row r="16" spans="1:25" ht="15.75" thickBot="1" x14ac:dyDescent="0.3">
      <c r="A16" s="75">
        <v>2025</v>
      </c>
      <c r="B16" s="113" t="s">
        <v>666</v>
      </c>
      <c r="C16" s="85" t="s">
        <v>326</v>
      </c>
      <c r="D16" s="85" t="s">
        <v>326</v>
      </c>
      <c r="E16" s="76" t="s">
        <v>25</v>
      </c>
      <c r="F16" s="77" t="s">
        <v>791</v>
      </c>
      <c r="G16" s="77" t="s">
        <v>792</v>
      </c>
      <c r="H16" s="77" t="s">
        <v>793</v>
      </c>
      <c r="I16" s="77" t="s">
        <v>794</v>
      </c>
      <c r="J16" s="77"/>
      <c r="K16" s="77"/>
      <c r="L16" s="74"/>
      <c r="M16" s="74"/>
      <c r="N16" s="74"/>
      <c r="O16" s="74"/>
      <c r="P16" s="74"/>
      <c r="Q16" s="74"/>
      <c r="R16" s="74"/>
      <c r="S16" s="74"/>
      <c r="T16" s="74"/>
      <c r="U16" s="74"/>
      <c r="V16" s="74"/>
      <c r="W16" s="74"/>
      <c r="X16" s="74"/>
      <c r="Y16" s="74"/>
    </row>
    <row r="17" spans="1:25" ht="15.75" thickBot="1" x14ac:dyDescent="0.3">
      <c r="A17" s="78">
        <v>2025</v>
      </c>
      <c r="B17" s="79">
        <v>11</v>
      </c>
      <c r="C17" s="86" t="s">
        <v>327</v>
      </c>
      <c r="D17" s="86" t="s">
        <v>327</v>
      </c>
      <c r="E17" s="79" t="s">
        <v>696</v>
      </c>
      <c r="F17" s="80" t="s">
        <v>795</v>
      </c>
      <c r="G17" s="80" t="s">
        <v>796</v>
      </c>
      <c r="H17" s="80" t="s">
        <v>2115</v>
      </c>
      <c r="I17" s="80" t="s">
        <v>2116</v>
      </c>
      <c r="J17" s="80"/>
      <c r="K17" s="80"/>
      <c r="L17" s="74"/>
      <c r="M17" s="74"/>
      <c r="N17" s="74"/>
      <c r="O17" s="74"/>
      <c r="P17" s="74"/>
      <c r="Q17" s="74"/>
      <c r="R17" s="74"/>
      <c r="S17" s="74"/>
      <c r="T17" s="74"/>
      <c r="U17" s="74"/>
      <c r="V17" s="74"/>
      <c r="W17" s="74"/>
      <c r="X17" s="74"/>
      <c r="Y17" s="74"/>
    </row>
    <row r="18" spans="1:25" ht="15.75" thickBot="1" x14ac:dyDescent="0.3">
      <c r="A18" s="75">
        <v>2025</v>
      </c>
      <c r="B18" s="113" t="s">
        <v>658</v>
      </c>
      <c r="C18" s="85" t="s">
        <v>328</v>
      </c>
      <c r="D18" s="85" t="s">
        <v>328</v>
      </c>
      <c r="E18" s="76" t="s">
        <v>26</v>
      </c>
      <c r="F18" s="77" t="s">
        <v>1416</v>
      </c>
      <c r="G18" s="77" t="s">
        <v>1526</v>
      </c>
      <c r="H18" s="77" t="s">
        <v>1712</v>
      </c>
      <c r="I18" s="77" t="s">
        <v>2117</v>
      </c>
      <c r="J18" s="77"/>
      <c r="K18" s="77"/>
      <c r="L18" s="74"/>
      <c r="M18" s="74"/>
      <c r="N18" s="74"/>
      <c r="O18" s="74"/>
      <c r="P18" s="74"/>
      <c r="Q18" s="74"/>
      <c r="R18" s="74"/>
      <c r="S18" s="74"/>
      <c r="T18" s="74"/>
      <c r="U18" s="74"/>
      <c r="V18" s="74"/>
      <c r="W18" s="74"/>
      <c r="X18" s="74"/>
      <c r="Y18" s="74"/>
    </row>
    <row r="19" spans="1:25" ht="15.75" thickBot="1" x14ac:dyDescent="0.3">
      <c r="A19" s="78">
        <v>2025</v>
      </c>
      <c r="B19" s="79">
        <v>12</v>
      </c>
      <c r="C19" s="86" t="s">
        <v>330</v>
      </c>
      <c r="D19" s="86" t="s">
        <v>330</v>
      </c>
      <c r="E19" s="79" t="s">
        <v>27</v>
      </c>
      <c r="F19" s="80" t="s">
        <v>2118</v>
      </c>
      <c r="G19" s="80" t="s">
        <v>2119</v>
      </c>
      <c r="H19" s="80" t="s">
        <v>798</v>
      </c>
      <c r="I19" s="80" t="s">
        <v>799</v>
      </c>
      <c r="J19" s="80"/>
      <c r="K19" s="80"/>
      <c r="L19" s="74"/>
      <c r="M19" s="74"/>
      <c r="N19" s="74"/>
      <c r="O19" s="74"/>
      <c r="P19" s="74"/>
      <c r="Q19" s="74"/>
      <c r="R19" s="74"/>
      <c r="S19" s="74"/>
      <c r="T19" s="74"/>
      <c r="U19" s="74"/>
      <c r="V19" s="74"/>
      <c r="W19" s="74"/>
      <c r="X19" s="74"/>
      <c r="Y19" s="74"/>
    </row>
    <row r="20" spans="1:25" ht="15.75" thickBot="1" x14ac:dyDescent="0.3">
      <c r="A20" s="75">
        <v>2025</v>
      </c>
      <c r="B20" s="76">
        <v>13</v>
      </c>
      <c r="C20" s="85" t="s">
        <v>331</v>
      </c>
      <c r="D20" s="85" t="s">
        <v>331</v>
      </c>
      <c r="E20" s="76" t="s">
        <v>28</v>
      </c>
      <c r="F20" s="77" t="s">
        <v>2120</v>
      </c>
      <c r="G20" s="77" t="s">
        <v>2121</v>
      </c>
      <c r="H20" s="77" t="s">
        <v>1107</v>
      </c>
      <c r="I20" s="77" t="s">
        <v>1684</v>
      </c>
      <c r="J20" s="77"/>
      <c r="K20" s="77"/>
      <c r="L20" s="74"/>
      <c r="M20" s="74"/>
      <c r="N20" s="74"/>
      <c r="O20" s="74"/>
      <c r="P20" s="74"/>
      <c r="Q20" s="74"/>
      <c r="R20" s="74"/>
      <c r="S20" s="74"/>
      <c r="T20" s="74"/>
      <c r="U20" s="74"/>
      <c r="V20" s="74"/>
      <c r="W20" s="74"/>
      <c r="X20" s="74"/>
      <c r="Y20" s="74"/>
    </row>
    <row r="21" spans="1:25" ht="15.75" thickBot="1" x14ac:dyDescent="0.3">
      <c r="A21" s="78">
        <v>2025</v>
      </c>
      <c r="B21" s="79">
        <v>11</v>
      </c>
      <c r="C21" s="86" t="s">
        <v>332</v>
      </c>
      <c r="D21" s="86" t="s">
        <v>332</v>
      </c>
      <c r="E21" s="79" t="s">
        <v>29</v>
      </c>
      <c r="F21" s="80" t="s">
        <v>1003</v>
      </c>
      <c r="G21" s="80" t="s">
        <v>2122</v>
      </c>
      <c r="H21" s="80" t="s">
        <v>1527</v>
      </c>
      <c r="I21" s="80" t="s">
        <v>1528</v>
      </c>
      <c r="J21" s="80"/>
      <c r="K21" s="80"/>
      <c r="L21" s="74"/>
      <c r="M21" s="74"/>
      <c r="N21" s="74"/>
      <c r="O21" s="74"/>
      <c r="P21" s="74"/>
      <c r="Q21" s="74"/>
      <c r="R21" s="74"/>
      <c r="S21" s="74"/>
      <c r="T21" s="74"/>
      <c r="U21" s="74"/>
      <c r="V21" s="74"/>
      <c r="W21" s="74"/>
      <c r="X21" s="74"/>
      <c r="Y21" s="74"/>
    </row>
    <row r="22" spans="1:25" ht="15.75" thickBot="1" x14ac:dyDescent="0.3">
      <c r="A22" s="75">
        <v>2025</v>
      </c>
      <c r="B22" s="76">
        <v>11</v>
      </c>
      <c r="C22" s="85" t="s">
        <v>334</v>
      </c>
      <c r="D22" s="85" t="s">
        <v>334</v>
      </c>
      <c r="E22" s="76" t="s">
        <v>31</v>
      </c>
      <c r="F22" s="77" t="s">
        <v>2123</v>
      </c>
      <c r="G22" s="77" t="s">
        <v>2070</v>
      </c>
      <c r="H22" s="77" t="s">
        <v>801</v>
      </c>
      <c r="I22" s="77" t="s">
        <v>802</v>
      </c>
      <c r="J22" s="77"/>
      <c r="K22" s="77"/>
      <c r="L22" s="74"/>
      <c r="M22" s="74"/>
      <c r="N22" s="74"/>
      <c r="O22" s="74"/>
      <c r="P22" s="74"/>
      <c r="Q22" s="74"/>
      <c r="R22" s="74"/>
      <c r="S22" s="74"/>
      <c r="T22" s="74"/>
      <c r="U22" s="74"/>
      <c r="V22" s="74"/>
      <c r="W22" s="74"/>
      <c r="X22" s="74"/>
      <c r="Y22" s="74"/>
    </row>
    <row r="23" spans="1:25" ht="15.75" thickBot="1" x14ac:dyDescent="0.3">
      <c r="A23" s="78">
        <v>2025</v>
      </c>
      <c r="B23" s="79">
        <v>11</v>
      </c>
      <c r="C23" s="86" t="s">
        <v>335</v>
      </c>
      <c r="D23" s="86" t="s">
        <v>335</v>
      </c>
      <c r="E23" s="79" t="s">
        <v>33</v>
      </c>
      <c r="F23" s="80" t="s">
        <v>2124</v>
      </c>
      <c r="G23" s="80" t="s">
        <v>2125</v>
      </c>
      <c r="H23" s="80" t="s">
        <v>803</v>
      </c>
      <c r="I23" s="80" t="s">
        <v>804</v>
      </c>
      <c r="J23" s="80"/>
      <c r="K23" s="80"/>
      <c r="L23" s="74"/>
      <c r="M23" s="74"/>
      <c r="N23" s="74"/>
      <c r="O23" s="74"/>
      <c r="P23" s="74"/>
      <c r="Q23" s="74"/>
      <c r="R23" s="74"/>
      <c r="S23" s="74"/>
      <c r="T23" s="74"/>
      <c r="U23" s="74"/>
      <c r="V23" s="74"/>
      <c r="W23" s="74"/>
      <c r="X23" s="74"/>
      <c r="Y23" s="74"/>
    </row>
    <row r="24" spans="1:25" ht="15.75" thickBot="1" x14ac:dyDescent="0.3">
      <c r="A24" s="75">
        <v>2025</v>
      </c>
      <c r="B24" s="113" t="s">
        <v>658</v>
      </c>
      <c r="C24" s="85" t="s">
        <v>336</v>
      </c>
      <c r="D24" s="85" t="s">
        <v>336</v>
      </c>
      <c r="E24" s="76" t="s">
        <v>1</v>
      </c>
      <c r="F24" s="77" t="s">
        <v>805</v>
      </c>
      <c r="G24" s="77" t="s">
        <v>806</v>
      </c>
      <c r="H24" s="77" t="s">
        <v>1529</v>
      </c>
      <c r="I24" s="77" t="s">
        <v>1530</v>
      </c>
      <c r="J24" s="77"/>
      <c r="K24" s="77"/>
      <c r="L24" s="74"/>
      <c r="M24" s="74"/>
      <c r="N24" s="74"/>
      <c r="O24" s="74"/>
      <c r="P24" s="74"/>
      <c r="Q24" s="74"/>
      <c r="R24" s="74"/>
      <c r="S24" s="74"/>
      <c r="T24" s="74"/>
      <c r="U24" s="74"/>
      <c r="V24" s="74"/>
      <c r="W24" s="74"/>
      <c r="X24" s="74"/>
      <c r="Y24" s="74"/>
    </row>
    <row r="25" spans="1:25" ht="15.75" thickBot="1" x14ac:dyDescent="0.3">
      <c r="A25" s="78">
        <v>2025</v>
      </c>
      <c r="B25" s="79">
        <v>13</v>
      </c>
      <c r="C25" s="86" t="s">
        <v>337</v>
      </c>
      <c r="D25" s="86" t="s">
        <v>337</v>
      </c>
      <c r="E25" s="79" t="s">
        <v>34</v>
      </c>
      <c r="F25" s="80" t="s">
        <v>807</v>
      </c>
      <c r="G25" s="80" t="s">
        <v>808</v>
      </c>
      <c r="H25" s="80" t="s">
        <v>809</v>
      </c>
      <c r="I25" s="80" t="s">
        <v>810</v>
      </c>
      <c r="J25" s="80"/>
      <c r="K25" s="80"/>
      <c r="L25" s="74"/>
      <c r="M25" s="74"/>
      <c r="N25" s="74"/>
      <c r="O25" s="74"/>
      <c r="P25" s="74"/>
      <c r="Q25" s="74"/>
      <c r="R25" s="74"/>
      <c r="S25" s="74"/>
      <c r="T25" s="74"/>
      <c r="U25" s="74"/>
      <c r="V25" s="74"/>
      <c r="W25" s="74"/>
      <c r="X25" s="74"/>
      <c r="Y25" s="74"/>
    </row>
    <row r="26" spans="1:25" ht="15.75" thickBot="1" x14ac:dyDescent="0.3">
      <c r="A26" s="75">
        <v>2025</v>
      </c>
      <c r="B26" s="76">
        <v>10</v>
      </c>
      <c r="C26" s="85" t="s">
        <v>338</v>
      </c>
      <c r="D26" s="85" t="s">
        <v>338</v>
      </c>
      <c r="E26" s="76" t="s">
        <v>35</v>
      </c>
      <c r="F26" s="77" t="s">
        <v>811</v>
      </c>
      <c r="G26" s="77" t="s">
        <v>812</v>
      </c>
      <c r="H26" s="77" t="s">
        <v>813</v>
      </c>
      <c r="I26" s="77" t="s">
        <v>814</v>
      </c>
      <c r="J26" s="77"/>
      <c r="K26" s="77"/>
      <c r="L26" s="74"/>
      <c r="M26" s="74"/>
      <c r="N26" s="74"/>
      <c r="O26" s="74"/>
      <c r="P26" s="74"/>
      <c r="Q26" s="74"/>
      <c r="R26" s="74"/>
      <c r="S26" s="74"/>
      <c r="T26" s="74"/>
      <c r="U26" s="74"/>
      <c r="V26" s="74"/>
      <c r="W26" s="74"/>
      <c r="X26" s="74"/>
      <c r="Y26" s="74"/>
    </row>
    <row r="27" spans="1:25" ht="15.75" thickBot="1" x14ac:dyDescent="0.3">
      <c r="A27" s="78">
        <v>2025</v>
      </c>
      <c r="B27" s="114" t="s">
        <v>666</v>
      </c>
      <c r="C27" s="86" t="s">
        <v>339</v>
      </c>
      <c r="D27" s="86" t="s">
        <v>339</v>
      </c>
      <c r="E27" s="79" t="s">
        <v>36</v>
      </c>
      <c r="F27" s="80" t="s">
        <v>2126</v>
      </c>
      <c r="G27" s="80" t="s">
        <v>2127</v>
      </c>
      <c r="H27" s="80" t="s">
        <v>1685</v>
      </c>
      <c r="I27" s="80" t="s">
        <v>1686</v>
      </c>
      <c r="J27" s="80" t="s">
        <v>815</v>
      </c>
      <c r="K27" s="80" t="s">
        <v>816</v>
      </c>
      <c r="L27" s="74"/>
      <c r="M27" s="74"/>
      <c r="N27" s="74"/>
      <c r="O27" s="74"/>
      <c r="P27" s="74"/>
      <c r="Q27" s="74"/>
      <c r="R27" s="74"/>
      <c r="S27" s="74"/>
      <c r="T27" s="74"/>
      <c r="U27" s="74"/>
      <c r="V27" s="74"/>
      <c r="W27" s="74"/>
      <c r="X27" s="74"/>
      <c r="Y27" s="74"/>
    </row>
    <row r="28" spans="1:25" ht="15.75" thickBot="1" x14ac:dyDescent="0.3">
      <c r="A28" s="75">
        <v>2025</v>
      </c>
      <c r="B28" s="113" t="s">
        <v>658</v>
      </c>
      <c r="C28" s="85" t="s">
        <v>340</v>
      </c>
      <c r="D28" s="85" t="s">
        <v>340</v>
      </c>
      <c r="E28" s="76" t="s">
        <v>649</v>
      </c>
      <c r="F28" s="77" t="s">
        <v>2128</v>
      </c>
      <c r="G28" s="77" t="s">
        <v>2129</v>
      </c>
      <c r="H28" s="77" t="s">
        <v>817</v>
      </c>
      <c r="I28" s="77" t="s">
        <v>818</v>
      </c>
      <c r="J28" s="77"/>
      <c r="K28" s="77"/>
      <c r="L28" s="74"/>
      <c r="M28" s="74"/>
      <c r="N28" s="74"/>
      <c r="O28" s="74"/>
      <c r="P28" s="74"/>
      <c r="Q28" s="74"/>
      <c r="R28" s="74"/>
      <c r="S28" s="74"/>
      <c r="T28" s="74"/>
      <c r="U28" s="74"/>
      <c r="V28" s="74"/>
      <c r="W28" s="74"/>
      <c r="X28" s="74"/>
      <c r="Y28" s="74"/>
    </row>
    <row r="29" spans="1:25" ht="15.75" thickBot="1" x14ac:dyDescent="0.3">
      <c r="A29" s="78">
        <v>2025</v>
      </c>
      <c r="B29" s="114" t="s">
        <v>666</v>
      </c>
      <c r="C29" s="86" t="s">
        <v>341</v>
      </c>
      <c r="D29" s="86" t="s">
        <v>341</v>
      </c>
      <c r="E29" s="79" t="s">
        <v>37</v>
      </c>
      <c r="F29" s="80" t="s">
        <v>2130</v>
      </c>
      <c r="G29" s="80" t="s">
        <v>2131</v>
      </c>
      <c r="H29" s="80" t="s">
        <v>1657</v>
      </c>
      <c r="I29" s="80" t="s">
        <v>1658</v>
      </c>
      <c r="J29" s="80"/>
      <c r="K29" s="80"/>
      <c r="L29" s="74"/>
      <c r="M29" s="74"/>
      <c r="N29" s="74"/>
      <c r="O29" s="74"/>
      <c r="P29" s="74"/>
      <c r="Q29" s="74"/>
      <c r="R29" s="74"/>
      <c r="S29" s="74"/>
      <c r="T29" s="74"/>
      <c r="U29" s="74"/>
      <c r="V29" s="74"/>
      <c r="W29" s="74"/>
      <c r="X29" s="74"/>
      <c r="Y29" s="74"/>
    </row>
    <row r="30" spans="1:25" ht="15.75" thickBot="1" x14ac:dyDescent="0.3">
      <c r="A30" s="75">
        <v>2025</v>
      </c>
      <c r="B30" s="76">
        <v>10</v>
      </c>
      <c r="C30" s="85" t="s">
        <v>342</v>
      </c>
      <c r="D30" s="85" t="s">
        <v>342</v>
      </c>
      <c r="E30" s="76" t="s">
        <v>38</v>
      </c>
      <c r="F30" s="77" t="s">
        <v>2132</v>
      </c>
      <c r="G30" s="77" t="s">
        <v>2133</v>
      </c>
      <c r="H30" s="77" t="s">
        <v>2134</v>
      </c>
      <c r="I30" s="77" t="s">
        <v>2135</v>
      </c>
      <c r="J30" s="77"/>
      <c r="K30" s="77"/>
      <c r="L30" s="74"/>
      <c r="M30" s="74"/>
      <c r="N30" s="74"/>
      <c r="O30" s="74"/>
      <c r="P30" s="74"/>
      <c r="Q30" s="74"/>
      <c r="R30" s="74"/>
      <c r="S30" s="74"/>
      <c r="T30" s="74"/>
      <c r="U30" s="74"/>
      <c r="V30" s="74"/>
      <c r="W30" s="74"/>
      <c r="X30" s="74"/>
      <c r="Y30" s="74"/>
    </row>
    <row r="31" spans="1:25" ht="15.75" thickBot="1" x14ac:dyDescent="0.3">
      <c r="A31" s="78">
        <v>2025</v>
      </c>
      <c r="B31" s="114" t="s">
        <v>666</v>
      </c>
      <c r="C31" s="86" t="s">
        <v>343</v>
      </c>
      <c r="D31" s="86" t="s">
        <v>343</v>
      </c>
      <c r="E31" s="79" t="s">
        <v>697</v>
      </c>
      <c r="F31" s="80" t="s">
        <v>819</v>
      </c>
      <c r="G31" s="80" t="s">
        <v>820</v>
      </c>
      <c r="H31" s="80" t="s">
        <v>2136</v>
      </c>
      <c r="I31" s="80" t="s">
        <v>2137</v>
      </c>
      <c r="J31" s="80"/>
      <c r="K31" s="80"/>
      <c r="L31" s="74"/>
      <c r="M31" s="74"/>
      <c r="N31" s="74"/>
      <c r="O31" s="74"/>
      <c r="P31" s="74"/>
      <c r="Q31" s="74"/>
      <c r="R31" s="74"/>
      <c r="S31" s="74"/>
      <c r="T31" s="74"/>
      <c r="U31" s="74"/>
      <c r="V31" s="74"/>
      <c r="W31" s="74"/>
      <c r="X31" s="74"/>
      <c r="Y31" s="74"/>
    </row>
    <row r="32" spans="1:25" ht="15.75" thickBot="1" x14ac:dyDescent="0.3">
      <c r="A32" s="75">
        <v>2025</v>
      </c>
      <c r="B32" s="76">
        <v>11</v>
      </c>
      <c r="C32" s="85" t="s">
        <v>345</v>
      </c>
      <c r="D32" s="85" t="s">
        <v>345</v>
      </c>
      <c r="E32" s="76" t="s">
        <v>39</v>
      </c>
      <c r="F32" s="77" t="s">
        <v>821</v>
      </c>
      <c r="G32" s="77" t="s">
        <v>822</v>
      </c>
      <c r="H32" s="77" t="s">
        <v>823</v>
      </c>
      <c r="I32" s="77" t="s">
        <v>824</v>
      </c>
      <c r="J32" s="77"/>
      <c r="K32" s="77"/>
      <c r="L32" s="74"/>
      <c r="M32" s="74"/>
      <c r="N32" s="74"/>
      <c r="O32" s="74"/>
      <c r="P32" s="74"/>
      <c r="Q32" s="74"/>
      <c r="R32" s="74"/>
      <c r="S32" s="74"/>
      <c r="T32" s="74"/>
      <c r="U32" s="74"/>
      <c r="V32" s="74"/>
      <c r="W32" s="74"/>
      <c r="X32" s="74"/>
      <c r="Y32" s="74"/>
    </row>
    <row r="33" spans="1:25" ht="15.75" thickBot="1" x14ac:dyDescent="0.3">
      <c r="A33" s="78">
        <v>2025</v>
      </c>
      <c r="B33" s="79">
        <v>11</v>
      </c>
      <c r="C33" s="86" t="s">
        <v>346</v>
      </c>
      <c r="D33" s="86" t="s">
        <v>346</v>
      </c>
      <c r="E33" s="79" t="s">
        <v>40</v>
      </c>
      <c r="F33" s="80" t="s">
        <v>825</v>
      </c>
      <c r="G33" s="80" t="s">
        <v>826</v>
      </c>
      <c r="H33" s="80" t="s">
        <v>1676</v>
      </c>
      <c r="I33" s="80" t="s">
        <v>1531</v>
      </c>
      <c r="J33" s="80" t="s">
        <v>827</v>
      </c>
      <c r="K33" s="80" t="s">
        <v>828</v>
      </c>
      <c r="L33" s="74"/>
      <c r="M33" s="74"/>
      <c r="N33" s="74"/>
      <c r="O33" s="74"/>
      <c r="P33" s="74"/>
      <c r="Q33" s="74"/>
      <c r="R33" s="74"/>
      <c r="S33" s="74"/>
      <c r="T33" s="74"/>
      <c r="U33" s="74"/>
      <c r="V33" s="74"/>
      <c r="W33" s="74"/>
      <c r="X33" s="74"/>
      <c r="Y33" s="74"/>
    </row>
    <row r="34" spans="1:25" ht="15.75" thickBot="1" x14ac:dyDescent="0.3">
      <c r="A34" s="75">
        <v>2025</v>
      </c>
      <c r="B34" s="76">
        <v>12</v>
      </c>
      <c r="C34" s="85" t="s">
        <v>347</v>
      </c>
      <c r="D34" s="85" t="s">
        <v>347</v>
      </c>
      <c r="E34" s="76" t="s">
        <v>41</v>
      </c>
      <c r="F34" s="77" t="s">
        <v>829</v>
      </c>
      <c r="G34" s="77" t="s">
        <v>830</v>
      </c>
      <c r="H34" s="77" t="s">
        <v>831</v>
      </c>
      <c r="I34" s="77" t="s">
        <v>832</v>
      </c>
      <c r="J34" s="77" t="s">
        <v>829</v>
      </c>
      <c r="K34" s="77" t="s">
        <v>830</v>
      </c>
      <c r="L34" s="74"/>
      <c r="M34" s="74"/>
      <c r="N34" s="74"/>
      <c r="O34" s="74"/>
      <c r="P34" s="74"/>
      <c r="Q34" s="74"/>
      <c r="R34" s="74"/>
      <c r="S34" s="74"/>
      <c r="T34" s="74"/>
      <c r="U34" s="74"/>
      <c r="V34" s="74"/>
      <c r="W34" s="74"/>
      <c r="X34" s="74"/>
      <c r="Y34" s="74"/>
    </row>
    <row r="35" spans="1:25" ht="15.75" thickBot="1" x14ac:dyDescent="0.3">
      <c r="A35" s="78">
        <v>2025</v>
      </c>
      <c r="B35" s="79">
        <v>13</v>
      </c>
      <c r="C35" s="86" t="s">
        <v>403</v>
      </c>
      <c r="D35" s="86" t="s">
        <v>403</v>
      </c>
      <c r="E35" s="79" t="s">
        <v>42</v>
      </c>
      <c r="F35" s="80" t="s">
        <v>1532</v>
      </c>
      <c r="G35" s="80" t="s">
        <v>2138</v>
      </c>
      <c r="H35" s="80" t="s">
        <v>833</v>
      </c>
      <c r="I35" s="80" t="s">
        <v>2139</v>
      </c>
      <c r="J35" s="80"/>
      <c r="K35" s="80"/>
      <c r="L35" s="74"/>
      <c r="M35" s="74"/>
      <c r="N35" s="74"/>
      <c r="O35" s="74"/>
      <c r="P35" s="74"/>
      <c r="Q35" s="74"/>
      <c r="R35" s="74"/>
      <c r="S35" s="74"/>
      <c r="T35" s="74"/>
      <c r="U35" s="74"/>
      <c r="V35" s="74"/>
      <c r="W35" s="74"/>
      <c r="X35" s="74"/>
      <c r="Y35" s="74"/>
    </row>
    <row r="36" spans="1:25" ht="15.75" thickBot="1" x14ac:dyDescent="0.3">
      <c r="A36" s="75">
        <v>2025</v>
      </c>
      <c r="B36" s="113" t="s">
        <v>658</v>
      </c>
      <c r="C36" s="85" t="s">
        <v>349</v>
      </c>
      <c r="D36" s="85" t="s">
        <v>349</v>
      </c>
      <c r="E36" s="76" t="s">
        <v>43</v>
      </c>
      <c r="F36" s="77" t="s">
        <v>834</v>
      </c>
      <c r="G36" s="77" t="s">
        <v>835</v>
      </c>
      <c r="H36" s="77" t="s">
        <v>836</v>
      </c>
      <c r="I36" s="77" t="s">
        <v>837</v>
      </c>
      <c r="J36" s="77"/>
      <c r="K36" s="77"/>
      <c r="L36" s="74"/>
      <c r="M36" s="74"/>
      <c r="N36" s="74"/>
      <c r="O36" s="74"/>
      <c r="P36" s="74"/>
      <c r="Q36" s="74"/>
      <c r="R36" s="74"/>
      <c r="S36" s="74"/>
      <c r="T36" s="74"/>
      <c r="U36" s="74"/>
      <c r="V36" s="74"/>
      <c r="W36" s="74"/>
      <c r="X36" s="74"/>
      <c r="Y36" s="74"/>
    </row>
    <row r="37" spans="1:25" ht="15.75" thickBot="1" x14ac:dyDescent="0.3">
      <c r="A37" s="78">
        <v>2025</v>
      </c>
      <c r="B37" s="79">
        <v>15</v>
      </c>
      <c r="C37" s="86" t="s">
        <v>351</v>
      </c>
      <c r="D37" s="86" t="s">
        <v>351</v>
      </c>
      <c r="E37" s="79" t="s">
        <v>698</v>
      </c>
      <c r="F37" s="80" t="s">
        <v>1533</v>
      </c>
      <c r="G37" s="80" t="s">
        <v>1534</v>
      </c>
      <c r="H37" s="80" t="s">
        <v>838</v>
      </c>
      <c r="I37" s="80" t="s">
        <v>839</v>
      </c>
      <c r="J37" s="80"/>
      <c r="K37" s="80"/>
      <c r="L37" s="74"/>
      <c r="M37" s="74"/>
      <c r="N37" s="74"/>
      <c r="O37" s="74"/>
      <c r="P37" s="74"/>
      <c r="Q37" s="74"/>
      <c r="R37" s="74"/>
      <c r="S37" s="74"/>
      <c r="T37" s="74"/>
      <c r="U37" s="74"/>
      <c r="V37" s="74"/>
      <c r="W37" s="74"/>
      <c r="X37" s="74"/>
      <c r="Y37" s="74"/>
    </row>
    <row r="38" spans="1:25" ht="15.75" thickBot="1" x14ac:dyDescent="0.3">
      <c r="A38" s="75">
        <v>2025</v>
      </c>
      <c r="B38" s="113" t="s">
        <v>658</v>
      </c>
      <c r="C38" s="85" t="s">
        <v>353</v>
      </c>
      <c r="D38" s="85" t="s">
        <v>353</v>
      </c>
      <c r="E38" s="76" t="s">
        <v>2</v>
      </c>
      <c r="F38" s="77" t="s">
        <v>1655</v>
      </c>
      <c r="G38" s="77" t="s">
        <v>1656</v>
      </c>
      <c r="H38" s="77" t="s">
        <v>1535</v>
      </c>
      <c r="I38" s="77" t="s">
        <v>2140</v>
      </c>
      <c r="J38" s="77"/>
      <c r="K38" s="77"/>
      <c r="L38" s="74"/>
      <c r="M38" s="74"/>
      <c r="N38" s="74"/>
      <c r="O38" s="74"/>
      <c r="P38" s="74"/>
      <c r="Q38" s="74"/>
      <c r="R38" s="74"/>
      <c r="S38" s="74"/>
      <c r="T38" s="74"/>
      <c r="U38" s="74"/>
      <c r="V38" s="74"/>
      <c r="W38" s="74"/>
      <c r="X38" s="74"/>
      <c r="Y38" s="74"/>
    </row>
    <row r="39" spans="1:25" ht="15.75" thickBot="1" x14ac:dyDescent="0.3">
      <c r="A39" s="78">
        <v>2025</v>
      </c>
      <c r="B39" s="114" t="s">
        <v>666</v>
      </c>
      <c r="C39" s="86" t="s">
        <v>354</v>
      </c>
      <c r="D39" s="86" t="s">
        <v>354</v>
      </c>
      <c r="E39" s="79" t="s">
        <v>688</v>
      </c>
      <c r="F39" s="80" t="s">
        <v>2130</v>
      </c>
      <c r="G39" s="80" t="s">
        <v>2141</v>
      </c>
      <c r="H39" s="80" t="s">
        <v>2142</v>
      </c>
      <c r="I39" s="80" t="s">
        <v>2143</v>
      </c>
      <c r="J39" s="80"/>
      <c r="K39" s="80"/>
      <c r="L39" s="74"/>
      <c r="M39" s="74"/>
      <c r="N39" s="74"/>
      <c r="O39" s="74"/>
      <c r="P39" s="74"/>
      <c r="Q39" s="74"/>
      <c r="R39" s="74"/>
      <c r="S39" s="74"/>
      <c r="T39" s="74"/>
      <c r="U39" s="74"/>
      <c r="V39" s="74"/>
      <c r="W39" s="74"/>
      <c r="X39" s="74"/>
      <c r="Y39" s="74"/>
    </row>
    <row r="40" spans="1:25" ht="15.75" thickBot="1" x14ac:dyDescent="0.3">
      <c r="A40" s="75">
        <v>2025</v>
      </c>
      <c r="B40" s="76">
        <v>13</v>
      </c>
      <c r="C40" s="85" t="s">
        <v>352</v>
      </c>
      <c r="D40" s="85" t="s">
        <v>352</v>
      </c>
      <c r="E40" s="76" t="s">
        <v>3</v>
      </c>
      <c r="F40" s="77" t="s">
        <v>842</v>
      </c>
      <c r="G40" s="77" t="s">
        <v>843</v>
      </c>
      <c r="H40" s="77" t="s">
        <v>844</v>
      </c>
      <c r="I40" s="77" t="s">
        <v>2071</v>
      </c>
      <c r="J40" s="77"/>
      <c r="K40" s="77"/>
      <c r="L40" s="74"/>
      <c r="M40" s="74"/>
      <c r="N40" s="74"/>
      <c r="O40" s="74"/>
      <c r="P40" s="74"/>
      <c r="Q40" s="74"/>
      <c r="R40" s="74"/>
      <c r="S40" s="74"/>
      <c r="T40" s="74"/>
      <c r="U40" s="74"/>
      <c r="V40" s="74"/>
      <c r="W40" s="74"/>
      <c r="X40" s="74"/>
      <c r="Y40" s="74"/>
    </row>
    <row r="41" spans="1:25" ht="15.75" thickBot="1" x14ac:dyDescent="0.3">
      <c r="A41" s="78">
        <v>2025</v>
      </c>
      <c r="B41" s="114" t="s">
        <v>666</v>
      </c>
      <c r="C41" s="86" t="s">
        <v>355</v>
      </c>
      <c r="D41" s="86" t="s">
        <v>355</v>
      </c>
      <c r="E41" s="79" t="s">
        <v>699</v>
      </c>
      <c r="F41" s="80" t="s">
        <v>2144</v>
      </c>
      <c r="G41" s="80" t="s">
        <v>2145</v>
      </c>
      <c r="H41" s="80" t="s">
        <v>846</v>
      </c>
      <c r="I41" s="80" t="s">
        <v>1536</v>
      </c>
      <c r="J41" s="80"/>
      <c r="K41" s="80"/>
      <c r="L41" s="74"/>
      <c r="M41" s="74"/>
      <c r="N41" s="74"/>
      <c r="O41" s="74"/>
      <c r="P41" s="74"/>
      <c r="Q41" s="74"/>
      <c r="R41" s="74"/>
      <c r="S41" s="74"/>
      <c r="T41" s="74"/>
      <c r="U41" s="74"/>
      <c r="V41" s="74"/>
      <c r="W41" s="74"/>
      <c r="X41" s="74"/>
      <c r="Y41" s="74"/>
    </row>
    <row r="42" spans="1:25" ht="15.75" thickBot="1" x14ac:dyDescent="0.3">
      <c r="A42" s="75">
        <v>2025</v>
      </c>
      <c r="B42" s="76">
        <v>15</v>
      </c>
      <c r="C42" s="85" t="s">
        <v>356</v>
      </c>
      <c r="D42" s="85" t="s">
        <v>356</v>
      </c>
      <c r="E42" s="76" t="s">
        <v>45</v>
      </c>
      <c r="F42" s="77" t="s">
        <v>1336</v>
      </c>
      <c r="G42" s="77" t="s">
        <v>2146</v>
      </c>
      <c r="H42" s="77" t="s">
        <v>1687</v>
      </c>
      <c r="I42" s="77" t="s">
        <v>1688</v>
      </c>
      <c r="J42" s="77"/>
      <c r="K42" s="77"/>
      <c r="L42" s="74"/>
      <c r="M42" s="74"/>
      <c r="N42" s="74"/>
      <c r="O42" s="74"/>
      <c r="P42" s="74"/>
      <c r="Q42" s="74"/>
      <c r="R42" s="74"/>
      <c r="S42" s="74"/>
      <c r="T42" s="74"/>
      <c r="U42" s="74"/>
      <c r="V42" s="74"/>
      <c r="W42" s="74"/>
      <c r="X42" s="74"/>
      <c r="Y42" s="74"/>
    </row>
    <row r="43" spans="1:25" ht="15.75" thickBot="1" x14ac:dyDescent="0.3">
      <c r="A43" s="78">
        <v>2025</v>
      </c>
      <c r="B43" s="79">
        <v>11</v>
      </c>
      <c r="C43" s="86" t="s">
        <v>357</v>
      </c>
      <c r="D43" s="86" t="s">
        <v>357</v>
      </c>
      <c r="E43" s="79" t="s">
        <v>700</v>
      </c>
      <c r="F43" s="80" t="s">
        <v>906</v>
      </c>
      <c r="G43" s="80" t="s">
        <v>1537</v>
      </c>
      <c r="H43" s="80" t="s">
        <v>847</v>
      </c>
      <c r="I43" s="80" t="s">
        <v>848</v>
      </c>
      <c r="J43" s="80"/>
      <c r="K43" s="80"/>
      <c r="L43" s="74"/>
      <c r="M43" s="74"/>
      <c r="N43" s="74"/>
      <c r="O43" s="74"/>
      <c r="P43" s="74"/>
      <c r="Q43" s="74"/>
      <c r="R43" s="74"/>
      <c r="S43" s="74"/>
      <c r="T43" s="74"/>
      <c r="U43" s="74"/>
      <c r="V43" s="74"/>
      <c r="W43" s="74"/>
      <c r="X43" s="74"/>
      <c r="Y43" s="74"/>
    </row>
    <row r="44" spans="1:25" ht="15.75" thickBot="1" x14ac:dyDescent="0.3">
      <c r="A44" s="75">
        <v>2025</v>
      </c>
      <c r="B44" s="76">
        <v>11</v>
      </c>
      <c r="C44" s="85" t="s">
        <v>358</v>
      </c>
      <c r="D44" s="85" t="s">
        <v>358</v>
      </c>
      <c r="E44" s="76" t="s">
        <v>46</v>
      </c>
      <c r="F44" s="77" t="s">
        <v>849</v>
      </c>
      <c r="G44" s="77" t="s">
        <v>850</v>
      </c>
      <c r="H44" s="77" t="s">
        <v>851</v>
      </c>
      <c r="I44" s="77" t="s">
        <v>852</v>
      </c>
      <c r="J44" s="77"/>
      <c r="K44" s="77"/>
      <c r="L44" s="74"/>
      <c r="M44" s="74"/>
      <c r="N44" s="74"/>
      <c r="O44" s="74"/>
      <c r="P44" s="74"/>
      <c r="Q44" s="74"/>
      <c r="R44" s="74"/>
      <c r="S44" s="74"/>
      <c r="T44" s="74"/>
      <c r="U44" s="74"/>
      <c r="V44" s="74"/>
      <c r="W44" s="74"/>
      <c r="X44" s="74"/>
      <c r="Y44" s="74"/>
    </row>
    <row r="45" spans="1:25" ht="15.75" thickBot="1" x14ac:dyDescent="0.3">
      <c r="A45" s="78">
        <v>2025</v>
      </c>
      <c r="B45" s="114" t="s">
        <v>658</v>
      </c>
      <c r="C45" s="86" t="s">
        <v>359</v>
      </c>
      <c r="D45" s="86" t="s">
        <v>359</v>
      </c>
      <c r="E45" s="79" t="s">
        <v>701</v>
      </c>
      <c r="F45" s="80" t="s">
        <v>853</v>
      </c>
      <c r="G45" s="80" t="s">
        <v>854</v>
      </c>
      <c r="H45" s="80" t="s">
        <v>855</v>
      </c>
      <c r="I45" s="80" t="s">
        <v>856</v>
      </c>
      <c r="J45" s="80"/>
      <c r="K45" s="80"/>
      <c r="L45" s="74"/>
      <c r="M45" s="74"/>
      <c r="N45" s="74"/>
      <c r="O45" s="74"/>
      <c r="P45" s="74"/>
      <c r="Q45" s="74"/>
      <c r="R45" s="74"/>
      <c r="S45" s="74"/>
      <c r="T45" s="74"/>
      <c r="U45" s="74"/>
      <c r="V45" s="74"/>
      <c r="W45" s="74"/>
      <c r="X45" s="74"/>
      <c r="Y45" s="74"/>
    </row>
    <row r="46" spans="1:25" ht="15.75" thickBot="1" x14ac:dyDescent="0.3">
      <c r="A46" s="75">
        <v>2025</v>
      </c>
      <c r="B46" s="76">
        <v>10</v>
      </c>
      <c r="C46" s="85" t="s">
        <v>360</v>
      </c>
      <c r="D46" s="85" t="s">
        <v>360</v>
      </c>
      <c r="E46" s="76" t="s">
        <v>47</v>
      </c>
      <c r="F46" s="77" t="s">
        <v>2147</v>
      </c>
      <c r="G46" s="77" t="s">
        <v>2148</v>
      </c>
      <c r="H46" s="77" t="s">
        <v>1539</v>
      </c>
      <c r="I46" s="77" t="s">
        <v>1540</v>
      </c>
      <c r="J46" s="77" t="s">
        <v>857</v>
      </c>
      <c r="K46" s="77" t="s">
        <v>858</v>
      </c>
      <c r="L46" s="74"/>
      <c r="M46" s="74"/>
      <c r="N46" s="74"/>
      <c r="O46" s="74"/>
      <c r="P46" s="74"/>
      <c r="Q46" s="74"/>
      <c r="R46" s="74"/>
      <c r="S46" s="74"/>
      <c r="T46" s="74"/>
      <c r="U46" s="74"/>
      <c r="V46" s="74"/>
      <c r="W46" s="74"/>
      <c r="X46" s="74"/>
      <c r="Y46" s="74"/>
    </row>
    <row r="47" spans="1:25" ht="15.75" thickBot="1" x14ac:dyDescent="0.3">
      <c r="A47" s="78">
        <v>2025</v>
      </c>
      <c r="B47" s="79">
        <v>10</v>
      </c>
      <c r="C47" s="86" t="s">
        <v>361</v>
      </c>
      <c r="D47" s="86" t="s">
        <v>361</v>
      </c>
      <c r="E47" s="79" t="s">
        <v>48</v>
      </c>
      <c r="F47" s="80" t="s">
        <v>1689</v>
      </c>
      <c r="G47" s="80" t="s">
        <v>1690</v>
      </c>
      <c r="H47" s="80" t="s">
        <v>2072</v>
      </c>
      <c r="I47" s="80" t="s">
        <v>2073</v>
      </c>
      <c r="J47" s="80"/>
      <c r="K47" s="80"/>
      <c r="L47" s="74"/>
      <c r="M47" s="74"/>
      <c r="N47" s="74"/>
      <c r="O47" s="74"/>
      <c r="P47" s="74"/>
      <c r="Q47" s="74"/>
      <c r="R47" s="74"/>
      <c r="S47" s="74"/>
      <c r="T47" s="74"/>
      <c r="U47" s="74"/>
      <c r="V47" s="74"/>
      <c r="W47" s="74"/>
      <c r="X47" s="74"/>
      <c r="Y47" s="74"/>
    </row>
    <row r="48" spans="1:25" ht="15.75" thickBot="1" x14ac:dyDescent="0.3">
      <c r="A48" s="75">
        <v>2025</v>
      </c>
      <c r="B48" s="76">
        <v>15</v>
      </c>
      <c r="C48" s="85" t="s">
        <v>362</v>
      </c>
      <c r="D48" s="85" t="s">
        <v>362</v>
      </c>
      <c r="E48" s="76" t="s">
        <v>49</v>
      </c>
      <c r="F48" s="77" t="s">
        <v>1541</v>
      </c>
      <c r="G48" s="77" t="s">
        <v>1542</v>
      </c>
      <c r="H48" s="77" t="s">
        <v>859</v>
      </c>
      <c r="I48" s="77" t="s">
        <v>860</v>
      </c>
      <c r="J48" s="77"/>
      <c r="K48" s="77"/>
      <c r="L48" s="74"/>
      <c r="M48" s="74"/>
      <c r="N48" s="74"/>
      <c r="O48" s="74"/>
      <c r="P48" s="74"/>
      <c r="Q48" s="74"/>
      <c r="R48" s="74"/>
      <c r="S48" s="74"/>
      <c r="T48" s="74"/>
      <c r="U48" s="74"/>
      <c r="V48" s="74"/>
      <c r="W48" s="74"/>
      <c r="X48" s="74"/>
      <c r="Y48" s="74"/>
    </row>
    <row r="49" spans="1:25" ht="15.75" thickBot="1" x14ac:dyDescent="0.3">
      <c r="A49" s="78">
        <v>2025</v>
      </c>
      <c r="B49" s="79">
        <v>10</v>
      </c>
      <c r="C49" s="86" t="s">
        <v>366</v>
      </c>
      <c r="D49" s="86" t="s">
        <v>366</v>
      </c>
      <c r="E49" s="79" t="s">
        <v>702</v>
      </c>
      <c r="F49" s="80" t="s">
        <v>2149</v>
      </c>
      <c r="G49" s="80" t="s">
        <v>2150</v>
      </c>
      <c r="H49" s="80" t="s">
        <v>1234</v>
      </c>
      <c r="I49" s="80" t="s">
        <v>1691</v>
      </c>
      <c r="J49" s="80"/>
      <c r="K49" s="80"/>
      <c r="L49" s="74"/>
      <c r="M49" s="74"/>
      <c r="N49" s="74"/>
      <c r="O49" s="74"/>
      <c r="P49" s="74"/>
      <c r="Q49" s="74"/>
      <c r="R49" s="74"/>
      <c r="S49" s="74"/>
      <c r="T49" s="74"/>
      <c r="U49" s="74"/>
      <c r="V49" s="74"/>
      <c r="W49" s="74"/>
      <c r="X49" s="74"/>
      <c r="Y49" s="74"/>
    </row>
    <row r="50" spans="1:25" ht="15.75" thickBot="1" x14ac:dyDescent="0.3">
      <c r="A50" s="75">
        <v>2025</v>
      </c>
      <c r="B50" s="113" t="s">
        <v>665</v>
      </c>
      <c r="C50" s="85" t="s">
        <v>364</v>
      </c>
      <c r="D50" s="85" t="s">
        <v>364</v>
      </c>
      <c r="E50" s="76" t="s">
        <v>50</v>
      </c>
      <c r="F50" s="77" t="s">
        <v>862</v>
      </c>
      <c r="G50" s="77" t="s">
        <v>863</v>
      </c>
      <c r="H50" s="77" t="s">
        <v>2074</v>
      </c>
      <c r="I50" s="77" t="s">
        <v>2075</v>
      </c>
      <c r="J50" s="77"/>
      <c r="K50" s="77"/>
      <c r="L50" s="74"/>
      <c r="M50" s="74"/>
      <c r="N50" s="74"/>
      <c r="O50" s="74"/>
      <c r="P50" s="74"/>
      <c r="Q50" s="74"/>
      <c r="R50" s="74"/>
      <c r="S50" s="74"/>
      <c r="T50" s="74"/>
      <c r="U50" s="74"/>
      <c r="V50" s="74"/>
      <c r="W50" s="74"/>
      <c r="X50" s="74"/>
      <c r="Y50" s="74"/>
    </row>
    <row r="51" spans="1:25" ht="15.75" thickBot="1" x14ac:dyDescent="0.3">
      <c r="A51" s="78">
        <v>2025</v>
      </c>
      <c r="B51" s="114" t="s">
        <v>666</v>
      </c>
      <c r="C51" s="86" t="s">
        <v>365</v>
      </c>
      <c r="D51" s="86" t="s">
        <v>365</v>
      </c>
      <c r="E51" s="79" t="s">
        <v>51</v>
      </c>
      <c r="F51" s="80" t="s">
        <v>2151</v>
      </c>
      <c r="G51" s="80" t="s">
        <v>2152</v>
      </c>
      <c r="H51" s="80" t="s">
        <v>1692</v>
      </c>
      <c r="I51" s="80" t="s">
        <v>1693</v>
      </c>
      <c r="J51" s="80"/>
      <c r="K51" s="80"/>
      <c r="L51" s="74"/>
      <c r="M51" s="74"/>
      <c r="N51" s="74"/>
      <c r="O51" s="74"/>
      <c r="P51" s="74"/>
      <c r="Q51" s="74"/>
      <c r="R51" s="74"/>
      <c r="S51" s="74"/>
      <c r="T51" s="74"/>
      <c r="U51" s="74"/>
      <c r="V51" s="74"/>
      <c r="W51" s="74"/>
      <c r="X51" s="74"/>
      <c r="Y51" s="74"/>
    </row>
    <row r="52" spans="1:25" ht="15.75" thickBot="1" x14ac:dyDescent="0.3">
      <c r="A52" s="75">
        <v>2025</v>
      </c>
      <c r="B52" s="76">
        <v>13</v>
      </c>
      <c r="C52" s="85" t="s">
        <v>367</v>
      </c>
      <c r="D52" s="85" t="s">
        <v>367</v>
      </c>
      <c r="E52" s="76" t="s">
        <v>52</v>
      </c>
      <c r="F52" s="77" t="s">
        <v>864</v>
      </c>
      <c r="G52" s="77" t="s">
        <v>865</v>
      </c>
      <c r="H52" s="77" t="s">
        <v>866</v>
      </c>
      <c r="I52" s="77" t="s">
        <v>867</v>
      </c>
      <c r="J52" s="77"/>
      <c r="K52" s="77"/>
      <c r="L52" s="74"/>
      <c r="M52" s="74"/>
      <c r="N52" s="74"/>
      <c r="O52" s="74"/>
      <c r="P52" s="74"/>
      <c r="Q52" s="74"/>
      <c r="R52" s="74"/>
      <c r="S52" s="74"/>
      <c r="T52" s="74"/>
      <c r="U52" s="74"/>
      <c r="V52" s="74"/>
      <c r="W52" s="74"/>
      <c r="X52" s="74"/>
      <c r="Y52" s="74"/>
    </row>
    <row r="53" spans="1:25" ht="15.75" thickBot="1" x14ac:dyDescent="0.3">
      <c r="A53" s="78">
        <v>2025</v>
      </c>
      <c r="B53" s="79">
        <v>15</v>
      </c>
      <c r="C53" s="86" t="s">
        <v>363</v>
      </c>
      <c r="D53" s="86" t="s">
        <v>363</v>
      </c>
      <c r="E53" s="79" t="s">
        <v>53</v>
      </c>
      <c r="F53" s="80" t="s">
        <v>868</v>
      </c>
      <c r="G53" s="80" t="s">
        <v>869</v>
      </c>
      <c r="H53" s="80" t="s">
        <v>2153</v>
      </c>
      <c r="I53" s="80" t="s">
        <v>2154</v>
      </c>
      <c r="J53" s="80"/>
      <c r="K53" s="80"/>
      <c r="L53" s="74"/>
      <c r="M53" s="74"/>
      <c r="N53" s="74"/>
      <c r="O53" s="74"/>
      <c r="P53" s="74"/>
      <c r="Q53" s="74"/>
      <c r="R53" s="74"/>
      <c r="S53" s="74"/>
      <c r="T53" s="74"/>
      <c r="U53" s="74"/>
      <c r="V53" s="74"/>
      <c r="W53" s="74"/>
      <c r="X53" s="74"/>
      <c r="Y53" s="74"/>
    </row>
    <row r="54" spans="1:25" ht="15.75" thickBot="1" x14ac:dyDescent="0.3">
      <c r="A54" s="75">
        <v>2025</v>
      </c>
      <c r="B54" s="76">
        <v>12</v>
      </c>
      <c r="C54" s="85" t="s">
        <v>368</v>
      </c>
      <c r="D54" s="85" t="s">
        <v>368</v>
      </c>
      <c r="E54" s="76" t="s">
        <v>54</v>
      </c>
      <c r="F54" s="77" t="s">
        <v>870</v>
      </c>
      <c r="G54" s="77" t="s">
        <v>871</v>
      </c>
      <c r="H54" s="77" t="s">
        <v>872</v>
      </c>
      <c r="I54" s="77" t="s">
        <v>873</v>
      </c>
      <c r="J54" s="77"/>
      <c r="K54" s="77"/>
      <c r="L54" s="74"/>
      <c r="M54" s="74"/>
      <c r="N54" s="74"/>
      <c r="O54" s="74"/>
      <c r="P54" s="74"/>
      <c r="Q54" s="74"/>
      <c r="R54" s="74"/>
      <c r="S54" s="74"/>
      <c r="T54" s="74"/>
      <c r="U54" s="74"/>
      <c r="V54" s="74"/>
      <c r="W54" s="74"/>
      <c r="X54" s="74"/>
      <c r="Y54" s="74"/>
    </row>
    <row r="55" spans="1:25" ht="15.75" thickBot="1" x14ac:dyDescent="0.3">
      <c r="A55" s="78">
        <v>2025</v>
      </c>
      <c r="B55" s="114" t="s">
        <v>658</v>
      </c>
      <c r="C55" s="86" t="s">
        <v>519</v>
      </c>
      <c r="D55" s="86" t="s">
        <v>519</v>
      </c>
      <c r="E55" s="79" t="s">
        <v>55</v>
      </c>
      <c r="F55" s="80" t="s">
        <v>874</v>
      </c>
      <c r="G55" s="80" t="s">
        <v>875</v>
      </c>
      <c r="H55" s="80" t="s">
        <v>1008</v>
      </c>
      <c r="I55" s="80" t="s">
        <v>2155</v>
      </c>
      <c r="J55" s="80"/>
      <c r="K55" s="80"/>
      <c r="L55" s="74"/>
      <c r="M55" s="74"/>
      <c r="N55" s="74"/>
      <c r="O55" s="74"/>
      <c r="P55" s="74"/>
      <c r="Q55" s="74"/>
      <c r="R55" s="74"/>
      <c r="S55" s="74"/>
      <c r="T55" s="74"/>
      <c r="U55" s="74"/>
      <c r="V55" s="74"/>
      <c r="W55" s="74"/>
      <c r="X55" s="74"/>
      <c r="Y55" s="74"/>
    </row>
    <row r="56" spans="1:25" ht="15.75" thickBot="1" x14ac:dyDescent="0.3">
      <c r="A56" s="75">
        <v>2025</v>
      </c>
      <c r="B56" s="76">
        <v>15</v>
      </c>
      <c r="C56" s="85" t="s">
        <v>369</v>
      </c>
      <c r="D56" s="85" t="s">
        <v>369</v>
      </c>
      <c r="E56" s="76" t="s">
        <v>56</v>
      </c>
      <c r="F56" s="77" t="s">
        <v>1543</v>
      </c>
      <c r="G56" s="77" t="s">
        <v>1544</v>
      </c>
      <c r="H56" s="77" t="s">
        <v>889</v>
      </c>
      <c r="I56" s="77" t="s">
        <v>1694</v>
      </c>
      <c r="J56" s="77"/>
      <c r="K56" s="77"/>
      <c r="L56" s="74"/>
      <c r="M56" s="74"/>
      <c r="N56" s="74"/>
      <c r="O56" s="74"/>
      <c r="P56" s="74"/>
      <c r="Q56" s="74"/>
      <c r="R56" s="74"/>
      <c r="S56" s="74"/>
      <c r="T56" s="74"/>
      <c r="U56" s="74"/>
      <c r="V56" s="74"/>
      <c r="W56" s="74"/>
      <c r="X56" s="74"/>
      <c r="Y56" s="74"/>
    </row>
    <row r="57" spans="1:25" ht="15.75" thickBot="1" x14ac:dyDescent="0.3">
      <c r="A57" s="78">
        <v>2025</v>
      </c>
      <c r="B57" s="114" t="s">
        <v>658</v>
      </c>
      <c r="C57" s="86" t="s">
        <v>370</v>
      </c>
      <c r="D57" s="86" t="s">
        <v>370</v>
      </c>
      <c r="E57" s="79" t="s">
        <v>57</v>
      </c>
      <c r="F57" s="80" t="s">
        <v>2156</v>
      </c>
      <c r="G57" s="80" t="s">
        <v>2157</v>
      </c>
      <c r="H57" s="80" t="s">
        <v>2158</v>
      </c>
      <c r="I57" s="80" t="s">
        <v>2159</v>
      </c>
      <c r="J57" s="80"/>
      <c r="K57" s="80"/>
      <c r="L57" s="74"/>
      <c r="M57" s="74"/>
      <c r="N57" s="74"/>
      <c r="O57" s="74"/>
      <c r="P57" s="74"/>
      <c r="Q57" s="74"/>
      <c r="R57" s="74"/>
      <c r="S57" s="74"/>
      <c r="T57" s="74"/>
      <c r="U57" s="74"/>
      <c r="V57" s="74"/>
      <c r="W57" s="74"/>
      <c r="X57" s="74"/>
      <c r="Y57" s="74"/>
    </row>
    <row r="58" spans="1:25" ht="15.75" thickBot="1" x14ac:dyDescent="0.3">
      <c r="A58" s="75">
        <v>2025</v>
      </c>
      <c r="B58" s="76">
        <v>12</v>
      </c>
      <c r="C58" s="85" t="s">
        <v>371</v>
      </c>
      <c r="D58" s="85" t="s">
        <v>371</v>
      </c>
      <c r="E58" s="76" t="s">
        <v>58</v>
      </c>
      <c r="F58" s="77" t="s">
        <v>877</v>
      </c>
      <c r="G58" s="77" t="s">
        <v>878</v>
      </c>
      <c r="H58" s="77" t="s">
        <v>879</v>
      </c>
      <c r="I58" s="77" t="s">
        <v>880</v>
      </c>
      <c r="J58" s="77"/>
      <c r="K58" s="77"/>
      <c r="L58" s="74"/>
      <c r="M58" s="74"/>
      <c r="N58" s="74"/>
      <c r="O58" s="74"/>
      <c r="P58" s="74"/>
      <c r="Q58" s="74"/>
      <c r="R58" s="74"/>
      <c r="S58" s="74"/>
      <c r="T58" s="74"/>
      <c r="U58" s="74"/>
      <c r="V58" s="74"/>
      <c r="W58" s="74"/>
      <c r="X58" s="74"/>
      <c r="Y58" s="74"/>
    </row>
    <row r="59" spans="1:25" ht="15.75" thickBot="1" x14ac:dyDescent="0.3">
      <c r="A59" s="78">
        <v>2025</v>
      </c>
      <c r="B59" s="79">
        <v>12</v>
      </c>
      <c r="C59" s="86" t="s">
        <v>372</v>
      </c>
      <c r="D59" s="86" t="s">
        <v>372</v>
      </c>
      <c r="E59" s="79" t="s">
        <v>59</v>
      </c>
      <c r="F59" s="80" t="s">
        <v>2160</v>
      </c>
      <c r="G59" s="80" t="s">
        <v>2161</v>
      </c>
      <c r="H59" s="80" t="s">
        <v>881</v>
      </c>
      <c r="I59" s="80" t="s">
        <v>882</v>
      </c>
      <c r="J59" s="80"/>
      <c r="K59" s="80"/>
      <c r="L59" s="74"/>
      <c r="M59" s="74"/>
      <c r="N59" s="74"/>
      <c r="O59" s="74"/>
      <c r="P59" s="74"/>
      <c r="Q59" s="74"/>
      <c r="R59" s="74"/>
      <c r="S59" s="74"/>
      <c r="T59" s="74"/>
      <c r="U59" s="74"/>
      <c r="V59" s="74"/>
      <c r="W59" s="74"/>
      <c r="X59" s="74"/>
      <c r="Y59" s="74"/>
    </row>
    <row r="60" spans="1:25" ht="15.75" thickBot="1" x14ac:dyDescent="0.3">
      <c r="A60" s="75">
        <v>2025</v>
      </c>
      <c r="B60" s="76">
        <v>13</v>
      </c>
      <c r="C60" s="85" t="s">
        <v>373</v>
      </c>
      <c r="D60" s="85" t="s">
        <v>373</v>
      </c>
      <c r="E60" s="76" t="s">
        <v>60</v>
      </c>
      <c r="F60" s="77" t="s">
        <v>1545</v>
      </c>
      <c r="G60" s="77" t="s">
        <v>1546</v>
      </c>
      <c r="H60" s="77" t="s">
        <v>883</v>
      </c>
      <c r="I60" s="77" t="s">
        <v>884</v>
      </c>
      <c r="J60" s="77"/>
      <c r="K60" s="77"/>
      <c r="L60" s="74"/>
      <c r="M60" s="74"/>
      <c r="N60" s="74"/>
      <c r="O60" s="74"/>
      <c r="P60" s="74"/>
      <c r="Q60" s="74"/>
      <c r="R60" s="74"/>
      <c r="S60" s="74"/>
      <c r="T60" s="74"/>
      <c r="U60" s="74"/>
      <c r="V60" s="74"/>
      <c r="W60" s="74"/>
      <c r="X60" s="74"/>
      <c r="Y60" s="74"/>
    </row>
    <row r="61" spans="1:25" ht="15.75" thickBot="1" x14ac:dyDescent="0.3">
      <c r="A61" s="78">
        <v>2025</v>
      </c>
      <c r="B61" s="114" t="s">
        <v>661</v>
      </c>
      <c r="C61" s="86" t="s">
        <v>374</v>
      </c>
      <c r="D61" s="86" t="s">
        <v>374</v>
      </c>
      <c r="E61" s="79" t="s">
        <v>703</v>
      </c>
      <c r="F61" s="80" t="s">
        <v>885</v>
      </c>
      <c r="G61" s="80" t="s">
        <v>886</v>
      </c>
      <c r="H61" s="80" t="s">
        <v>887</v>
      </c>
      <c r="I61" s="80" t="s">
        <v>888</v>
      </c>
      <c r="J61" s="80"/>
      <c r="K61" s="80"/>
      <c r="L61" s="74"/>
      <c r="M61" s="74"/>
      <c r="N61" s="74"/>
      <c r="O61" s="74"/>
      <c r="P61" s="74"/>
      <c r="Q61" s="74"/>
      <c r="R61" s="74"/>
      <c r="S61" s="74"/>
      <c r="T61" s="74"/>
      <c r="U61" s="74"/>
      <c r="V61" s="74"/>
      <c r="W61" s="74"/>
      <c r="X61" s="74"/>
      <c r="Y61" s="74"/>
    </row>
    <row r="62" spans="1:25" ht="15.75" thickBot="1" x14ac:dyDescent="0.3">
      <c r="A62" s="75">
        <v>2025</v>
      </c>
      <c r="B62" s="76">
        <v>13</v>
      </c>
      <c r="C62" s="85" t="s">
        <v>375</v>
      </c>
      <c r="D62" s="85" t="s">
        <v>375</v>
      </c>
      <c r="E62" s="76" t="s">
        <v>61</v>
      </c>
      <c r="F62" s="77" t="s">
        <v>2162</v>
      </c>
      <c r="G62" s="77" t="s">
        <v>2163</v>
      </c>
      <c r="H62" s="77" t="s">
        <v>2164</v>
      </c>
      <c r="I62" s="77" t="s">
        <v>2165</v>
      </c>
      <c r="J62" s="77"/>
      <c r="K62" s="77"/>
      <c r="L62" s="74"/>
      <c r="M62" s="74"/>
      <c r="N62" s="74"/>
      <c r="O62" s="74"/>
      <c r="P62" s="74"/>
      <c r="Q62" s="74"/>
      <c r="R62" s="74"/>
      <c r="S62" s="74"/>
      <c r="T62" s="74"/>
      <c r="U62" s="74"/>
      <c r="V62" s="74"/>
      <c r="W62" s="74"/>
      <c r="X62" s="74"/>
      <c r="Y62" s="74"/>
    </row>
    <row r="63" spans="1:25" ht="15.75" thickBot="1" x14ac:dyDescent="0.3">
      <c r="A63" s="78">
        <v>2025</v>
      </c>
      <c r="B63" s="114" t="s">
        <v>658</v>
      </c>
      <c r="C63" s="86" t="s">
        <v>376</v>
      </c>
      <c r="D63" s="86" t="s">
        <v>376</v>
      </c>
      <c r="E63" s="79" t="s">
        <v>62</v>
      </c>
      <c r="F63" s="80" t="s">
        <v>2166</v>
      </c>
      <c r="G63" s="80" t="s">
        <v>2167</v>
      </c>
      <c r="H63" s="80" t="s">
        <v>890</v>
      </c>
      <c r="I63" s="80" t="s">
        <v>891</v>
      </c>
      <c r="J63" s="80"/>
      <c r="K63" s="80"/>
      <c r="L63" s="74"/>
      <c r="M63" s="74"/>
      <c r="N63" s="74"/>
      <c r="O63" s="74"/>
      <c r="P63" s="74"/>
      <c r="Q63" s="74"/>
      <c r="R63" s="74"/>
      <c r="S63" s="74"/>
      <c r="T63" s="74"/>
      <c r="U63" s="74"/>
      <c r="V63" s="74"/>
      <c r="W63" s="74"/>
      <c r="X63" s="74"/>
      <c r="Y63" s="74"/>
    </row>
    <row r="64" spans="1:25" ht="15.75" thickBot="1" x14ac:dyDescent="0.3">
      <c r="A64" s="75">
        <v>2025</v>
      </c>
      <c r="B64" s="113" t="s">
        <v>661</v>
      </c>
      <c r="C64" s="85" t="s">
        <v>377</v>
      </c>
      <c r="D64" s="85" t="s">
        <v>377</v>
      </c>
      <c r="E64" s="76" t="s">
        <v>63</v>
      </c>
      <c r="F64" s="77" t="s">
        <v>892</v>
      </c>
      <c r="G64" s="77" t="s">
        <v>893</v>
      </c>
      <c r="H64" s="77" t="s">
        <v>894</v>
      </c>
      <c r="I64" s="77" t="s">
        <v>895</v>
      </c>
      <c r="J64" s="77" t="s">
        <v>1547</v>
      </c>
      <c r="K64" s="77" t="s">
        <v>1548</v>
      </c>
      <c r="L64" s="74"/>
      <c r="M64" s="74"/>
      <c r="N64" s="74"/>
      <c r="O64" s="74"/>
      <c r="P64" s="74"/>
      <c r="Q64" s="74"/>
      <c r="R64" s="74"/>
      <c r="S64" s="74"/>
      <c r="T64" s="74"/>
      <c r="U64" s="74"/>
      <c r="V64" s="74"/>
      <c r="W64" s="74"/>
      <c r="X64" s="74"/>
      <c r="Y64" s="74"/>
    </row>
    <row r="65" spans="1:25" ht="15.75" thickBot="1" x14ac:dyDescent="0.3">
      <c r="A65" s="78">
        <v>2025</v>
      </c>
      <c r="B65" s="114" t="s">
        <v>665</v>
      </c>
      <c r="C65" s="86" t="s">
        <v>440</v>
      </c>
      <c r="D65" s="86" t="s">
        <v>440</v>
      </c>
      <c r="E65" s="79" t="s">
        <v>704</v>
      </c>
      <c r="F65" s="80" t="s">
        <v>896</v>
      </c>
      <c r="G65" s="80" t="s">
        <v>897</v>
      </c>
      <c r="H65" s="80" t="s">
        <v>2168</v>
      </c>
      <c r="I65" s="80" t="s">
        <v>2169</v>
      </c>
      <c r="J65" s="80"/>
      <c r="K65" s="80"/>
      <c r="L65" s="74"/>
      <c r="M65" s="74"/>
      <c r="N65" s="74"/>
      <c r="O65" s="74"/>
      <c r="P65" s="74"/>
      <c r="Q65" s="74"/>
      <c r="R65" s="74"/>
      <c r="S65" s="74"/>
      <c r="T65" s="74"/>
      <c r="U65" s="74"/>
      <c r="V65" s="74"/>
      <c r="W65" s="74"/>
      <c r="X65" s="74"/>
      <c r="Y65" s="74"/>
    </row>
    <row r="66" spans="1:25" ht="15.75" thickBot="1" x14ac:dyDescent="0.3">
      <c r="A66" s="75">
        <v>2025</v>
      </c>
      <c r="B66" s="76">
        <v>10</v>
      </c>
      <c r="C66" s="85" t="s">
        <v>378</v>
      </c>
      <c r="D66" s="85" t="s">
        <v>378</v>
      </c>
      <c r="E66" s="76" t="s">
        <v>64</v>
      </c>
      <c r="F66" s="77" t="s">
        <v>1549</v>
      </c>
      <c r="G66" s="77" t="s">
        <v>1550</v>
      </c>
      <c r="H66" s="77" t="s">
        <v>898</v>
      </c>
      <c r="I66" s="77" t="s">
        <v>899</v>
      </c>
      <c r="J66" s="77"/>
      <c r="K66" s="77"/>
      <c r="L66" s="74"/>
      <c r="M66" s="74"/>
      <c r="N66" s="74"/>
      <c r="O66" s="74"/>
      <c r="P66" s="74"/>
      <c r="Q66" s="74"/>
      <c r="R66" s="74"/>
      <c r="S66" s="74"/>
      <c r="T66" s="74"/>
      <c r="U66" s="74"/>
      <c r="V66" s="74"/>
      <c r="W66" s="74"/>
      <c r="X66" s="74"/>
      <c r="Y66" s="74"/>
    </row>
    <row r="67" spans="1:25" ht="15.75" thickBot="1" x14ac:dyDescent="0.3">
      <c r="A67" s="78">
        <v>2025</v>
      </c>
      <c r="B67" s="114" t="s">
        <v>658</v>
      </c>
      <c r="C67" s="86" t="s">
        <v>379</v>
      </c>
      <c r="D67" s="86" t="s">
        <v>379</v>
      </c>
      <c r="E67" s="79" t="s">
        <v>65</v>
      </c>
      <c r="F67" s="80" t="s">
        <v>900</v>
      </c>
      <c r="G67" s="80" t="s">
        <v>901</v>
      </c>
      <c r="H67" s="80" t="s">
        <v>902</v>
      </c>
      <c r="I67" s="80" t="s">
        <v>903</v>
      </c>
      <c r="J67" s="80"/>
      <c r="K67" s="80"/>
      <c r="L67" s="74"/>
      <c r="M67" s="74"/>
      <c r="N67" s="74"/>
      <c r="O67" s="74"/>
      <c r="P67" s="74"/>
      <c r="Q67" s="74"/>
      <c r="R67" s="74"/>
      <c r="S67" s="74"/>
      <c r="T67" s="74"/>
      <c r="U67" s="74"/>
      <c r="V67" s="74"/>
      <c r="W67" s="74"/>
      <c r="X67" s="74"/>
      <c r="Y67" s="74"/>
    </row>
    <row r="68" spans="1:25" ht="15.75" thickBot="1" x14ac:dyDescent="0.3">
      <c r="A68" s="75">
        <v>2025</v>
      </c>
      <c r="B68" s="113" t="s">
        <v>666</v>
      </c>
      <c r="C68" s="85" t="s">
        <v>380</v>
      </c>
      <c r="D68" s="85" t="s">
        <v>380</v>
      </c>
      <c r="E68" s="76" t="s">
        <v>66</v>
      </c>
      <c r="F68" s="77" t="s">
        <v>2170</v>
      </c>
      <c r="G68" s="77" t="s">
        <v>2171</v>
      </c>
      <c r="H68" s="77" t="s">
        <v>904</v>
      </c>
      <c r="I68" s="77" t="s">
        <v>905</v>
      </c>
      <c r="J68" s="77"/>
      <c r="K68" s="77"/>
      <c r="L68" s="74"/>
      <c r="M68" s="74"/>
      <c r="N68" s="74"/>
      <c r="O68" s="74"/>
      <c r="P68" s="74"/>
      <c r="Q68" s="74"/>
      <c r="R68" s="74"/>
      <c r="S68" s="74"/>
      <c r="T68" s="74"/>
      <c r="U68" s="74"/>
      <c r="V68" s="74"/>
      <c r="W68" s="74"/>
      <c r="X68" s="74"/>
      <c r="Y68" s="74"/>
    </row>
    <row r="69" spans="1:25" ht="15.75" thickBot="1" x14ac:dyDescent="0.3">
      <c r="A69" s="78">
        <v>2025</v>
      </c>
      <c r="B69" s="79">
        <v>11</v>
      </c>
      <c r="C69" s="86" t="s">
        <v>381</v>
      </c>
      <c r="D69" s="86" t="s">
        <v>381</v>
      </c>
      <c r="E69" s="79" t="s">
        <v>67</v>
      </c>
      <c r="F69" s="80" t="s">
        <v>1551</v>
      </c>
      <c r="G69" s="80" t="s">
        <v>1552</v>
      </c>
      <c r="H69" s="80" t="s">
        <v>1553</v>
      </c>
      <c r="I69" s="80" t="s">
        <v>1554</v>
      </c>
      <c r="J69" s="80"/>
      <c r="K69" s="80"/>
      <c r="L69" s="74"/>
      <c r="M69" s="74"/>
      <c r="N69" s="74"/>
      <c r="O69" s="74"/>
      <c r="P69" s="74"/>
      <c r="Q69" s="74"/>
      <c r="R69" s="74"/>
      <c r="S69" s="74"/>
      <c r="T69" s="74"/>
      <c r="U69" s="74"/>
      <c r="V69" s="74"/>
      <c r="W69" s="74"/>
      <c r="X69" s="74"/>
      <c r="Y69" s="74"/>
    </row>
    <row r="70" spans="1:25" ht="15.75" thickBot="1" x14ac:dyDescent="0.3">
      <c r="A70" s="75">
        <v>2025</v>
      </c>
      <c r="B70" s="76">
        <v>10</v>
      </c>
      <c r="C70" s="85" t="s">
        <v>382</v>
      </c>
      <c r="D70" s="85" t="s">
        <v>382</v>
      </c>
      <c r="E70" s="76" t="s">
        <v>705</v>
      </c>
      <c r="F70" s="77" t="s">
        <v>907</v>
      </c>
      <c r="G70" s="77" t="s">
        <v>908</v>
      </c>
      <c r="H70" s="77" t="s">
        <v>1695</v>
      </c>
      <c r="I70" s="77" t="s">
        <v>909</v>
      </c>
      <c r="J70" s="77" t="s">
        <v>910</v>
      </c>
      <c r="K70" s="77" t="s">
        <v>911</v>
      </c>
      <c r="L70" s="74"/>
      <c r="M70" s="74"/>
      <c r="N70" s="74"/>
      <c r="O70" s="74"/>
      <c r="P70" s="74"/>
      <c r="Q70" s="74"/>
      <c r="R70" s="74"/>
      <c r="S70" s="74"/>
      <c r="T70" s="74"/>
      <c r="U70" s="74"/>
      <c r="V70" s="74"/>
      <c r="W70" s="74"/>
      <c r="X70" s="74"/>
      <c r="Y70" s="74"/>
    </row>
    <row r="71" spans="1:25" ht="15.75" thickBot="1" x14ac:dyDescent="0.3">
      <c r="A71" s="78">
        <v>2025</v>
      </c>
      <c r="B71" s="79">
        <v>11</v>
      </c>
      <c r="C71" s="86" t="s">
        <v>383</v>
      </c>
      <c r="D71" s="86" t="s">
        <v>383</v>
      </c>
      <c r="E71" s="79" t="s">
        <v>68</v>
      </c>
      <c r="F71" s="80" t="s">
        <v>912</v>
      </c>
      <c r="G71" s="80" t="s">
        <v>2172</v>
      </c>
      <c r="H71" s="80" t="s">
        <v>1696</v>
      </c>
      <c r="I71" s="89" t="s">
        <v>1697</v>
      </c>
      <c r="J71" s="80"/>
      <c r="K71" s="80"/>
      <c r="L71" s="74"/>
      <c r="M71" s="74"/>
      <c r="N71" s="74"/>
      <c r="O71" s="74"/>
      <c r="P71" s="74"/>
      <c r="Q71" s="74"/>
      <c r="R71" s="74"/>
      <c r="S71" s="74"/>
      <c r="T71" s="74"/>
      <c r="U71" s="74"/>
      <c r="V71" s="74"/>
      <c r="W71" s="74"/>
      <c r="X71" s="74"/>
      <c r="Y71" s="74"/>
    </row>
    <row r="72" spans="1:25" ht="15.75" thickBot="1" x14ac:dyDescent="0.3">
      <c r="A72" s="75">
        <v>2025</v>
      </c>
      <c r="B72" s="76">
        <v>11</v>
      </c>
      <c r="C72" s="85" t="s">
        <v>384</v>
      </c>
      <c r="D72" s="85" t="s">
        <v>384</v>
      </c>
      <c r="E72" s="76" t="s">
        <v>69</v>
      </c>
      <c r="F72" s="77" t="s">
        <v>912</v>
      </c>
      <c r="G72" s="77" t="s">
        <v>913</v>
      </c>
      <c r="H72" s="77" t="s">
        <v>1696</v>
      </c>
      <c r="I72" s="77" t="s">
        <v>1698</v>
      </c>
      <c r="J72" s="77"/>
      <c r="K72" s="77"/>
      <c r="L72" s="74"/>
      <c r="M72" s="74"/>
      <c r="N72" s="74"/>
      <c r="O72" s="74"/>
      <c r="P72" s="74"/>
      <c r="Q72" s="74"/>
      <c r="R72" s="74"/>
      <c r="S72" s="74"/>
      <c r="T72" s="74"/>
      <c r="U72" s="74"/>
      <c r="V72" s="74"/>
      <c r="W72" s="74"/>
      <c r="X72" s="74"/>
      <c r="Y72" s="74"/>
    </row>
    <row r="73" spans="1:25" ht="15.75" thickBot="1" x14ac:dyDescent="0.3">
      <c r="A73" s="78">
        <v>2025</v>
      </c>
      <c r="B73" s="114" t="s">
        <v>666</v>
      </c>
      <c r="C73" s="86" t="s">
        <v>385</v>
      </c>
      <c r="D73" s="86" t="s">
        <v>385</v>
      </c>
      <c r="E73" s="79" t="s">
        <v>70</v>
      </c>
      <c r="F73" s="80" t="s">
        <v>2173</v>
      </c>
      <c r="G73" s="80" t="s">
        <v>2174</v>
      </c>
      <c r="H73" s="80" t="s">
        <v>915</v>
      </c>
      <c r="I73" s="80" t="s">
        <v>916</v>
      </c>
      <c r="J73" s="80"/>
      <c r="K73" s="80"/>
      <c r="L73" s="74"/>
      <c r="M73" s="74"/>
      <c r="N73" s="74"/>
      <c r="O73" s="74"/>
      <c r="P73" s="74"/>
      <c r="Q73" s="74"/>
      <c r="R73" s="74"/>
      <c r="S73" s="74"/>
      <c r="T73" s="74"/>
      <c r="U73" s="74"/>
      <c r="V73" s="74"/>
      <c r="W73" s="74"/>
      <c r="X73" s="74"/>
      <c r="Y73" s="74"/>
    </row>
    <row r="74" spans="1:25" ht="15.75" thickBot="1" x14ac:dyDescent="0.3">
      <c r="A74" s="75">
        <v>2025</v>
      </c>
      <c r="B74" s="76">
        <v>11</v>
      </c>
      <c r="C74" s="85" t="s">
        <v>386</v>
      </c>
      <c r="D74" s="85" t="s">
        <v>386</v>
      </c>
      <c r="E74" s="76" t="s">
        <v>71</v>
      </c>
      <c r="F74" s="77" t="s">
        <v>1127</v>
      </c>
      <c r="G74" s="77" t="s">
        <v>2175</v>
      </c>
      <c r="H74" s="77" t="s">
        <v>917</v>
      </c>
      <c r="I74" s="77" t="s">
        <v>918</v>
      </c>
      <c r="J74" s="77"/>
      <c r="K74" s="77"/>
      <c r="L74" s="74"/>
      <c r="M74" s="74"/>
      <c r="N74" s="74"/>
      <c r="O74" s="74"/>
      <c r="P74" s="74"/>
      <c r="Q74" s="74"/>
      <c r="R74" s="74"/>
      <c r="S74" s="74"/>
      <c r="T74" s="74"/>
      <c r="U74" s="74"/>
      <c r="V74" s="74"/>
      <c r="W74" s="74"/>
      <c r="X74" s="74"/>
      <c r="Y74" s="74"/>
    </row>
    <row r="75" spans="1:25" ht="15.75" thickBot="1" x14ac:dyDescent="0.3">
      <c r="A75" s="78">
        <v>2025</v>
      </c>
      <c r="B75" s="79">
        <v>13</v>
      </c>
      <c r="C75" s="86" t="s">
        <v>387</v>
      </c>
      <c r="D75" s="86" t="s">
        <v>387</v>
      </c>
      <c r="E75" s="79" t="s">
        <v>72</v>
      </c>
      <c r="F75" s="80" t="s">
        <v>919</v>
      </c>
      <c r="G75" s="80" t="s">
        <v>920</v>
      </c>
      <c r="H75" s="80" t="s">
        <v>921</v>
      </c>
      <c r="I75" s="80" t="s">
        <v>1556</v>
      </c>
      <c r="J75" s="80"/>
      <c r="K75" s="80"/>
      <c r="L75" s="74"/>
      <c r="M75" s="74"/>
      <c r="N75" s="74"/>
      <c r="O75" s="74"/>
      <c r="P75" s="74"/>
      <c r="Q75" s="74"/>
      <c r="R75" s="74"/>
      <c r="S75" s="74"/>
      <c r="T75" s="74"/>
      <c r="U75" s="74"/>
      <c r="V75" s="74"/>
      <c r="W75" s="74"/>
      <c r="X75" s="74"/>
      <c r="Y75" s="74"/>
    </row>
    <row r="76" spans="1:25" ht="15.75" thickBot="1" x14ac:dyDescent="0.3">
      <c r="A76" s="75">
        <v>2025</v>
      </c>
      <c r="B76" s="76">
        <v>13</v>
      </c>
      <c r="C76" s="85" t="s">
        <v>388</v>
      </c>
      <c r="D76" s="85" t="s">
        <v>388</v>
      </c>
      <c r="E76" s="76" t="s">
        <v>706</v>
      </c>
      <c r="F76" s="77" t="s">
        <v>922</v>
      </c>
      <c r="G76" s="77" t="s">
        <v>923</v>
      </c>
      <c r="H76" s="77" t="s">
        <v>2176</v>
      </c>
      <c r="I76" s="77" t="s">
        <v>2177</v>
      </c>
      <c r="J76" s="77" t="s">
        <v>1699</v>
      </c>
      <c r="K76" s="77" t="s">
        <v>1700</v>
      </c>
      <c r="L76" s="74"/>
      <c r="M76" s="74"/>
      <c r="N76" s="74"/>
      <c r="O76" s="74"/>
      <c r="P76" s="74"/>
      <c r="Q76" s="74"/>
      <c r="R76" s="74"/>
      <c r="S76" s="74"/>
      <c r="T76" s="74"/>
      <c r="U76" s="74"/>
      <c r="V76" s="74"/>
      <c r="W76" s="74"/>
      <c r="X76" s="74"/>
      <c r="Y76" s="74"/>
    </row>
    <row r="77" spans="1:25" ht="15.75" thickBot="1" x14ac:dyDescent="0.3">
      <c r="A77" s="78">
        <v>2025</v>
      </c>
      <c r="B77" s="79">
        <v>13</v>
      </c>
      <c r="C77" s="86" t="s">
        <v>389</v>
      </c>
      <c r="D77" s="86" t="s">
        <v>389</v>
      </c>
      <c r="E77" s="79" t="s">
        <v>73</v>
      </c>
      <c r="F77" s="80" t="s">
        <v>924</v>
      </c>
      <c r="G77" s="80" t="s">
        <v>925</v>
      </c>
      <c r="H77" s="80" t="s">
        <v>926</v>
      </c>
      <c r="I77" s="80" t="s">
        <v>927</v>
      </c>
      <c r="J77" s="80"/>
      <c r="K77" s="80"/>
      <c r="L77" s="74"/>
      <c r="M77" s="74"/>
      <c r="N77" s="74"/>
      <c r="O77" s="74"/>
      <c r="P77" s="74"/>
      <c r="Q77" s="74"/>
      <c r="R77" s="74"/>
      <c r="S77" s="74"/>
      <c r="T77" s="74"/>
      <c r="U77" s="74"/>
      <c r="V77" s="74"/>
      <c r="W77" s="74"/>
      <c r="X77" s="74"/>
      <c r="Y77" s="74"/>
    </row>
    <row r="78" spans="1:25" ht="15.75" thickBot="1" x14ac:dyDescent="0.3">
      <c r="A78" s="75">
        <v>2025</v>
      </c>
      <c r="B78" s="76">
        <v>11</v>
      </c>
      <c r="C78" s="85" t="s">
        <v>390</v>
      </c>
      <c r="D78" s="85" t="s">
        <v>390</v>
      </c>
      <c r="E78" s="76" t="s">
        <v>707</v>
      </c>
      <c r="F78" s="77" t="s">
        <v>2178</v>
      </c>
      <c r="G78" s="77" t="s">
        <v>2179</v>
      </c>
      <c r="H78" s="77" t="s">
        <v>929</v>
      </c>
      <c r="I78" s="77" t="s">
        <v>930</v>
      </c>
      <c r="J78" s="77"/>
      <c r="K78" s="77"/>
      <c r="L78" s="74"/>
      <c r="M78" s="74"/>
      <c r="N78" s="74"/>
      <c r="O78" s="74"/>
      <c r="P78" s="74"/>
      <c r="Q78" s="74"/>
      <c r="R78" s="74"/>
      <c r="S78" s="74"/>
      <c r="T78" s="74"/>
      <c r="U78" s="74"/>
      <c r="V78" s="74"/>
      <c r="W78" s="74"/>
      <c r="X78" s="74"/>
      <c r="Y78" s="74"/>
    </row>
    <row r="79" spans="1:25" ht="15.75" thickBot="1" x14ac:dyDescent="0.3">
      <c r="A79" s="78">
        <v>2025</v>
      </c>
      <c r="B79" s="79">
        <v>15</v>
      </c>
      <c r="C79" s="86" t="s">
        <v>391</v>
      </c>
      <c r="D79" s="86" t="s">
        <v>391</v>
      </c>
      <c r="E79" s="79" t="s">
        <v>74</v>
      </c>
      <c r="F79" s="80" t="s">
        <v>1557</v>
      </c>
      <c r="G79" s="80" t="s">
        <v>1558</v>
      </c>
      <c r="H79" s="80" t="s">
        <v>931</v>
      </c>
      <c r="I79" s="80" t="s">
        <v>932</v>
      </c>
      <c r="J79" s="80"/>
      <c r="K79" s="80"/>
      <c r="L79" s="74"/>
      <c r="M79" s="74"/>
      <c r="N79" s="74"/>
      <c r="O79" s="74"/>
      <c r="P79" s="74"/>
      <c r="Q79" s="74"/>
      <c r="R79" s="74"/>
      <c r="S79" s="74"/>
      <c r="T79" s="74"/>
      <c r="U79" s="74"/>
      <c r="V79" s="74"/>
      <c r="W79" s="74"/>
      <c r="X79" s="74"/>
      <c r="Y79" s="74"/>
    </row>
    <row r="80" spans="1:25" ht="15.75" thickBot="1" x14ac:dyDescent="0.3">
      <c r="A80" s="75">
        <v>2025</v>
      </c>
      <c r="B80" s="113" t="s">
        <v>666</v>
      </c>
      <c r="C80" s="85" t="s">
        <v>392</v>
      </c>
      <c r="D80" s="85" t="s">
        <v>392</v>
      </c>
      <c r="E80" s="76" t="s">
        <v>708</v>
      </c>
      <c r="F80" s="77" t="s">
        <v>933</v>
      </c>
      <c r="G80" s="77" t="s">
        <v>934</v>
      </c>
      <c r="H80" s="77" t="s">
        <v>935</v>
      </c>
      <c r="I80" s="77" t="s">
        <v>936</v>
      </c>
      <c r="J80" s="77" t="s">
        <v>937</v>
      </c>
      <c r="K80" s="77" t="s">
        <v>938</v>
      </c>
      <c r="L80" s="74"/>
      <c r="M80" s="74"/>
      <c r="N80" s="74"/>
      <c r="O80" s="74"/>
      <c r="P80" s="74"/>
      <c r="Q80" s="74"/>
      <c r="R80" s="74"/>
      <c r="S80" s="74"/>
      <c r="T80" s="74"/>
      <c r="U80" s="74"/>
      <c r="V80" s="74"/>
      <c r="W80" s="74"/>
      <c r="X80" s="74"/>
      <c r="Y80" s="74"/>
    </row>
    <row r="81" spans="1:25" ht="15.75" thickBot="1" x14ac:dyDescent="0.3">
      <c r="A81" s="78">
        <v>2025</v>
      </c>
      <c r="B81" s="79">
        <v>15</v>
      </c>
      <c r="C81" s="86" t="s">
        <v>393</v>
      </c>
      <c r="D81" s="86" t="s">
        <v>393</v>
      </c>
      <c r="E81" s="79" t="s">
        <v>75</v>
      </c>
      <c r="F81" s="80" t="s">
        <v>939</v>
      </c>
      <c r="G81" s="80" t="s">
        <v>940</v>
      </c>
      <c r="H81" s="80" t="s">
        <v>2180</v>
      </c>
      <c r="I81" s="80" t="s">
        <v>2181</v>
      </c>
      <c r="J81" s="80"/>
      <c r="K81" s="80"/>
      <c r="L81" s="74"/>
      <c r="M81" s="74"/>
      <c r="N81" s="74"/>
      <c r="O81" s="74"/>
      <c r="P81" s="74"/>
      <c r="Q81" s="74"/>
      <c r="R81" s="74"/>
      <c r="S81" s="74"/>
      <c r="T81" s="74"/>
      <c r="U81" s="74"/>
      <c r="V81" s="74"/>
      <c r="W81" s="74"/>
      <c r="X81" s="74"/>
      <c r="Y81" s="74"/>
    </row>
    <row r="82" spans="1:25" ht="15.75" thickBot="1" x14ac:dyDescent="0.3">
      <c r="A82" s="75">
        <v>2025</v>
      </c>
      <c r="B82" s="113" t="s">
        <v>665</v>
      </c>
      <c r="C82" s="85" t="s">
        <v>394</v>
      </c>
      <c r="D82" s="85" t="s">
        <v>394</v>
      </c>
      <c r="E82" s="76" t="s">
        <v>76</v>
      </c>
      <c r="F82" s="77" t="s">
        <v>1559</v>
      </c>
      <c r="G82" s="77" t="s">
        <v>2182</v>
      </c>
      <c r="H82" s="77" t="s">
        <v>941</v>
      </c>
      <c r="I82" s="77" t="s">
        <v>942</v>
      </c>
      <c r="J82" s="77"/>
      <c r="K82" s="77"/>
      <c r="L82" s="74"/>
      <c r="M82" s="74"/>
      <c r="N82" s="74"/>
      <c r="O82" s="74"/>
      <c r="P82" s="74"/>
      <c r="Q82" s="74"/>
      <c r="R82" s="74"/>
      <c r="S82" s="74"/>
      <c r="T82" s="74"/>
      <c r="U82" s="74"/>
      <c r="V82" s="74"/>
      <c r="W82" s="74"/>
      <c r="X82" s="74"/>
      <c r="Y82" s="74"/>
    </row>
    <row r="83" spans="1:25" ht="15.75" thickBot="1" x14ac:dyDescent="0.3">
      <c r="A83" s="78">
        <v>2025</v>
      </c>
      <c r="B83" s="114" t="s">
        <v>666</v>
      </c>
      <c r="C83" s="86" t="s">
        <v>395</v>
      </c>
      <c r="D83" s="86" t="s">
        <v>395</v>
      </c>
      <c r="E83" s="79" t="s">
        <v>77</v>
      </c>
      <c r="F83" s="80" t="s">
        <v>791</v>
      </c>
      <c r="G83" s="80" t="s">
        <v>943</v>
      </c>
      <c r="H83" s="80" t="s">
        <v>793</v>
      </c>
      <c r="I83" s="80" t="s">
        <v>944</v>
      </c>
      <c r="J83" s="80"/>
      <c r="K83" s="80"/>
      <c r="L83" s="74"/>
      <c r="M83" s="74"/>
      <c r="N83" s="74"/>
      <c r="O83" s="74"/>
      <c r="P83" s="74"/>
      <c r="Q83" s="74"/>
      <c r="R83" s="74"/>
      <c r="S83" s="74"/>
      <c r="T83" s="74"/>
      <c r="U83" s="74"/>
      <c r="V83" s="74"/>
      <c r="W83" s="74"/>
      <c r="X83" s="74"/>
      <c r="Y83" s="74"/>
    </row>
    <row r="84" spans="1:25" ht="15.75" thickBot="1" x14ac:dyDescent="0.3">
      <c r="A84" s="75">
        <v>2025</v>
      </c>
      <c r="B84" s="76">
        <v>12</v>
      </c>
      <c r="C84" s="85" t="s">
        <v>396</v>
      </c>
      <c r="D84" s="85" t="s">
        <v>396</v>
      </c>
      <c r="E84" s="76" t="s">
        <v>78</v>
      </c>
      <c r="F84" s="77" t="s">
        <v>2183</v>
      </c>
      <c r="G84" s="77" t="s">
        <v>2184</v>
      </c>
      <c r="H84" s="77" t="s">
        <v>1005</v>
      </c>
      <c r="I84" s="77" t="s">
        <v>2185</v>
      </c>
      <c r="J84" s="77" t="s">
        <v>1560</v>
      </c>
      <c r="K84" s="77" t="s">
        <v>1561</v>
      </c>
      <c r="L84" s="74"/>
      <c r="M84" s="74"/>
      <c r="N84" s="74"/>
      <c r="O84" s="74"/>
      <c r="P84" s="74"/>
      <c r="Q84" s="74"/>
      <c r="R84" s="74"/>
      <c r="S84" s="74"/>
      <c r="T84" s="74"/>
      <c r="U84" s="74"/>
      <c r="V84" s="74"/>
      <c r="W84" s="74"/>
      <c r="X84" s="74"/>
      <c r="Y84" s="74"/>
    </row>
    <row r="85" spans="1:25" ht="15.75" thickBot="1" x14ac:dyDescent="0.3">
      <c r="A85" s="78">
        <v>2025</v>
      </c>
      <c r="B85" s="114" t="s">
        <v>658</v>
      </c>
      <c r="C85" s="86" t="s">
        <v>397</v>
      </c>
      <c r="D85" s="86" t="s">
        <v>397</v>
      </c>
      <c r="E85" s="79" t="s">
        <v>79</v>
      </c>
      <c r="F85" s="80" t="s">
        <v>945</v>
      </c>
      <c r="G85" s="80" t="s">
        <v>946</v>
      </c>
      <c r="H85" s="80" t="s">
        <v>947</v>
      </c>
      <c r="I85" s="80" t="s">
        <v>948</v>
      </c>
      <c r="J85" s="80"/>
      <c r="K85" s="80"/>
      <c r="L85" s="74"/>
      <c r="M85" s="74"/>
      <c r="N85" s="74"/>
      <c r="O85" s="74"/>
      <c r="P85" s="74"/>
      <c r="Q85" s="74"/>
      <c r="R85" s="74"/>
      <c r="S85" s="74"/>
      <c r="T85" s="74"/>
      <c r="U85" s="74"/>
      <c r="V85" s="74"/>
      <c r="W85" s="74"/>
      <c r="X85" s="74"/>
      <c r="Y85" s="74"/>
    </row>
    <row r="86" spans="1:25" ht="15.75" thickBot="1" x14ac:dyDescent="0.3">
      <c r="A86" s="75">
        <v>2025</v>
      </c>
      <c r="B86" s="76">
        <v>11</v>
      </c>
      <c r="C86" s="85" t="s">
        <v>398</v>
      </c>
      <c r="D86" s="85" t="s">
        <v>398</v>
      </c>
      <c r="E86" s="76" t="s">
        <v>709</v>
      </c>
      <c r="F86" s="77" t="s">
        <v>2186</v>
      </c>
      <c r="G86" s="77" t="s">
        <v>2187</v>
      </c>
      <c r="H86" s="77" t="s">
        <v>949</v>
      </c>
      <c r="I86" s="77" t="s">
        <v>950</v>
      </c>
      <c r="J86" s="77"/>
      <c r="K86" s="77"/>
      <c r="L86" s="74"/>
      <c r="M86" s="74"/>
      <c r="N86" s="74"/>
      <c r="O86" s="74"/>
      <c r="P86" s="74"/>
      <c r="Q86" s="74"/>
      <c r="R86" s="74"/>
      <c r="S86" s="74"/>
      <c r="T86" s="74"/>
      <c r="U86" s="74"/>
      <c r="V86" s="74"/>
      <c r="W86" s="74"/>
      <c r="X86" s="74"/>
      <c r="Y86" s="74"/>
    </row>
    <row r="87" spans="1:25" ht="15.75" thickBot="1" x14ac:dyDescent="0.3">
      <c r="A87" s="78">
        <v>2025</v>
      </c>
      <c r="B87" s="79">
        <v>13</v>
      </c>
      <c r="C87" s="86" t="s">
        <v>399</v>
      </c>
      <c r="D87" s="86" t="s">
        <v>399</v>
      </c>
      <c r="E87" s="79" t="s">
        <v>80</v>
      </c>
      <c r="F87" s="80" t="s">
        <v>1701</v>
      </c>
      <c r="G87" s="80" t="s">
        <v>1702</v>
      </c>
      <c r="H87" s="80" t="s">
        <v>951</v>
      </c>
      <c r="I87" s="80" t="s">
        <v>952</v>
      </c>
      <c r="J87" s="80"/>
      <c r="K87" s="80"/>
      <c r="L87" s="74"/>
      <c r="M87" s="74"/>
      <c r="N87" s="74"/>
      <c r="O87" s="74"/>
      <c r="P87" s="74"/>
      <c r="Q87" s="74"/>
      <c r="R87" s="74"/>
      <c r="S87" s="74"/>
      <c r="T87" s="74"/>
      <c r="U87" s="74"/>
      <c r="V87" s="74"/>
      <c r="W87" s="74"/>
      <c r="X87" s="74"/>
      <c r="Y87" s="74"/>
    </row>
    <row r="88" spans="1:25" ht="15.75" thickBot="1" x14ac:dyDescent="0.3">
      <c r="A88" s="75">
        <v>2025</v>
      </c>
      <c r="B88" s="113" t="s">
        <v>658</v>
      </c>
      <c r="C88" s="85" t="s">
        <v>400</v>
      </c>
      <c r="D88" s="85" t="s">
        <v>400</v>
      </c>
      <c r="E88" s="76" t="s">
        <v>81</v>
      </c>
      <c r="F88" s="77" t="s">
        <v>953</v>
      </c>
      <c r="G88" s="77" t="s">
        <v>954</v>
      </c>
      <c r="H88" s="77" t="s">
        <v>1712</v>
      </c>
      <c r="I88" s="77" t="s">
        <v>2188</v>
      </c>
      <c r="J88" s="77" t="s">
        <v>955</v>
      </c>
      <c r="K88" s="77" t="s">
        <v>956</v>
      </c>
      <c r="L88" s="74"/>
      <c r="M88" s="74"/>
      <c r="N88" s="74"/>
      <c r="O88" s="74"/>
      <c r="P88" s="74"/>
      <c r="Q88" s="74"/>
      <c r="R88" s="74"/>
      <c r="S88" s="74"/>
      <c r="T88" s="74"/>
      <c r="U88" s="74"/>
      <c r="V88" s="74"/>
      <c r="W88" s="74"/>
      <c r="X88" s="74"/>
      <c r="Y88" s="74"/>
    </row>
    <row r="89" spans="1:25" ht="15.75" thickBot="1" x14ac:dyDescent="0.3">
      <c r="A89" s="78">
        <v>2025</v>
      </c>
      <c r="B89" s="114" t="s">
        <v>665</v>
      </c>
      <c r="C89" s="86" t="s">
        <v>401</v>
      </c>
      <c r="D89" s="86" t="s">
        <v>401</v>
      </c>
      <c r="E89" s="79" t="s">
        <v>710</v>
      </c>
      <c r="F89" s="80" t="s">
        <v>1562</v>
      </c>
      <c r="G89" s="80" t="s">
        <v>1563</v>
      </c>
      <c r="H89" s="80" t="s">
        <v>957</v>
      </c>
      <c r="I89" s="80" t="s">
        <v>958</v>
      </c>
      <c r="J89" s="80" t="s">
        <v>959</v>
      </c>
      <c r="K89" s="80" t="s">
        <v>960</v>
      </c>
      <c r="L89" s="74"/>
      <c r="M89" s="74"/>
      <c r="N89" s="74"/>
      <c r="O89" s="74"/>
      <c r="P89" s="74"/>
      <c r="Q89" s="74"/>
      <c r="R89" s="74"/>
      <c r="S89" s="74"/>
      <c r="T89" s="74"/>
      <c r="U89" s="74"/>
      <c r="V89" s="74"/>
      <c r="W89" s="74"/>
      <c r="X89" s="74"/>
      <c r="Y89" s="74"/>
    </row>
    <row r="90" spans="1:25" ht="15.75" thickBot="1" x14ac:dyDescent="0.3">
      <c r="A90" s="75">
        <v>2025</v>
      </c>
      <c r="B90" s="113" t="s">
        <v>658</v>
      </c>
      <c r="C90" s="85" t="s">
        <v>402</v>
      </c>
      <c r="D90" s="85" t="s">
        <v>402</v>
      </c>
      <c r="E90" s="76" t="s">
        <v>82</v>
      </c>
      <c r="F90" s="77" t="s">
        <v>2189</v>
      </c>
      <c r="G90" s="77" t="s">
        <v>2190</v>
      </c>
      <c r="H90" s="77" t="s">
        <v>2191</v>
      </c>
      <c r="I90" s="77" t="s">
        <v>2192</v>
      </c>
      <c r="J90" s="77"/>
      <c r="K90" s="77"/>
      <c r="L90" s="74"/>
      <c r="M90" s="74"/>
      <c r="N90" s="74"/>
      <c r="O90" s="74"/>
      <c r="P90" s="74"/>
      <c r="Q90" s="74"/>
      <c r="R90" s="74"/>
      <c r="S90" s="74"/>
      <c r="T90" s="74"/>
      <c r="U90" s="74"/>
      <c r="V90" s="74"/>
      <c r="W90" s="74"/>
      <c r="X90" s="74"/>
      <c r="Y90" s="74"/>
    </row>
    <row r="91" spans="1:25" ht="15.75" thickBot="1" x14ac:dyDescent="0.3">
      <c r="A91" s="78">
        <v>2025</v>
      </c>
      <c r="B91" s="114" t="s">
        <v>666</v>
      </c>
      <c r="C91" s="86" t="s">
        <v>404</v>
      </c>
      <c r="D91" s="86" t="s">
        <v>404</v>
      </c>
      <c r="E91" s="79" t="s">
        <v>83</v>
      </c>
      <c r="F91" s="80" t="s">
        <v>961</v>
      </c>
      <c r="G91" s="80" t="s">
        <v>962</v>
      </c>
      <c r="H91" s="80" t="s">
        <v>1703</v>
      </c>
      <c r="I91" s="80" t="s">
        <v>1704</v>
      </c>
      <c r="J91" s="80"/>
      <c r="K91" s="80"/>
      <c r="L91" s="74"/>
      <c r="M91" s="74"/>
      <c r="N91" s="74"/>
      <c r="O91" s="74"/>
      <c r="P91" s="74"/>
      <c r="Q91" s="74"/>
      <c r="R91" s="74"/>
      <c r="S91" s="74"/>
      <c r="T91" s="74"/>
      <c r="U91" s="74"/>
      <c r="V91" s="74"/>
      <c r="W91" s="74"/>
      <c r="X91" s="74"/>
      <c r="Y91" s="74"/>
    </row>
    <row r="92" spans="1:25" ht="15.75" thickBot="1" x14ac:dyDescent="0.3">
      <c r="A92" s="75">
        <v>2025</v>
      </c>
      <c r="B92" s="113" t="s">
        <v>661</v>
      </c>
      <c r="C92" s="85" t="s">
        <v>406</v>
      </c>
      <c r="D92" s="85" t="s">
        <v>406</v>
      </c>
      <c r="E92" s="76" t="s">
        <v>84</v>
      </c>
      <c r="F92" s="77" t="s">
        <v>963</v>
      </c>
      <c r="G92" s="77" t="s">
        <v>964</v>
      </c>
      <c r="H92" s="77" t="s">
        <v>1705</v>
      </c>
      <c r="I92" s="77" t="s">
        <v>1706</v>
      </c>
      <c r="J92" s="77"/>
      <c r="K92" s="77"/>
      <c r="L92" s="74"/>
      <c r="M92" s="74"/>
      <c r="N92" s="74"/>
      <c r="O92" s="74"/>
      <c r="P92" s="74"/>
      <c r="Q92" s="74"/>
      <c r="R92" s="74"/>
      <c r="S92" s="74"/>
      <c r="T92" s="74"/>
      <c r="U92" s="74"/>
      <c r="V92" s="74"/>
      <c r="W92" s="74"/>
      <c r="X92" s="74"/>
      <c r="Y92" s="74"/>
    </row>
    <row r="93" spans="1:25" ht="15.75" thickBot="1" x14ac:dyDescent="0.3">
      <c r="A93" s="78">
        <v>2025</v>
      </c>
      <c r="B93" s="79">
        <v>11</v>
      </c>
      <c r="C93" s="86" t="s">
        <v>407</v>
      </c>
      <c r="D93" s="86" t="s">
        <v>407</v>
      </c>
      <c r="E93" s="79" t="s">
        <v>711</v>
      </c>
      <c r="F93" s="80" t="s">
        <v>1564</v>
      </c>
      <c r="G93" s="80" t="s">
        <v>1565</v>
      </c>
      <c r="H93" s="80" t="s">
        <v>966</v>
      </c>
      <c r="I93" s="80" t="s">
        <v>967</v>
      </c>
      <c r="J93" s="80"/>
      <c r="K93" s="80"/>
      <c r="L93" s="74"/>
      <c r="M93" s="74"/>
      <c r="N93" s="74"/>
      <c r="O93" s="74"/>
      <c r="P93" s="74"/>
      <c r="Q93" s="74"/>
      <c r="R93" s="74"/>
      <c r="S93" s="74"/>
      <c r="T93" s="74"/>
      <c r="U93" s="74"/>
      <c r="V93" s="74"/>
      <c r="W93" s="74"/>
      <c r="X93" s="74"/>
      <c r="Y93" s="74"/>
    </row>
    <row r="94" spans="1:25" ht="15.75" thickBot="1" x14ac:dyDescent="0.3">
      <c r="A94" s="75">
        <v>2025</v>
      </c>
      <c r="B94" s="113" t="s">
        <v>658</v>
      </c>
      <c r="C94" s="85" t="s">
        <v>408</v>
      </c>
      <c r="D94" s="85" t="s">
        <v>408</v>
      </c>
      <c r="E94" s="76" t="s">
        <v>85</v>
      </c>
      <c r="F94" s="77" t="s">
        <v>2189</v>
      </c>
      <c r="G94" s="77" t="s">
        <v>2193</v>
      </c>
      <c r="H94" s="77" t="s">
        <v>968</v>
      </c>
      <c r="I94" s="77" t="s">
        <v>969</v>
      </c>
      <c r="J94" s="77"/>
      <c r="K94" s="77"/>
      <c r="L94" s="74"/>
      <c r="M94" s="74"/>
      <c r="N94" s="74"/>
      <c r="O94" s="74"/>
      <c r="P94" s="74"/>
      <c r="Q94" s="74"/>
      <c r="R94" s="74"/>
      <c r="S94" s="74"/>
      <c r="T94" s="74"/>
      <c r="U94" s="74"/>
      <c r="V94" s="74"/>
      <c r="W94" s="74"/>
      <c r="X94" s="74"/>
      <c r="Y94" s="74"/>
    </row>
    <row r="95" spans="1:25" ht="15.75" thickBot="1" x14ac:dyDescent="0.3">
      <c r="A95" s="78">
        <v>2025</v>
      </c>
      <c r="B95" s="114" t="s">
        <v>658</v>
      </c>
      <c r="C95" s="86" t="s">
        <v>472</v>
      </c>
      <c r="D95" s="86" t="s">
        <v>670</v>
      </c>
      <c r="E95" s="79" t="s">
        <v>86</v>
      </c>
      <c r="F95" s="80" t="s">
        <v>970</v>
      </c>
      <c r="G95" s="80" t="s">
        <v>971</v>
      </c>
      <c r="H95" s="80" t="s">
        <v>1659</v>
      </c>
      <c r="I95" s="80" t="s">
        <v>1660</v>
      </c>
      <c r="J95" s="80"/>
      <c r="K95" s="80"/>
      <c r="L95" s="74"/>
      <c r="M95" s="74"/>
      <c r="N95" s="74"/>
      <c r="O95" s="74"/>
      <c r="P95" s="74"/>
      <c r="Q95" s="74"/>
      <c r="R95" s="74"/>
      <c r="S95" s="74"/>
      <c r="T95" s="74"/>
      <c r="U95" s="74"/>
      <c r="V95" s="74"/>
      <c r="W95" s="74"/>
      <c r="X95" s="74"/>
      <c r="Y95" s="74"/>
    </row>
    <row r="96" spans="1:25" ht="15.75" thickBot="1" x14ac:dyDescent="0.3">
      <c r="A96" s="75">
        <v>2025</v>
      </c>
      <c r="B96" s="76">
        <v>13</v>
      </c>
      <c r="C96" s="85" t="s">
        <v>485</v>
      </c>
      <c r="D96" s="85" t="s">
        <v>485</v>
      </c>
      <c r="E96" s="76" t="s">
        <v>87</v>
      </c>
      <c r="F96" s="77" t="s">
        <v>2194</v>
      </c>
      <c r="G96" s="77" t="s">
        <v>2195</v>
      </c>
      <c r="H96" s="77" t="s">
        <v>1707</v>
      </c>
      <c r="I96" s="77" t="s">
        <v>1708</v>
      </c>
      <c r="J96" s="77"/>
      <c r="K96" s="77"/>
      <c r="L96" s="74"/>
      <c r="M96" s="74"/>
      <c r="N96" s="74"/>
      <c r="O96" s="74"/>
      <c r="P96" s="74"/>
      <c r="Q96" s="74"/>
      <c r="R96" s="74"/>
      <c r="S96" s="74"/>
      <c r="T96" s="74"/>
      <c r="U96" s="74"/>
      <c r="V96" s="74"/>
      <c r="W96" s="74"/>
      <c r="X96" s="74"/>
      <c r="Y96" s="74"/>
    </row>
    <row r="97" spans="1:25" ht="15.75" thickBot="1" x14ac:dyDescent="0.3">
      <c r="A97" s="78">
        <v>2025</v>
      </c>
      <c r="B97" s="114" t="s">
        <v>661</v>
      </c>
      <c r="C97" s="86" t="s">
        <v>608</v>
      </c>
      <c r="D97" s="86" t="s">
        <v>608</v>
      </c>
      <c r="E97" s="79" t="s">
        <v>88</v>
      </c>
      <c r="F97" s="80" t="s">
        <v>2196</v>
      </c>
      <c r="G97" s="80" t="s">
        <v>2119</v>
      </c>
      <c r="H97" s="80" t="s">
        <v>2197</v>
      </c>
      <c r="I97" s="80" t="s">
        <v>2198</v>
      </c>
      <c r="J97" s="80" t="s">
        <v>2076</v>
      </c>
      <c r="K97" s="80" t="s">
        <v>2077</v>
      </c>
      <c r="L97" s="74"/>
      <c r="M97" s="74"/>
      <c r="N97" s="74"/>
      <c r="O97" s="74"/>
      <c r="P97" s="74"/>
      <c r="Q97" s="74"/>
      <c r="R97" s="74"/>
      <c r="S97" s="74"/>
      <c r="T97" s="74"/>
      <c r="U97" s="74"/>
      <c r="V97" s="74"/>
      <c r="W97" s="74"/>
      <c r="X97" s="74"/>
      <c r="Y97" s="74"/>
    </row>
    <row r="98" spans="1:25" ht="15.75" thickBot="1" x14ac:dyDescent="0.3">
      <c r="A98" s="75">
        <v>2025</v>
      </c>
      <c r="B98" s="76">
        <v>13</v>
      </c>
      <c r="C98" s="85" t="s">
        <v>410</v>
      </c>
      <c r="D98" s="85" t="s">
        <v>410</v>
      </c>
      <c r="E98" s="76" t="s">
        <v>89</v>
      </c>
      <c r="F98" s="77" t="s">
        <v>973</v>
      </c>
      <c r="G98" s="77" t="s">
        <v>974</v>
      </c>
      <c r="H98" s="77" t="s">
        <v>951</v>
      </c>
      <c r="I98" s="77" t="s">
        <v>952</v>
      </c>
      <c r="J98" s="77"/>
      <c r="K98" s="77"/>
      <c r="L98" s="74"/>
      <c r="M98" s="74"/>
      <c r="N98" s="74"/>
      <c r="O98" s="74"/>
      <c r="P98" s="74"/>
      <c r="Q98" s="74"/>
      <c r="R98" s="74"/>
      <c r="S98" s="74"/>
      <c r="T98" s="74"/>
      <c r="U98" s="74"/>
      <c r="V98" s="74"/>
      <c r="W98" s="74"/>
      <c r="X98" s="74"/>
      <c r="Y98" s="74"/>
    </row>
    <row r="99" spans="1:25" ht="15.75" thickBot="1" x14ac:dyDescent="0.3">
      <c r="A99" s="78">
        <v>2025</v>
      </c>
      <c r="B99" s="114" t="s">
        <v>665</v>
      </c>
      <c r="C99" s="86" t="s">
        <v>411</v>
      </c>
      <c r="D99" s="86" t="s">
        <v>411</v>
      </c>
      <c r="E99" s="79" t="s">
        <v>90</v>
      </c>
      <c r="F99" s="80" t="s">
        <v>2199</v>
      </c>
      <c r="G99" s="80" t="s">
        <v>863</v>
      </c>
      <c r="H99" s="80" t="s">
        <v>1365</v>
      </c>
      <c r="I99" s="80" t="s">
        <v>2200</v>
      </c>
      <c r="J99" s="80" t="s">
        <v>976</v>
      </c>
      <c r="K99" s="80" t="s">
        <v>977</v>
      </c>
      <c r="L99" s="74"/>
      <c r="M99" s="74"/>
      <c r="N99" s="74"/>
      <c r="O99" s="74"/>
      <c r="P99" s="74"/>
      <c r="Q99" s="74"/>
      <c r="R99" s="74"/>
      <c r="S99" s="74"/>
      <c r="T99" s="74"/>
      <c r="U99" s="74"/>
      <c r="V99" s="74"/>
      <c r="W99" s="74"/>
      <c r="X99" s="74"/>
      <c r="Y99" s="74"/>
    </row>
    <row r="100" spans="1:25" ht="15.75" thickBot="1" x14ac:dyDescent="0.3">
      <c r="A100" s="75">
        <v>2025</v>
      </c>
      <c r="B100" s="113" t="s">
        <v>666</v>
      </c>
      <c r="C100" s="85" t="s">
        <v>409</v>
      </c>
      <c r="D100" s="85" t="s">
        <v>409</v>
      </c>
      <c r="E100" s="76" t="s">
        <v>639</v>
      </c>
      <c r="F100" s="77" t="s">
        <v>791</v>
      </c>
      <c r="G100" s="77" t="s">
        <v>978</v>
      </c>
      <c r="H100" s="77" t="s">
        <v>793</v>
      </c>
      <c r="I100" s="77" t="s">
        <v>979</v>
      </c>
      <c r="J100" s="77"/>
      <c r="K100" s="77"/>
      <c r="L100" s="74"/>
      <c r="M100" s="74"/>
      <c r="N100" s="74"/>
      <c r="O100" s="74"/>
      <c r="P100" s="74"/>
      <c r="Q100" s="74"/>
      <c r="R100" s="74"/>
      <c r="S100" s="74"/>
      <c r="T100" s="74"/>
      <c r="U100" s="74"/>
      <c r="V100" s="74"/>
      <c r="W100" s="74"/>
      <c r="X100" s="74"/>
      <c r="Y100" s="74"/>
    </row>
    <row r="101" spans="1:25" ht="15.75" thickBot="1" x14ac:dyDescent="0.3">
      <c r="A101" s="78">
        <v>2025</v>
      </c>
      <c r="B101" s="79">
        <v>15</v>
      </c>
      <c r="C101" s="86" t="s">
        <v>344</v>
      </c>
      <c r="D101" s="86" t="s">
        <v>344</v>
      </c>
      <c r="E101" s="79" t="s">
        <v>91</v>
      </c>
      <c r="F101" s="80" t="s">
        <v>980</v>
      </c>
      <c r="G101" s="80" t="s">
        <v>981</v>
      </c>
      <c r="H101" s="80" t="s">
        <v>982</v>
      </c>
      <c r="I101" s="80" t="s">
        <v>983</v>
      </c>
      <c r="J101" s="80" t="s">
        <v>984</v>
      </c>
      <c r="K101" s="80" t="s">
        <v>985</v>
      </c>
      <c r="L101" s="74"/>
      <c r="M101" s="74"/>
      <c r="N101" s="74"/>
      <c r="O101" s="74"/>
      <c r="P101" s="74"/>
      <c r="Q101" s="74"/>
      <c r="R101" s="74"/>
      <c r="S101" s="74"/>
      <c r="T101" s="74"/>
      <c r="U101" s="74"/>
      <c r="V101" s="74"/>
      <c r="W101" s="74"/>
      <c r="X101" s="74"/>
      <c r="Y101" s="74"/>
    </row>
    <row r="102" spans="1:25" ht="15.75" thickBot="1" x14ac:dyDescent="0.3">
      <c r="A102" s="75">
        <v>2025</v>
      </c>
      <c r="B102" s="113" t="s">
        <v>665</v>
      </c>
      <c r="C102" s="85" t="s">
        <v>413</v>
      </c>
      <c r="D102" s="85" t="s">
        <v>413</v>
      </c>
      <c r="E102" s="76" t="s">
        <v>92</v>
      </c>
      <c r="F102" s="77" t="s">
        <v>2201</v>
      </c>
      <c r="G102" s="77" t="s">
        <v>2202</v>
      </c>
      <c r="H102" s="77" t="s">
        <v>1151</v>
      </c>
      <c r="I102" s="77" t="s">
        <v>1152</v>
      </c>
      <c r="J102" s="77" t="s">
        <v>987</v>
      </c>
      <c r="K102" s="77" t="s">
        <v>988</v>
      </c>
      <c r="L102" s="74"/>
      <c r="M102" s="74"/>
      <c r="N102" s="74"/>
      <c r="O102" s="74"/>
      <c r="P102" s="74"/>
      <c r="Q102" s="74"/>
      <c r="R102" s="74"/>
      <c r="S102" s="74"/>
      <c r="T102" s="74"/>
      <c r="U102" s="74"/>
      <c r="V102" s="74"/>
      <c r="W102" s="74"/>
      <c r="X102" s="74"/>
      <c r="Y102" s="74"/>
    </row>
    <row r="103" spans="1:25" ht="15.75" thickBot="1" x14ac:dyDescent="0.3">
      <c r="A103" s="78">
        <v>2025</v>
      </c>
      <c r="B103" s="114" t="s">
        <v>658</v>
      </c>
      <c r="C103" s="86" t="s">
        <v>414</v>
      </c>
      <c r="D103" s="86" t="s">
        <v>414</v>
      </c>
      <c r="E103" s="79" t="s">
        <v>93</v>
      </c>
      <c r="F103" s="80" t="s">
        <v>989</v>
      </c>
      <c r="G103" s="80" t="s">
        <v>990</v>
      </c>
      <c r="H103" s="80" t="s">
        <v>2203</v>
      </c>
      <c r="I103" s="80" t="s">
        <v>2204</v>
      </c>
      <c r="J103" s="80"/>
      <c r="K103" s="80"/>
      <c r="L103" s="74"/>
      <c r="M103" s="74"/>
      <c r="N103" s="74"/>
      <c r="O103" s="74"/>
      <c r="P103" s="74"/>
      <c r="Q103" s="74"/>
      <c r="R103" s="74"/>
      <c r="S103" s="74"/>
      <c r="T103" s="74"/>
      <c r="U103" s="74"/>
      <c r="V103" s="74"/>
      <c r="W103" s="74"/>
      <c r="X103" s="74"/>
      <c r="Y103" s="74"/>
    </row>
    <row r="104" spans="1:25" ht="15.75" thickBot="1" x14ac:dyDescent="0.3">
      <c r="A104" s="75">
        <v>2025</v>
      </c>
      <c r="B104" s="113" t="s">
        <v>661</v>
      </c>
      <c r="C104" s="85" t="s">
        <v>415</v>
      </c>
      <c r="D104" s="85" t="s">
        <v>415</v>
      </c>
      <c r="E104" s="76" t="s">
        <v>94</v>
      </c>
      <c r="F104" s="77" t="s">
        <v>1566</v>
      </c>
      <c r="G104" s="77" t="s">
        <v>1567</v>
      </c>
      <c r="H104" s="77" t="s">
        <v>1041</v>
      </c>
      <c r="I104" s="77" t="s">
        <v>1568</v>
      </c>
      <c r="J104" s="77"/>
      <c r="K104" s="77"/>
      <c r="L104" s="74"/>
      <c r="M104" s="74"/>
      <c r="N104" s="74"/>
      <c r="O104" s="74"/>
      <c r="P104" s="74"/>
      <c r="Q104" s="74"/>
      <c r="R104" s="74"/>
      <c r="S104" s="74"/>
      <c r="T104" s="74"/>
      <c r="U104" s="74"/>
      <c r="V104" s="74"/>
      <c r="W104" s="74"/>
      <c r="X104" s="74"/>
      <c r="Y104" s="74"/>
    </row>
    <row r="105" spans="1:25" ht="15.75" thickBot="1" x14ac:dyDescent="0.3">
      <c r="A105" s="78">
        <v>2025</v>
      </c>
      <c r="B105" s="79">
        <v>10</v>
      </c>
      <c r="C105" s="86" t="s">
        <v>416</v>
      </c>
      <c r="D105" s="86" t="s">
        <v>416</v>
      </c>
      <c r="E105" s="79" t="s">
        <v>95</v>
      </c>
      <c r="F105" s="80" t="s">
        <v>993</v>
      </c>
      <c r="G105" s="80" t="s">
        <v>994</v>
      </c>
      <c r="H105" s="80" t="s">
        <v>995</v>
      </c>
      <c r="I105" s="80" t="s">
        <v>996</v>
      </c>
      <c r="J105" s="80"/>
      <c r="K105" s="80"/>
      <c r="L105" s="74"/>
      <c r="M105" s="74"/>
      <c r="N105" s="74"/>
      <c r="O105" s="74"/>
      <c r="P105" s="74"/>
      <c r="Q105" s="74"/>
      <c r="R105" s="74"/>
      <c r="S105" s="74"/>
      <c r="T105" s="74"/>
      <c r="U105" s="74"/>
      <c r="V105" s="74"/>
      <c r="W105" s="74"/>
      <c r="X105" s="74"/>
      <c r="Y105" s="74"/>
    </row>
    <row r="106" spans="1:25" ht="15.75" thickBot="1" x14ac:dyDescent="0.3">
      <c r="A106" s="75">
        <v>2025</v>
      </c>
      <c r="B106" s="76">
        <v>13</v>
      </c>
      <c r="C106" s="85" t="s">
        <v>417</v>
      </c>
      <c r="D106" s="85" t="s">
        <v>417</v>
      </c>
      <c r="E106" s="76" t="s">
        <v>96</v>
      </c>
      <c r="F106" s="77" t="s">
        <v>997</v>
      </c>
      <c r="G106" s="77" t="s">
        <v>998</v>
      </c>
      <c r="H106" s="77" t="s">
        <v>1569</v>
      </c>
      <c r="I106" s="77" t="s">
        <v>1570</v>
      </c>
      <c r="J106" s="77"/>
      <c r="K106" s="77"/>
      <c r="L106" s="74"/>
      <c r="M106" s="74"/>
      <c r="N106" s="74"/>
      <c r="O106" s="74"/>
      <c r="P106" s="74"/>
      <c r="Q106" s="74"/>
      <c r="R106" s="74"/>
      <c r="S106" s="74"/>
      <c r="T106" s="74"/>
      <c r="U106" s="74"/>
      <c r="V106" s="74"/>
      <c r="W106" s="74"/>
      <c r="X106" s="74"/>
      <c r="Y106" s="74"/>
    </row>
    <row r="107" spans="1:25" ht="15.75" thickBot="1" x14ac:dyDescent="0.3">
      <c r="A107" s="78">
        <v>2025</v>
      </c>
      <c r="B107" s="114" t="s">
        <v>661</v>
      </c>
      <c r="C107" s="86" t="s">
        <v>418</v>
      </c>
      <c r="D107" s="86" t="s">
        <v>418</v>
      </c>
      <c r="E107" s="79" t="s">
        <v>640</v>
      </c>
      <c r="F107" s="80" t="s">
        <v>2205</v>
      </c>
      <c r="G107" s="80" t="s">
        <v>2206</v>
      </c>
      <c r="H107" s="80" t="s">
        <v>1001</v>
      </c>
      <c r="I107" s="80" t="s">
        <v>1002</v>
      </c>
      <c r="J107" s="80"/>
      <c r="K107" s="80"/>
      <c r="L107" s="74"/>
      <c r="M107" s="74"/>
      <c r="N107" s="74"/>
      <c r="O107" s="74"/>
      <c r="P107" s="74"/>
      <c r="Q107" s="74"/>
      <c r="R107" s="74"/>
      <c r="S107" s="74"/>
      <c r="T107" s="74"/>
      <c r="U107" s="74"/>
      <c r="V107" s="74"/>
      <c r="W107" s="74"/>
      <c r="X107" s="74"/>
      <c r="Y107" s="74"/>
    </row>
    <row r="108" spans="1:25" ht="15.75" thickBot="1" x14ac:dyDescent="0.3">
      <c r="A108" s="75">
        <v>2025</v>
      </c>
      <c r="B108" s="76">
        <v>11</v>
      </c>
      <c r="C108" s="85" t="s">
        <v>419</v>
      </c>
      <c r="D108" s="85" t="s">
        <v>419</v>
      </c>
      <c r="E108" s="76" t="s">
        <v>98</v>
      </c>
      <c r="F108" s="77" t="s">
        <v>1003</v>
      </c>
      <c r="G108" s="77" t="s">
        <v>1004</v>
      </c>
      <c r="H108" s="77" t="s">
        <v>2207</v>
      </c>
      <c r="I108" s="77" t="s">
        <v>2208</v>
      </c>
      <c r="J108" s="77"/>
      <c r="K108" s="77"/>
      <c r="L108" s="74"/>
      <c r="M108" s="74"/>
      <c r="N108" s="74"/>
      <c r="O108" s="74"/>
      <c r="P108" s="74"/>
      <c r="Q108" s="74"/>
      <c r="R108" s="74"/>
      <c r="S108" s="74"/>
      <c r="T108" s="74"/>
      <c r="U108" s="74"/>
      <c r="V108" s="74"/>
      <c r="W108" s="74"/>
      <c r="X108" s="74"/>
      <c r="Y108" s="74"/>
    </row>
    <row r="109" spans="1:25" ht="15.75" thickBot="1" x14ac:dyDescent="0.3">
      <c r="A109" s="78">
        <v>2025</v>
      </c>
      <c r="B109" s="79">
        <v>15</v>
      </c>
      <c r="C109" s="86" t="s">
        <v>420</v>
      </c>
      <c r="D109" s="86" t="s">
        <v>420</v>
      </c>
      <c r="E109" s="79" t="s">
        <v>99</v>
      </c>
      <c r="F109" s="80" t="s">
        <v>2209</v>
      </c>
      <c r="G109" s="80" t="s">
        <v>2210</v>
      </c>
      <c r="H109" s="80" t="s">
        <v>876</v>
      </c>
      <c r="I109" s="80" t="s">
        <v>1709</v>
      </c>
      <c r="J109" s="80"/>
      <c r="K109" s="80"/>
      <c r="L109" s="74"/>
      <c r="M109" s="74"/>
      <c r="N109" s="74"/>
      <c r="O109" s="74"/>
      <c r="P109" s="74"/>
      <c r="Q109" s="74"/>
      <c r="R109" s="74"/>
      <c r="S109" s="74"/>
      <c r="T109" s="74"/>
      <c r="U109" s="74"/>
      <c r="V109" s="74"/>
      <c r="W109" s="74"/>
      <c r="X109" s="74"/>
      <c r="Y109" s="74"/>
    </row>
    <row r="110" spans="1:25" ht="15.75" thickBot="1" x14ac:dyDescent="0.3">
      <c r="A110" s="75">
        <v>2025</v>
      </c>
      <c r="B110" s="113" t="s">
        <v>658</v>
      </c>
      <c r="C110" s="85" t="s">
        <v>421</v>
      </c>
      <c r="D110" s="85" t="s">
        <v>421</v>
      </c>
      <c r="E110" s="76" t="s">
        <v>101</v>
      </c>
      <c r="F110" s="77" t="s">
        <v>1006</v>
      </c>
      <c r="G110" s="77" t="s">
        <v>1007</v>
      </c>
      <c r="H110" s="77" t="s">
        <v>1008</v>
      </c>
      <c r="I110" s="77" t="s">
        <v>1009</v>
      </c>
      <c r="J110" s="77"/>
      <c r="K110" s="77"/>
      <c r="L110" s="74"/>
      <c r="M110" s="74"/>
      <c r="N110" s="74"/>
      <c r="O110" s="74"/>
      <c r="P110" s="74"/>
      <c r="Q110" s="74"/>
      <c r="R110" s="74"/>
      <c r="S110" s="74"/>
      <c r="T110" s="74"/>
      <c r="U110" s="74"/>
      <c r="V110" s="74"/>
      <c r="W110" s="74"/>
      <c r="X110" s="74"/>
      <c r="Y110" s="74"/>
    </row>
    <row r="111" spans="1:25" ht="15.75" thickBot="1" x14ac:dyDescent="0.3">
      <c r="A111" s="78">
        <v>2025</v>
      </c>
      <c r="B111" s="114" t="s">
        <v>661</v>
      </c>
      <c r="C111" s="86" t="s">
        <v>422</v>
      </c>
      <c r="D111" s="86" t="s">
        <v>422</v>
      </c>
      <c r="E111" s="79" t="s">
        <v>102</v>
      </c>
      <c r="F111" s="80" t="s">
        <v>2211</v>
      </c>
      <c r="G111" s="80" t="s">
        <v>2212</v>
      </c>
      <c r="H111" s="80" t="s">
        <v>1010</v>
      </c>
      <c r="I111" s="80" t="s">
        <v>1011</v>
      </c>
      <c r="J111" s="80" t="s">
        <v>1012</v>
      </c>
      <c r="K111" s="80" t="s">
        <v>1013</v>
      </c>
      <c r="L111" s="74"/>
      <c r="M111" s="74"/>
      <c r="N111" s="74"/>
      <c r="O111" s="74"/>
      <c r="P111" s="74"/>
      <c r="Q111" s="74"/>
      <c r="R111" s="74"/>
      <c r="S111" s="74"/>
      <c r="T111" s="74"/>
      <c r="U111" s="74"/>
      <c r="V111" s="74"/>
      <c r="W111" s="74"/>
      <c r="X111" s="74"/>
      <c r="Y111" s="74"/>
    </row>
    <row r="112" spans="1:25" ht="15.75" thickBot="1" x14ac:dyDescent="0.3">
      <c r="A112" s="75">
        <v>2025</v>
      </c>
      <c r="B112" s="76">
        <v>15</v>
      </c>
      <c r="C112" s="85" t="s">
        <v>423</v>
      </c>
      <c r="D112" s="85" t="s">
        <v>423</v>
      </c>
      <c r="E112" s="76" t="s">
        <v>650</v>
      </c>
      <c r="F112" s="77" t="s">
        <v>1014</v>
      </c>
      <c r="G112" s="77" t="s">
        <v>1015</v>
      </c>
      <c r="H112" s="77" t="s">
        <v>1016</v>
      </c>
      <c r="I112" s="77" t="s">
        <v>1017</v>
      </c>
      <c r="J112" s="77"/>
      <c r="K112" s="77"/>
      <c r="L112" s="74"/>
      <c r="M112" s="74"/>
      <c r="N112" s="74"/>
      <c r="O112" s="74"/>
      <c r="P112" s="74"/>
      <c r="Q112" s="74"/>
      <c r="R112" s="74"/>
      <c r="S112" s="74"/>
      <c r="T112" s="74"/>
      <c r="U112" s="74"/>
      <c r="V112" s="74"/>
      <c r="W112" s="74"/>
      <c r="X112" s="74"/>
      <c r="Y112" s="74"/>
    </row>
    <row r="113" spans="1:25" ht="15.75" thickBot="1" x14ac:dyDescent="0.3">
      <c r="A113" s="78">
        <v>2025</v>
      </c>
      <c r="B113" s="79">
        <v>13</v>
      </c>
      <c r="C113" s="86" t="s">
        <v>424</v>
      </c>
      <c r="D113" s="86" t="s">
        <v>424</v>
      </c>
      <c r="E113" s="79" t="s">
        <v>103</v>
      </c>
      <c r="F113" s="80" t="s">
        <v>1018</v>
      </c>
      <c r="G113" s="80" t="s">
        <v>1019</v>
      </c>
      <c r="H113" s="80" t="s">
        <v>1710</v>
      </c>
      <c r="I113" s="80" t="s">
        <v>1571</v>
      </c>
      <c r="J113" s="80"/>
      <c r="K113" s="80"/>
      <c r="L113" s="74"/>
      <c r="M113" s="74"/>
      <c r="N113" s="74"/>
      <c r="O113" s="74"/>
      <c r="P113" s="74"/>
      <c r="Q113" s="74"/>
      <c r="R113" s="74"/>
      <c r="S113" s="74"/>
      <c r="T113" s="74"/>
      <c r="U113" s="74"/>
      <c r="V113" s="74"/>
      <c r="W113" s="74"/>
      <c r="X113" s="74"/>
      <c r="Y113" s="74"/>
    </row>
    <row r="114" spans="1:25" ht="15.75" thickBot="1" x14ac:dyDescent="0.3">
      <c r="A114" s="75">
        <v>2025</v>
      </c>
      <c r="B114" s="76">
        <v>12</v>
      </c>
      <c r="C114" s="85" t="s">
        <v>425</v>
      </c>
      <c r="D114" s="85" t="s">
        <v>425</v>
      </c>
      <c r="E114" s="76" t="s">
        <v>104</v>
      </c>
      <c r="F114" s="77" t="s">
        <v>1572</v>
      </c>
      <c r="G114" s="77" t="s">
        <v>1573</v>
      </c>
      <c r="H114" s="77" t="s">
        <v>1020</v>
      </c>
      <c r="I114" s="77" t="s">
        <v>1021</v>
      </c>
      <c r="J114" s="77"/>
      <c r="K114" s="77"/>
      <c r="L114" s="74"/>
      <c r="M114" s="74"/>
      <c r="N114" s="74"/>
      <c r="O114" s="74"/>
      <c r="P114" s="74"/>
      <c r="Q114" s="74"/>
      <c r="R114" s="74"/>
      <c r="S114" s="74"/>
      <c r="T114" s="74"/>
      <c r="U114" s="74"/>
      <c r="V114" s="74"/>
      <c r="W114" s="74"/>
      <c r="X114" s="74"/>
      <c r="Y114" s="74"/>
    </row>
    <row r="115" spans="1:25" ht="15.75" thickBot="1" x14ac:dyDescent="0.3">
      <c r="A115" s="78">
        <v>2025</v>
      </c>
      <c r="B115" s="114" t="s">
        <v>658</v>
      </c>
      <c r="C115" s="86" t="s">
        <v>426</v>
      </c>
      <c r="D115" s="86" t="s">
        <v>426</v>
      </c>
      <c r="E115" s="79" t="s">
        <v>105</v>
      </c>
      <c r="F115" s="80" t="s">
        <v>1022</v>
      </c>
      <c r="G115" s="80" t="s">
        <v>1023</v>
      </c>
      <c r="H115" s="80" t="s">
        <v>1024</v>
      </c>
      <c r="I115" s="80" t="s">
        <v>1025</v>
      </c>
      <c r="J115" s="80"/>
      <c r="K115" s="80"/>
      <c r="L115" s="74"/>
      <c r="M115" s="74"/>
      <c r="N115" s="74"/>
      <c r="O115" s="74"/>
      <c r="P115" s="74"/>
      <c r="Q115" s="74"/>
      <c r="R115" s="74"/>
      <c r="S115" s="74"/>
      <c r="T115" s="74"/>
      <c r="U115" s="74"/>
      <c r="V115" s="74"/>
      <c r="W115" s="74"/>
      <c r="X115" s="74"/>
      <c r="Y115" s="74"/>
    </row>
    <row r="116" spans="1:25" ht="15.75" thickBot="1" x14ac:dyDescent="0.3">
      <c r="A116" s="75">
        <v>2025</v>
      </c>
      <c r="B116" s="76">
        <v>12</v>
      </c>
      <c r="C116" s="85" t="s">
        <v>427</v>
      </c>
      <c r="D116" s="85" t="s">
        <v>427</v>
      </c>
      <c r="E116" s="76" t="s">
        <v>106</v>
      </c>
      <c r="F116" s="77" t="s">
        <v>2213</v>
      </c>
      <c r="G116" s="77" t="s">
        <v>2214</v>
      </c>
      <c r="H116" s="77" t="s">
        <v>1026</v>
      </c>
      <c r="I116" s="77" t="s">
        <v>1027</v>
      </c>
      <c r="J116" s="77" t="s">
        <v>2213</v>
      </c>
      <c r="K116" s="77" t="s">
        <v>2214</v>
      </c>
      <c r="L116" s="74"/>
      <c r="M116" s="74"/>
      <c r="N116" s="74"/>
      <c r="O116" s="74"/>
      <c r="P116" s="74"/>
      <c r="Q116" s="74"/>
      <c r="R116" s="74"/>
      <c r="S116" s="74"/>
      <c r="T116" s="74"/>
      <c r="U116" s="74"/>
      <c r="V116" s="74"/>
      <c r="W116" s="74"/>
      <c r="X116" s="74"/>
      <c r="Y116" s="74"/>
    </row>
    <row r="117" spans="1:25" ht="15.75" thickBot="1" x14ac:dyDescent="0.3">
      <c r="A117" s="78">
        <v>2025</v>
      </c>
      <c r="B117" s="79">
        <v>11</v>
      </c>
      <c r="C117" s="86" t="s">
        <v>428</v>
      </c>
      <c r="D117" s="86" t="s">
        <v>428</v>
      </c>
      <c r="E117" s="79" t="s">
        <v>712</v>
      </c>
      <c r="F117" s="80" t="s">
        <v>1028</v>
      </c>
      <c r="G117" s="80" t="s">
        <v>1029</v>
      </c>
      <c r="H117" s="80" t="s">
        <v>1030</v>
      </c>
      <c r="I117" s="80" t="s">
        <v>1031</v>
      </c>
      <c r="J117" s="80"/>
      <c r="K117" s="80"/>
      <c r="L117" s="74"/>
      <c r="M117" s="74"/>
      <c r="N117" s="74"/>
      <c r="O117" s="74"/>
      <c r="P117" s="74"/>
      <c r="Q117" s="74"/>
      <c r="R117" s="74"/>
      <c r="S117" s="74"/>
      <c r="T117" s="74"/>
      <c r="U117" s="74"/>
      <c r="V117" s="74"/>
      <c r="W117" s="74"/>
      <c r="X117" s="74"/>
      <c r="Y117" s="74"/>
    </row>
    <row r="118" spans="1:25" ht="15.75" thickBot="1" x14ac:dyDescent="0.3">
      <c r="A118" s="75">
        <v>2025</v>
      </c>
      <c r="B118" s="113" t="s">
        <v>661</v>
      </c>
      <c r="C118" s="85" t="s">
        <v>429</v>
      </c>
      <c r="D118" s="85" t="s">
        <v>429</v>
      </c>
      <c r="E118" s="76" t="s">
        <v>107</v>
      </c>
      <c r="F118" s="77" t="s">
        <v>2215</v>
      </c>
      <c r="G118" s="77" t="s">
        <v>2216</v>
      </c>
      <c r="H118" s="77" t="s">
        <v>1032</v>
      </c>
      <c r="I118" s="77" t="s">
        <v>1033</v>
      </c>
      <c r="J118" s="77"/>
      <c r="K118" s="77"/>
      <c r="L118" s="74"/>
      <c r="M118" s="74"/>
      <c r="N118" s="74"/>
      <c r="O118" s="74"/>
      <c r="P118" s="74"/>
      <c r="Q118" s="74"/>
      <c r="R118" s="74"/>
      <c r="S118" s="74"/>
      <c r="T118" s="74"/>
      <c r="U118" s="74"/>
      <c r="V118" s="74"/>
      <c r="W118" s="74"/>
      <c r="X118" s="74"/>
      <c r="Y118" s="74"/>
    </row>
    <row r="119" spans="1:25" ht="15.75" thickBot="1" x14ac:dyDescent="0.3">
      <c r="A119" s="78">
        <v>2025</v>
      </c>
      <c r="B119" s="114" t="s">
        <v>658</v>
      </c>
      <c r="C119" s="86" t="s">
        <v>430</v>
      </c>
      <c r="D119" s="86" t="s">
        <v>430</v>
      </c>
      <c r="E119" s="79" t="s">
        <v>108</v>
      </c>
      <c r="F119" s="80" t="s">
        <v>1170</v>
      </c>
      <c r="G119" s="80" t="s">
        <v>1711</v>
      </c>
      <c r="H119" s="80" t="s">
        <v>2217</v>
      </c>
      <c r="I119" s="80" t="s">
        <v>2218</v>
      </c>
      <c r="J119" s="80"/>
      <c r="K119" s="80"/>
      <c r="L119" s="74"/>
      <c r="M119" s="74"/>
      <c r="N119" s="74"/>
      <c r="O119" s="74"/>
      <c r="P119" s="74"/>
      <c r="Q119" s="74"/>
      <c r="R119" s="74"/>
      <c r="S119" s="74"/>
      <c r="T119" s="74"/>
      <c r="U119" s="74"/>
      <c r="V119" s="74"/>
      <c r="W119" s="74"/>
      <c r="X119" s="74"/>
      <c r="Y119" s="74"/>
    </row>
    <row r="120" spans="1:25" ht="15.75" thickBot="1" x14ac:dyDescent="0.3">
      <c r="A120" s="75">
        <v>2025</v>
      </c>
      <c r="B120" s="76">
        <v>13</v>
      </c>
      <c r="C120" s="85" t="s">
        <v>431</v>
      </c>
      <c r="D120" s="85" t="s">
        <v>431</v>
      </c>
      <c r="E120" s="76" t="s">
        <v>109</v>
      </c>
      <c r="F120" s="77" t="s">
        <v>1538</v>
      </c>
      <c r="G120" s="77" t="s">
        <v>2219</v>
      </c>
      <c r="H120" s="77" t="s">
        <v>1034</v>
      </c>
      <c r="I120" s="77" t="s">
        <v>1035</v>
      </c>
      <c r="J120" s="77"/>
      <c r="K120" s="77"/>
      <c r="L120" s="74"/>
      <c r="M120" s="74"/>
      <c r="N120" s="74"/>
      <c r="O120" s="74"/>
      <c r="P120" s="74"/>
      <c r="Q120" s="74"/>
      <c r="R120" s="74"/>
      <c r="S120" s="74"/>
      <c r="T120" s="74"/>
      <c r="U120" s="74"/>
      <c r="V120" s="74"/>
      <c r="W120" s="74"/>
      <c r="X120" s="74"/>
      <c r="Y120" s="74"/>
    </row>
    <row r="121" spans="1:25" ht="15.75" thickBot="1" x14ac:dyDescent="0.3">
      <c r="A121" s="78">
        <v>2025</v>
      </c>
      <c r="B121" s="79">
        <v>11</v>
      </c>
      <c r="C121" s="86" t="s">
        <v>432</v>
      </c>
      <c r="D121" s="86" t="s">
        <v>432</v>
      </c>
      <c r="E121" s="79" t="s">
        <v>110</v>
      </c>
      <c r="F121" s="80" t="s">
        <v>1127</v>
      </c>
      <c r="G121" s="80" t="s">
        <v>2220</v>
      </c>
      <c r="H121" s="80" t="s">
        <v>1036</v>
      </c>
      <c r="I121" s="80" t="s">
        <v>1037</v>
      </c>
      <c r="J121" s="80"/>
      <c r="K121" s="80"/>
      <c r="L121" s="74"/>
      <c r="M121" s="74"/>
      <c r="N121" s="74"/>
      <c r="O121" s="74"/>
      <c r="P121" s="74"/>
      <c r="Q121" s="74"/>
      <c r="R121" s="74"/>
      <c r="S121" s="74"/>
      <c r="T121" s="74"/>
      <c r="U121" s="74"/>
      <c r="V121" s="74"/>
      <c r="W121" s="74"/>
      <c r="X121" s="74"/>
      <c r="Y121" s="74"/>
    </row>
    <row r="122" spans="1:25" ht="15.75" thickBot="1" x14ac:dyDescent="0.3">
      <c r="A122" s="75">
        <v>2025</v>
      </c>
      <c r="B122" s="113" t="s">
        <v>658</v>
      </c>
      <c r="C122" s="85" t="s">
        <v>435</v>
      </c>
      <c r="D122" s="85" t="s">
        <v>435</v>
      </c>
      <c r="E122" s="76" t="s">
        <v>4</v>
      </c>
      <c r="F122" s="77" t="s">
        <v>2124</v>
      </c>
      <c r="G122" s="77" t="s">
        <v>2221</v>
      </c>
      <c r="H122" s="77" t="s">
        <v>1713</v>
      </c>
      <c r="I122" s="77" t="s">
        <v>1714</v>
      </c>
      <c r="J122" s="77"/>
      <c r="K122" s="77"/>
      <c r="L122" s="74"/>
      <c r="M122" s="74"/>
      <c r="N122" s="74"/>
      <c r="O122" s="74"/>
      <c r="P122" s="74"/>
      <c r="Q122" s="74"/>
      <c r="R122" s="74"/>
      <c r="S122" s="74"/>
      <c r="T122" s="74"/>
      <c r="U122" s="74"/>
      <c r="V122" s="74"/>
      <c r="W122" s="74"/>
      <c r="X122" s="74"/>
      <c r="Y122" s="74"/>
    </row>
    <row r="123" spans="1:25" ht="15.75" thickBot="1" x14ac:dyDescent="0.3">
      <c r="A123" s="78">
        <v>2025</v>
      </c>
      <c r="B123" s="114" t="s">
        <v>661</v>
      </c>
      <c r="C123" s="86" t="s">
        <v>433</v>
      </c>
      <c r="D123" s="86" t="s">
        <v>433</v>
      </c>
      <c r="E123" s="79" t="s">
        <v>111</v>
      </c>
      <c r="F123" s="80" t="s">
        <v>1039</v>
      </c>
      <c r="G123" s="80" t="s">
        <v>1040</v>
      </c>
      <c r="H123" s="80" t="s">
        <v>1715</v>
      </c>
      <c r="I123" s="80" t="s">
        <v>1716</v>
      </c>
      <c r="J123" s="80"/>
      <c r="K123" s="80"/>
      <c r="L123" s="74"/>
      <c r="M123" s="74"/>
      <c r="N123" s="74"/>
      <c r="O123" s="74"/>
      <c r="P123" s="74"/>
      <c r="Q123" s="74"/>
      <c r="R123" s="74"/>
      <c r="S123" s="74"/>
      <c r="T123" s="74"/>
      <c r="U123" s="74"/>
      <c r="V123" s="74"/>
      <c r="W123" s="74"/>
      <c r="X123" s="74"/>
      <c r="Y123" s="74"/>
    </row>
    <row r="124" spans="1:25" ht="15.75" thickBot="1" x14ac:dyDescent="0.3">
      <c r="A124" s="75">
        <v>2025</v>
      </c>
      <c r="B124" s="113" t="s">
        <v>661</v>
      </c>
      <c r="C124" s="85" t="s">
        <v>461</v>
      </c>
      <c r="D124" s="85" t="s">
        <v>461</v>
      </c>
      <c r="E124" s="76" t="s">
        <v>112</v>
      </c>
      <c r="F124" s="77" t="s">
        <v>1575</v>
      </c>
      <c r="G124" s="77" t="s">
        <v>1576</v>
      </c>
      <c r="H124" s="77" t="s">
        <v>1717</v>
      </c>
      <c r="I124" s="77" t="s">
        <v>1718</v>
      </c>
      <c r="J124" s="77" t="s">
        <v>1719</v>
      </c>
      <c r="K124" s="77" t="s">
        <v>1720</v>
      </c>
      <c r="L124" s="74"/>
      <c r="M124" s="74"/>
      <c r="N124" s="74"/>
      <c r="O124" s="74"/>
      <c r="P124" s="74"/>
      <c r="Q124" s="74"/>
      <c r="R124" s="74"/>
      <c r="S124" s="74"/>
      <c r="T124" s="74"/>
      <c r="U124" s="74"/>
      <c r="V124" s="74"/>
      <c r="W124" s="74"/>
      <c r="X124" s="74"/>
      <c r="Y124" s="74"/>
    </row>
    <row r="125" spans="1:25" ht="15.75" thickBot="1" x14ac:dyDescent="0.3">
      <c r="A125" s="78">
        <v>2025</v>
      </c>
      <c r="B125" s="114" t="s">
        <v>658</v>
      </c>
      <c r="C125" s="86" t="s">
        <v>436</v>
      </c>
      <c r="D125" s="86" t="s">
        <v>436</v>
      </c>
      <c r="E125" s="79" t="s">
        <v>113</v>
      </c>
      <c r="F125" s="80" t="s">
        <v>1453</v>
      </c>
      <c r="G125" s="80" t="s">
        <v>2222</v>
      </c>
      <c r="H125" s="80" t="s">
        <v>1042</v>
      </c>
      <c r="I125" s="80" t="s">
        <v>1043</v>
      </c>
      <c r="J125" s="80"/>
      <c r="K125" s="80"/>
      <c r="L125" s="74"/>
      <c r="M125" s="74"/>
      <c r="N125" s="74"/>
      <c r="O125" s="74"/>
      <c r="P125" s="74"/>
      <c r="Q125" s="74"/>
      <c r="R125" s="74"/>
      <c r="S125" s="74"/>
      <c r="T125" s="74"/>
      <c r="U125" s="74"/>
      <c r="V125" s="74"/>
      <c r="W125" s="74"/>
      <c r="X125" s="74"/>
      <c r="Y125" s="74"/>
    </row>
    <row r="126" spans="1:25" ht="15.75" thickBot="1" x14ac:dyDescent="0.3">
      <c r="A126" s="75">
        <v>2025</v>
      </c>
      <c r="B126" s="76">
        <v>13</v>
      </c>
      <c r="C126" s="85" t="s">
        <v>437</v>
      </c>
      <c r="D126" s="85" t="s">
        <v>437</v>
      </c>
      <c r="E126" s="76" t="s">
        <v>114</v>
      </c>
      <c r="F126" s="77" t="s">
        <v>1044</v>
      </c>
      <c r="G126" s="77" t="s">
        <v>1045</v>
      </c>
      <c r="H126" s="77" t="s">
        <v>1046</v>
      </c>
      <c r="I126" s="77" t="s">
        <v>1047</v>
      </c>
      <c r="J126" s="77"/>
      <c r="K126" s="77"/>
      <c r="L126" s="74"/>
      <c r="M126" s="74"/>
      <c r="N126" s="74"/>
      <c r="O126" s="74"/>
      <c r="P126" s="74"/>
      <c r="Q126" s="74"/>
      <c r="R126" s="74"/>
      <c r="S126" s="74"/>
      <c r="T126" s="74"/>
      <c r="U126" s="74"/>
      <c r="V126" s="74"/>
      <c r="W126" s="74"/>
      <c r="X126" s="74"/>
      <c r="Y126" s="74"/>
    </row>
    <row r="127" spans="1:25" ht="15.75" thickBot="1" x14ac:dyDescent="0.3">
      <c r="A127" s="78">
        <v>2025</v>
      </c>
      <c r="B127" s="114" t="s">
        <v>658</v>
      </c>
      <c r="C127" s="86" t="s">
        <v>438</v>
      </c>
      <c r="D127" s="86" t="s">
        <v>438</v>
      </c>
      <c r="E127" s="79" t="s">
        <v>115</v>
      </c>
      <c r="F127" s="80" t="s">
        <v>1048</v>
      </c>
      <c r="G127" s="80" t="s">
        <v>1049</v>
      </c>
      <c r="H127" s="80" t="s">
        <v>1050</v>
      </c>
      <c r="I127" s="80" t="s">
        <v>1051</v>
      </c>
      <c r="J127" s="80"/>
      <c r="K127" s="80"/>
      <c r="L127" s="74"/>
      <c r="M127" s="74"/>
      <c r="N127" s="74"/>
      <c r="O127" s="74"/>
      <c r="P127" s="74"/>
      <c r="Q127" s="74"/>
      <c r="R127" s="74"/>
      <c r="S127" s="74"/>
      <c r="T127" s="74"/>
      <c r="U127" s="74"/>
      <c r="V127" s="74"/>
      <c r="W127" s="74"/>
      <c r="X127" s="74"/>
      <c r="Y127" s="74"/>
    </row>
    <row r="128" spans="1:25" ht="15.75" thickBot="1" x14ac:dyDescent="0.3">
      <c r="A128" s="75">
        <v>2025</v>
      </c>
      <c r="B128" s="76">
        <v>11</v>
      </c>
      <c r="C128" s="85" t="s">
        <v>439</v>
      </c>
      <c r="D128" s="85" t="s">
        <v>439</v>
      </c>
      <c r="E128" s="76" t="s">
        <v>116</v>
      </c>
      <c r="F128" s="77" t="s">
        <v>1517</v>
      </c>
      <c r="G128" s="77" t="s">
        <v>1518</v>
      </c>
      <c r="H128" s="77" t="s">
        <v>800</v>
      </c>
      <c r="I128" s="77" t="s">
        <v>1654</v>
      </c>
      <c r="J128" s="77"/>
      <c r="K128" s="77"/>
      <c r="L128" s="74"/>
      <c r="M128" s="74"/>
      <c r="N128" s="74"/>
      <c r="O128" s="74"/>
      <c r="P128" s="74"/>
      <c r="Q128" s="74"/>
      <c r="R128" s="74"/>
      <c r="S128" s="74"/>
      <c r="T128" s="74"/>
      <c r="U128" s="74"/>
      <c r="V128" s="74"/>
      <c r="W128" s="74"/>
      <c r="X128" s="74"/>
      <c r="Y128" s="74"/>
    </row>
    <row r="129" spans="1:25" ht="15.75" thickBot="1" x14ac:dyDescent="0.3">
      <c r="A129" s="78">
        <v>2025</v>
      </c>
      <c r="B129" s="79">
        <v>13</v>
      </c>
      <c r="C129" s="86" t="s">
        <v>442</v>
      </c>
      <c r="D129" s="86" t="s">
        <v>442</v>
      </c>
      <c r="E129" s="79" t="s">
        <v>117</v>
      </c>
      <c r="F129" s="80" t="s">
        <v>997</v>
      </c>
      <c r="G129" s="80" t="s">
        <v>1052</v>
      </c>
      <c r="H129" s="80" t="s">
        <v>1577</v>
      </c>
      <c r="I129" s="80" t="s">
        <v>1578</v>
      </c>
      <c r="J129" s="80"/>
      <c r="K129" s="80"/>
      <c r="L129" s="74"/>
      <c r="M129" s="74"/>
      <c r="N129" s="74"/>
      <c r="O129" s="74"/>
      <c r="P129" s="74"/>
      <c r="Q129" s="74"/>
      <c r="R129" s="74"/>
      <c r="S129" s="74"/>
      <c r="T129" s="74"/>
      <c r="U129" s="74"/>
      <c r="V129" s="74"/>
      <c r="W129" s="74"/>
      <c r="X129" s="74"/>
      <c r="Y129" s="74"/>
    </row>
    <row r="130" spans="1:25" ht="15.75" thickBot="1" x14ac:dyDescent="0.3">
      <c r="A130" s="75">
        <v>2025</v>
      </c>
      <c r="B130" s="113" t="s">
        <v>658</v>
      </c>
      <c r="C130" s="85" t="s">
        <v>443</v>
      </c>
      <c r="D130" s="85" t="s">
        <v>443</v>
      </c>
      <c r="E130" s="76" t="s">
        <v>118</v>
      </c>
      <c r="F130" s="77" t="s">
        <v>1579</v>
      </c>
      <c r="G130" s="77" t="s">
        <v>1580</v>
      </c>
      <c r="H130" s="77" t="s">
        <v>840</v>
      </c>
      <c r="I130" s="77" t="s">
        <v>841</v>
      </c>
      <c r="J130" s="77"/>
      <c r="K130" s="77"/>
      <c r="L130" s="74"/>
      <c r="M130" s="74"/>
      <c r="N130" s="74"/>
      <c r="O130" s="74"/>
      <c r="P130" s="74"/>
      <c r="Q130" s="74"/>
      <c r="R130" s="74"/>
      <c r="S130" s="74"/>
      <c r="T130" s="74"/>
      <c r="U130" s="74"/>
      <c r="V130" s="74"/>
      <c r="W130" s="74"/>
      <c r="X130" s="74"/>
      <c r="Y130" s="74"/>
    </row>
    <row r="131" spans="1:25" ht="15.75" thickBot="1" x14ac:dyDescent="0.3">
      <c r="A131" s="78">
        <v>2025</v>
      </c>
      <c r="B131" s="79">
        <v>13</v>
      </c>
      <c r="C131" s="86" t="s">
        <v>444</v>
      </c>
      <c r="D131" s="86" t="s">
        <v>444</v>
      </c>
      <c r="E131" s="79" t="s">
        <v>119</v>
      </c>
      <c r="F131" s="80" t="s">
        <v>1053</v>
      </c>
      <c r="G131" s="80" t="s">
        <v>1054</v>
      </c>
      <c r="H131" s="80" t="s">
        <v>1055</v>
      </c>
      <c r="I131" s="80" t="s">
        <v>1056</v>
      </c>
      <c r="J131" s="80"/>
      <c r="K131" s="80"/>
      <c r="L131" s="74"/>
      <c r="M131" s="74"/>
      <c r="N131" s="74"/>
      <c r="O131" s="74"/>
      <c r="P131" s="74"/>
      <c r="Q131" s="74"/>
      <c r="R131" s="74"/>
      <c r="S131" s="74"/>
      <c r="T131" s="74"/>
      <c r="U131" s="74"/>
      <c r="V131" s="74"/>
      <c r="W131" s="74"/>
      <c r="X131" s="74"/>
      <c r="Y131" s="74"/>
    </row>
    <row r="132" spans="1:25" ht="15.75" thickBot="1" x14ac:dyDescent="0.3">
      <c r="A132" s="75">
        <v>2025</v>
      </c>
      <c r="B132" s="113" t="s">
        <v>661</v>
      </c>
      <c r="C132" s="85" t="s">
        <v>445</v>
      </c>
      <c r="D132" s="85" t="s">
        <v>445</v>
      </c>
      <c r="E132" s="76" t="s">
        <v>713</v>
      </c>
      <c r="F132" s="77" t="s">
        <v>2078</v>
      </c>
      <c r="G132" s="77" t="s">
        <v>2079</v>
      </c>
      <c r="H132" s="77" t="s">
        <v>1058</v>
      </c>
      <c r="I132" s="77" t="s">
        <v>1059</v>
      </c>
      <c r="J132" s="77"/>
      <c r="K132" s="77"/>
      <c r="L132" s="74"/>
      <c r="M132" s="74"/>
      <c r="N132" s="74"/>
      <c r="O132" s="74"/>
      <c r="P132" s="74"/>
      <c r="Q132" s="74"/>
      <c r="R132" s="74"/>
      <c r="S132" s="74"/>
      <c r="T132" s="74"/>
      <c r="U132" s="74"/>
      <c r="V132" s="74"/>
      <c r="W132" s="74"/>
      <c r="X132" s="74"/>
      <c r="Y132" s="74"/>
    </row>
    <row r="133" spans="1:25" ht="15.75" thickBot="1" x14ac:dyDescent="0.3">
      <c r="A133" s="78">
        <v>2025</v>
      </c>
      <c r="B133" s="79">
        <v>12</v>
      </c>
      <c r="C133" s="86" t="s">
        <v>446</v>
      </c>
      <c r="D133" s="86" t="s">
        <v>446</v>
      </c>
      <c r="E133" s="79" t="s">
        <v>121</v>
      </c>
      <c r="F133" s="80" t="s">
        <v>1060</v>
      </c>
      <c r="G133" s="80" t="s">
        <v>1061</v>
      </c>
      <c r="H133" s="80" t="s">
        <v>2223</v>
      </c>
      <c r="I133" s="80" t="s">
        <v>2224</v>
      </c>
      <c r="J133" s="80"/>
      <c r="K133" s="80"/>
      <c r="L133" s="74"/>
      <c r="M133" s="74"/>
      <c r="N133" s="74"/>
      <c r="O133" s="74"/>
      <c r="P133" s="74"/>
      <c r="Q133" s="74"/>
      <c r="R133" s="74"/>
      <c r="S133" s="74"/>
      <c r="T133" s="74"/>
      <c r="U133" s="74"/>
      <c r="V133" s="74"/>
      <c r="W133" s="74"/>
      <c r="X133" s="74"/>
      <c r="Y133" s="74"/>
    </row>
    <row r="134" spans="1:25" ht="15.75" thickBot="1" x14ac:dyDescent="0.3">
      <c r="A134" s="75">
        <v>2025</v>
      </c>
      <c r="B134" s="76">
        <v>10</v>
      </c>
      <c r="C134" s="85" t="s">
        <v>447</v>
      </c>
      <c r="D134" s="85" t="s">
        <v>447</v>
      </c>
      <c r="E134" s="76" t="s">
        <v>122</v>
      </c>
      <c r="F134" s="77" t="s">
        <v>1062</v>
      </c>
      <c r="G134" s="77" t="s">
        <v>1063</v>
      </c>
      <c r="H134" s="77" t="s">
        <v>2225</v>
      </c>
      <c r="I134" s="77" t="s">
        <v>2226</v>
      </c>
      <c r="J134" s="77"/>
      <c r="K134" s="77"/>
      <c r="L134" s="74"/>
      <c r="M134" s="74"/>
      <c r="N134" s="74"/>
      <c r="O134" s="74"/>
      <c r="P134" s="74"/>
      <c r="Q134" s="74"/>
      <c r="R134" s="74"/>
      <c r="S134" s="74"/>
      <c r="T134" s="74"/>
      <c r="U134" s="74"/>
      <c r="V134" s="74"/>
      <c r="W134" s="74"/>
      <c r="X134" s="74"/>
      <c r="Y134" s="74"/>
    </row>
    <row r="135" spans="1:25" ht="15.75" thickBot="1" x14ac:dyDescent="0.3">
      <c r="A135" s="78">
        <v>2025</v>
      </c>
      <c r="B135" s="79">
        <v>12</v>
      </c>
      <c r="C135" s="86" t="s">
        <v>448</v>
      </c>
      <c r="D135" s="86" t="s">
        <v>448</v>
      </c>
      <c r="E135" s="79" t="s">
        <v>123</v>
      </c>
      <c r="F135" s="80" t="s">
        <v>1064</v>
      </c>
      <c r="G135" s="80" t="s">
        <v>1065</v>
      </c>
      <c r="H135" s="80" t="s">
        <v>1066</v>
      </c>
      <c r="I135" s="80" t="s">
        <v>1067</v>
      </c>
      <c r="J135" s="80"/>
      <c r="K135" s="80"/>
      <c r="L135" s="74"/>
      <c r="M135" s="74"/>
      <c r="N135" s="74"/>
      <c r="O135" s="74"/>
      <c r="P135" s="74"/>
      <c r="Q135" s="74"/>
      <c r="R135" s="74"/>
      <c r="S135" s="74"/>
      <c r="T135" s="74"/>
      <c r="U135" s="74"/>
      <c r="V135" s="74"/>
      <c r="W135" s="74"/>
      <c r="X135" s="74"/>
      <c r="Y135" s="74"/>
    </row>
    <row r="136" spans="1:25" ht="15.75" thickBot="1" x14ac:dyDescent="0.3">
      <c r="A136" s="75">
        <v>2025</v>
      </c>
      <c r="B136" s="76">
        <v>10</v>
      </c>
      <c r="C136" s="85" t="s">
        <v>441</v>
      </c>
      <c r="D136" s="85" t="s">
        <v>441</v>
      </c>
      <c r="E136" s="76" t="s">
        <v>5</v>
      </c>
      <c r="F136" s="77" t="s">
        <v>834</v>
      </c>
      <c r="G136" s="77" t="s">
        <v>1068</v>
      </c>
      <c r="H136" s="77" t="s">
        <v>1069</v>
      </c>
      <c r="I136" s="77" t="s">
        <v>837</v>
      </c>
      <c r="J136" s="77"/>
      <c r="K136" s="77"/>
      <c r="L136" s="74"/>
      <c r="M136" s="74"/>
      <c r="N136" s="74"/>
      <c r="O136" s="74"/>
      <c r="P136" s="74"/>
      <c r="Q136" s="74"/>
      <c r="R136" s="74"/>
      <c r="S136" s="74"/>
      <c r="T136" s="74"/>
      <c r="U136" s="74"/>
      <c r="V136" s="74"/>
      <c r="W136" s="74"/>
      <c r="X136" s="74"/>
      <c r="Y136" s="74"/>
    </row>
    <row r="137" spans="1:25" ht="15.75" thickBot="1" x14ac:dyDescent="0.3">
      <c r="A137" s="78">
        <v>2025</v>
      </c>
      <c r="B137" s="114" t="s">
        <v>665</v>
      </c>
      <c r="C137" s="86" t="s">
        <v>449</v>
      </c>
      <c r="D137" s="86" t="s">
        <v>449</v>
      </c>
      <c r="E137" s="79" t="s">
        <v>124</v>
      </c>
      <c r="F137" s="80" t="s">
        <v>1363</v>
      </c>
      <c r="G137" s="80" t="s">
        <v>1581</v>
      </c>
      <c r="H137" s="80" t="s">
        <v>1070</v>
      </c>
      <c r="I137" s="80" t="s">
        <v>1071</v>
      </c>
      <c r="J137" s="80"/>
      <c r="K137" s="80"/>
      <c r="L137" s="74"/>
      <c r="M137" s="74"/>
      <c r="N137" s="74"/>
      <c r="O137" s="74"/>
      <c r="P137" s="74"/>
      <c r="Q137" s="74"/>
      <c r="R137" s="74"/>
      <c r="S137" s="74"/>
      <c r="T137" s="74"/>
      <c r="U137" s="74"/>
      <c r="V137" s="74"/>
      <c r="W137" s="74"/>
      <c r="X137" s="74"/>
      <c r="Y137" s="74"/>
    </row>
    <row r="138" spans="1:25" ht="15.75" thickBot="1" x14ac:dyDescent="0.3">
      <c r="A138" s="75">
        <v>2025</v>
      </c>
      <c r="B138" s="113" t="s">
        <v>658</v>
      </c>
      <c r="C138" s="85" t="s">
        <v>450</v>
      </c>
      <c r="D138" s="85" t="s">
        <v>450</v>
      </c>
      <c r="E138" s="76" t="s">
        <v>714</v>
      </c>
      <c r="F138" s="77" t="s">
        <v>989</v>
      </c>
      <c r="G138" s="77" t="s">
        <v>1072</v>
      </c>
      <c r="H138" s="77" t="s">
        <v>1073</v>
      </c>
      <c r="I138" s="77" t="s">
        <v>1074</v>
      </c>
      <c r="J138" s="77"/>
      <c r="K138" s="77"/>
      <c r="L138" s="74"/>
      <c r="M138" s="74"/>
      <c r="N138" s="74"/>
      <c r="O138" s="74"/>
      <c r="P138" s="74"/>
      <c r="Q138" s="74"/>
      <c r="R138" s="74"/>
      <c r="S138" s="74"/>
      <c r="T138" s="74"/>
      <c r="U138" s="74"/>
      <c r="V138" s="74"/>
      <c r="W138" s="74"/>
      <c r="X138" s="74"/>
      <c r="Y138" s="74"/>
    </row>
    <row r="139" spans="1:25" ht="15.75" thickBot="1" x14ac:dyDescent="0.3">
      <c r="A139" s="78">
        <v>2025</v>
      </c>
      <c r="B139" s="114" t="s">
        <v>658</v>
      </c>
      <c r="C139" s="86" t="s">
        <v>451</v>
      </c>
      <c r="D139" s="86" t="s">
        <v>451</v>
      </c>
      <c r="E139" s="79" t="s">
        <v>125</v>
      </c>
      <c r="F139" s="80" t="s">
        <v>1075</v>
      </c>
      <c r="G139" s="80" t="s">
        <v>1076</v>
      </c>
      <c r="H139" s="80" t="s">
        <v>1050</v>
      </c>
      <c r="I139" s="80" t="s">
        <v>2227</v>
      </c>
      <c r="J139" s="80"/>
      <c r="K139" s="80"/>
      <c r="L139" s="74"/>
      <c r="M139" s="74"/>
      <c r="N139" s="74"/>
      <c r="O139" s="74"/>
      <c r="P139" s="74"/>
      <c r="Q139" s="74"/>
      <c r="R139" s="74"/>
      <c r="S139" s="74"/>
      <c r="T139" s="74"/>
      <c r="U139" s="74"/>
      <c r="V139" s="74"/>
      <c r="W139" s="74"/>
      <c r="X139" s="74"/>
      <c r="Y139" s="74"/>
    </row>
    <row r="140" spans="1:25" ht="15.75" thickBot="1" x14ac:dyDescent="0.3">
      <c r="A140" s="75">
        <v>2025</v>
      </c>
      <c r="B140" s="113" t="s">
        <v>661</v>
      </c>
      <c r="C140" s="85" t="s">
        <v>452</v>
      </c>
      <c r="D140" s="85" t="s">
        <v>452</v>
      </c>
      <c r="E140" s="76" t="s">
        <v>126</v>
      </c>
      <c r="F140" s="77" t="s">
        <v>1077</v>
      </c>
      <c r="G140" s="77" t="s">
        <v>1078</v>
      </c>
      <c r="H140" s="77" t="s">
        <v>1079</v>
      </c>
      <c r="I140" s="77" t="s">
        <v>1080</v>
      </c>
      <c r="J140" s="77"/>
      <c r="K140" s="77"/>
      <c r="L140" s="74"/>
      <c r="M140" s="74"/>
      <c r="N140" s="74"/>
      <c r="O140" s="74"/>
      <c r="P140" s="74"/>
      <c r="Q140" s="74"/>
      <c r="R140" s="74"/>
      <c r="S140" s="74"/>
      <c r="T140" s="74"/>
      <c r="U140" s="74"/>
      <c r="V140" s="74"/>
      <c r="W140" s="74"/>
      <c r="X140" s="74"/>
      <c r="Y140" s="74"/>
    </row>
    <row r="141" spans="1:25" ht="15.75" thickBot="1" x14ac:dyDescent="0.3">
      <c r="A141" s="78">
        <v>2025</v>
      </c>
      <c r="B141" s="79">
        <v>13</v>
      </c>
      <c r="C141" s="86" t="s">
        <v>459</v>
      </c>
      <c r="D141" s="86" t="s">
        <v>459</v>
      </c>
      <c r="E141" s="79" t="s">
        <v>127</v>
      </c>
      <c r="F141" s="80" t="s">
        <v>2228</v>
      </c>
      <c r="G141" s="80" t="s">
        <v>2229</v>
      </c>
      <c r="H141" s="80" t="s">
        <v>1055</v>
      </c>
      <c r="I141" s="80" t="s">
        <v>2230</v>
      </c>
      <c r="J141" s="80"/>
      <c r="K141" s="80"/>
      <c r="L141" s="74"/>
      <c r="M141" s="74"/>
      <c r="N141" s="74"/>
      <c r="O141" s="74"/>
      <c r="P141" s="74"/>
      <c r="Q141" s="74"/>
      <c r="R141" s="74"/>
      <c r="S141" s="74"/>
      <c r="T141" s="74"/>
      <c r="U141" s="74"/>
      <c r="V141" s="74"/>
      <c r="W141" s="74"/>
      <c r="X141" s="74"/>
      <c r="Y141" s="74"/>
    </row>
    <row r="142" spans="1:25" ht="15.75" thickBot="1" x14ac:dyDescent="0.3">
      <c r="A142" s="75">
        <v>2025</v>
      </c>
      <c r="B142" s="113" t="s">
        <v>658</v>
      </c>
      <c r="C142" s="85" t="s">
        <v>453</v>
      </c>
      <c r="D142" s="85" t="s">
        <v>453</v>
      </c>
      <c r="E142" s="76" t="s">
        <v>128</v>
      </c>
      <c r="F142" s="77" t="s">
        <v>2231</v>
      </c>
      <c r="G142" s="77" t="s">
        <v>2232</v>
      </c>
      <c r="H142" s="77" t="s">
        <v>1721</v>
      </c>
      <c r="I142" s="77" t="s">
        <v>2233</v>
      </c>
      <c r="J142" s="77" t="s">
        <v>1721</v>
      </c>
      <c r="K142" s="77" t="s">
        <v>2233</v>
      </c>
      <c r="L142" s="74"/>
      <c r="M142" s="74"/>
      <c r="N142" s="74"/>
      <c r="O142" s="74"/>
      <c r="P142" s="74"/>
      <c r="Q142" s="74"/>
      <c r="R142" s="74"/>
      <c r="S142" s="74"/>
      <c r="T142" s="74"/>
      <c r="U142" s="74"/>
      <c r="V142" s="74"/>
      <c r="W142" s="74"/>
      <c r="X142" s="74"/>
      <c r="Y142" s="74"/>
    </row>
    <row r="143" spans="1:25" ht="15.75" thickBot="1" x14ac:dyDescent="0.3">
      <c r="A143" s="78">
        <v>2025</v>
      </c>
      <c r="B143" s="79">
        <v>11</v>
      </c>
      <c r="C143" s="86" t="s">
        <v>454</v>
      </c>
      <c r="D143" s="86" t="s">
        <v>454</v>
      </c>
      <c r="E143" s="79" t="s">
        <v>129</v>
      </c>
      <c r="F143" s="80" t="s">
        <v>1000</v>
      </c>
      <c r="G143" s="80" t="s">
        <v>2234</v>
      </c>
      <c r="H143" s="80" t="s">
        <v>2235</v>
      </c>
      <c r="I143" s="80" t="s">
        <v>2236</v>
      </c>
      <c r="J143" s="80"/>
      <c r="K143" s="80"/>
      <c r="L143" s="74"/>
      <c r="M143" s="74"/>
      <c r="N143" s="74"/>
      <c r="O143" s="74"/>
      <c r="P143" s="74"/>
      <c r="Q143" s="74"/>
      <c r="R143" s="74"/>
      <c r="S143" s="74"/>
      <c r="T143" s="74"/>
      <c r="U143" s="74"/>
      <c r="V143" s="74"/>
      <c r="W143" s="74"/>
      <c r="X143" s="74"/>
      <c r="Y143" s="74"/>
    </row>
    <row r="144" spans="1:25" ht="15.75" thickBot="1" x14ac:dyDescent="0.3">
      <c r="A144" s="75">
        <v>2025</v>
      </c>
      <c r="B144" s="76">
        <v>11</v>
      </c>
      <c r="C144" s="85" t="s">
        <v>455</v>
      </c>
      <c r="D144" s="85" t="s">
        <v>455</v>
      </c>
      <c r="E144" s="76" t="s">
        <v>715</v>
      </c>
      <c r="F144" s="77" t="s">
        <v>1555</v>
      </c>
      <c r="G144" s="77" t="s">
        <v>2237</v>
      </c>
      <c r="H144" s="77" t="s">
        <v>889</v>
      </c>
      <c r="I144" s="77" t="s">
        <v>2238</v>
      </c>
      <c r="J144" s="77"/>
      <c r="K144" s="77"/>
      <c r="L144" s="74"/>
      <c r="M144" s="74"/>
      <c r="N144" s="74"/>
      <c r="O144" s="74"/>
      <c r="P144" s="74"/>
      <c r="Q144" s="74"/>
      <c r="R144" s="74"/>
      <c r="S144" s="74"/>
      <c r="T144" s="74"/>
      <c r="U144" s="74"/>
      <c r="V144" s="74"/>
      <c r="W144" s="74"/>
      <c r="X144" s="74"/>
      <c r="Y144" s="74"/>
    </row>
    <row r="145" spans="1:25" ht="15.75" thickBot="1" x14ac:dyDescent="0.3">
      <c r="A145" s="78">
        <v>2025</v>
      </c>
      <c r="B145" s="79">
        <v>10</v>
      </c>
      <c r="C145" s="86" t="s">
        <v>456</v>
      </c>
      <c r="D145" s="86" t="s">
        <v>456</v>
      </c>
      <c r="E145" s="79" t="s">
        <v>130</v>
      </c>
      <c r="F145" s="80" t="s">
        <v>1082</v>
      </c>
      <c r="G145" s="80" t="s">
        <v>1083</v>
      </c>
      <c r="H145" s="80" t="s">
        <v>2239</v>
      </c>
      <c r="I145" s="80" t="s">
        <v>2240</v>
      </c>
      <c r="J145" s="80" t="s">
        <v>1722</v>
      </c>
      <c r="K145" s="80" t="s">
        <v>1723</v>
      </c>
      <c r="L145" s="74"/>
      <c r="M145" s="74"/>
      <c r="N145" s="74"/>
      <c r="O145" s="74"/>
      <c r="P145" s="74"/>
      <c r="Q145" s="74"/>
      <c r="R145" s="74"/>
      <c r="S145" s="74"/>
      <c r="T145" s="74"/>
      <c r="U145" s="74"/>
      <c r="V145" s="74"/>
      <c r="W145" s="74"/>
      <c r="X145" s="74"/>
      <c r="Y145" s="74"/>
    </row>
    <row r="146" spans="1:25" ht="15.75" thickBot="1" x14ac:dyDescent="0.3">
      <c r="A146" s="75">
        <v>2025</v>
      </c>
      <c r="B146" s="113" t="s">
        <v>658</v>
      </c>
      <c r="C146" s="85" t="s">
        <v>457</v>
      </c>
      <c r="D146" s="85" t="s">
        <v>457</v>
      </c>
      <c r="E146" s="76" t="s">
        <v>131</v>
      </c>
      <c r="F146" s="77" t="s">
        <v>775</v>
      </c>
      <c r="G146" s="77" t="s">
        <v>776</v>
      </c>
      <c r="H146" s="77" t="s">
        <v>1203</v>
      </c>
      <c r="I146" s="77" t="s">
        <v>1724</v>
      </c>
      <c r="J146" s="77"/>
      <c r="K146" s="77"/>
      <c r="L146" s="74"/>
      <c r="M146" s="74"/>
      <c r="N146" s="74"/>
      <c r="O146" s="74"/>
      <c r="P146" s="74"/>
      <c r="Q146" s="74"/>
      <c r="R146" s="74"/>
      <c r="S146" s="74"/>
      <c r="T146" s="74"/>
      <c r="U146" s="74"/>
      <c r="V146" s="74"/>
      <c r="W146" s="74"/>
      <c r="X146" s="74"/>
      <c r="Y146" s="74"/>
    </row>
    <row r="147" spans="1:25" ht="15.75" thickBot="1" x14ac:dyDescent="0.3">
      <c r="A147" s="78">
        <v>2025</v>
      </c>
      <c r="B147" s="79">
        <v>10</v>
      </c>
      <c r="C147" s="86" t="s">
        <v>458</v>
      </c>
      <c r="D147" s="86" t="s">
        <v>458</v>
      </c>
      <c r="E147" s="79" t="s">
        <v>132</v>
      </c>
      <c r="F147" s="80" t="s">
        <v>993</v>
      </c>
      <c r="G147" s="80" t="s">
        <v>1084</v>
      </c>
      <c r="H147" s="80" t="s">
        <v>995</v>
      </c>
      <c r="I147" s="80" t="s">
        <v>1085</v>
      </c>
      <c r="J147" s="80"/>
      <c r="K147" s="80"/>
      <c r="L147" s="74"/>
      <c r="M147" s="74"/>
      <c r="N147" s="74"/>
      <c r="O147" s="74"/>
      <c r="P147" s="74"/>
      <c r="Q147" s="74"/>
      <c r="R147" s="74"/>
      <c r="S147" s="74"/>
      <c r="T147" s="74"/>
      <c r="U147" s="74"/>
      <c r="V147" s="74"/>
      <c r="W147" s="74"/>
      <c r="X147" s="74"/>
      <c r="Y147" s="74"/>
    </row>
    <row r="148" spans="1:25" ht="15.75" thickBot="1" x14ac:dyDescent="0.3">
      <c r="A148" s="75">
        <v>2025</v>
      </c>
      <c r="B148" s="113" t="s">
        <v>658</v>
      </c>
      <c r="C148" s="85" t="s">
        <v>460</v>
      </c>
      <c r="D148" s="85" t="s">
        <v>460</v>
      </c>
      <c r="E148" s="76" t="s">
        <v>133</v>
      </c>
      <c r="F148" s="77" t="s">
        <v>1086</v>
      </c>
      <c r="G148" s="77" t="s">
        <v>1087</v>
      </c>
      <c r="H148" s="77" t="s">
        <v>1088</v>
      </c>
      <c r="I148" s="77" t="s">
        <v>1089</v>
      </c>
      <c r="J148" s="77"/>
      <c r="K148" s="77"/>
      <c r="L148" s="74"/>
      <c r="M148" s="74"/>
      <c r="N148" s="74"/>
      <c r="O148" s="74"/>
      <c r="P148" s="74"/>
      <c r="Q148" s="74"/>
      <c r="R148" s="74"/>
      <c r="S148" s="74"/>
      <c r="T148" s="74"/>
      <c r="U148" s="74"/>
      <c r="V148" s="74"/>
      <c r="W148" s="74"/>
      <c r="X148" s="74"/>
      <c r="Y148" s="74"/>
    </row>
    <row r="149" spans="1:25" ht="15.75" thickBot="1" x14ac:dyDescent="0.3">
      <c r="A149" s="78">
        <v>2025</v>
      </c>
      <c r="B149" s="114" t="s">
        <v>658</v>
      </c>
      <c r="C149" s="86" t="s">
        <v>462</v>
      </c>
      <c r="D149" s="86" t="s">
        <v>462</v>
      </c>
      <c r="E149" s="79" t="s">
        <v>716</v>
      </c>
      <c r="F149" s="80" t="s">
        <v>1103</v>
      </c>
      <c r="G149" s="80" t="s">
        <v>1582</v>
      </c>
      <c r="H149" s="80" t="s">
        <v>1725</v>
      </c>
      <c r="I149" s="80" t="s">
        <v>1726</v>
      </c>
      <c r="J149" s="80"/>
      <c r="K149" s="80"/>
      <c r="L149" s="74"/>
      <c r="M149" s="74"/>
      <c r="N149" s="74"/>
      <c r="O149" s="74"/>
      <c r="P149" s="74"/>
      <c r="Q149" s="74"/>
      <c r="R149" s="74"/>
      <c r="S149" s="74"/>
      <c r="T149" s="74"/>
      <c r="U149" s="74"/>
      <c r="V149" s="74"/>
      <c r="W149" s="74"/>
      <c r="X149" s="74"/>
      <c r="Y149" s="74"/>
    </row>
    <row r="150" spans="1:25" ht="15.75" thickBot="1" x14ac:dyDescent="0.3">
      <c r="A150" s="75">
        <v>2025</v>
      </c>
      <c r="B150" s="76">
        <v>11</v>
      </c>
      <c r="C150" s="85" t="s">
        <v>463</v>
      </c>
      <c r="D150" s="85" t="s">
        <v>463</v>
      </c>
      <c r="E150" s="76" t="s">
        <v>717</v>
      </c>
      <c r="F150" s="77" t="s">
        <v>2241</v>
      </c>
      <c r="G150" s="77" t="s">
        <v>2242</v>
      </c>
      <c r="H150" s="77" t="s">
        <v>1091</v>
      </c>
      <c r="I150" s="77" t="s">
        <v>1092</v>
      </c>
      <c r="J150" s="77" t="s">
        <v>1583</v>
      </c>
      <c r="K150" s="77" t="s">
        <v>1584</v>
      </c>
      <c r="L150" s="74"/>
      <c r="M150" s="74"/>
      <c r="N150" s="74"/>
      <c r="O150" s="74"/>
      <c r="P150" s="74"/>
      <c r="Q150" s="74"/>
      <c r="R150" s="74"/>
      <c r="S150" s="74"/>
      <c r="T150" s="74"/>
      <c r="U150" s="74"/>
      <c r="V150" s="74"/>
      <c r="W150" s="74"/>
      <c r="X150" s="74"/>
      <c r="Y150" s="74"/>
    </row>
    <row r="151" spans="1:25" ht="15.75" thickBot="1" x14ac:dyDescent="0.3">
      <c r="A151" s="78">
        <v>2025</v>
      </c>
      <c r="B151" s="79">
        <v>15</v>
      </c>
      <c r="C151" s="86" t="s">
        <v>464</v>
      </c>
      <c r="D151" s="86" t="s">
        <v>464</v>
      </c>
      <c r="E151" s="79" t="s">
        <v>718</v>
      </c>
      <c r="F151" s="80" t="s">
        <v>2243</v>
      </c>
      <c r="G151" s="80" t="s">
        <v>2244</v>
      </c>
      <c r="H151" s="80" t="s">
        <v>1093</v>
      </c>
      <c r="I151" s="80" t="s">
        <v>1094</v>
      </c>
      <c r="J151" s="80"/>
      <c r="K151" s="80"/>
      <c r="L151" s="74"/>
      <c r="M151" s="74"/>
      <c r="N151" s="74"/>
      <c r="O151" s="74"/>
      <c r="P151" s="74"/>
      <c r="Q151" s="74"/>
      <c r="R151" s="74"/>
      <c r="S151" s="74"/>
      <c r="T151" s="74"/>
      <c r="U151" s="74"/>
      <c r="V151" s="74"/>
      <c r="W151" s="74"/>
      <c r="X151" s="74"/>
      <c r="Y151" s="74"/>
    </row>
    <row r="152" spans="1:25" ht="15.75" thickBot="1" x14ac:dyDescent="0.3">
      <c r="A152" s="75">
        <v>2025</v>
      </c>
      <c r="B152" s="76">
        <v>15</v>
      </c>
      <c r="C152" s="85" t="s">
        <v>465</v>
      </c>
      <c r="D152" s="85" t="s">
        <v>465</v>
      </c>
      <c r="E152" s="76" t="s">
        <v>134</v>
      </c>
      <c r="F152" s="77" t="s">
        <v>2245</v>
      </c>
      <c r="G152" s="77" t="s">
        <v>2246</v>
      </c>
      <c r="H152" s="77" t="s">
        <v>1727</v>
      </c>
      <c r="I152" s="77" t="s">
        <v>1728</v>
      </c>
      <c r="J152" s="77"/>
      <c r="K152" s="77"/>
      <c r="L152" s="74"/>
      <c r="M152" s="74"/>
      <c r="N152" s="74"/>
      <c r="O152" s="74"/>
      <c r="P152" s="74"/>
      <c r="Q152" s="74"/>
      <c r="R152" s="74"/>
      <c r="S152" s="74"/>
      <c r="T152" s="74"/>
      <c r="U152" s="74"/>
      <c r="V152" s="74"/>
      <c r="W152" s="74"/>
      <c r="X152" s="74"/>
      <c r="Y152" s="74"/>
    </row>
    <row r="153" spans="1:25" ht="15.75" thickBot="1" x14ac:dyDescent="0.3">
      <c r="A153" s="78">
        <v>2025</v>
      </c>
      <c r="B153" s="79">
        <v>12</v>
      </c>
      <c r="C153" s="86" t="s">
        <v>466</v>
      </c>
      <c r="D153" s="86" t="s">
        <v>466</v>
      </c>
      <c r="E153" s="79" t="s">
        <v>135</v>
      </c>
      <c r="F153" s="80" t="s">
        <v>1095</v>
      </c>
      <c r="G153" s="80" t="s">
        <v>1096</v>
      </c>
      <c r="H153" s="80" t="s">
        <v>1097</v>
      </c>
      <c r="I153" s="80" t="s">
        <v>1098</v>
      </c>
      <c r="J153" s="80"/>
      <c r="K153" s="80"/>
      <c r="L153" s="74"/>
      <c r="M153" s="74"/>
      <c r="N153" s="74"/>
      <c r="O153" s="74"/>
      <c r="P153" s="74"/>
      <c r="Q153" s="74"/>
      <c r="R153" s="74"/>
      <c r="S153" s="74"/>
      <c r="T153" s="74"/>
      <c r="U153" s="74"/>
      <c r="V153" s="74"/>
      <c r="W153" s="74"/>
      <c r="X153" s="74"/>
      <c r="Y153" s="74"/>
    </row>
    <row r="154" spans="1:25" ht="15.75" thickBot="1" x14ac:dyDescent="0.3">
      <c r="A154" s="75">
        <v>2025</v>
      </c>
      <c r="B154" s="76">
        <v>11</v>
      </c>
      <c r="C154" s="85" t="s">
        <v>467</v>
      </c>
      <c r="D154" s="85" t="s">
        <v>467</v>
      </c>
      <c r="E154" s="76" t="s">
        <v>136</v>
      </c>
      <c r="F154" s="77" t="s">
        <v>1099</v>
      </c>
      <c r="G154" s="77" t="s">
        <v>1100</v>
      </c>
      <c r="H154" s="77" t="s">
        <v>1101</v>
      </c>
      <c r="I154" s="77" t="s">
        <v>1102</v>
      </c>
      <c r="J154" s="77"/>
      <c r="K154" s="77"/>
      <c r="L154" s="74"/>
      <c r="M154" s="74"/>
      <c r="N154" s="74"/>
      <c r="O154" s="74"/>
      <c r="P154" s="74"/>
      <c r="Q154" s="74"/>
      <c r="R154" s="74"/>
      <c r="S154" s="74"/>
      <c r="T154" s="74"/>
      <c r="U154" s="74"/>
      <c r="V154" s="74"/>
      <c r="W154" s="74"/>
      <c r="X154" s="74"/>
      <c r="Y154" s="74"/>
    </row>
    <row r="155" spans="1:25" ht="15.75" thickBot="1" x14ac:dyDescent="0.3">
      <c r="A155" s="78">
        <v>2025</v>
      </c>
      <c r="B155" s="114" t="s">
        <v>658</v>
      </c>
      <c r="C155" s="86" t="s">
        <v>468</v>
      </c>
      <c r="D155" s="86" t="s">
        <v>468</v>
      </c>
      <c r="E155" s="79" t="s">
        <v>137</v>
      </c>
      <c r="F155" s="80" t="s">
        <v>1585</v>
      </c>
      <c r="G155" s="80" t="s">
        <v>1586</v>
      </c>
      <c r="H155" s="80" t="s">
        <v>1104</v>
      </c>
      <c r="I155" s="80" t="s">
        <v>1105</v>
      </c>
      <c r="J155" s="80"/>
      <c r="K155" s="80"/>
      <c r="L155" s="74"/>
      <c r="M155" s="74"/>
      <c r="N155" s="74"/>
      <c r="O155" s="74"/>
      <c r="P155" s="74"/>
      <c r="Q155" s="74"/>
      <c r="R155" s="74"/>
      <c r="S155" s="74"/>
      <c r="T155" s="74"/>
      <c r="U155" s="74"/>
      <c r="V155" s="74"/>
      <c r="W155" s="74"/>
      <c r="X155" s="74"/>
      <c r="Y155" s="74"/>
    </row>
    <row r="156" spans="1:25" ht="15.75" thickBot="1" x14ac:dyDescent="0.3">
      <c r="A156" s="75">
        <v>2025</v>
      </c>
      <c r="B156" s="76">
        <v>13</v>
      </c>
      <c r="C156" s="85" t="s">
        <v>469</v>
      </c>
      <c r="D156" s="85" t="s">
        <v>469</v>
      </c>
      <c r="E156" s="76" t="s">
        <v>138</v>
      </c>
      <c r="F156" s="77" t="s">
        <v>864</v>
      </c>
      <c r="G156" s="77" t="s">
        <v>1106</v>
      </c>
      <c r="H156" s="77" t="s">
        <v>1729</v>
      </c>
      <c r="I156" s="77" t="s">
        <v>1730</v>
      </c>
      <c r="J156" s="77"/>
      <c r="K156" s="77"/>
      <c r="L156" s="74"/>
      <c r="M156" s="74"/>
      <c r="N156" s="74"/>
      <c r="O156" s="74"/>
      <c r="P156" s="74"/>
      <c r="Q156" s="74"/>
      <c r="R156" s="74"/>
      <c r="S156" s="74"/>
      <c r="T156" s="74"/>
      <c r="U156" s="74"/>
      <c r="V156" s="74"/>
      <c r="W156" s="74"/>
      <c r="X156" s="74"/>
      <c r="Y156" s="74"/>
    </row>
    <row r="157" spans="1:25" ht="15.75" thickBot="1" x14ac:dyDescent="0.3">
      <c r="A157" s="78">
        <v>2025</v>
      </c>
      <c r="B157" s="114" t="s">
        <v>661</v>
      </c>
      <c r="C157" s="86" t="s">
        <v>470</v>
      </c>
      <c r="D157" s="86" t="s">
        <v>470</v>
      </c>
      <c r="E157" s="79" t="s">
        <v>139</v>
      </c>
      <c r="F157" s="80" t="s">
        <v>892</v>
      </c>
      <c r="G157" s="80" t="s">
        <v>1108</v>
      </c>
      <c r="H157" s="80" t="s">
        <v>1109</v>
      </c>
      <c r="I157" s="80" t="s">
        <v>1110</v>
      </c>
      <c r="J157" s="80"/>
      <c r="K157" s="80"/>
      <c r="L157" s="74"/>
      <c r="M157" s="74"/>
      <c r="N157" s="74"/>
      <c r="O157" s="74"/>
      <c r="P157" s="74"/>
      <c r="Q157" s="74"/>
      <c r="R157" s="74"/>
      <c r="S157" s="74"/>
      <c r="T157" s="74"/>
      <c r="U157" s="74"/>
      <c r="V157" s="74"/>
      <c r="W157" s="74"/>
      <c r="X157" s="74"/>
      <c r="Y157" s="74"/>
    </row>
    <row r="158" spans="1:25" ht="15.75" thickBot="1" x14ac:dyDescent="0.3">
      <c r="A158" s="75">
        <v>2025</v>
      </c>
      <c r="B158" s="76">
        <v>12</v>
      </c>
      <c r="C158" s="85" t="s">
        <v>471</v>
      </c>
      <c r="D158" s="85" t="s">
        <v>471</v>
      </c>
      <c r="E158" s="76" t="s">
        <v>140</v>
      </c>
      <c r="F158" s="77" t="s">
        <v>1111</v>
      </c>
      <c r="G158" s="77" t="s">
        <v>1112</v>
      </c>
      <c r="H158" s="77" t="s">
        <v>1587</v>
      </c>
      <c r="I158" s="77" t="s">
        <v>1588</v>
      </c>
      <c r="J158" s="77"/>
      <c r="K158" s="77"/>
      <c r="L158" s="74"/>
      <c r="M158" s="74"/>
      <c r="N158" s="74"/>
      <c r="O158" s="74"/>
      <c r="P158" s="74"/>
      <c r="Q158" s="74"/>
      <c r="R158" s="74"/>
      <c r="S158" s="74"/>
      <c r="T158" s="74"/>
      <c r="U158" s="74"/>
      <c r="V158" s="74"/>
      <c r="W158" s="74"/>
      <c r="X158" s="74"/>
      <c r="Y158" s="74"/>
    </row>
    <row r="159" spans="1:25" ht="15.75" thickBot="1" x14ac:dyDescent="0.3">
      <c r="A159" s="78">
        <v>2025</v>
      </c>
      <c r="B159" s="79">
        <v>12</v>
      </c>
      <c r="C159" s="86" t="s">
        <v>473</v>
      </c>
      <c r="D159" s="86" t="s">
        <v>473</v>
      </c>
      <c r="E159" s="79" t="s">
        <v>719</v>
      </c>
      <c r="F159" s="80" t="s">
        <v>1114</v>
      </c>
      <c r="G159" s="80" t="s">
        <v>1115</v>
      </c>
      <c r="H159" s="80" t="s">
        <v>1113</v>
      </c>
      <c r="I159" s="80" t="s">
        <v>1589</v>
      </c>
      <c r="J159" s="80" t="s">
        <v>1116</v>
      </c>
      <c r="K159" s="80" t="s">
        <v>1117</v>
      </c>
      <c r="L159" s="74"/>
      <c r="M159" s="74"/>
      <c r="N159" s="74"/>
      <c r="O159" s="74"/>
      <c r="P159" s="74"/>
      <c r="Q159" s="74"/>
      <c r="R159" s="74"/>
      <c r="S159" s="74"/>
      <c r="T159" s="74"/>
      <c r="U159" s="74"/>
      <c r="V159" s="74"/>
      <c r="W159" s="74"/>
      <c r="X159" s="74"/>
      <c r="Y159" s="74"/>
    </row>
    <row r="160" spans="1:25" ht="15.75" thickBot="1" x14ac:dyDescent="0.3">
      <c r="A160" s="75">
        <v>2025</v>
      </c>
      <c r="B160" s="76">
        <v>13</v>
      </c>
      <c r="C160" s="85" t="s">
        <v>474</v>
      </c>
      <c r="D160" s="85" t="s">
        <v>474</v>
      </c>
      <c r="E160" s="76" t="s">
        <v>141</v>
      </c>
      <c r="F160" s="77" t="s">
        <v>1044</v>
      </c>
      <c r="G160" s="77" t="s">
        <v>1118</v>
      </c>
      <c r="H160" s="77" t="s">
        <v>1119</v>
      </c>
      <c r="I160" s="77" t="s">
        <v>1120</v>
      </c>
      <c r="J160" s="77" t="s">
        <v>1121</v>
      </c>
      <c r="K160" s="77" t="s">
        <v>1122</v>
      </c>
      <c r="L160" s="74"/>
      <c r="M160" s="74"/>
      <c r="N160" s="74"/>
      <c r="O160" s="74"/>
      <c r="P160" s="74"/>
      <c r="Q160" s="74"/>
      <c r="R160" s="74"/>
      <c r="S160" s="74"/>
      <c r="T160" s="74"/>
      <c r="U160" s="74"/>
      <c r="V160" s="74"/>
      <c r="W160" s="74"/>
      <c r="X160" s="74"/>
      <c r="Y160" s="74"/>
    </row>
    <row r="161" spans="1:25" ht="15.75" thickBot="1" x14ac:dyDescent="0.3">
      <c r="A161" s="78">
        <v>2025</v>
      </c>
      <c r="B161" s="79">
        <v>13</v>
      </c>
      <c r="C161" s="86" t="s">
        <v>475</v>
      </c>
      <c r="D161" s="86" t="s">
        <v>475</v>
      </c>
      <c r="E161" s="79" t="s">
        <v>142</v>
      </c>
      <c r="F161" s="80" t="s">
        <v>1173</v>
      </c>
      <c r="G161" s="80" t="s">
        <v>2247</v>
      </c>
      <c r="H161" s="80" t="s">
        <v>1123</v>
      </c>
      <c r="I161" s="80" t="s">
        <v>1124</v>
      </c>
      <c r="J161" s="80"/>
      <c r="K161" s="80"/>
      <c r="L161" s="74"/>
      <c r="M161" s="74"/>
      <c r="N161" s="74"/>
      <c r="O161" s="74"/>
      <c r="P161" s="74"/>
      <c r="Q161" s="74"/>
      <c r="R161" s="74"/>
      <c r="S161" s="74"/>
      <c r="T161" s="74"/>
      <c r="U161" s="74"/>
      <c r="V161" s="74"/>
      <c r="W161" s="74"/>
      <c r="X161" s="74"/>
      <c r="Y161" s="74"/>
    </row>
    <row r="162" spans="1:25" ht="15.75" thickBot="1" x14ac:dyDescent="0.3">
      <c r="A162" s="75">
        <v>2025</v>
      </c>
      <c r="B162" s="76">
        <v>10</v>
      </c>
      <c r="C162" s="85" t="s">
        <v>477</v>
      </c>
      <c r="D162" s="85" t="s">
        <v>477</v>
      </c>
      <c r="E162" s="76" t="s">
        <v>720</v>
      </c>
      <c r="F162" s="77" t="s">
        <v>2248</v>
      </c>
      <c r="G162" s="77" t="s">
        <v>2249</v>
      </c>
      <c r="H162" s="77" t="s">
        <v>1731</v>
      </c>
      <c r="I162" s="77" t="s">
        <v>2250</v>
      </c>
      <c r="J162" s="77" t="s">
        <v>1125</v>
      </c>
      <c r="K162" s="77" t="s">
        <v>1126</v>
      </c>
      <c r="L162" s="74"/>
      <c r="M162" s="74"/>
      <c r="N162" s="74"/>
      <c r="O162" s="74"/>
      <c r="P162" s="74"/>
      <c r="Q162" s="74"/>
      <c r="R162" s="74"/>
      <c r="S162" s="74"/>
      <c r="T162" s="74"/>
      <c r="U162" s="74"/>
      <c r="V162" s="74"/>
      <c r="W162" s="74"/>
      <c r="X162" s="74"/>
      <c r="Y162" s="74"/>
    </row>
    <row r="163" spans="1:25" ht="15.75" thickBot="1" x14ac:dyDescent="0.3">
      <c r="A163" s="78">
        <v>2025</v>
      </c>
      <c r="B163" s="79">
        <v>10</v>
      </c>
      <c r="C163" s="86" t="s">
        <v>478</v>
      </c>
      <c r="D163" s="86" t="s">
        <v>478</v>
      </c>
      <c r="E163" s="79" t="s">
        <v>143</v>
      </c>
      <c r="F163" s="80" t="s">
        <v>2251</v>
      </c>
      <c r="G163" s="80" t="s">
        <v>1590</v>
      </c>
      <c r="H163" s="80" t="s">
        <v>1384</v>
      </c>
      <c r="I163" s="80" t="s">
        <v>2252</v>
      </c>
      <c r="J163" s="80"/>
      <c r="K163" s="80"/>
      <c r="L163" s="74"/>
      <c r="M163" s="74"/>
      <c r="N163" s="74"/>
      <c r="O163" s="74"/>
      <c r="P163" s="74"/>
      <c r="Q163" s="74"/>
      <c r="R163" s="74"/>
      <c r="S163" s="74"/>
      <c r="T163" s="74"/>
      <c r="U163" s="74"/>
      <c r="V163" s="74"/>
      <c r="W163" s="74"/>
      <c r="X163" s="74"/>
      <c r="Y163" s="74"/>
    </row>
    <row r="164" spans="1:25" ht="15.75" thickBot="1" x14ac:dyDescent="0.3">
      <c r="A164" s="75">
        <v>2025</v>
      </c>
      <c r="B164" s="76">
        <v>13</v>
      </c>
      <c r="C164" s="85" t="s">
        <v>479</v>
      </c>
      <c r="D164" s="85" t="s">
        <v>479</v>
      </c>
      <c r="E164" s="76" t="s">
        <v>144</v>
      </c>
      <c r="F164" s="77" t="s">
        <v>2253</v>
      </c>
      <c r="G164" s="77" t="s">
        <v>2254</v>
      </c>
      <c r="H164" s="77" t="s">
        <v>1128</v>
      </c>
      <c r="I164" s="77" t="s">
        <v>1129</v>
      </c>
      <c r="J164" s="77"/>
      <c r="K164" s="77"/>
      <c r="L164" s="74"/>
      <c r="M164" s="74"/>
      <c r="N164" s="74"/>
      <c r="O164" s="74"/>
      <c r="P164" s="74"/>
      <c r="Q164" s="74"/>
      <c r="R164" s="74"/>
      <c r="S164" s="74"/>
      <c r="T164" s="74"/>
      <c r="U164" s="74"/>
      <c r="V164" s="74"/>
      <c r="W164" s="74"/>
      <c r="X164" s="74"/>
      <c r="Y164" s="74"/>
    </row>
    <row r="165" spans="1:25" ht="15.75" thickBot="1" x14ac:dyDescent="0.3">
      <c r="A165" s="78">
        <v>2025</v>
      </c>
      <c r="B165" s="79">
        <v>10</v>
      </c>
      <c r="C165" s="86" t="s">
        <v>480</v>
      </c>
      <c r="D165" s="86" t="s">
        <v>480</v>
      </c>
      <c r="E165" s="79" t="s">
        <v>145</v>
      </c>
      <c r="F165" s="80" t="s">
        <v>2255</v>
      </c>
      <c r="G165" s="80" t="s">
        <v>1732</v>
      </c>
      <c r="H165" s="80" t="s">
        <v>1090</v>
      </c>
      <c r="I165" s="80" t="s">
        <v>1733</v>
      </c>
      <c r="J165" s="80"/>
      <c r="K165" s="80"/>
      <c r="L165" s="74"/>
      <c r="M165" s="74"/>
      <c r="N165" s="74"/>
      <c r="O165" s="74"/>
      <c r="P165" s="74"/>
      <c r="Q165" s="74"/>
      <c r="R165" s="74"/>
      <c r="S165" s="74"/>
      <c r="T165" s="74"/>
      <c r="U165" s="74"/>
      <c r="V165" s="74"/>
      <c r="W165" s="74"/>
      <c r="X165" s="74"/>
      <c r="Y165" s="74"/>
    </row>
    <row r="166" spans="1:25" ht="15.75" thickBot="1" x14ac:dyDescent="0.3">
      <c r="A166" s="75">
        <v>2025</v>
      </c>
      <c r="B166" s="113" t="s">
        <v>666</v>
      </c>
      <c r="C166" s="85" t="s">
        <v>481</v>
      </c>
      <c r="D166" s="85" t="s">
        <v>481</v>
      </c>
      <c r="E166" s="76" t="s">
        <v>146</v>
      </c>
      <c r="F166" s="77" t="s">
        <v>1130</v>
      </c>
      <c r="G166" s="77" t="s">
        <v>1131</v>
      </c>
      <c r="H166" s="77" t="s">
        <v>1132</v>
      </c>
      <c r="I166" s="77" t="s">
        <v>1133</v>
      </c>
      <c r="J166" s="77"/>
      <c r="K166" s="77"/>
      <c r="L166" s="74"/>
      <c r="M166" s="74"/>
      <c r="N166" s="74"/>
      <c r="O166" s="74"/>
      <c r="P166" s="74"/>
      <c r="Q166" s="74"/>
      <c r="R166" s="74"/>
      <c r="S166" s="74"/>
      <c r="T166" s="74"/>
      <c r="U166" s="74"/>
      <c r="V166" s="74"/>
      <c r="W166" s="74"/>
      <c r="X166" s="74"/>
      <c r="Y166" s="74"/>
    </row>
    <row r="167" spans="1:25" ht="15.75" thickBot="1" x14ac:dyDescent="0.3">
      <c r="A167" s="78">
        <v>2025</v>
      </c>
      <c r="B167" s="79">
        <v>11</v>
      </c>
      <c r="C167" s="86" t="s">
        <v>483</v>
      </c>
      <c r="D167" s="86" t="s">
        <v>483</v>
      </c>
      <c r="E167" s="79" t="s">
        <v>148</v>
      </c>
      <c r="F167" s="80" t="s">
        <v>1134</v>
      </c>
      <c r="G167" s="80" t="s">
        <v>1135</v>
      </c>
      <c r="H167" s="80" t="s">
        <v>1136</v>
      </c>
      <c r="I167" s="80" t="s">
        <v>1137</v>
      </c>
      <c r="J167" s="80"/>
      <c r="K167" s="80"/>
      <c r="L167" s="74"/>
      <c r="M167" s="74"/>
      <c r="N167" s="74"/>
      <c r="O167" s="74"/>
      <c r="P167" s="74"/>
      <c r="Q167" s="74"/>
      <c r="R167" s="74"/>
      <c r="S167" s="74"/>
      <c r="T167" s="74"/>
      <c r="U167" s="74"/>
      <c r="V167" s="74"/>
      <c r="W167" s="74"/>
      <c r="X167" s="74"/>
      <c r="Y167" s="74"/>
    </row>
    <row r="168" spans="1:25" ht="15.75" thickBot="1" x14ac:dyDescent="0.3">
      <c r="A168" s="75">
        <v>2025</v>
      </c>
      <c r="B168" s="76">
        <v>11</v>
      </c>
      <c r="C168" s="85" t="s">
        <v>484</v>
      </c>
      <c r="D168" s="85" t="s">
        <v>484</v>
      </c>
      <c r="E168" s="76" t="s">
        <v>149</v>
      </c>
      <c r="F168" s="77" t="s">
        <v>2256</v>
      </c>
      <c r="G168" s="77" t="s">
        <v>2257</v>
      </c>
      <c r="H168" s="77" t="s">
        <v>1591</v>
      </c>
      <c r="I168" s="77" t="s">
        <v>1592</v>
      </c>
      <c r="J168" s="77"/>
      <c r="K168" s="77"/>
      <c r="L168" s="74"/>
      <c r="M168" s="74"/>
      <c r="N168" s="74"/>
      <c r="O168" s="74"/>
      <c r="P168" s="74"/>
      <c r="Q168" s="74"/>
      <c r="R168" s="74"/>
      <c r="S168" s="74"/>
      <c r="T168" s="74"/>
      <c r="U168" s="74"/>
      <c r="V168" s="74"/>
      <c r="W168" s="74"/>
      <c r="X168" s="74"/>
      <c r="Y168" s="74"/>
    </row>
    <row r="169" spans="1:25" ht="15.75" thickBot="1" x14ac:dyDescent="0.3">
      <c r="A169" s="78">
        <v>2025</v>
      </c>
      <c r="B169" s="114" t="s">
        <v>661</v>
      </c>
      <c r="C169" s="86" t="s">
        <v>486</v>
      </c>
      <c r="D169" s="86" t="s">
        <v>486</v>
      </c>
      <c r="E169" s="79" t="s">
        <v>150</v>
      </c>
      <c r="F169" s="80" t="s">
        <v>1138</v>
      </c>
      <c r="G169" s="80" t="s">
        <v>1139</v>
      </c>
      <c r="H169" s="80" t="s">
        <v>1140</v>
      </c>
      <c r="I169" s="80" t="s">
        <v>1141</v>
      </c>
      <c r="J169" s="80" t="s">
        <v>1142</v>
      </c>
      <c r="K169" s="80" t="s">
        <v>1143</v>
      </c>
      <c r="L169" s="74"/>
      <c r="M169" s="74"/>
      <c r="N169" s="74"/>
      <c r="O169" s="74"/>
      <c r="P169" s="74"/>
      <c r="Q169" s="74"/>
      <c r="R169" s="74"/>
      <c r="S169" s="74"/>
      <c r="T169" s="74"/>
      <c r="U169" s="74"/>
      <c r="V169" s="74"/>
      <c r="W169" s="74"/>
      <c r="X169" s="74"/>
      <c r="Y169" s="74"/>
    </row>
    <row r="170" spans="1:25" ht="15.75" thickBot="1" x14ac:dyDescent="0.3">
      <c r="A170" s="75">
        <v>2025</v>
      </c>
      <c r="B170" s="76">
        <v>12</v>
      </c>
      <c r="C170" s="85" t="s">
        <v>487</v>
      </c>
      <c r="D170" s="85" t="s">
        <v>487</v>
      </c>
      <c r="E170" s="76" t="s">
        <v>151</v>
      </c>
      <c r="F170" s="77" t="s">
        <v>1144</v>
      </c>
      <c r="G170" s="77" t="s">
        <v>1145</v>
      </c>
      <c r="H170" s="77" t="s">
        <v>1146</v>
      </c>
      <c r="I170" s="77" t="s">
        <v>1147</v>
      </c>
      <c r="J170" s="77"/>
      <c r="K170" s="77"/>
      <c r="L170" s="74"/>
      <c r="M170" s="74"/>
      <c r="N170" s="74"/>
      <c r="O170" s="74"/>
      <c r="P170" s="74"/>
      <c r="Q170" s="74"/>
      <c r="R170" s="74"/>
      <c r="S170" s="74"/>
      <c r="T170" s="74"/>
      <c r="U170" s="74"/>
      <c r="V170" s="74"/>
      <c r="W170" s="74"/>
      <c r="X170" s="74"/>
      <c r="Y170" s="74"/>
    </row>
    <row r="171" spans="1:25" ht="15.75" thickBot="1" x14ac:dyDescent="0.3">
      <c r="A171" s="78">
        <v>2025</v>
      </c>
      <c r="B171" s="114" t="s">
        <v>666</v>
      </c>
      <c r="C171" s="86" t="s">
        <v>488</v>
      </c>
      <c r="D171" s="86" t="s">
        <v>488</v>
      </c>
      <c r="E171" s="79" t="s">
        <v>152</v>
      </c>
      <c r="F171" s="80" t="s">
        <v>1593</v>
      </c>
      <c r="G171" s="80" t="s">
        <v>1594</v>
      </c>
      <c r="H171" s="80" t="s">
        <v>1149</v>
      </c>
      <c r="I171" s="80" t="s">
        <v>1150</v>
      </c>
      <c r="J171" s="80"/>
      <c r="K171" s="80"/>
      <c r="L171" s="74"/>
      <c r="M171" s="74"/>
      <c r="N171" s="74"/>
      <c r="O171" s="74"/>
      <c r="P171" s="74"/>
      <c r="Q171" s="74"/>
      <c r="R171" s="74"/>
      <c r="S171" s="74"/>
      <c r="T171" s="74"/>
      <c r="U171" s="74"/>
      <c r="V171" s="74"/>
      <c r="W171" s="74"/>
      <c r="X171" s="74"/>
      <c r="Y171" s="74"/>
    </row>
    <row r="172" spans="1:25" ht="15.75" thickBot="1" x14ac:dyDescent="0.3">
      <c r="A172" s="75">
        <v>2025</v>
      </c>
      <c r="B172" s="113" t="s">
        <v>665</v>
      </c>
      <c r="C172" s="85" t="s">
        <v>489</v>
      </c>
      <c r="D172" s="85" t="s">
        <v>489</v>
      </c>
      <c r="E172" s="76" t="s">
        <v>721</v>
      </c>
      <c r="F172" s="77" t="s">
        <v>2201</v>
      </c>
      <c r="G172" s="77" t="s">
        <v>2202</v>
      </c>
      <c r="H172" s="77" t="s">
        <v>1734</v>
      </c>
      <c r="I172" s="77" t="s">
        <v>1735</v>
      </c>
      <c r="J172" s="77"/>
      <c r="K172" s="77"/>
      <c r="L172" s="74"/>
      <c r="M172" s="74"/>
      <c r="N172" s="74"/>
      <c r="O172" s="74"/>
      <c r="P172" s="74"/>
      <c r="Q172" s="74"/>
      <c r="R172" s="74"/>
      <c r="S172" s="74"/>
      <c r="T172" s="74"/>
      <c r="U172" s="74"/>
      <c r="V172" s="74"/>
      <c r="W172" s="74"/>
      <c r="X172" s="74"/>
      <c r="Y172" s="74"/>
    </row>
    <row r="173" spans="1:25" ht="15.75" thickBot="1" x14ac:dyDescent="0.3">
      <c r="A173" s="78">
        <v>2025</v>
      </c>
      <c r="B173" s="79">
        <v>12</v>
      </c>
      <c r="C173" s="86" t="s">
        <v>490</v>
      </c>
      <c r="D173" s="86" t="s">
        <v>490</v>
      </c>
      <c r="E173" s="79" t="s">
        <v>153</v>
      </c>
      <c r="F173" s="80" t="s">
        <v>1153</v>
      </c>
      <c r="G173" s="80" t="s">
        <v>1154</v>
      </c>
      <c r="H173" s="80" t="s">
        <v>1736</v>
      </c>
      <c r="I173" s="80" t="s">
        <v>1737</v>
      </c>
      <c r="J173" s="80"/>
      <c r="K173" s="80"/>
      <c r="L173" s="74"/>
      <c r="M173" s="74"/>
      <c r="N173" s="74"/>
      <c r="O173" s="74"/>
      <c r="P173" s="74"/>
      <c r="Q173" s="74"/>
      <c r="R173" s="74"/>
      <c r="S173" s="74"/>
      <c r="T173" s="74"/>
      <c r="U173" s="74"/>
      <c r="V173" s="74"/>
      <c r="W173" s="74"/>
      <c r="X173" s="74"/>
      <c r="Y173" s="74"/>
    </row>
    <row r="174" spans="1:25" ht="15.75" thickBot="1" x14ac:dyDescent="0.3">
      <c r="A174" s="75">
        <v>2025</v>
      </c>
      <c r="B174" s="76">
        <v>10</v>
      </c>
      <c r="C174" s="85" t="s">
        <v>491</v>
      </c>
      <c r="D174" s="85" t="s">
        <v>491</v>
      </c>
      <c r="E174" s="76" t="s">
        <v>154</v>
      </c>
      <c r="F174" s="77" t="s">
        <v>1155</v>
      </c>
      <c r="G174" s="77" t="s">
        <v>1156</v>
      </c>
      <c r="H174" s="77" t="s">
        <v>1157</v>
      </c>
      <c r="I174" s="77" t="s">
        <v>1158</v>
      </c>
      <c r="J174" s="77"/>
      <c r="K174" s="77"/>
      <c r="L174" s="74"/>
      <c r="M174" s="74"/>
      <c r="N174" s="74"/>
      <c r="O174" s="74"/>
      <c r="P174" s="74"/>
      <c r="Q174" s="74"/>
      <c r="R174" s="74"/>
      <c r="S174" s="74"/>
      <c r="T174" s="74"/>
      <c r="U174" s="74"/>
      <c r="V174" s="74"/>
      <c r="W174" s="74"/>
      <c r="X174" s="74"/>
      <c r="Y174" s="74"/>
    </row>
    <row r="175" spans="1:25" ht="15.75" thickBot="1" x14ac:dyDescent="0.3">
      <c r="A175" s="78">
        <v>2025</v>
      </c>
      <c r="B175" s="114" t="s">
        <v>658</v>
      </c>
      <c r="C175" s="86" t="s">
        <v>492</v>
      </c>
      <c r="D175" s="86" t="s">
        <v>492</v>
      </c>
      <c r="E175" s="79" t="s">
        <v>722</v>
      </c>
      <c r="F175" s="80" t="s">
        <v>1159</v>
      </c>
      <c r="G175" s="80" t="s">
        <v>1160</v>
      </c>
      <c r="H175" s="80" t="s">
        <v>1362</v>
      </c>
      <c r="I175" s="80" t="s">
        <v>1595</v>
      </c>
      <c r="J175" s="80" t="s">
        <v>2258</v>
      </c>
      <c r="K175" s="80" t="s">
        <v>2259</v>
      </c>
      <c r="L175" s="74"/>
      <c r="M175" s="74"/>
      <c r="N175" s="74"/>
      <c r="O175" s="74"/>
      <c r="P175" s="74"/>
      <c r="Q175" s="74"/>
      <c r="R175" s="74"/>
      <c r="S175" s="74"/>
      <c r="T175" s="74"/>
      <c r="U175" s="74"/>
      <c r="V175" s="74"/>
      <c r="W175" s="74"/>
      <c r="X175" s="74"/>
      <c r="Y175" s="74"/>
    </row>
    <row r="176" spans="1:25" ht="15.75" thickBot="1" x14ac:dyDescent="0.3">
      <c r="A176" s="75">
        <v>2025</v>
      </c>
      <c r="B176" s="76">
        <v>11</v>
      </c>
      <c r="C176" s="85" t="s">
        <v>493</v>
      </c>
      <c r="D176" s="85" t="s">
        <v>493</v>
      </c>
      <c r="E176" s="76" t="s">
        <v>155</v>
      </c>
      <c r="F176" s="77" t="s">
        <v>1739</v>
      </c>
      <c r="G176" s="77" t="s">
        <v>1740</v>
      </c>
      <c r="H176" s="77" t="s">
        <v>1596</v>
      </c>
      <c r="I176" s="77" t="s">
        <v>1597</v>
      </c>
      <c r="J176" s="77"/>
      <c r="K176" s="77"/>
      <c r="L176" s="74"/>
      <c r="M176" s="74"/>
      <c r="N176" s="74"/>
      <c r="O176" s="74"/>
      <c r="P176" s="74"/>
      <c r="Q176" s="74"/>
      <c r="R176" s="74"/>
      <c r="S176" s="74"/>
      <c r="T176" s="74"/>
      <c r="U176" s="74"/>
      <c r="V176" s="74"/>
      <c r="W176" s="74"/>
      <c r="X176" s="74"/>
      <c r="Y176" s="74"/>
    </row>
    <row r="177" spans="1:25" ht="15.75" thickBot="1" x14ac:dyDescent="0.3">
      <c r="A177" s="78">
        <v>2025</v>
      </c>
      <c r="B177" s="114" t="s">
        <v>658</v>
      </c>
      <c r="C177" s="86" t="s">
        <v>494</v>
      </c>
      <c r="D177" s="86" t="s">
        <v>494</v>
      </c>
      <c r="E177" s="79" t="s">
        <v>156</v>
      </c>
      <c r="F177" s="80" t="s">
        <v>1598</v>
      </c>
      <c r="G177" s="80" t="s">
        <v>1599</v>
      </c>
      <c r="H177" s="80" t="s">
        <v>1161</v>
      </c>
      <c r="I177" s="80" t="s">
        <v>1162</v>
      </c>
      <c r="J177" s="80" t="s">
        <v>1163</v>
      </c>
      <c r="K177" s="80" t="s">
        <v>1164</v>
      </c>
      <c r="L177" s="74"/>
      <c r="M177" s="74"/>
      <c r="N177" s="74"/>
      <c r="O177" s="74"/>
      <c r="P177" s="74"/>
      <c r="Q177" s="74"/>
      <c r="R177" s="74"/>
      <c r="S177" s="74"/>
      <c r="T177" s="74"/>
      <c r="U177" s="74"/>
      <c r="V177" s="74"/>
      <c r="W177" s="74"/>
      <c r="X177" s="74"/>
      <c r="Y177" s="74"/>
    </row>
    <row r="178" spans="1:25" ht="15.75" thickBot="1" x14ac:dyDescent="0.3">
      <c r="A178" s="75">
        <v>2025</v>
      </c>
      <c r="B178" s="76">
        <v>15</v>
      </c>
      <c r="C178" s="85" t="s">
        <v>496</v>
      </c>
      <c r="D178" s="85" t="s">
        <v>496</v>
      </c>
      <c r="E178" s="76" t="s">
        <v>157</v>
      </c>
      <c r="F178" s="77" t="s">
        <v>1741</v>
      </c>
      <c r="G178" s="77" t="s">
        <v>1742</v>
      </c>
      <c r="H178" s="77" t="s">
        <v>2260</v>
      </c>
      <c r="I178" s="77" t="s">
        <v>2261</v>
      </c>
      <c r="J178" s="77"/>
      <c r="K178" s="77"/>
      <c r="L178" s="74"/>
      <c r="M178" s="74"/>
      <c r="N178" s="74"/>
      <c r="O178" s="74"/>
      <c r="P178" s="74"/>
      <c r="Q178" s="74"/>
      <c r="R178" s="74"/>
      <c r="S178" s="74"/>
      <c r="T178" s="74"/>
      <c r="U178" s="74"/>
      <c r="V178" s="74"/>
      <c r="W178" s="74"/>
      <c r="X178" s="74"/>
      <c r="Y178" s="74"/>
    </row>
    <row r="179" spans="1:25" ht="15.75" thickBot="1" x14ac:dyDescent="0.3">
      <c r="A179" s="78">
        <v>2025</v>
      </c>
      <c r="B179" s="79">
        <v>11</v>
      </c>
      <c r="C179" s="86" t="s">
        <v>497</v>
      </c>
      <c r="D179" s="86" t="s">
        <v>497</v>
      </c>
      <c r="E179" s="79" t="s">
        <v>158</v>
      </c>
      <c r="F179" s="80" t="s">
        <v>1165</v>
      </c>
      <c r="G179" s="80" t="s">
        <v>1166</v>
      </c>
      <c r="H179" s="80" t="s">
        <v>1167</v>
      </c>
      <c r="I179" s="80" t="s">
        <v>1168</v>
      </c>
      <c r="J179" s="80"/>
      <c r="K179" s="80"/>
      <c r="L179" s="74"/>
      <c r="M179" s="74"/>
      <c r="N179" s="74"/>
      <c r="O179" s="74"/>
      <c r="P179" s="74"/>
      <c r="Q179" s="74"/>
      <c r="R179" s="74"/>
      <c r="S179" s="74"/>
      <c r="T179" s="74"/>
      <c r="U179" s="74"/>
      <c r="V179" s="74"/>
      <c r="W179" s="74"/>
      <c r="X179" s="74"/>
      <c r="Y179" s="74"/>
    </row>
    <row r="180" spans="1:25" ht="15.75" thickBot="1" x14ac:dyDescent="0.3">
      <c r="A180" s="75">
        <v>2025</v>
      </c>
      <c r="B180" s="113" t="s">
        <v>665</v>
      </c>
      <c r="C180" s="85" t="s">
        <v>501</v>
      </c>
      <c r="D180" s="85" t="s">
        <v>501</v>
      </c>
      <c r="E180" s="76" t="s">
        <v>689</v>
      </c>
      <c r="F180" s="77" t="s">
        <v>1300</v>
      </c>
      <c r="G180" s="77" t="s">
        <v>2262</v>
      </c>
      <c r="H180" s="77" t="s">
        <v>975</v>
      </c>
      <c r="I180" s="77" t="s">
        <v>1169</v>
      </c>
      <c r="J180" s="77"/>
      <c r="K180" s="77"/>
      <c r="L180" s="74"/>
      <c r="M180" s="74"/>
      <c r="N180" s="74"/>
      <c r="O180" s="74"/>
      <c r="P180" s="74"/>
      <c r="Q180" s="74"/>
      <c r="R180" s="74"/>
      <c r="S180" s="74"/>
      <c r="T180" s="74"/>
      <c r="U180" s="74"/>
      <c r="V180" s="74"/>
      <c r="W180" s="74"/>
      <c r="X180" s="74"/>
      <c r="Y180" s="74"/>
    </row>
    <row r="181" spans="1:25" ht="15.75" thickBot="1" x14ac:dyDescent="0.3">
      <c r="A181" s="78">
        <v>2025</v>
      </c>
      <c r="B181" s="79">
        <v>10</v>
      </c>
      <c r="C181" s="86" t="s">
        <v>498</v>
      </c>
      <c r="D181" s="86" t="s">
        <v>498</v>
      </c>
      <c r="E181" s="79" t="s">
        <v>161</v>
      </c>
      <c r="F181" s="80" t="s">
        <v>2263</v>
      </c>
      <c r="G181" s="80" t="s">
        <v>2264</v>
      </c>
      <c r="H181" s="80" t="s">
        <v>2265</v>
      </c>
      <c r="I181" s="80" t="s">
        <v>2266</v>
      </c>
      <c r="J181" s="80"/>
      <c r="K181" s="80"/>
      <c r="L181" s="74"/>
      <c r="M181" s="74"/>
      <c r="N181" s="74"/>
      <c r="O181" s="74"/>
      <c r="P181" s="74"/>
      <c r="Q181" s="74"/>
      <c r="R181" s="74"/>
      <c r="S181" s="74"/>
      <c r="T181" s="74"/>
      <c r="U181" s="74"/>
      <c r="V181" s="74"/>
      <c r="W181" s="74"/>
      <c r="X181" s="74"/>
      <c r="Y181" s="74"/>
    </row>
    <row r="182" spans="1:25" ht="15.75" thickBot="1" x14ac:dyDescent="0.3">
      <c r="A182" s="75">
        <v>2025</v>
      </c>
      <c r="B182" s="76">
        <v>10</v>
      </c>
      <c r="C182" s="85" t="s">
        <v>499</v>
      </c>
      <c r="D182" s="85" t="s">
        <v>499</v>
      </c>
      <c r="E182" s="76" t="s">
        <v>160</v>
      </c>
      <c r="F182" s="77" t="s">
        <v>1600</v>
      </c>
      <c r="G182" s="77" t="s">
        <v>1601</v>
      </c>
      <c r="H182" s="77" t="s">
        <v>1171</v>
      </c>
      <c r="I182" s="77" t="s">
        <v>1172</v>
      </c>
      <c r="J182" s="77"/>
      <c r="K182" s="77"/>
      <c r="L182" s="74"/>
      <c r="M182" s="74"/>
      <c r="N182" s="74"/>
      <c r="O182" s="74"/>
      <c r="P182" s="74"/>
      <c r="Q182" s="74"/>
      <c r="R182" s="74"/>
      <c r="S182" s="74"/>
      <c r="T182" s="74"/>
      <c r="U182" s="74"/>
      <c r="V182" s="74"/>
      <c r="W182" s="74"/>
      <c r="X182" s="74"/>
      <c r="Y182" s="74"/>
    </row>
    <row r="183" spans="1:25" ht="15.75" thickBot="1" x14ac:dyDescent="0.3">
      <c r="A183" s="78">
        <v>2025</v>
      </c>
      <c r="B183" s="79">
        <v>13</v>
      </c>
      <c r="C183" s="86" t="s">
        <v>500</v>
      </c>
      <c r="D183" s="86" t="s">
        <v>500</v>
      </c>
      <c r="E183" s="79" t="s">
        <v>162</v>
      </c>
      <c r="F183" s="80" t="s">
        <v>1602</v>
      </c>
      <c r="G183" s="80" t="s">
        <v>1603</v>
      </c>
      <c r="H183" s="80" t="s">
        <v>1661</v>
      </c>
      <c r="I183" s="80" t="s">
        <v>1662</v>
      </c>
      <c r="J183" s="80"/>
      <c r="K183" s="80"/>
      <c r="L183" s="74"/>
      <c r="M183" s="74"/>
      <c r="N183" s="74"/>
      <c r="O183" s="74"/>
      <c r="P183" s="74"/>
      <c r="Q183" s="74"/>
      <c r="R183" s="74"/>
      <c r="S183" s="74"/>
      <c r="T183" s="74"/>
      <c r="U183" s="74"/>
      <c r="V183" s="74"/>
      <c r="W183" s="74"/>
      <c r="X183" s="74"/>
      <c r="Y183" s="74"/>
    </row>
    <row r="184" spans="1:25" ht="15.75" thickBot="1" x14ac:dyDescent="0.3">
      <c r="A184" s="75">
        <v>2025</v>
      </c>
      <c r="B184" s="76">
        <v>12</v>
      </c>
      <c r="C184" s="85" t="s">
        <v>495</v>
      </c>
      <c r="D184" s="85" t="s">
        <v>495</v>
      </c>
      <c r="E184" s="76" t="s">
        <v>163</v>
      </c>
      <c r="F184" s="77" t="s">
        <v>2267</v>
      </c>
      <c r="G184" s="77" t="s">
        <v>2268</v>
      </c>
      <c r="H184" s="77" t="s">
        <v>1174</v>
      </c>
      <c r="I184" s="77" t="s">
        <v>1175</v>
      </c>
      <c r="J184" s="77" t="s">
        <v>1176</v>
      </c>
      <c r="K184" s="77" t="s">
        <v>1177</v>
      </c>
      <c r="L184" s="74"/>
      <c r="M184" s="74"/>
      <c r="N184" s="74"/>
      <c r="O184" s="74"/>
      <c r="P184" s="74"/>
      <c r="Q184" s="74"/>
      <c r="R184" s="74"/>
      <c r="S184" s="74"/>
      <c r="T184" s="74"/>
      <c r="U184" s="74"/>
      <c r="V184" s="74"/>
      <c r="W184" s="74"/>
      <c r="X184" s="74"/>
      <c r="Y184" s="74"/>
    </row>
    <row r="185" spans="1:25" ht="15.75" thickBot="1" x14ac:dyDescent="0.3">
      <c r="A185" s="78">
        <v>2025</v>
      </c>
      <c r="B185" s="114" t="s">
        <v>658</v>
      </c>
      <c r="C185" s="86" t="s">
        <v>502</v>
      </c>
      <c r="D185" s="86" t="s">
        <v>502</v>
      </c>
      <c r="E185" s="79" t="s">
        <v>164</v>
      </c>
      <c r="F185" s="80" t="s">
        <v>1604</v>
      </c>
      <c r="G185" s="80" t="s">
        <v>1605</v>
      </c>
      <c r="H185" s="80" t="s">
        <v>1178</v>
      </c>
      <c r="I185" s="80" t="s">
        <v>1179</v>
      </c>
      <c r="J185" s="80"/>
      <c r="K185" s="80"/>
      <c r="L185" s="74"/>
      <c r="M185" s="74"/>
      <c r="N185" s="74"/>
      <c r="O185" s="74"/>
      <c r="P185" s="74"/>
      <c r="Q185" s="74"/>
      <c r="R185" s="74"/>
      <c r="S185" s="74"/>
      <c r="T185" s="74"/>
      <c r="U185" s="74"/>
      <c r="V185" s="74"/>
      <c r="W185" s="74"/>
      <c r="X185" s="74"/>
      <c r="Y185" s="74"/>
    </row>
    <row r="186" spans="1:25" ht="15.75" thickBot="1" x14ac:dyDescent="0.3">
      <c r="A186" s="75">
        <v>2025</v>
      </c>
      <c r="B186" s="76">
        <v>10</v>
      </c>
      <c r="C186" s="85" t="s">
        <v>503</v>
      </c>
      <c r="D186" s="85" t="s">
        <v>503</v>
      </c>
      <c r="E186" s="76" t="s">
        <v>165</v>
      </c>
      <c r="F186" s="77" t="s">
        <v>1180</v>
      </c>
      <c r="G186" s="77" t="s">
        <v>1181</v>
      </c>
      <c r="H186" s="77" t="s">
        <v>1182</v>
      </c>
      <c r="I186" s="77" t="s">
        <v>1183</v>
      </c>
      <c r="J186" s="77"/>
      <c r="K186" s="77"/>
      <c r="L186" s="74"/>
      <c r="M186" s="74"/>
      <c r="N186" s="74"/>
      <c r="O186" s="74"/>
      <c r="P186" s="74"/>
      <c r="Q186" s="74"/>
      <c r="R186" s="74"/>
      <c r="S186" s="74"/>
      <c r="T186" s="74"/>
      <c r="U186" s="74"/>
      <c r="V186" s="74"/>
      <c r="W186" s="74"/>
      <c r="X186" s="74"/>
      <c r="Y186" s="74"/>
    </row>
    <row r="187" spans="1:25" ht="15.75" thickBot="1" x14ac:dyDescent="0.3">
      <c r="A187" s="78">
        <v>2025</v>
      </c>
      <c r="B187" s="79">
        <v>15</v>
      </c>
      <c r="C187" s="86" t="s">
        <v>504</v>
      </c>
      <c r="D187" s="86" t="s">
        <v>504</v>
      </c>
      <c r="E187" s="79" t="s">
        <v>166</v>
      </c>
      <c r="F187" s="80" t="s">
        <v>1184</v>
      </c>
      <c r="G187" s="80" t="s">
        <v>2269</v>
      </c>
      <c r="H187" s="80" t="s">
        <v>1185</v>
      </c>
      <c r="I187" s="80" t="s">
        <v>1186</v>
      </c>
      <c r="J187" s="80"/>
      <c r="K187" s="80"/>
      <c r="L187" s="74"/>
      <c r="M187" s="74"/>
      <c r="N187" s="74"/>
      <c r="O187" s="74"/>
      <c r="P187" s="74"/>
      <c r="Q187" s="74"/>
      <c r="R187" s="74"/>
      <c r="S187" s="74"/>
      <c r="T187" s="74"/>
      <c r="U187" s="74"/>
      <c r="V187" s="74"/>
      <c r="W187" s="74"/>
      <c r="X187" s="74"/>
      <c r="Y187" s="74"/>
    </row>
    <row r="188" spans="1:25" ht="15.75" thickBot="1" x14ac:dyDescent="0.3">
      <c r="A188" s="75">
        <v>2025</v>
      </c>
      <c r="B188" s="76">
        <v>13</v>
      </c>
      <c r="C188" s="85" t="s">
        <v>505</v>
      </c>
      <c r="D188" s="85" t="s">
        <v>505</v>
      </c>
      <c r="E188" s="76" t="s">
        <v>167</v>
      </c>
      <c r="F188" s="77" t="s">
        <v>2270</v>
      </c>
      <c r="G188" s="77" t="s">
        <v>2271</v>
      </c>
      <c r="H188" s="77" t="s">
        <v>1187</v>
      </c>
      <c r="I188" s="77" t="s">
        <v>1188</v>
      </c>
      <c r="J188" s="77" t="s">
        <v>1185</v>
      </c>
      <c r="K188" s="77" t="s">
        <v>1189</v>
      </c>
      <c r="L188" s="74"/>
      <c r="M188" s="74"/>
      <c r="N188" s="74"/>
      <c r="O188" s="74"/>
      <c r="P188" s="74"/>
      <c r="Q188" s="74"/>
      <c r="R188" s="74"/>
      <c r="S188" s="74"/>
      <c r="T188" s="74"/>
      <c r="U188" s="74"/>
      <c r="V188" s="74"/>
      <c r="W188" s="74"/>
      <c r="X188" s="74"/>
      <c r="Y188" s="74"/>
    </row>
    <row r="189" spans="1:25" ht="15.75" thickBot="1" x14ac:dyDescent="0.3">
      <c r="A189" s="78">
        <v>2025</v>
      </c>
      <c r="B189" s="79">
        <v>15</v>
      </c>
      <c r="C189" s="86" t="s">
        <v>506</v>
      </c>
      <c r="D189" s="86" t="s">
        <v>506</v>
      </c>
      <c r="E189" s="79" t="s">
        <v>168</v>
      </c>
      <c r="F189" s="80" t="s">
        <v>1190</v>
      </c>
      <c r="G189" s="80" t="s">
        <v>1191</v>
      </c>
      <c r="H189" s="80" t="s">
        <v>1436</v>
      </c>
      <c r="I189" s="80" t="s">
        <v>1437</v>
      </c>
      <c r="J189" s="80"/>
      <c r="K189" s="80"/>
      <c r="L189" s="74"/>
      <c r="M189" s="74"/>
      <c r="N189" s="74"/>
      <c r="O189" s="74"/>
      <c r="P189" s="74"/>
      <c r="Q189" s="74"/>
      <c r="R189" s="74"/>
      <c r="S189" s="74"/>
      <c r="T189" s="74"/>
      <c r="U189" s="74"/>
      <c r="V189" s="74"/>
      <c r="W189" s="74"/>
      <c r="X189" s="74"/>
      <c r="Y189" s="74"/>
    </row>
    <row r="190" spans="1:25" ht="15.75" thickBot="1" x14ac:dyDescent="0.3">
      <c r="A190" s="75">
        <v>2025</v>
      </c>
      <c r="B190" s="76">
        <v>15</v>
      </c>
      <c r="C190" s="85" t="s">
        <v>507</v>
      </c>
      <c r="D190" s="85" t="s">
        <v>507</v>
      </c>
      <c r="E190" s="76" t="s">
        <v>169</v>
      </c>
      <c r="F190" s="77" t="s">
        <v>939</v>
      </c>
      <c r="G190" s="77" t="s">
        <v>1192</v>
      </c>
      <c r="H190" s="77" t="s">
        <v>1606</v>
      </c>
      <c r="I190" s="77" t="s">
        <v>1607</v>
      </c>
      <c r="J190" s="77"/>
      <c r="K190" s="77"/>
      <c r="L190" s="74"/>
      <c r="M190" s="74"/>
      <c r="N190" s="74"/>
      <c r="O190" s="74"/>
      <c r="P190" s="74"/>
      <c r="Q190" s="74"/>
      <c r="R190" s="74"/>
      <c r="S190" s="74"/>
      <c r="T190" s="74"/>
      <c r="U190" s="74"/>
      <c r="V190" s="74"/>
      <c r="W190" s="74"/>
      <c r="X190" s="74"/>
      <c r="Y190" s="74"/>
    </row>
    <row r="191" spans="1:25" ht="15.75" thickBot="1" x14ac:dyDescent="0.3">
      <c r="A191" s="78">
        <v>2025</v>
      </c>
      <c r="B191" s="79">
        <v>13</v>
      </c>
      <c r="C191" s="86" t="s">
        <v>508</v>
      </c>
      <c r="D191" s="86" t="s">
        <v>508</v>
      </c>
      <c r="E191" s="79" t="s">
        <v>170</v>
      </c>
      <c r="F191" s="80" t="s">
        <v>807</v>
      </c>
      <c r="G191" s="80" t="s">
        <v>1193</v>
      </c>
      <c r="H191" s="80" t="s">
        <v>2272</v>
      </c>
      <c r="I191" s="80" t="s">
        <v>2273</v>
      </c>
      <c r="J191" s="80"/>
      <c r="K191" s="80"/>
      <c r="L191" s="74"/>
      <c r="M191" s="74"/>
      <c r="N191" s="74"/>
      <c r="O191" s="74"/>
      <c r="P191" s="74"/>
      <c r="Q191" s="74"/>
      <c r="R191" s="74"/>
      <c r="S191" s="74"/>
      <c r="T191" s="74"/>
      <c r="U191" s="74"/>
      <c r="V191" s="74"/>
      <c r="W191" s="74"/>
      <c r="X191" s="74"/>
      <c r="Y191" s="74"/>
    </row>
    <row r="192" spans="1:25" ht="15.75" thickBot="1" x14ac:dyDescent="0.3">
      <c r="A192" s="75">
        <v>2025</v>
      </c>
      <c r="B192" s="76">
        <v>15</v>
      </c>
      <c r="C192" s="85" t="s">
        <v>509</v>
      </c>
      <c r="D192" s="85" t="s">
        <v>509</v>
      </c>
      <c r="E192" s="76" t="s">
        <v>171</v>
      </c>
      <c r="F192" s="77" t="s">
        <v>1194</v>
      </c>
      <c r="G192" s="77" t="s">
        <v>1195</v>
      </c>
      <c r="H192" s="77" t="s">
        <v>1214</v>
      </c>
      <c r="I192" s="77" t="s">
        <v>2274</v>
      </c>
      <c r="J192" s="77"/>
      <c r="K192" s="77"/>
      <c r="L192" s="74"/>
      <c r="M192" s="74"/>
      <c r="N192" s="74"/>
      <c r="O192" s="74"/>
      <c r="P192" s="74"/>
      <c r="Q192" s="74"/>
      <c r="R192" s="74"/>
      <c r="S192" s="74"/>
      <c r="T192" s="74"/>
      <c r="U192" s="74"/>
      <c r="V192" s="74"/>
      <c r="W192" s="74"/>
      <c r="X192" s="74"/>
      <c r="Y192" s="74"/>
    </row>
    <row r="193" spans="1:25" ht="15.75" thickBot="1" x14ac:dyDescent="0.3">
      <c r="A193" s="78">
        <v>2025</v>
      </c>
      <c r="B193" s="79">
        <v>10</v>
      </c>
      <c r="C193" s="86" t="s">
        <v>510</v>
      </c>
      <c r="D193" s="86" t="s">
        <v>510</v>
      </c>
      <c r="E193" s="79" t="s">
        <v>172</v>
      </c>
      <c r="F193" s="80" t="s">
        <v>2275</v>
      </c>
      <c r="G193" s="80" t="s">
        <v>2276</v>
      </c>
      <c r="H193" s="80" t="s">
        <v>1608</v>
      </c>
      <c r="I193" s="80" t="s">
        <v>1609</v>
      </c>
      <c r="J193" s="80"/>
      <c r="K193" s="80"/>
      <c r="L193" s="74"/>
      <c r="M193" s="74"/>
      <c r="N193" s="74"/>
      <c r="O193" s="74"/>
      <c r="P193" s="74"/>
      <c r="Q193" s="74"/>
      <c r="R193" s="74"/>
      <c r="S193" s="74"/>
      <c r="T193" s="74"/>
      <c r="U193" s="74"/>
      <c r="V193" s="74"/>
      <c r="W193" s="74"/>
      <c r="X193" s="74"/>
      <c r="Y193" s="74"/>
    </row>
    <row r="194" spans="1:25" ht="15.75" thickBot="1" x14ac:dyDescent="0.3">
      <c r="A194" s="75">
        <v>2025</v>
      </c>
      <c r="B194" s="76">
        <v>13</v>
      </c>
      <c r="C194" s="85" t="s">
        <v>511</v>
      </c>
      <c r="D194" s="85" t="s">
        <v>511</v>
      </c>
      <c r="E194" s="76" t="s">
        <v>173</v>
      </c>
      <c r="F194" s="77" t="s">
        <v>973</v>
      </c>
      <c r="G194" s="77" t="s">
        <v>1196</v>
      </c>
      <c r="H194" s="77" t="s">
        <v>1197</v>
      </c>
      <c r="I194" s="77" t="s">
        <v>1198</v>
      </c>
      <c r="J194" s="77"/>
      <c r="K194" s="77"/>
      <c r="L194" s="74"/>
      <c r="M194" s="74"/>
      <c r="N194" s="74"/>
      <c r="O194" s="74"/>
      <c r="P194" s="74"/>
      <c r="Q194" s="74"/>
      <c r="R194" s="74"/>
      <c r="S194" s="74"/>
      <c r="T194" s="74"/>
      <c r="U194" s="74"/>
      <c r="V194" s="74"/>
      <c r="W194" s="74"/>
      <c r="X194" s="74"/>
      <c r="Y194" s="74"/>
    </row>
    <row r="195" spans="1:25" ht="15.75" thickBot="1" x14ac:dyDescent="0.3">
      <c r="A195" s="78">
        <v>2025</v>
      </c>
      <c r="B195" s="114" t="s">
        <v>666</v>
      </c>
      <c r="C195" s="86" t="s">
        <v>512</v>
      </c>
      <c r="D195" s="86" t="s">
        <v>512</v>
      </c>
      <c r="E195" s="79" t="s">
        <v>174</v>
      </c>
      <c r="F195" s="80" t="s">
        <v>1199</v>
      </c>
      <c r="G195" s="80" t="s">
        <v>1200</v>
      </c>
      <c r="H195" s="80" t="s">
        <v>1201</v>
      </c>
      <c r="I195" s="80" t="s">
        <v>1202</v>
      </c>
      <c r="J195" s="80"/>
      <c r="K195" s="80"/>
      <c r="L195" s="74"/>
      <c r="M195" s="74"/>
      <c r="N195" s="74"/>
      <c r="O195" s="74"/>
      <c r="P195" s="74"/>
      <c r="Q195" s="74"/>
      <c r="R195" s="74"/>
      <c r="S195" s="74"/>
      <c r="T195" s="74"/>
      <c r="U195" s="74"/>
      <c r="V195" s="74"/>
      <c r="W195" s="74"/>
      <c r="X195" s="74"/>
      <c r="Y195" s="74"/>
    </row>
    <row r="196" spans="1:25" ht="15.75" thickBot="1" x14ac:dyDescent="0.3">
      <c r="A196" s="75">
        <v>2025</v>
      </c>
      <c r="B196" s="113" t="s">
        <v>658</v>
      </c>
      <c r="C196" s="85" t="s">
        <v>513</v>
      </c>
      <c r="D196" s="85" t="s">
        <v>513</v>
      </c>
      <c r="E196" s="76" t="s">
        <v>175</v>
      </c>
      <c r="F196" s="77" t="s">
        <v>1406</v>
      </c>
      <c r="G196" s="77" t="s">
        <v>2277</v>
      </c>
      <c r="H196" s="77" t="s">
        <v>861</v>
      </c>
      <c r="I196" s="77" t="s">
        <v>1743</v>
      </c>
      <c r="J196" s="77"/>
      <c r="K196" s="77"/>
      <c r="L196" s="74"/>
      <c r="M196" s="74"/>
      <c r="N196" s="74"/>
      <c r="O196" s="74"/>
      <c r="P196" s="74"/>
      <c r="Q196" s="74"/>
      <c r="R196" s="74"/>
      <c r="S196" s="74"/>
      <c r="T196" s="74"/>
      <c r="U196" s="74"/>
      <c r="V196" s="74"/>
      <c r="W196" s="74"/>
      <c r="X196" s="74"/>
      <c r="Y196" s="74"/>
    </row>
    <row r="197" spans="1:25" ht="15.75" thickBot="1" x14ac:dyDescent="0.3">
      <c r="A197" s="78">
        <v>2025</v>
      </c>
      <c r="B197" s="79">
        <v>11</v>
      </c>
      <c r="C197" s="86" t="s">
        <v>514</v>
      </c>
      <c r="D197" s="86" t="s">
        <v>514</v>
      </c>
      <c r="E197" s="79" t="s">
        <v>176</v>
      </c>
      <c r="F197" s="80" t="s">
        <v>1204</v>
      </c>
      <c r="G197" s="80" t="s">
        <v>1205</v>
      </c>
      <c r="H197" s="80" t="s">
        <v>1738</v>
      </c>
      <c r="I197" s="80" t="s">
        <v>2278</v>
      </c>
      <c r="J197" s="80"/>
      <c r="K197" s="80"/>
      <c r="L197" s="74"/>
      <c r="M197" s="74"/>
      <c r="N197" s="74"/>
      <c r="O197" s="74"/>
      <c r="P197" s="74"/>
      <c r="Q197" s="74"/>
      <c r="R197" s="74"/>
      <c r="S197" s="74"/>
      <c r="T197" s="74"/>
      <c r="U197" s="74"/>
      <c r="V197" s="74"/>
      <c r="W197" s="74"/>
      <c r="X197" s="74"/>
      <c r="Y197" s="74"/>
    </row>
    <row r="198" spans="1:25" ht="15.75" thickBot="1" x14ac:dyDescent="0.3">
      <c r="A198" s="75">
        <v>2025</v>
      </c>
      <c r="B198" s="113" t="s">
        <v>665</v>
      </c>
      <c r="C198" s="85" t="s">
        <v>516</v>
      </c>
      <c r="D198" s="85" t="s">
        <v>516</v>
      </c>
      <c r="E198" s="76" t="s">
        <v>177</v>
      </c>
      <c r="F198" s="77" t="s">
        <v>1206</v>
      </c>
      <c r="G198" s="77" t="s">
        <v>1207</v>
      </c>
      <c r="H198" s="77" t="s">
        <v>1208</v>
      </c>
      <c r="I198" s="77" t="s">
        <v>1209</v>
      </c>
      <c r="J198" s="77" t="s">
        <v>1210</v>
      </c>
      <c r="K198" s="77" t="s">
        <v>1211</v>
      </c>
      <c r="L198" s="74"/>
      <c r="M198" s="74"/>
      <c r="N198" s="74"/>
      <c r="O198" s="74"/>
      <c r="P198" s="74"/>
      <c r="Q198" s="74"/>
      <c r="R198" s="74"/>
      <c r="S198" s="74"/>
      <c r="T198" s="74"/>
      <c r="U198" s="74"/>
      <c r="V198" s="74"/>
      <c r="W198" s="74"/>
      <c r="X198" s="74"/>
      <c r="Y198" s="74"/>
    </row>
    <row r="199" spans="1:25" ht="15.75" thickBot="1" x14ac:dyDescent="0.3">
      <c r="A199" s="78">
        <v>2025</v>
      </c>
      <c r="B199" s="79">
        <v>15</v>
      </c>
      <c r="C199" s="86" t="s">
        <v>517</v>
      </c>
      <c r="D199" s="86" t="s">
        <v>517</v>
      </c>
      <c r="E199" s="79" t="s">
        <v>178</v>
      </c>
      <c r="F199" s="80" t="s">
        <v>1212</v>
      </c>
      <c r="G199" s="80" t="s">
        <v>1213</v>
      </c>
      <c r="H199" s="80" t="s">
        <v>2279</v>
      </c>
      <c r="I199" s="80" t="s">
        <v>2280</v>
      </c>
      <c r="J199" s="80"/>
      <c r="K199" s="80"/>
      <c r="L199" s="74"/>
      <c r="M199" s="74"/>
      <c r="N199" s="74"/>
      <c r="O199" s="74"/>
      <c r="P199" s="74"/>
      <c r="Q199" s="74"/>
      <c r="R199" s="74"/>
      <c r="S199" s="74"/>
      <c r="T199" s="74"/>
      <c r="U199" s="74"/>
      <c r="V199" s="74"/>
      <c r="W199" s="74"/>
      <c r="X199" s="74"/>
      <c r="Y199" s="74"/>
    </row>
    <row r="200" spans="1:25" ht="15.75" thickBot="1" x14ac:dyDescent="0.3">
      <c r="A200" s="75">
        <v>2025</v>
      </c>
      <c r="B200" s="113" t="s">
        <v>661</v>
      </c>
      <c r="C200" s="85" t="s">
        <v>515</v>
      </c>
      <c r="D200" s="85" t="s">
        <v>515</v>
      </c>
      <c r="E200" s="76" t="s">
        <v>179</v>
      </c>
      <c r="F200" s="77" t="s">
        <v>2108</v>
      </c>
      <c r="G200" s="77" t="s">
        <v>2281</v>
      </c>
      <c r="H200" s="77" t="s">
        <v>769</v>
      </c>
      <c r="I200" s="77" t="s">
        <v>770</v>
      </c>
      <c r="J200" s="77"/>
      <c r="K200" s="77"/>
      <c r="L200" s="74"/>
      <c r="M200" s="74"/>
      <c r="N200" s="74"/>
      <c r="O200" s="74"/>
      <c r="P200" s="74"/>
      <c r="Q200" s="74"/>
      <c r="R200" s="74"/>
      <c r="S200" s="74"/>
      <c r="T200" s="74"/>
      <c r="U200" s="74"/>
      <c r="V200" s="74"/>
      <c r="W200" s="74"/>
      <c r="X200" s="74"/>
      <c r="Y200" s="74"/>
    </row>
    <row r="201" spans="1:25" ht="15.75" thickBot="1" x14ac:dyDescent="0.3">
      <c r="A201" s="78">
        <v>2025</v>
      </c>
      <c r="B201" s="79">
        <v>11</v>
      </c>
      <c r="C201" s="86" t="s">
        <v>518</v>
      </c>
      <c r="D201" s="86" t="s">
        <v>518</v>
      </c>
      <c r="E201" s="79" t="s">
        <v>180</v>
      </c>
      <c r="F201" s="80" t="s">
        <v>1215</v>
      </c>
      <c r="G201" s="80" t="s">
        <v>1216</v>
      </c>
      <c r="H201" s="80" t="s">
        <v>1217</v>
      </c>
      <c r="I201" s="80" t="s">
        <v>1218</v>
      </c>
      <c r="J201" s="80" t="s">
        <v>1219</v>
      </c>
      <c r="K201" s="80" t="s">
        <v>1220</v>
      </c>
      <c r="L201" s="74"/>
      <c r="M201" s="74"/>
      <c r="N201" s="74"/>
      <c r="O201" s="74"/>
      <c r="P201" s="74"/>
      <c r="Q201" s="74"/>
      <c r="R201" s="74"/>
      <c r="S201" s="74"/>
      <c r="T201" s="74"/>
      <c r="U201" s="74"/>
      <c r="V201" s="74"/>
      <c r="W201" s="74"/>
      <c r="X201" s="74"/>
      <c r="Y201" s="74"/>
    </row>
    <row r="202" spans="1:25" ht="15.75" thickBot="1" x14ac:dyDescent="0.3">
      <c r="A202" s="75">
        <v>2025</v>
      </c>
      <c r="B202" s="76">
        <v>13</v>
      </c>
      <c r="C202" s="85" t="s">
        <v>434</v>
      </c>
      <c r="D202" s="85" t="s">
        <v>434</v>
      </c>
      <c r="E202" s="76" t="s">
        <v>181</v>
      </c>
      <c r="F202" s="77" t="s">
        <v>842</v>
      </c>
      <c r="G202" s="77" t="s">
        <v>1221</v>
      </c>
      <c r="H202" s="77" t="s">
        <v>844</v>
      </c>
      <c r="I202" s="77" t="s">
        <v>845</v>
      </c>
      <c r="J202" s="77"/>
      <c r="K202" s="77"/>
      <c r="L202" s="74"/>
      <c r="M202" s="74"/>
      <c r="N202" s="74"/>
      <c r="O202" s="74"/>
      <c r="P202" s="74"/>
      <c r="Q202" s="74"/>
      <c r="R202" s="74"/>
      <c r="S202" s="74"/>
      <c r="T202" s="74"/>
      <c r="U202" s="74"/>
      <c r="V202" s="74"/>
      <c r="W202" s="74"/>
      <c r="X202" s="74"/>
      <c r="Y202" s="74"/>
    </row>
    <row r="203" spans="1:25" ht="15.75" thickBot="1" x14ac:dyDescent="0.3">
      <c r="A203" s="78">
        <v>2025</v>
      </c>
      <c r="B203" s="114" t="s">
        <v>658</v>
      </c>
      <c r="C203" s="86" t="s">
        <v>322</v>
      </c>
      <c r="D203" s="86" t="s">
        <v>322</v>
      </c>
      <c r="E203" s="79" t="s">
        <v>182</v>
      </c>
      <c r="F203" s="80" t="s">
        <v>2166</v>
      </c>
      <c r="G203" s="80" t="s">
        <v>2282</v>
      </c>
      <c r="H203" s="80" t="s">
        <v>890</v>
      </c>
      <c r="I203" s="80" t="s">
        <v>1222</v>
      </c>
      <c r="J203" s="80"/>
      <c r="K203" s="80"/>
      <c r="L203" s="74"/>
      <c r="M203" s="74"/>
      <c r="N203" s="74"/>
      <c r="O203" s="74"/>
      <c r="P203" s="74"/>
      <c r="Q203" s="74"/>
      <c r="R203" s="74"/>
      <c r="S203" s="74"/>
      <c r="T203" s="74"/>
      <c r="U203" s="74"/>
      <c r="V203" s="74"/>
      <c r="W203" s="74"/>
      <c r="X203" s="74"/>
      <c r="Y203" s="74"/>
    </row>
    <row r="204" spans="1:25" ht="15.75" thickBot="1" x14ac:dyDescent="0.3">
      <c r="A204" s="75">
        <v>2025</v>
      </c>
      <c r="B204" s="76">
        <v>10</v>
      </c>
      <c r="C204" s="85" t="s">
        <v>476</v>
      </c>
      <c r="D204" s="85" t="s">
        <v>476</v>
      </c>
      <c r="E204" s="76" t="s">
        <v>183</v>
      </c>
      <c r="F204" s="77" t="s">
        <v>1223</v>
      </c>
      <c r="G204" s="77" t="s">
        <v>1224</v>
      </c>
      <c r="H204" s="77" t="s">
        <v>1744</v>
      </c>
      <c r="I204" s="77" t="s">
        <v>1745</v>
      </c>
      <c r="J204" s="77"/>
      <c r="K204" s="77"/>
      <c r="L204" s="74"/>
      <c r="M204" s="74"/>
      <c r="N204" s="74"/>
      <c r="O204" s="74"/>
      <c r="P204" s="74"/>
      <c r="Q204" s="74"/>
      <c r="R204" s="74"/>
      <c r="S204" s="74"/>
      <c r="T204" s="74"/>
      <c r="U204" s="74"/>
      <c r="V204" s="74"/>
      <c r="W204" s="74"/>
      <c r="X204" s="74"/>
      <c r="Y204" s="74"/>
    </row>
    <row r="205" spans="1:25" ht="15.75" thickBot="1" x14ac:dyDescent="0.3">
      <c r="A205" s="78">
        <v>2025</v>
      </c>
      <c r="B205" s="114" t="s">
        <v>665</v>
      </c>
      <c r="C205" s="86" t="s">
        <v>521</v>
      </c>
      <c r="D205" s="86" t="s">
        <v>521</v>
      </c>
      <c r="E205" s="79" t="s">
        <v>690</v>
      </c>
      <c r="F205" s="80" t="s">
        <v>1225</v>
      </c>
      <c r="G205" s="80" t="s">
        <v>1226</v>
      </c>
      <c r="H205" s="80" t="s">
        <v>1746</v>
      </c>
      <c r="I205" s="80" t="s">
        <v>1747</v>
      </c>
      <c r="J205" s="80"/>
      <c r="K205" s="80"/>
      <c r="L205" s="74"/>
      <c r="M205" s="74"/>
      <c r="N205" s="74"/>
      <c r="O205" s="74"/>
      <c r="P205" s="74"/>
      <c r="Q205" s="74"/>
      <c r="R205" s="74"/>
      <c r="S205" s="74"/>
      <c r="T205" s="74"/>
      <c r="U205" s="74"/>
      <c r="V205" s="74"/>
      <c r="W205" s="74"/>
      <c r="X205" s="74"/>
      <c r="Y205" s="74"/>
    </row>
    <row r="206" spans="1:25" ht="15.75" thickBot="1" x14ac:dyDescent="0.3">
      <c r="A206" s="75">
        <v>2025</v>
      </c>
      <c r="B206" s="113" t="s">
        <v>658</v>
      </c>
      <c r="C206" s="85" t="s">
        <v>350</v>
      </c>
      <c r="D206" s="85" t="s">
        <v>350</v>
      </c>
      <c r="E206" s="76" t="s">
        <v>185</v>
      </c>
      <c r="F206" s="77" t="s">
        <v>1227</v>
      </c>
      <c r="G206" s="77" t="s">
        <v>1228</v>
      </c>
      <c r="H206" s="77" t="s">
        <v>2283</v>
      </c>
      <c r="I206" s="77" t="s">
        <v>2284</v>
      </c>
      <c r="J206" s="77"/>
      <c r="K206" s="77"/>
      <c r="L206" s="74"/>
      <c r="M206" s="74"/>
      <c r="N206" s="74"/>
      <c r="O206" s="74"/>
      <c r="P206" s="74"/>
      <c r="Q206" s="74"/>
      <c r="R206" s="74"/>
      <c r="S206" s="74"/>
      <c r="T206" s="74"/>
      <c r="U206" s="74"/>
      <c r="V206" s="74"/>
      <c r="W206" s="74"/>
      <c r="X206" s="74"/>
      <c r="Y206" s="74"/>
    </row>
    <row r="207" spans="1:25" ht="15.75" thickBot="1" x14ac:dyDescent="0.3">
      <c r="A207" s="78">
        <v>2025</v>
      </c>
      <c r="B207" s="114" t="s">
        <v>661</v>
      </c>
      <c r="C207" s="86" t="s">
        <v>525</v>
      </c>
      <c r="D207" s="86" t="s">
        <v>525</v>
      </c>
      <c r="E207" s="79" t="s">
        <v>186</v>
      </c>
      <c r="F207" s="80" t="s">
        <v>1230</v>
      </c>
      <c r="G207" s="80" t="s">
        <v>1231</v>
      </c>
      <c r="H207" s="80" t="s">
        <v>1232</v>
      </c>
      <c r="I207" s="80" t="s">
        <v>1233</v>
      </c>
      <c r="J207" s="80"/>
      <c r="K207" s="80"/>
      <c r="L207" s="74"/>
      <c r="M207" s="74"/>
      <c r="N207" s="74"/>
      <c r="O207" s="74"/>
      <c r="P207" s="74"/>
      <c r="Q207" s="74"/>
      <c r="R207" s="74"/>
      <c r="S207" s="74"/>
      <c r="T207" s="74"/>
      <c r="U207" s="74"/>
      <c r="V207" s="74"/>
      <c r="W207" s="74"/>
      <c r="X207" s="74"/>
      <c r="Y207" s="74"/>
    </row>
    <row r="208" spans="1:25" ht="15.75" thickBot="1" x14ac:dyDescent="0.3">
      <c r="A208" s="75">
        <v>2025</v>
      </c>
      <c r="B208" s="76">
        <v>10</v>
      </c>
      <c r="C208" s="85" t="s">
        <v>524</v>
      </c>
      <c r="D208" s="85" t="s">
        <v>524</v>
      </c>
      <c r="E208" s="76" t="s">
        <v>187</v>
      </c>
      <c r="F208" s="77" t="s">
        <v>2149</v>
      </c>
      <c r="G208" s="77" t="s">
        <v>2285</v>
      </c>
      <c r="H208" s="77" t="s">
        <v>1234</v>
      </c>
      <c r="I208" s="77" t="s">
        <v>1235</v>
      </c>
      <c r="J208" s="77"/>
      <c r="K208" s="77"/>
      <c r="L208" s="74"/>
      <c r="M208" s="74"/>
      <c r="N208" s="74"/>
      <c r="O208" s="74"/>
      <c r="P208" s="74"/>
      <c r="Q208" s="74"/>
      <c r="R208" s="74"/>
      <c r="S208" s="74"/>
      <c r="T208" s="74"/>
      <c r="U208" s="74"/>
      <c r="V208" s="74"/>
      <c r="W208" s="74"/>
      <c r="X208" s="74"/>
      <c r="Y208" s="74"/>
    </row>
    <row r="209" spans="1:25" ht="27" thickBot="1" x14ac:dyDescent="0.3">
      <c r="A209" s="78">
        <v>2025</v>
      </c>
      <c r="B209" s="79">
        <v>15</v>
      </c>
      <c r="C209" s="86" t="s">
        <v>523</v>
      </c>
      <c r="D209" s="86" t="s">
        <v>523</v>
      </c>
      <c r="E209" s="79" t="s">
        <v>188</v>
      </c>
      <c r="F209" s="80" t="s">
        <v>2286</v>
      </c>
      <c r="G209" s="80" t="s">
        <v>2287</v>
      </c>
      <c r="H209" s="80" t="s">
        <v>2288</v>
      </c>
      <c r="I209" s="80" t="s">
        <v>2289</v>
      </c>
      <c r="J209" s="80" t="s">
        <v>2290</v>
      </c>
      <c r="K209" s="80" t="s">
        <v>2291</v>
      </c>
      <c r="L209" s="74"/>
      <c r="M209" s="74"/>
      <c r="N209" s="74"/>
      <c r="O209" s="74"/>
      <c r="P209" s="74"/>
      <c r="Q209" s="74"/>
      <c r="R209" s="74"/>
      <c r="S209" s="74"/>
      <c r="T209" s="74"/>
      <c r="U209" s="74"/>
      <c r="V209" s="74"/>
      <c r="W209" s="74"/>
      <c r="X209" s="74"/>
      <c r="Y209" s="74"/>
    </row>
    <row r="210" spans="1:25" ht="15.75" thickBot="1" x14ac:dyDescent="0.3">
      <c r="A210" s="75">
        <v>2025</v>
      </c>
      <c r="B210" s="76">
        <v>11</v>
      </c>
      <c r="C210" s="85" t="s">
        <v>526</v>
      </c>
      <c r="D210" s="85" t="s">
        <v>526</v>
      </c>
      <c r="E210" s="76" t="s">
        <v>189</v>
      </c>
      <c r="F210" s="77" t="s">
        <v>1237</v>
      </c>
      <c r="G210" s="77" t="s">
        <v>1238</v>
      </c>
      <c r="H210" s="77" t="s">
        <v>1239</v>
      </c>
      <c r="I210" s="77" t="s">
        <v>1240</v>
      </c>
      <c r="J210" s="77" t="s">
        <v>1610</v>
      </c>
      <c r="K210" s="77" t="s">
        <v>1611</v>
      </c>
      <c r="L210" s="74"/>
      <c r="M210" s="74"/>
      <c r="N210" s="74"/>
      <c r="O210" s="74"/>
      <c r="P210" s="74"/>
      <c r="Q210" s="74"/>
      <c r="R210" s="74"/>
      <c r="S210" s="74"/>
      <c r="T210" s="74"/>
      <c r="U210" s="74"/>
      <c r="V210" s="74"/>
      <c r="W210" s="74"/>
      <c r="X210" s="74"/>
      <c r="Y210" s="74"/>
    </row>
    <row r="211" spans="1:25" ht="15.75" thickBot="1" x14ac:dyDescent="0.3">
      <c r="A211" s="78">
        <v>2025</v>
      </c>
      <c r="B211" s="114" t="s">
        <v>666</v>
      </c>
      <c r="C211" s="86" t="s">
        <v>527</v>
      </c>
      <c r="D211" s="86" t="s">
        <v>527</v>
      </c>
      <c r="E211" s="79" t="s">
        <v>190</v>
      </c>
      <c r="F211" s="80" t="s">
        <v>1241</v>
      </c>
      <c r="G211" s="80" t="s">
        <v>1242</v>
      </c>
      <c r="H211" s="80" t="s">
        <v>1243</v>
      </c>
      <c r="I211" s="80" t="s">
        <v>1244</v>
      </c>
      <c r="J211" s="80" t="s">
        <v>1245</v>
      </c>
      <c r="K211" s="80" t="s">
        <v>1246</v>
      </c>
      <c r="L211" s="74"/>
      <c r="M211" s="74"/>
      <c r="N211" s="74"/>
      <c r="O211" s="74"/>
      <c r="P211" s="74"/>
      <c r="Q211" s="74"/>
      <c r="R211" s="74"/>
      <c r="S211" s="74"/>
      <c r="T211" s="74"/>
      <c r="U211" s="74"/>
      <c r="V211" s="74"/>
      <c r="W211" s="74"/>
      <c r="X211" s="74"/>
      <c r="Y211" s="74"/>
    </row>
    <row r="212" spans="1:25" ht="15.75" thickBot="1" x14ac:dyDescent="0.3">
      <c r="A212" s="75">
        <v>2025</v>
      </c>
      <c r="B212" s="113" t="s">
        <v>658</v>
      </c>
      <c r="C212" s="85" t="s">
        <v>528</v>
      </c>
      <c r="D212" s="85" t="s">
        <v>528</v>
      </c>
      <c r="E212" s="76" t="s">
        <v>191</v>
      </c>
      <c r="F212" s="77" t="s">
        <v>1628</v>
      </c>
      <c r="G212" s="77" t="s">
        <v>2292</v>
      </c>
      <c r="H212" s="77" t="s">
        <v>1748</v>
      </c>
      <c r="I212" s="77" t="s">
        <v>1749</v>
      </c>
      <c r="J212" s="77"/>
      <c r="K212" s="77"/>
      <c r="L212" s="74"/>
      <c r="M212" s="74"/>
      <c r="N212" s="74"/>
      <c r="O212" s="74"/>
      <c r="P212" s="74"/>
      <c r="Q212" s="74"/>
      <c r="R212" s="74"/>
      <c r="S212" s="74"/>
      <c r="T212" s="74"/>
      <c r="U212" s="74"/>
      <c r="V212" s="74"/>
      <c r="W212" s="74"/>
      <c r="X212" s="74"/>
      <c r="Y212" s="74"/>
    </row>
    <row r="213" spans="1:25" ht="15.75" thickBot="1" x14ac:dyDescent="0.3">
      <c r="A213" s="78">
        <v>2025</v>
      </c>
      <c r="B213" s="114" t="s">
        <v>661</v>
      </c>
      <c r="C213" s="86" t="s">
        <v>329</v>
      </c>
      <c r="D213" s="86" t="s">
        <v>329</v>
      </c>
      <c r="E213" s="79" t="s">
        <v>192</v>
      </c>
      <c r="F213" s="80" t="s">
        <v>1230</v>
      </c>
      <c r="G213" s="80" t="s">
        <v>1231</v>
      </c>
      <c r="H213" s="80" t="s">
        <v>1232</v>
      </c>
      <c r="I213" s="80" t="s">
        <v>1248</v>
      </c>
      <c r="J213" s="80"/>
      <c r="K213" s="80"/>
      <c r="L213" s="74"/>
      <c r="M213" s="74"/>
      <c r="N213" s="74"/>
      <c r="O213" s="74"/>
      <c r="P213" s="74"/>
      <c r="Q213" s="74"/>
      <c r="R213" s="74"/>
      <c r="S213" s="74"/>
      <c r="T213" s="74"/>
      <c r="U213" s="74"/>
      <c r="V213" s="74"/>
      <c r="W213" s="74"/>
      <c r="X213" s="74"/>
      <c r="Y213" s="74"/>
    </row>
    <row r="214" spans="1:25" ht="15.75" thickBot="1" x14ac:dyDescent="0.3">
      <c r="A214" s="75">
        <v>2025</v>
      </c>
      <c r="B214" s="113" t="s">
        <v>666</v>
      </c>
      <c r="C214" s="85" t="s">
        <v>520</v>
      </c>
      <c r="D214" s="85" t="s">
        <v>520</v>
      </c>
      <c r="E214" s="76" t="s">
        <v>194</v>
      </c>
      <c r="F214" s="77" t="s">
        <v>1249</v>
      </c>
      <c r="G214" s="77" t="s">
        <v>1250</v>
      </c>
      <c r="H214" s="77" t="s">
        <v>1612</v>
      </c>
      <c r="I214" s="77" t="s">
        <v>1613</v>
      </c>
      <c r="J214" s="77"/>
      <c r="K214" s="77"/>
      <c r="L214" s="74"/>
      <c r="M214" s="74"/>
      <c r="N214" s="74"/>
      <c r="O214" s="74"/>
      <c r="P214" s="74"/>
      <c r="Q214" s="74"/>
      <c r="R214" s="74"/>
      <c r="S214" s="74"/>
      <c r="T214" s="74"/>
      <c r="U214" s="74"/>
      <c r="V214" s="74"/>
      <c r="W214" s="74"/>
      <c r="X214" s="74"/>
      <c r="Y214" s="74"/>
    </row>
    <row r="215" spans="1:25" ht="15.75" thickBot="1" x14ac:dyDescent="0.3">
      <c r="A215" s="78">
        <v>2025</v>
      </c>
      <c r="B215" s="114" t="s">
        <v>658</v>
      </c>
      <c r="C215" s="86" t="s">
        <v>529</v>
      </c>
      <c r="D215" s="86" t="s">
        <v>529</v>
      </c>
      <c r="E215" s="79" t="s">
        <v>196</v>
      </c>
      <c r="F215" s="80" t="s">
        <v>1251</v>
      </c>
      <c r="G215" s="80" t="s">
        <v>1252</v>
      </c>
      <c r="H215" s="80" t="s">
        <v>1253</v>
      </c>
      <c r="I215" s="80" t="s">
        <v>1254</v>
      </c>
      <c r="J215" s="80"/>
      <c r="K215" s="80"/>
      <c r="L215" s="74"/>
      <c r="M215" s="74"/>
      <c r="N215" s="74"/>
      <c r="O215" s="74"/>
      <c r="P215" s="74"/>
      <c r="Q215" s="74"/>
      <c r="R215" s="74"/>
      <c r="S215" s="74"/>
      <c r="T215" s="74"/>
      <c r="U215" s="74"/>
      <c r="V215" s="74"/>
      <c r="W215" s="74"/>
      <c r="X215" s="74"/>
      <c r="Y215" s="74"/>
    </row>
    <row r="216" spans="1:25" ht="15.75" thickBot="1" x14ac:dyDescent="0.3">
      <c r="A216" s="75">
        <v>2025</v>
      </c>
      <c r="B216" s="76">
        <v>11</v>
      </c>
      <c r="C216" s="85" t="s">
        <v>530</v>
      </c>
      <c r="D216" s="85" t="s">
        <v>530</v>
      </c>
      <c r="E216" s="76" t="s">
        <v>723</v>
      </c>
      <c r="F216" s="77" t="s">
        <v>1276</v>
      </c>
      <c r="G216" s="77" t="s">
        <v>2293</v>
      </c>
      <c r="H216" s="77" t="s">
        <v>1663</v>
      </c>
      <c r="I216" s="77" t="s">
        <v>1664</v>
      </c>
      <c r="J216" s="77"/>
      <c r="K216" s="77"/>
      <c r="L216" s="74"/>
      <c r="M216" s="74"/>
      <c r="N216" s="74"/>
      <c r="O216" s="74"/>
      <c r="P216" s="74"/>
      <c r="Q216" s="74"/>
      <c r="R216" s="74"/>
      <c r="S216" s="74"/>
      <c r="T216" s="74"/>
      <c r="U216" s="74"/>
      <c r="V216" s="74"/>
      <c r="W216" s="74"/>
      <c r="X216" s="74"/>
      <c r="Y216" s="74"/>
    </row>
    <row r="217" spans="1:25" ht="15.75" thickBot="1" x14ac:dyDescent="0.3">
      <c r="A217" s="78">
        <v>2025</v>
      </c>
      <c r="B217" s="79">
        <v>12</v>
      </c>
      <c r="C217" s="86" t="s">
        <v>532</v>
      </c>
      <c r="D217" s="86" t="s">
        <v>532</v>
      </c>
      <c r="E217" s="79" t="s">
        <v>724</v>
      </c>
      <c r="F217" s="80" t="s">
        <v>1255</v>
      </c>
      <c r="G217" s="80" t="s">
        <v>1256</v>
      </c>
      <c r="H217" s="80" t="s">
        <v>1614</v>
      </c>
      <c r="I217" s="80" t="s">
        <v>1615</v>
      </c>
      <c r="J217" s="80"/>
      <c r="K217" s="80"/>
      <c r="L217" s="74"/>
      <c r="M217" s="74"/>
      <c r="N217" s="74"/>
      <c r="O217" s="74"/>
      <c r="P217" s="74"/>
      <c r="Q217" s="74"/>
      <c r="R217" s="74"/>
      <c r="S217" s="74"/>
      <c r="T217" s="74"/>
      <c r="U217" s="74"/>
      <c r="V217" s="74"/>
      <c r="W217" s="74"/>
      <c r="X217" s="74"/>
      <c r="Y217" s="74"/>
    </row>
    <row r="218" spans="1:25" ht="15.75" thickBot="1" x14ac:dyDescent="0.3">
      <c r="A218" s="75">
        <v>2025</v>
      </c>
      <c r="B218" s="113" t="s">
        <v>665</v>
      </c>
      <c r="C218" s="85" t="s">
        <v>533</v>
      </c>
      <c r="D218" s="85" t="s">
        <v>533</v>
      </c>
      <c r="E218" s="76" t="s">
        <v>198</v>
      </c>
      <c r="F218" s="77" t="s">
        <v>1257</v>
      </c>
      <c r="G218" s="77" t="s">
        <v>1258</v>
      </c>
      <c r="H218" s="77" t="s">
        <v>1259</v>
      </c>
      <c r="I218" s="77" t="s">
        <v>1260</v>
      </c>
      <c r="J218" s="77" t="s">
        <v>1261</v>
      </c>
      <c r="K218" s="77" t="s">
        <v>1262</v>
      </c>
      <c r="L218" s="74"/>
      <c r="M218" s="74"/>
      <c r="N218" s="74"/>
      <c r="O218" s="74"/>
      <c r="P218" s="74"/>
      <c r="Q218" s="74"/>
      <c r="R218" s="74"/>
      <c r="S218" s="74"/>
      <c r="T218" s="74"/>
      <c r="U218" s="74"/>
      <c r="V218" s="74"/>
      <c r="W218" s="74"/>
      <c r="X218" s="74"/>
      <c r="Y218" s="74"/>
    </row>
    <row r="219" spans="1:25" ht="15.75" thickBot="1" x14ac:dyDescent="0.3">
      <c r="A219" s="78">
        <v>2025</v>
      </c>
      <c r="B219" s="79">
        <v>11</v>
      </c>
      <c r="C219" s="86" t="s">
        <v>534</v>
      </c>
      <c r="D219" s="86" t="s">
        <v>534</v>
      </c>
      <c r="E219" s="79" t="s">
        <v>199</v>
      </c>
      <c r="F219" s="80" t="s">
        <v>2294</v>
      </c>
      <c r="G219" s="80" t="s">
        <v>2295</v>
      </c>
      <c r="H219" s="80" t="s">
        <v>1263</v>
      </c>
      <c r="I219" s="80" t="s">
        <v>1264</v>
      </c>
      <c r="J219" s="80"/>
      <c r="K219" s="80"/>
      <c r="L219" s="74"/>
      <c r="M219" s="74"/>
      <c r="N219" s="74"/>
      <c r="O219" s="74"/>
      <c r="P219" s="74"/>
      <c r="Q219" s="74"/>
      <c r="R219" s="74"/>
      <c r="S219" s="74"/>
      <c r="T219" s="74"/>
      <c r="U219" s="74"/>
      <c r="V219" s="74"/>
      <c r="W219" s="74"/>
      <c r="X219" s="74"/>
      <c r="Y219" s="74"/>
    </row>
    <row r="220" spans="1:25" ht="15.75" thickBot="1" x14ac:dyDescent="0.3">
      <c r="A220" s="75">
        <v>2025</v>
      </c>
      <c r="B220" s="113" t="s">
        <v>661</v>
      </c>
      <c r="C220" s="85" t="s">
        <v>535</v>
      </c>
      <c r="D220" s="85" t="s">
        <v>535</v>
      </c>
      <c r="E220" s="76" t="s">
        <v>200</v>
      </c>
      <c r="F220" s="77" t="s">
        <v>1265</v>
      </c>
      <c r="G220" s="77" t="s">
        <v>1266</v>
      </c>
      <c r="H220" s="77" t="s">
        <v>2296</v>
      </c>
      <c r="I220" s="77" t="s">
        <v>2297</v>
      </c>
      <c r="J220" s="77"/>
      <c r="K220" s="77"/>
      <c r="L220" s="74"/>
      <c r="M220" s="74"/>
      <c r="N220" s="74"/>
      <c r="O220" s="74"/>
      <c r="P220" s="74"/>
      <c r="Q220" s="74"/>
      <c r="R220" s="74"/>
      <c r="S220" s="74"/>
      <c r="T220" s="74"/>
      <c r="U220" s="74"/>
      <c r="V220" s="74"/>
      <c r="W220" s="74"/>
      <c r="X220" s="74"/>
      <c r="Y220" s="74"/>
    </row>
    <row r="221" spans="1:25" ht="15.75" thickBot="1" x14ac:dyDescent="0.3">
      <c r="A221" s="78">
        <v>2025</v>
      </c>
      <c r="B221" s="79">
        <v>10</v>
      </c>
      <c r="C221" s="86" t="s">
        <v>536</v>
      </c>
      <c r="D221" s="86" t="s">
        <v>536</v>
      </c>
      <c r="E221" s="79" t="s">
        <v>201</v>
      </c>
      <c r="F221" s="80" t="s">
        <v>1223</v>
      </c>
      <c r="G221" s="80" t="s">
        <v>1267</v>
      </c>
      <c r="H221" s="80" t="s">
        <v>1744</v>
      </c>
      <c r="I221" s="80" t="s">
        <v>1750</v>
      </c>
      <c r="J221" s="80"/>
      <c r="K221" s="80"/>
      <c r="L221" s="74"/>
      <c r="M221" s="74"/>
      <c r="N221" s="74"/>
      <c r="O221" s="74"/>
      <c r="P221" s="74"/>
      <c r="Q221" s="74"/>
      <c r="R221" s="74"/>
      <c r="S221" s="74"/>
      <c r="T221" s="74"/>
      <c r="U221" s="74"/>
      <c r="V221" s="74"/>
      <c r="W221" s="74"/>
      <c r="X221" s="74"/>
      <c r="Y221" s="74"/>
    </row>
    <row r="222" spans="1:25" ht="15.75" thickBot="1" x14ac:dyDescent="0.3">
      <c r="A222" s="75">
        <v>2025</v>
      </c>
      <c r="B222" s="76">
        <v>13</v>
      </c>
      <c r="C222" s="85" t="s">
        <v>537</v>
      </c>
      <c r="D222" s="85" t="s">
        <v>537</v>
      </c>
      <c r="E222" s="76" t="s">
        <v>202</v>
      </c>
      <c r="F222" s="77" t="s">
        <v>797</v>
      </c>
      <c r="G222" s="77" t="s">
        <v>2298</v>
      </c>
      <c r="H222" s="77" t="s">
        <v>966</v>
      </c>
      <c r="I222" s="77" t="s">
        <v>967</v>
      </c>
      <c r="J222" s="77" t="s">
        <v>1268</v>
      </c>
      <c r="K222" s="77" t="s">
        <v>1269</v>
      </c>
      <c r="L222" s="74"/>
      <c r="M222" s="74"/>
      <c r="N222" s="74"/>
      <c r="O222" s="74"/>
      <c r="P222" s="74"/>
      <c r="Q222" s="74"/>
      <c r="R222" s="74"/>
      <c r="S222" s="74"/>
      <c r="T222" s="74"/>
      <c r="U222" s="74"/>
      <c r="V222" s="74"/>
      <c r="W222" s="74"/>
      <c r="X222" s="74"/>
      <c r="Y222" s="74"/>
    </row>
    <row r="223" spans="1:25" ht="15.75" thickBot="1" x14ac:dyDescent="0.3">
      <c r="A223" s="78">
        <v>2025</v>
      </c>
      <c r="B223" s="114" t="s">
        <v>658</v>
      </c>
      <c r="C223" s="86" t="s">
        <v>538</v>
      </c>
      <c r="D223" s="86" t="s">
        <v>538</v>
      </c>
      <c r="E223" s="79" t="s">
        <v>203</v>
      </c>
      <c r="F223" s="80" t="s">
        <v>1270</v>
      </c>
      <c r="G223" s="80" t="s">
        <v>1271</v>
      </c>
      <c r="H223" s="80" t="s">
        <v>2299</v>
      </c>
      <c r="I223" s="80" t="s">
        <v>2300</v>
      </c>
      <c r="J223" s="80"/>
      <c r="K223" s="80"/>
      <c r="L223" s="74"/>
      <c r="M223" s="74"/>
      <c r="N223" s="74"/>
      <c r="O223" s="74"/>
      <c r="P223" s="74"/>
      <c r="Q223" s="74"/>
      <c r="R223" s="74"/>
      <c r="S223" s="74"/>
      <c r="T223" s="74"/>
      <c r="U223" s="74"/>
      <c r="V223" s="74"/>
      <c r="W223" s="74"/>
      <c r="X223" s="74"/>
      <c r="Y223" s="74"/>
    </row>
    <row r="224" spans="1:25" ht="15.75" thickBot="1" x14ac:dyDescent="0.3">
      <c r="A224" s="75">
        <v>2025</v>
      </c>
      <c r="B224" s="76">
        <v>15</v>
      </c>
      <c r="C224" s="85" t="s">
        <v>539</v>
      </c>
      <c r="D224" s="85" t="s">
        <v>539</v>
      </c>
      <c r="E224" s="76" t="s">
        <v>204</v>
      </c>
      <c r="F224" s="77" t="s">
        <v>1616</v>
      </c>
      <c r="G224" s="77" t="s">
        <v>2301</v>
      </c>
      <c r="H224" s="77" t="s">
        <v>1236</v>
      </c>
      <c r="I224" s="77" t="s">
        <v>2080</v>
      </c>
      <c r="J224" s="77"/>
      <c r="K224" s="77"/>
      <c r="L224" s="74"/>
      <c r="M224" s="74"/>
      <c r="N224" s="74"/>
      <c r="O224" s="74"/>
      <c r="P224" s="74"/>
      <c r="Q224" s="74"/>
      <c r="R224" s="74"/>
      <c r="S224" s="74"/>
      <c r="T224" s="74"/>
      <c r="U224" s="74"/>
      <c r="V224" s="74"/>
      <c r="W224" s="74"/>
      <c r="X224" s="74"/>
      <c r="Y224" s="74"/>
    </row>
    <row r="225" spans="1:25" ht="15.75" thickBot="1" x14ac:dyDescent="0.3">
      <c r="A225" s="78">
        <v>2025</v>
      </c>
      <c r="B225" s="79">
        <v>15</v>
      </c>
      <c r="C225" s="86" t="s">
        <v>540</v>
      </c>
      <c r="D225" s="86" t="s">
        <v>540</v>
      </c>
      <c r="E225" s="79" t="s">
        <v>725</v>
      </c>
      <c r="F225" s="80" t="s">
        <v>1272</v>
      </c>
      <c r="G225" s="80" t="s">
        <v>1273</v>
      </c>
      <c r="H225" s="80" t="s">
        <v>1274</v>
      </c>
      <c r="I225" s="80" t="s">
        <v>1275</v>
      </c>
      <c r="J225" s="80" t="s">
        <v>1617</v>
      </c>
      <c r="K225" s="80" t="s">
        <v>1618</v>
      </c>
      <c r="L225" s="74"/>
      <c r="M225" s="74"/>
      <c r="N225" s="74"/>
      <c r="O225" s="74"/>
      <c r="P225" s="74"/>
      <c r="Q225" s="74"/>
      <c r="R225" s="74"/>
      <c r="S225" s="74"/>
      <c r="T225" s="74"/>
      <c r="U225" s="74"/>
      <c r="V225" s="74"/>
      <c r="W225" s="74"/>
      <c r="X225" s="74"/>
      <c r="Y225" s="74"/>
    </row>
    <row r="226" spans="1:25" ht="15.75" thickBot="1" x14ac:dyDescent="0.3">
      <c r="A226" s="75">
        <v>2025</v>
      </c>
      <c r="B226" s="76">
        <v>11</v>
      </c>
      <c r="C226" s="85" t="s">
        <v>541</v>
      </c>
      <c r="D226" s="85" t="s">
        <v>541</v>
      </c>
      <c r="E226" s="76" t="s">
        <v>205</v>
      </c>
      <c r="F226" s="77" t="s">
        <v>2302</v>
      </c>
      <c r="G226" s="77" t="s">
        <v>2303</v>
      </c>
      <c r="H226" s="77" t="s">
        <v>1277</v>
      </c>
      <c r="I226" s="77" t="s">
        <v>1278</v>
      </c>
      <c r="J226" s="77"/>
      <c r="K226" s="77"/>
      <c r="L226" s="74"/>
      <c r="M226" s="74"/>
      <c r="N226" s="74"/>
      <c r="O226" s="74"/>
      <c r="P226" s="74"/>
      <c r="Q226" s="74"/>
      <c r="R226" s="74"/>
      <c r="S226" s="74"/>
      <c r="T226" s="74"/>
      <c r="U226" s="74"/>
      <c r="V226" s="74"/>
      <c r="W226" s="74"/>
      <c r="X226" s="74"/>
      <c r="Y226" s="74"/>
    </row>
    <row r="227" spans="1:25" ht="15.75" thickBot="1" x14ac:dyDescent="0.3">
      <c r="A227" s="78">
        <v>2025</v>
      </c>
      <c r="B227" s="114" t="s">
        <v>661</v>
      </c>
      <c r="C227" s="86" t="s">
        <v>542</v>
      </c>
      <c r="D227" s="86" t="s">
        <v>542</v>
      </c>
      <c r="E227" s="79" t="s">
        <v>206</v>
      </c>
      <c r="F227" s="80" t="s">
        <v>1303</v>
      </c>
      <c r="G227" s="80" t="s">
        <v>2304</v>
      </c>
      <c r="H227" s="80" t="s">
        <v>1305</v>
      </c>
      <c r="I227" s="80" t="s">
        <v>2305</v>
      </c>
      <c r="J227" s="80"/>
      <c r="K227" s="80"/>
      <c r="L227" s="74"/>
      <c r="M227" s="74"/>
      <c r="N227" s="74"/>
      <c r="O227" s="74"/>
      <c r="P227" s="74"/>
      <c r="Q227" s="74"/>
      <c r="R227" s="74"/>
      <c r="S227" s="74"/>
      <c r="T227" s="74"/>
      <c r="U227" s="74"/>
      <c r="V227" s="74"/>
      <c r="W227" s="74"/>
      <c r="X227" s="74"/>
      <c r="Y227" s="74"/>
    </row>
    <row r="228" spans="1:25" ht="15.75" thickBot="1" x14ac:dyDescent="0.3">
      <c r="A228" s="75">
        <v>2025</v>
      </c>
      <c r="B228" s="76">
        <v>11</v>
      </c>
      <c r="C228" s="85" t="s">
        <v>551</v>
      </c>
      <c r="D228" s="85" t="s">
        <v>671</v>
      </c>
      <c r="E228" s="76" t="s">
        <v>6</v>
      </c>
      <c r="F228" s="77" t="s">
        <v>2306</v>
      </c>
      <c r="G228" s="77" t="s">
        <v>2307</v>
      </c>
      <c r="H228" s="77" t="s">
        <v>1751</v>
      </c>
      <c r="I228" s="77" t="s">
        <v>1752</v>
      </c>
      <c r="J228" s="77"/>
      <c r="K228" s="77"/>
      <c r="L228" s="74"/>
      <c r="M228" s="74"/>
      <c r="N228" s="74"/>
      <c r="O228" s="74"/>
      <c r="P228" s="74"/>
      <c r="Q228" s="74"/>
      <c r="R228" s="74"/>
      <c r="S228" s="74"/>
      <c r="T228" s="74"/>
      <c r="U228" s="74"/>
      <c r="V228" s="74"/>
      <c r="W228" s="74"/>
      <c r="X228" s="74"/>
      <c r="Y228" s="74"/>
    </row>
    <row r="229" spans="1:25" ht="15.75" thickBot="1" x14ac:dyDescent="0.3">
      <c r="A229" s="78">
        <v>2025</v>
      </c>
      <c r="B229" s="79">
        <v>15</v>
      </c>
      <c r="C229" s="86" t="s">
        <v>544</v>
      </c>
      <c r="D229" s="86" t="s">
        <v>544</v>
      </c>
      <c r="E229" s="79" t="s">
        <v>207</v>
      </c>
      <c r="F229" s="80" t="s">
        <v>914</v>
      </c>
      <c r="G229" s="80" t="s">
        <v>2308</v>
      </c>
      <c r="H229" s="80" t="s">
        <v>2309</v>
      </c>
      <c r="I229" s="80" t="s">
        <v>2310</v>
      </c>
      <c r="J229" s="80"/>
      <c r="K229" s="80"/>
      <c r="L229" s="74"/>
      <c r="M229" s="74"/>
      <c r="N229" s="74"/>
      <c r="O229" s="74"/>
      <c r="P229" s="74"/>
      <c r="Q229" s="74"/>
      <c r="R229" s="74"/>
      <c r="S229" s="74"/>
      <c r="T229" s="74"/>
      <c r="U229" s="74"/>
      <c r="V229" s="74"/>
      <c r="W229" s="74"/>
      <c r="X229" s="74"/>
      <c r="Y229" s="74"/>
    </row>
    <row r="230" spans="1:25" ht="15.75" thickBot="1" x14ac:dyDescent="0.3">
      <c r="A230" s="75">
        <v>2025</v>
      </c>
      <c r="B230" s="76">
        <v>11</v>
      </c>
      <c r="C230" s="85" t="s">
        <v>545</v>
      </c>
      <c r="D230" s="85" t="s">
        <v>545</v>
      </c>
      <c r="E230" s="76" t="s">
        <v>208</v>
      </c>
      <c r="F230" s="77" t="s">
        <v>1281</v>
      </c>
      <c r="G230" s="77" t="s">
        <v>1282</v>
      </c>
      <c r="H230" s="77" t="s">
        <v>1619</v>
      </c>
      <c r="I230" s="77" t="s">
        <v>1620</v>
      </c>
      <c r="J230" s="77"/>
      <c r="K230" s="77"/>
      <c r="L230" s="74"/>
      <c r="M230" s="74"/>
      <c r="N230" s="74"/>
      <c r="O230" s="74"/>
      <c r="P230" s="74"/>
      <c r="Q230" s="74"/>
      <c r="R230" s="74"/>
      <c r="S230" s="74"/>
      <c r="T230" s="74"/>
      <c r="U230" s="74"/>
      <c r="V230" s="74"/>
      <c r="W230" s="74"/>
      <c r="X230" s="74"/>
      <c r="Y230" s="74"/>
    </row>
    <row r="231" spans="1:25" ht="15.75" thickBot="1" x14ac:dyDescent="0.3">
      <c r="A231" s="78">
        <v>2025</v>
      </c>
      <c r="B231" s="79">
        <v>11</v>
      </c>
      <c r="C231" s="86" t="s">
        <v>546</v>
      </c>
      <c r="D231" s="86" t="s">
        <v>546</v>
      </c>
      <c r="E231" s="79" t="s">
        <v>209</v>
      </c>
      <c r="F231" s="80" t="s">
        <v>1283</v>
      </c>
      <c r="G231" s="80" t="s">
        <v>1284</v>
      </c>
      <c r="H231" s="80" t="s">
        <v>1285</v>
      </c>
      <c r="I231" s="80" t="s">
        <v>1286</v>
      </c>
      <c r="J231" s="80"/>
      <c r="K231" s="80"/>
      <c r="L231" s="74"/>
      <c r="M231" s="74"/>
      <c r="N231" s="74"/>
      <c r="O231" s="74"/>
      <c r="P231" s="74"/>
      <c r="Q231" s="74"/>
      <c r="R231" s="74"/>
      <c r="S231" s="74"/>
      <c r="T231" s="74"/>
      <c r="U231" s="74"/>
      <c r="V231" s="74"/>
      <c r="W231" s="74"/>
      <c r="X231" s="74"/>
      <c r="Y231" s="74"/>
    </row>
    <row r="232" spans="1:25" ht="15.75" thickBot="1" x14ac:dyDescent="0.3">
      <c r="A232" s="75">
        <v>2025</v>
      </c>
      <c r="B232" s="113" t="s">
        <v>666</v>
      </c>
      <c r="C232" s="85" t="s">
        <v>547</v>
      </c>
      <c r="D232" s="85" t="s">
        <v>547</v>
      </c>
      <c r="E232" s="76" t="s">
        <v>726</v>
      </c>
      <c r="F232" s="77" t="s">
        <v>1287</v>
      </c>
      <c r="G232" s="77" t="s">
        <v>1288</v>
      </c>
      <c r="H232" s="77" t="s">
        <v>1289</v>
      </c>
      <c r="I232" s="77" t="s">
        <v>1290</v>
      </c>
      <c r="J232" s="77" t="s">
        <v>1291</v>
      </c>
      <c r="K232" s="77" t="s">
        <v>1292</v>
      </c>
      <c r="L232" s="74"/>
      <c r="M232" s="74"/>
      <c r="N232" s="74"/>
      <c r="O232" s="74"/>
      <c r="P232" s="74"/>
      <c r="Q232" s="74"/>
      <c r="R232" s="74"/>
      <c r="S232" s="74"/>
      <c r="T232" s="74"/>
      <c r="U232" s="74"/>
      <c r="V232" s="74"/>
      <c r="W232" s="74"/>
      <c r="X232" s="74"/>
      <c r="Y232" s="74"/>
    </row>
    <row r="233" spans="1:25" ht="15.75" thickBot="1" x14ac:dyDescent="0.3">
      <c r="A233" s="78">
        <v>2025</v>
      </c>
      <c r="B233" s="79">
        <v>11</v>
      </c>
      <c r="C233" s="86" t="s">
        <v>548</v>
      </c>
      <c r="D233" s="86" t="s">
        <v>548</v>
      </c>
      <c r="E233" s="79" t="s">
        <v>210</v>
      </c>
      <c r="F233" s="80" t="s">
        <v>965</v>
      </c>
      <c r="G233" s="80" t="s">
        <v>1293</v>
      </c>
      <c r="H233" s="80" t="s">
        <v>1294</v>
      </c>
      <c r="I233" s="80" t="s">
        <v>1295</v>
      </c>
      <c r="J233" s="80"/>
      <c r="K233" s="80"/>
      <c r="L233" s="74"/>
      <c r="M233" s="74"/>
      <c r="N233" s="74"/>
      <c r="O233" s="74"/>
      <c r="P233" s="74"/>
      <c r="Q233" s="74"/>
      <c r="R233" s="74"/>
      <c r="S233" s="74"/>
      <c r="T233" s="74"/>
      <c r="U233" s="74"/>
      <c r="V233" s="74"/>
      <c r="W233" s="74"/>
      <c r="X233" s="74"/>
      <c r="Y233" s="74"/>
    </row>
    <row r="234" spans="1:25" ht="15.75" thickBot="1" x14ac:dyDescent="0.3">
      <c r="A234" s="75">
        <v>2025</v>
      </c>
      <c r="B234" s="113" t="s">
        <v>661</v>
      </c>
      <c r="C234" s="85" t="s">
        <v>549</v>
      </c>
      <c r="D234" s="85" t="s">
        <v>549</v>
      </c>
      <c r="E234" s="76" t="s">
        <v>211</v>
      </c>
      <c r="F234" s="77" t="s">
        <v>1296</v>
      </c>
      <c r="G234" s="77" t="s">
        <v>1297</v>
      </c>
      <c r="H234" s="77" t="s">
        <v>1298</v>
      </c>
      <c r="I234" s="77" t="s">
        <v>1299</v>
      </c>
      <c r="J234" s="77"/>
      <c r="K234" s="77"/>
      <c r="L234" s="74"/>
      <c r="M234" s="74"/>
      <c r="N234" s="74"/>
      <c r="O234" s="74"/>
      <c r="P234" s="74"/>
      <c r="Q234" s="74"/>
      <c r="R234" s="74"/>
      <c r="S234" s="74"/>
      <c r="T234" s="74"/>
      <c r="U234" s="74"/>
      <c r="V234" s="74"/>
      <c r="W234" s="74"/>
      <c r="X234" s="74"/>
      <c r="Y234" s="74"/>
    </row>
    <row r="235" spans="1:25" ht="15.75" thickBot="1" x14ac:dyDescent="0.3">
      <c r="A235" s="78">
        <v>2025</v>
      </c>
      <c r="B235" s="114" t="s">
        <v>665</v>
      </c>
      <c r="C235" s="86" t="s">
        <v>550</v>
      </c>
      <c r="D235" s="86" t="s">
        <v>550</v>
      </c>
      <c r="E235" s="79" t="s">
        <v>212</v>
      </c>
      <c r="F235" s="80" t="s">
        <v>2311</v>
      </c>
      <c r="G235" s="80" t="s">
        <v>2312</v>
      </c>
      <c r="H235" s="80" t="s">
        <v>1301</v>
      </c>
      <c r="I235" s="80" t="s">
        <v>1302</v>
      </c>
      <c r="J235" s="80"/>
      <c r="K235" s="80"/>
      <c r="L235" s="74"/>
      <c r="M235" s="74"/>
      <c r="N235" s="74"/>
      <c r="O235" s="74"/>
      <c r="P235" s="74"/>
      <c r="Q235" s="74"/>
      <c r="R235" s="74"/>
      <c r="S235" s="74"/>
      <c r="T235" s="74"/>
      <c r="U235" s="74"/>
      <c r="V235" s="74"/>
      <c r="W235" s="74"/>
      <c r="X235" s="74"/>
      <c r="Y235" s="74"/>
    </row>
    <row r="236" spans="1:25" ht="15.75" thickBot="1" x14ac:dyDescent="0.3">
      <c r="A236" s="75">
        <v>2025</v>
      </c>
      <c r="B236" s="76">
        <v>13</v>
      </c>
      <c r="C236" s="85" t="s">
        <v>553</v>
      </c>
      <c r="D236" s="85" t="s">
        <v>553</v>
      </c>
      <c r="E236" s="76" t="s">
        <v>214</v>
      </c>
      <c r="F236" s="77" t="s">
        <v>1307</v>
      </c>
      <c r="G236" s="77" t="s">
        <v>1308</v>
      </c>
      <c r="H236" s="77" t="s">
        <v>1753</v>
      </c>
      <c r="I236" s="77" t="s">
        <v>1754</v>
      </c>
      <c r="J236" s="77"/>
      <c r="K236" s="77"/>
      <c r="L236" s="74"/>
      <c r="M236" s="74"/>
      <c r="N236" s="74"/>
      <c r="O236" s="74"/>
      <c r="P236" s="74"/>
      <c r="Q236" s="74"/>
      <c r="R236" s="74"/>
      <c r="S236" s="74"/>
      <c r="T236" s="74"/>
      <c r="U236" s="74"/>
      <c r="V236" s="74"/>
      <c r="W236" s="74"/>
      <c r="X236" s="74"/>
      <c r="Y236" s="74"/>
    </row>
    <row r="237" spans="1:25" ht="15.75" thickBot="1" x14ac:dyDescent="0.3">
      <c r="A237" s="78">
        <v>2025</v>
      </c>
      <c r="B237" s="79">
        <v>12</v>
      </c>
      <c r="C237" s="86" t="s">
        <v>554</v>
      </c>
      <c r="D237" s="86" t="s">
        <v>554</v>
      </c>
      <c r="E237" s="79" t="s">
        <v>215</v>
      </c>
      <c r="F237" s="80" t="s">
        <v>1153</v>
      </c>
      <c r="G237" s="80" t="s">
        <v>1154</v>
      </c>
      <c r="H237" s="80" t="s">
        <v>1736</v>
      </c>
      <c r="I237" s="80" t="s">
        <v>1737</v>
      </c>
      <c r="J237" s="80"/>
      <c r="K237" s="80"/>
      <c r="L237" s="74"/>
      <c r="M237" s="74"/>
      <c r="N237" s="74"/>
      <c r="O237" s="74"/>
      <c r="P237" s="74"/>
      <c r="Q237" s="74"/>
      <c r="R237" s="74"/>
      <c r="S237" s="74"/>
      <c r="T237" s="74"/>
      <c r="U237" s="74"/>
      <c r="V237" s="74"/>
      <c r="W237" s="74"/>
      <c r="X237" s="74"/>
      <c r="Y237" s="74"/>
    </row>
    <row r="238" spans="1:25" ht="15.75" thickBot="1" x14ac:dyDescent="0.3">
      <c r="A238" s="75">
        <v>2025</v>
      </c>
      <c r="B238" s="113" t="s">
        <v>665</v>
      </c>
      <c r="C238" s="85" t="s">
        <v>555</v>
      </c>
      <c r="D238" s="85" t="s">
        <v>555</v>
      </c>
      <c r="E238" s="76" t="s">
        <v>216</v>
      </c>
      <c r="F238" s="77" t="s">
        <v>1270</v>
      </c>
      <c r="G238" s="77" t="s">
        <v>1309</v>
      </c>
      <c r="H238" s="77" t="s">
        <v>1310</v>
      </c>
      <c r="I238" s="77" t="s">
        <v>1311</v>
      </c>
      <c r="J238" s="77"/>
      <c r="K238" s="77"/>
      <c r="L238" s="74"/>
      <c r="M238" s="74"/>
      <c r="N238" s="74"/>
      <c r="O238" s="74"/>
      <c r="P238" s="74"/>
      <c r="Q238" s="74"/>
      <c r="R238" s="74"/>
      <c r="S238" s="74"/>
      <c r="T238" s="74"/>
      <c r="U238" s="74"/>
      <c r="V238" s="74"/>
      <c r="W238" s="74"/>
      <c r="X238" s="74"/>
      <c r="Y238" s="74"/>
    </row>
    <row r="239" spans="1:25" ht="15.75" thickBot="1" x14ac:dyDescent="0.3">
      <c r="A239" s="78">
        <v>2025</v>
      </c>
      <c r="B239" s="79">
        <v>12</v>
      </c>
      <c r="C239" s="86" t="s">
        <v>412</v>
      </c>
      <c r="D239" s="86" t="s">
        <v>412</v>
      </c>
      <c r="E239" s="79" t="s">
        <v>217</v>
      </c>
      <c r="F239" s="80" t="s">
        <v>1095</v>
      </c>
      <c r="G239" s="80" t="s">
        <v>1312</v>
      </c>
      <c r="H239" s="80" t="s">
        <v>1313</v>
      </c>
      <c r="I239" s="80" t="s">
        <v>1314</v>
      </c>
      <c r="J239" s="80"/>
      <c r="K239" s="80"/>
      <c r="L239" s="74"/>
      <c r="M239" s="74"/>
      <c r="N239" s="74"/>
      <c r="O239" s="74"/>
      <c r="P239" s="74"/>
      <c r="Q239" s="74"/>
      <c r="R239" s="74"/>
      <c r="S239" s="74"/>
      <c r="T239" s="74"/>
      <c r="U239" s="74"/>
      <c r="V239" s="74"/>
      <c r="W239" s="74"/>
      <c r="X239" s="74"/>
      <c r="Y239" s="74"/>
    </row>
    <row r="240" spans="1:25" ht="15.75" thickBot="1" x14ac:dyDescent="0.3">
      <c r="A240" s="75">
        <v>2025</v>
      </c>
      <c r="B240" s="76">
        <v>13</v>
      </c>
      <c r="C240" s="85" t="s">
        <v>531</v>
      </c>
      <c r="D240" s="85" t="s">
        <v>673</v>
      </c>
      <c r="E240" s="76" t="s">
        <v>218</v>
      </c>
      <c r="F240" s="77" t="s">
        <v>1583</v>
      </c>
      <c r="G240" s="77" t="s">
        <v>1755</v>
      </c>
      <c r="H240" s="77" t="s">
        <v>1046</v>
      </c>
      <c r="I240" s="77" t="s">
        <v>1315</v>
      </c>
      <c r="J240" s="77"/>
      <c r="K240" s="77"/>
      <c r="L240" s="74"/>
      <c r="M240" s="74"/>
      <c r="N240" s="74"/>
      <c r="O240" s="74"/>
      <c r="P240" s="74"/>
      <c r="Q240" s="74"/>
      <c r="R240" s="74"/>
      <c r="S240" s="74"/>
      <c r="T240" s="74"/>
      <c r="U240" s="74"/>
      <c r="V240" s="74"/>
      <c r="W240" s="74"/>
      <c r="X240" s="74"/>
      <c r="Y240" s="74"/>
    </row>
    <row r="241" spans="1:25" ht="15.75" thickBot="1" x14ac:dyDescent="0.3">
      <c r="A241" s="78">
        <v>2025</v>
      </c>
      <c r="B241" s="79">
        <v>12</v>
      </c>
      <c r="C241" s="86" t="s">
        <v>556</v>
      </c>
      <c r="D241" s="86" t="s">
        <v>556</v>
      </c>
      <c r="E241" s="79" t="s">
        <v>727</v>
      </c>
      <c r="F241" s="80" t="s">
        <v>2313</v>
      </c>
      <c r="G241" s="80" t="s">
        <v>2314</v>
      </c>
      <c r="H241" s="80" t="s">
        <v>1317</v>
      </c>
      <c r="I241" s="80" t="s">
        <v>1318</v>
      </c>
      <c r="J241" s="80"/>
      <c r="K241" s="80"/>
      <c r="L241" s="74"/>
      <c r="M241" s="74"/>
      <c r="N241" s="74"/>
      <c r="O241" s="74"/>
      <c r="P241" s="74"/>
      <c r="Q241" s="74"/>
      <c r="R241" s="74"/>
      <c r="S241" s="74"/>
      <c r="T241" s="74"/>
      <c r="U241" s="74"/>
      <c r="V241" s="74"/>
      <c r="W241" s="74"/>
      <c r="X241" s="74"/>
      <c r="Y241" s="74"/>
    </row>
    <row r="242" spans="1:25" ht="15.75" thickBot="1" x14ac:dyDescent="0.3">
      <c r="A242" s="75">
        <v>2025</v>
      </c>
      <c r="B242" s="76">
        <v>11</v>
      </c>
      <c r="C242" s="85" t="s">
        <v>557</v>
      </c>
      <c r="D242" s="85" t="s">
        <v>557</v>
      </c>
      <c r="E242" s="76" t="s">
        <v>219</v>
      </c>
      <c r="F242" s="77" t="s">
        <v>1319</v>
      </c>
      <c r="G242" s="77" t="s">
        <v>1320</v>
      </c>
      <c r="H242" s="77" t="s">
        <v>1321</v>
      </c>
      <c r="I242" s="77" t="s">
        <v>1322</v>
      </c>
      <c r="J242" s="77"/>
      <c r="K242" s="77"/>
      <c r="L242" s="74"/>
      <c r="M242" s="74"/>
      <c r="N242" s="74"/>
      <c r="O242" s="74"/>
      <c r="P242" s="74"/>
      <c r="Q242" s="74"/>
      <c r="R242" s="74"/>
      <c r="S242" s="74"/>
      <c r="T242" s="74"/>
      <c r="U242" s="74"/>
      <c r="V242" s="74"/>
      <c r="W242" s="74"/>
      <c r="X242" s="74"/>
      <c r="Y242" s="74"/>
    </row>
    <row r="243" spans="1:25" ht="15.75" thickBot="1" x14ac:dyDescent="0.3">
      <c r="A243" s="78">
        <v>2025</v>
      </c>
      <c r="B243" s="114" t="s">
        <v>658</v>
      </c>
      <c r="C243" s="86" t="s">
        <v>558</v>
      </c>
      <c r="D243" s="86" t="s">
        <v>558</v>
      </c>
      <c r="E243" s="79" t="s">
        <v>220</v>
      </c>
      <c r="F243" s="80" t="s">
        <v>1022</v>
      </c>
      <c r="G243" s="80" t="s">
        <v>2315</v>
      </c>
      <c r="H243" s="80" t="s">
        <v>1756</v>
      </c>
      <c r="I243" s="80" t="s">
        <v>1757</v>
      </c>
      <c r="J243" s="80"/>
      <c r="K243" s="80"/>
      <c r="L243" s="74"/>
      <c r="M243" s="74"/>
      <c r="N243" s="74"/>
      <c r="O243" s="74"/>
      <c r="P243" s="74"/>
      <c r="Q243" s="74"/>
      <c r="R243" s="74"/>
      <c r="S243" s="74"/>
      <c r="T243" s="74"/>
      <c r="U243" s="74"/>
      <c r="V243" s="74"/>
      <c r="W243" s="74"/>
      <c r="X243" s="74"/>
      <c r="Y243" s="74"/>
    </row>
    <row r="244" spans="1:25" ht="15.75" thickBot="1" x14ac:dyDescent="0.3">
      <c r="A244" s="75">
        <v>2025</v>
      </c>
      <c r="B244" s="113" t="s">
        <v>661</v>
      </c>
      <c r="C244" s="85" t="s">
        <v>559</v>
      </c>
      <c r="D244" s="85" t="s">
        <v>559</v>
      </c>
      <c r="E244" s="76" t="s">
        <v>221</v>
      </c>
      <c r="F244" s="77" t="s">
        <v>1039</v>
      </c>
      <c r="G244" s="77" t="s">
        <v>1040</v>
      </c>
      <c r="H244" s="77" t="s">
        <v>1715</v>
      </c>
      <c r="I244" s="77" t="s">
        <v>1716</v>
      </c>
      <c r="J244" s="77"/>
      <c r="K244" s="77"/>
      <c r="L244" s="74"/>
      <c r="M244" s="74"/>
      <c r="N244" s="74"/>
      <c r="O244" s="74"/>
      <c r="P244" s="74"/>
      <c r="Q244" s="74"/>
      <c r="R244" s="74"/>
      <c r="S244" s="74"/>
      <c r="T244" s="74"/>
      <c r="U244" s="74"/>
      <c r="V244" s="74"/>
      <c r="W244" s="74"/>
      <c r="X244" s="74"/>
      <c r="Y244" s="74"/>
    </row>
    <row r="245" spans="1:25" ht="15.75" thickBot="1" x14ac:dyDescent="0.3">
      <c r="A245" s="78">
        <v>2025</v>
      </c>
      <c r="B245" s="79">
        <v>11</v>
      </c>
      <c r="C245" s="86" t="s">
        <v>561</v>
      </c>
      <c r="D245" s="86" t="s">
        <v>561</v>
      </c>
      <c r="E245" s="79" t="s">
        <v>728</v>
      </c>
      <c r="F245" s="80" t="s">
        <v>1323</v>
      </c>
      <c r="G245" s="80" t="s">
        <v>1324</v>
      </c>
      <c r="H245" s="80" t="s">
        <v>1371</v>
      </c>
      <c r="I245" s="80" t="s">
        <v>1621</v>
      </c>
      <c r="J245" s="80" t="s">
        <v>1325</v>
      </c>
      <c r="K245" s="80" t="s">
        <v>1326</v>
      </c>
      <c r="L245" s="74"/>
      <c r="M245" s="74"/>
      <c r="N245" s="74"/>
      <c r="O245" s="74"/>
      <c r="P245" s="74"/>
      <c r="Q245" s="74"/>
      <c r="R245" s="74"/>
      <c r="S245" s="74"/>
      <c r="T245" s="74"/>
      <c r="U245" s="74"/>
      <c r="V245" s="74"/>
      <c r="W245" s="74"/>
      <c r="X245" s="74"/>
      <c r="Y245" s="74"/>
    </row>
    <row r="246" spans="1:25" ht="15.75" thickBot="1" x14ac:dyDescent="0.3">
      <c r="A246" s="75">
        <v>2025</v>
      </c>
      <c r="B246" s="113" t="s">
        <v>661</v>
      </c>
      <c r="C246" s="85" t="s">
        <v>562</v>
      </c>
      <c r="D246" s="85" t="s">
        <v>562</v>
      </c>
      <c r="E246" s="76" t="s">
        <v>222</v>
      </c>
      <c r="F246" s="77" t="s">
        <v>1572</v>
      </c>
      <c r="G246" s="77" t="s">
        <v>1573</v>
      </c>
      <c r="H246" s="77" t="s">
        <v>1327</v>
      </c>
      <c r="I246" s="77" t="s">
        <v>1328</v>
      </c>
      <c r="J246" s="77"/>
      <c r="K246" s="77"/>
      <c r="L246" s="74"/>
      <c r="M246" s="74"/>
      <c r="N246" s="74"/>
      <c r="O246" s="74"/>
      <c r="P246" s="74"/>
      <c r="Q246" s="74"/>
      <c r="R246" s="74"/>
      <c r="S246" s="74"/>
      <c r="T246" s="74"/>
      <c r="U246" s="74"/>
      <c r="V246" s="74"/>
      <c r="W246" s="74"/>
      <c r="X246" s="74"/>
      <c r="Y246" s="74"/>
    </row>
    <row r="247" spans="1:25" ht="15.75" thickBot="1" x14ac:dyDescent="0.3">
      <c r="A247" s="78">
        <v>2025</v>
      </c>
      <c r="B247" s="79">
        <v>12</v>
      </c>
      <c r="C247" s="86" t="s">
        <v>563</v>
      </c>
      <c r="D247" s="86" t="s">
        <v>563</v>
      </c>
      <c r="E247" s="79" t="s">
        <v>223</v>
      </c>
      <c r="F247" s="80" t="s">
        <v>2183</v>
      </c>
      <c r="G247" s="80" t="s">
        <v>2316</v>
      </c>
      <c r="H247" s="80" t="s">
        <v>1005</v>
      </c>
      <c r="I247" s="80" t="s">
        <v>2317</v>
      </c>
      <c r="J247" s="80"/>
      <c r="K247" s="80"/>
      <c r="L247" s="74"/>
      <c r="M247" s="74"/>
      <c r="N247" s="74"/>
      <c r="O247" s="74"/>
      <c r="P247" s="74"/>
      <c r="Q247" s="74"/>
      <c r="R247" s="74"/>
      <c r="S247" s="74"/>
      <c r="T247" s="74"/>
      <c r="U247" s="74"/>
      <c r="V247" s="74"/>
      <c r="W247" s="74"/>
      <c r="X247" s="74"/>
      <c r="Y247" s="74"/>
    </row>
    <row r="248" spans="1:25" ht="15.75" thickBot="1" x14ac:dyDescent="0.3">
      <c r="A248" s="75">
        <v>2025</v>
      </c>
      <c r="B248" s="76">
        <v>12</v>
      </c>
      <c r="C248" s="85" t="s">
        <v>564</v>
      </c>
      <c r="D248" s="85" t="s">
        <v>564</v>
      </c>
      <c r="E248" s="76" t="s">
        <v>729</v>
      </c>
      <c r="F248" s="77" t="s">
        <v>1316</v>
      </c>
      <c r="G248" s="77" t="s">
        <v>2318</v>
      </c>
      <c r="H248" s="77" t="s">
        <v>1329</v>
      </c>
      <c r="I248" s="77" t="s">
        <v>1330</v>
      </c>
      <c r="J248" s="77"/>
      <c r="K248" s="77"/>
      <c r="L248" s="74"/>
      <c r="M248" s="74"/>
      <c r="N248" s="74"/>
      <c r="O248" s="74"/>
      <c r="P248" s="74"/>
      <c r="Q248" s="74"/>
      <c r="R248" s="74"/>
      <c r="S248" s="74"/>
      <c r="T248" s="74"/>
      <c r="U248" s="74"/>
      <c r="V248" s="74"/>
      <c r="W248" s="74"/>
      <c r="X248" s="74"/>
      <c r="Y248" s="74"/>
    </row>
    <row r="249" spans="1:25" ht="15.75" thickBot="1" x14ac:dyDescent="0.3">
      <c r="A249" s="78">
        <v>2025</v>
      </c>
      <c r="B249" s="79">
        <v>15</v>
      </c>
      <c r="C249" s="86" t="s">
        <v>565</v>
      </c>
      <c r="D249" s="86" t="s">
        <v>565</v>
      </c>
      <c r="E249" s="79" t="s">
        <v>224</v>
      </c>
      <c r="F249" s="80" t="s">
        <v>2270</v>
      </c>
      <c r="G249" s="80" t="s">
        <v>2319</v>
      </c>
      <c r="H249" s="80" t="s">
        <v>1187</v>
      </c>
      <c r="I249" s="80" t="s">
        <v>2320</v>
      </c>
      <c r="J249" s="80" t="s">
        <v>2321</v>
      </c>
      <c r="K249" s="80" t="s">
        <v>2322</v>
      </c>
      <c r="L249" s="74"/>
      <c r="M249" s="74"/>
      <c r="N249" s="74"/>
      <c r="O249" s="74"/>
      <c r="P249" s="74"/>
      <c r="Q249" s="74"/>
      <c r="R249" s="74"/>
      <c r="S249" s="74"/>
      <c r="T249" s="74"/>
      <c r="U249" s="74"/>
      <c r="V249" s="74"/>
      <c r="W249" s="74"/>
      <c r="X249" s="74"/>
      <c r="Y249" s="74"/>
    </row>
    <row r="250" spans="1:25" ht="15.75" thickBot="1" x14ac:dyDescent="0.3">
      <c r="A250" s="75">
        <v>2025</v>
      </c>
      <c r="B250" s="76">
        <v>12</v>
      </c>
      <c r="C250" s="85" t="s">
        <v>567</v>
      </c>
      <c r="D250" s="85" t="s">
        <v>567</v>
      </c>
      <c r="E250" s="76" t="s">
        <v>225</v>
      </c>
      <c r="F250" s="77" t="s">
        <v>1331</v>
      </c>
      <c r="G250" s="77" t="s">
        <v>1332</v>
      </c>
      <c r="H250" s="77" t="s">
        <v>1229</v>
      </c>
      <c r="I250" s="77" t="s">
        <v>2081</v>
      </c>
      <c r="J250" s="77"/>
      <c r="K250" s="77"/>
      <c r="L250" s="74"/>
      <c r="M250" s="74"/>
      <c r="N250" s="74"/>
      <c r="O250" s="74"/>
      <c r="P250" s="74"/>
      <c r="Q250" s="74"/>
      <c r="R250" s="74"/>
      <c r="S250" s="74"/>
      <c r="T250" s="74"/>
      <c r="U250" s="74"/>
      <c r="V250" s="74"/>
      <c r="W250" s="74"/>
      <c r="X250" s="74"/>
      <c r="Y250" s="74"/>
    </row>
    <row r="251" spans="1:25" ht="15.75" thickBot="1" x14ac:dyDescent="0.3">
      <c r="A251" s="78">
        <v>2025</v>
      </c>
      <c r="B251" s="79">
        <v>13</v>
      </c>
      <c r="C251" s="86" t="s">
        <v>568</v>
      </c>
      <c r="D251" s="86" t="s">
        <v>568</v>
      </c>
      <c r="E251" s="79" t="s">
        <v>226</v>
      </c>
      <c r="F251" s="80" t="s">
        <v>1333</v>
      </c>
      <c r="G251" s="80" t="s">
        <v>1334</v>
      </c>
      <c r="H251" s="80" t="s">
        <v>999</v>
      </c>
      <c r="I251" s="80" t="s">
        <v>1622</v>
      </c>
      <c r="J251" s="80"/>
      <c r="K251" s="80"/>
      <c r="L251" s="74"/>
      <c r="M251" s="74"/>
      <c r="N251" s="74"/>
      <c r="O251" s="74"/>
      <c r="P251" s="74"/>
      <c r="Q251" s="74"/>
      <c r="R251" s="74"/>
      <c r="S251" s="74"/>
      <c r="T251" s="74"/>
      <c r="U251" s="74"/>
      <c r="V251" s="74"/>
      <c r="W251" s="74"/>
      <c r="X251" s="74"/>
      <c r="Y251" s="74"/>
    </row>
    <row r="252" spans="1:25" ht="15.75" thickBot="1" x14ac:dyDescent="0.3">
      <c r="A252" s="75">
        <v>2025</v>
      </c>
      <c r="B252" s="76">
        <v>12</v>
      </c>
      <c r="C252" s="85" t="s">
        <v>569</v>
      </c>
      <c r="D252" s="85" t="s">
        <v>569</v>
      </c>
      <c r="E252" s="76" t="s">
        <v>227</v>
      </c>
      <c r="F252" s="77" t="s">
        <v>2323</v>
      </c>
      <c r="G252" s="77" t="s">
        <v>2324</v>
      </c>
      <c r="H252" s="77" t="s">
        <v>1337</v>
      </c>
      <c r="I252" s="77" t="s">
        <v>1338</v>
      </c>
      <c r="J252" s="77"/>
      <c r="K252" s="77"/>
      <c r="L252" s="74"/>
      <c r="M252" s="74"/>
      <c r="N252" s="74"/>
      <c r="O252" s="74"/>
      <c r="P252" s="74"/>
      <c r="Q252" s="74"/>
      <c r="R252" s="74"/>
      <c r="S252" s="74"/>
      <c r="T252" s="74"/>
      <c r="U252" s="74"/>
      <c r="V252" s="74"/>
      <c r="W252" s="74"/>
      <c r="X252" s="74"/>
      <c r="Y252" s="74"/>
    </row>
    <row r="253" spans="1:25" ht="15.75" thickBot="1" x14ac:dyDescent="0.3">
      <c r="A253" s="78">
        <v>2025</v>
      </c>
      <c r="B253" s="79">
        <v>13</v>
      </c>
      <c r="C253" s="86" t="s">
        <v>570</v>
      </c>
      <c r="D253" s="86" t="s">
        <v>570</v>
      </c>
      <c r="E253" s="79" t="s">
        <v>228</v>
      </c>
      <c r="F253" s="80" t="s">
        <v>2194</v>
      </c>
      <c r="G253" s="80" t="s">
        <v>2325</v>
      </c>
      <c r="H253" s="80" t="s">
        <v>2326</v>
      </c>
      <c r="I253" s="80" t="s">
        <v>2327</v>
      </c>
      <c r="J253" s="80" t="s">
        <v>1707</v>
      </c>
      <c r="K253" s="80" t="s">
        <v>2328</v>
      </c>
      <c r="L253" s="74"/>
      <c r="M253" s="74"/>
      <c r="N253" s="74"/>
      <c r="O253" s="74"/>
      <c r="P253" s="74"/>
      <c r="Q253" s="74"/>
      <c r="R253" s="74"/>
      <c r="S253" s="74"/>
      <c r="T253" s="74"/>
      <c r="U253" s="74"/>
      <c r="V253" s="74"/>
      <c r="W253" s="74"/>
      <c r="X253" s="74"/>
      <c r="Y253" s="74"/>
    </row>
    <row r="254" spans="1:25" ht="15.75" thickBot="1" x14ac:dyDescent="0.3">
      <c r="A254" s="75">
        <v>2025</v>
      </c>
      <c r="B254" s="76">
        <v>15</v>
      </c>
      <c r="C254" s="85" t="s">
        <v>571</v>
      </c>
      <c r="D254" s="85" t="s">
        <v>571</v>
      </c>
      <c r="E254" s="76" t="s">
        <v>229</v>
      </c>
      <c r="F254" s="77" t="s">
        <v>1280</v>
      </c>
      <c r="G254" s="77" t="s">
        <v>1339</v>
      </c>
      <c r="H254" s="77" t="s">
        <v>1758</v>
      </c>
      <c r="I254" s="77" t="s">
        <v>1759</v>
      </c>
      <c r="J254" s="77"/>
      <c r="K254" s="77"/>
      <c r="L254" s="74"/>
      <c r="M254" s="74"/>
      <c r="N254" s="74"/>
      <c r="O254" s="74"/>
      <c r="P254" s="74"/>
      <c r="Q254" s="74"/>
      <c r="R254" s="74"/>
      <c r="S254" s="74"/>
      <c r="T254" s="74"/>
      <c r="U254" s="74"/>
      <c r="V254" s="74"/>
      <c r="W254" s="74"/>
      <c r="X254" s="74"/>
      <c r="Y254" s="74"/>
    </row>
    <row r="255" spans="1:25" ht="15.75" thickBot="1" x14ac:dyDescent="0.3">
      <c r="A255" s="78">
        <v>2025</v>
      </c>
      <c r="B255" s="79">
        <v>12</v>
      </c>
      <c r="C255" s="86" t="s">
        <v>572</v>
      </c>
      <c r="D255" s="86" t="s">
        <v>572</v>
      </c>
      <c r="E255" s="79" t="s">
        <v>230</v>
      </c>
      <c r="F255" s="80" t="s">
        <v>1340</v>
      </c>
      <c r="G255" s="80" t="s">
        <v>1341</v>
      </c>
      <c r="H255" s="80" t="s">
        <v>1342</v>
      </c>
      <c r="I255" s="80" t="s">
        <v>1343</v>
      </c>
      <c r="J255" s="80"/>
      <c r="K255" s="80"/>
      <c r="L255" s="74"/>
      <c r="M255" s="74"/>
      <c r="N255" s="74"/>
      <c r="O255" s="74"/>
      <c r="P255" s="74"/>
      <c r="Q255" s="74"/>
      <c r="R255" s="74"/>
      <c r="S255" s="74"/>
      <c r="T255" s="74"/>
      <c r="U255" s="74"/>
      <c r="V255" s="74"/>
      <c r="W255" s="74"/>
      <c r="X255" s="74"/>
      <c r="Y255" s="74"/>
    </row>
    <row r="256" spans="1:25" ht="15.75" thickBot="1" x14ac:dyDescent="0.3">
      <c r="A256" s="75">
        <v>2025</v>
      </c>
      <c r="B256" s="113" t="s">
        <v>661</v>
      </c>
      <c r="C256" s="85" t="s">
        <v>574</v>
      </c>
      <c r="D256" s="85" t="s">
        <v>674</v>
      </c>
      <c r="E256" s="76" t="s">
        <v>692</v>
      </c>
      <c r="F256" s="77" t="s">
        <v>892</v>
      </c>
      <c r="G256" s="77" t="s">
        <v>1108</v>
      </c>
      <c r="H256" s="77" t="s">
        <v>1547</v>
      </c>
      <c r="I256" s="81" t="s">
        <v>1548</v>
      </c>
      <c r="J256" s="77" t="s">
        <v>1623</v>
      </c>
      <c r="K256" s="77" t="s">
        <v>1344</v>
      </c>
      <c r="L256" s="74"/>
      <c r="M256" s="74"/>
      <c r="N256" s="74"/>
      <c r="O256" s="74"/>
      <c r="P256" s="74"/>
      <c r="Q256" s="74"/>
      <c r="R256" s="74"/>
      <c r="S256" s="74"/>
      <c r="T256" s="74"/>
      <c r="U256" s="74"/>
      <c r="V256" s="74"/>
      <c r="W256" s="74"/>
      <c r="X256" s="74"/>
      <c r="Y256" s="74"/>
    </row>
    <row r="257" spans="1:25" ht="15.75" thickBot="1" x14ac:dyDescent="0.3">
      <c r="A257" s="78">
        <v>2025</v>
      </c>
      <c r="B257" s="79">
        <v>12</v>
      </c>
      <c r="C257" s="86" t="s">
        <v>573</v>
      </c>
      <c r="D257" s="86" t="s">
        <v>573</v>
      </c>
      <c r="E257" s="79" t="s">
        <v>231</v>
      </c>
      <c r="F257" s="80" t="s">
        <v>2329</v>
      </c>
      <c r="G257" s="80" t="s">
        <v>1624</v>
      </c>
      <c r="H257" s="80" t="s">
        <v>1345</v>
      </c>
      <c r="I257" s="80" t="s">
        <v>1346</v>
      </c>
      <c r="J257" s="80" t="s">
        <v>1760</v>
      </c>
      <c r="K257" s="80" t="s">
        <v>1761</v>
      </c>
      <c r="L257" s="74"/>
      <c r="M257" s="74"/>
      <c r="N257" s="74"/>
      <c r="O257" s="74"/>
      <c r="P257" s="74"/>
      <c r="Q257" s="74"/>
      <c r="R257" s="74"/>
      <c r="S257" s="74"/>
      <c r="T257" s="74"/>
      <c r="U257" s="74"/>
      <c r="V257" s="74"/>
      <c r="W257" s="74"/>
      <c r="X257" s="74"/>
      <c r="Y257" s="74"/>
    </row>
    <row r="258" spans="1:25" ht="15.75" thickBot="1" x14ac:dyDescent="0.3">
      <c r="A258" s="75">
        <v>2025</v>
      </c>
      <c r="B258" s="76">
        <v>10</v>
      </c>
      <c r="C258" s="85" t="s">
        <v>575</v>
      </c>
      <c r="D258" s="85" t="s">
        <v>575</v>
      </c>
      <c r="E258" s="76" t="s">
        <v>232</v>
      </c>
      <c r="F258" s="77" t="s">
        <v>1347</v>
      </c>
      <c r="G258" s="77" t="s">
        <v>1348</v>
      </c>
      <c r="H258" s="77" t="s">
        <v>1349</v>
      </c>
      <c r="I258" s="77" t="s">
        <v>1350</v>
      </c>
      <c r="J258" s="77"/>
      <c r="K258" s="77"/>
      <c r="L258" s="74"/>
      <c r="M258" s="74"/>
      <c r="N258" s="74"/>
      <c r="O258" s="74"/>
      <c r="P258" s="74"/>
      <c r="Q258" s="74"/>
      <c r="R258" s="74"/>
      <c r="S258" s="74"/>
      <c r="T258" s="74"/>
      <c r="U258" s="74"/>
      <c r="V258" s="74"/>
      <c r="W258" s="74"/>
      <c r="X258" s="74"/>
      <c r="Y258" s="74"/>
    </row>
    <row r="259" spans="1:25" ht="15.75" thickBot="1" x14ac:dyDescent="0.3">
      <c r="A259" s="78">
        <v>2025</v>
      </c>
      <c r="B259" s="114" t="s">
        <v>661</v>
      </c>
      <c r="C259" s="86" t="s">
        <v>651</v>
      </c>
      <c r="D259" s="86" t="s">
        <v>651</v>
      </c>
      <c r="E259" s="79" t="s">
        <v>730</v>
      </c>
      <c r="F259" s="80" t="s">
        <v>1351</v>
      </c>
      <c r="G259" s="80" t="s">
        <v>1352</v>
      </c>
      <c r="H259" s="80" t="s">
        <v>1109</v>
      </c>
      <c r="I259" s="80" t="s">
        <v>1353</v>
      </c>
      <c r="J259" s="80" t="s">
        <v>1354</v>
      </c>
      <c r="K259" s="80" t="s">
        <v>1355</v>
      </c>
      <c r="L259" s="74"/>
      <c r="M259" s="74"/>
      <c r="N259" s="74"/>
      <c r="O259" s="74"/>
      <c r="P259" s="74"/>
      <c r="Q259" s="74"/>
      <c r="R259" s="74"/>
      <c r="S259" s="74"/>
      <c r="T259" s="74"/>
      <c r="U259" s="74"/>
      <c r="V259" s="74"/>
      <c r="W259" s="74"/>
      <c r="X259" s="74"/>
      <c r="Y259" s="74"/>
    </row>
    <row r="260" spans="1:25" ht="15.75" thickBot="1" x14ac:dyDescent="0.3">
      <c r="A260" s="75">
        <v>2025</v>
      </c>
      <c r="B260" s="113" t="s">
        <v>661</v>
      </c>
      <c r="C260" s="85" t="s">
        <v>577</v>
      </c>
      <c r="D260" s="85" t="s">
        <v>577</v>
      </c>
      <c r="E260" s="76" t="s">
        <v>233</v>
      </c>
      <c r="F260" s="77" t="s">
        <v>1356</v>
      </c>
      <c r="G260" s="77" t="s">
        <v>1357</v>
      </c>
      <c r="H260" s="77" t="s">
        <v>1762</v>
      </c>
      <c r="I260" s="77" t="s">
        <v>1763</v>
      </c>
      <c r="J260" s="77"/>
      <c r="K260" s="77"/>
      <c r="L260" s="74"/>
      <c r="M260" s="74"/>
      <c r="N260" s="74"/>
      <c r="O260" s="74"/>
      <c r="P260" s="74"/>
      <c r="Q260" s="74"/>
      <c r="R260" s="74"/>
      <c r="S260" s="74"/>
      <c r="T260" s="74"/>
      <c r="U260" s="74"/>
      <c r="V260" s="74"/>
      <c r="W260" s="74"/>
      <c r="X260" s="74"/>
      <c r="Y260" s="74"/>
    </row>
    <row r="261" spans="1:25" ht="15.75" thickBot="1" x14ac:dyDescent="0.3">
      <c r="A261" s="78">
        <v>2025</v>
      </c>
      <c r="B261" s="79">
        <v>12</v>
      </c>
      <c r="C261" s="86" t="s">
        <v>543</v>
      </c>
      <c r="D261" s="86" t="s">
        <v>675</v>
      </c>
      <c r="E261" s="79" t="s">
        <v>234</v>
      </c>
      <c r="F261" s="80" t="s">
        <v>1358</v>
      </c>
      <c r="G261" s="80" t="s">
        <v>1359</v>
      </c>
      <c r="H261" s="80" t="s">
        <v>1625</v>
      </c>
      <c r="I261" s="80" t="s">
        <v>1626</v>
      </c>
      <c r="J261" s="80"/>
      <c r="K261" s="80"/>
      <c r="L261" s="74"/>
      <c r="M261" s="74"/>
      <c r="N261" s="74"/>
      <c r="O261" s="74"/>
      <c r="P261" s="74"/>
      <c r="Q261" s="74"/>
      <c r="R261" s="74"/>
      <c r="S261" s="74"/>
      <c r="T261" s="74"/>
      <c r="U261" s="74"/>
      <c r="V261" s="74"/>
      <c r="W261" s="74"/>
      <c r="X261" s="74"/>
      <c r="Y261" s="74"/>
    </row>
    <row r="262" spans="1:25" ht="15.75" thickBot="1" x14ac:dyDescent="0.3">
      <c r="A262" s="75">
        <v>2025</v>
      </c>
      <c r="B262" s="76">
        <v>13</v>
      </c>
      <c r="C262" s="85" t="s">
        <v>579</v>
      </c>
      <c r="D262" s="85" t="s">
        <v>579</v>
      </c>
      <c r="E262" s="76" t="s">
        <v>235</v>
      </c>
      <c r="F262" s="77" t="s">
        <v>972</v>
      </c>
      <c r="G262" s="77" t="s">
        <v>1360</v>
      </c>
      <c r="H262" s="77" t="s">
        <v>809</v>
      </c>
      <c r="I262" s="77" t="s">
        <v>1627</v>
      </c>
      <c r="J262" s="77"/>
      <c r="K262" s="77"/>
      <c r="L262" s="74"/>
      <c r="M262" s="74"/>
      <c r="N262" s="74"/>
      <c r="O262" s="74"/>
      <c r="P262" s="74"/>
      <c r="Q262" s="74"/>
      <c r="R262" s="74"/>
      <c r="S262" s="74"/>
      <c r="T262" s="74"/>
      <c r="U262" s="74"/>
      <c r="V262" s="74"/>
      <c r="W262" s="74"/>
      <c r="X262" s="74"/>
      <c r="Y262" s="74"/>
    </row>
    <row r="263" spans="1:25" ht="15.75" thickBot="1" x14ac:dyDescent="0.3">
      <c r="A263" s="78">
        <v>2025</v>
      </c>
      <c r="B263" s="114" t="s">
        <v>658</v>
      </c>
      <c r="C263" s="86" t="s">
        <v>580</v>
      </c>
      <c r="D263" s="86" t="s">
        <v>580</v>
      </c>
      <c r="E263" s="79" t="s">
        <v>236</v>
      </c>
      <c r="F263" s="80" t="s">
        <v>1628</v>
      </c>
      <c r="G263" s="80" t="s">
        <v>1629</v>
      </c>
      <c r="H263" s="80" t="s">
        <v>1038</v>
      </c>
      <c r="I263" s="80" t="s">
        <v>1630</v>
      </c>
      <c r="J263" s="80"/>
      <c r="K263" s="80"/>
      <c r="L263" s="74"/>
      <c r="M263" s="74"/>
      <c r="N263" s="74"/>
      <c r="O263" s="74"/>
      <c r="P263" s="74"/>
      <c r="Q263" s="74"/>
      <c r="R263" s="74"/>
      <c r="S263" s="74"/>
      <c r="T263" s="74"/>
      <c r="U263" s="74"/>
      <c r="V263" s="74"/>
      <c r="W263" s="74"/>
      <c r="X263" s="74"/>
      <c r="Y263" s="74"/>
    </row>
    <row r="264" spans="1:25" ht="15.75" thickBot="1" x14ac:dyDescent="0.3">
      <c r="A264" s="75">
        <v>2025</v>
      </c>
      <c r="B264" s="113" t="s">
        <v>665</v>
      </c>
      <c r="C264" s="85" t="s">
        <v>581</v>
      </c>
      <c r="D264" s="85" t="s">
        <v>581</v>
      </c>
      <c r="E264" s="76" t="s">
        <v>237</v>
      </c>
      <c r="F264" s="77" t="s">
        <v>1363</v>
      </c>
      <c r="G264" s="77" t="s">
        <v>1364</v>
      </c>
      <c r="H264" s="77" t="s">
        <v>1365</v>
      </c>
      <c r="I264" s="77" t="s">
        <v>1366</v>
      </c>
      <c r="J264" s="77"/>
      <c r="K264" s="77"/>
      <c r="L264" s="74"/>
      <c r="M264" s="74"/>
      <c r="N264" s="74"/>
      <c r="O264" s="74"/>
      <c r="P264" s="74"/>
      <c r="Q264" s="74"/>
      <c r="R264" s="74"/>
      <c r="S264" s="74"/>
      <c r="T264" s="74"/>
      <c r="U264" s="74"/>
      <c r="V264" s="74"/>
      <c r="W264" s="74"/>
      <c r="X264" s="74"/>
      <c r="Y264" s="74"/>
    </row>
    <row r="265" spans="1:25" ht="15.75" thickBot="1" x14ac:dyDescent="0.3">
      <c r="A265" s="78">
        <v>2025</v>
      </c>
      <c r="B265" s="79">
        <v>11</v>
      </c>
      <c r="C265" s="86" t="s">
        <v>582</v>
      </c>
      <c r="D265" s="86" t="s">
        <v>582</v>
      </c>
      <c r="E265" s="79" t="s">
        <v>238</v>
      </c>
      <c r="F265" s="80" t="s">
        <v>1367</v>
      </c>
      <c r="G265" s="80" t="s">
        <v>1368</v>
      </c>
      <c r="H265" s="80" t="s">
        <v>1369</v>
      </c>
      <c r="I265" s="80" t="s">
        <v>1370</v>
      </c>
      <c r="J265" s="80" t="s">
        <v>1279</v>
      </c>
      <c r="K265" s="80" t="s">
        <v>1631</v>
      </c>
      <c r="L265" s="74"/>
      <c r="M265" s="74"/>
      <c r="N265" s="74"/>
      <c r="O265" s="74"/>
      <c r="P265" s="74"/>
      <c r="Q265" s="74"/>
      <c r="R265" s="74"/>
      <c r="S265" s="74"/>
      <c r="T265" s="74"/>
      <c r="U265" s="74"/>
      <c r="V265" s="74"/>
      <c r="W265" s="74"/>
      <c r="X265" s="74"/>
      <c r="Y265" s="74"/>
    </row>
    <row r="266" spans="1:25" ht="15.75" thickBot="1" x14ac:dyDescent="0.3">
      <c r="A266" s="75">
        <v>2025</v>
      </c>
      <c r="B266" s="76">
        <v>11</v>
      </c>
      <c r="C266" s="85" t="s">
        <v>576</v>
      </c>
      <c r="D266" s="85" t="s">
        <v>576</v>
      </c>
      <c r="E266" s="76" t="s">
        <v>239</v>
      </c>
      <c r="F266" s="77" t="s">
        <v>1372</v>
      </c>
      <c r="G266" s="77" t="s">
        <v>1373</v>
      </c>
      <c r="H266" s="77" t="s">
        <v>2330</v>
      </c>
      <c r="I266" s="77" t="s">
        <v>2331</v>
      </c>
      <c r="J266" s="77"/>
      <c r="K266" s="77"/>
      <c r="L266" s="74"/>
      <c r="M266" s="74"/>
      <c r="N266" s="74"/>
      <c r="O266" s="74"/>
      <c r="P266" s="74"/>
      <c r="Q266" s="74"/>
      <c r="R266" s="74"/>
      <c r="S266" s="74"/>
      <c r="T266" s="74"/>
      <c r="U266" s="74"/>
      <c r="V266" s="74"/>
      <c r="W266" s="74"/>
      <c r="X266" s="74"/>
      <c r="Y266" s="74"/>
    </row>
    <row r="267" spans="1:25" ht="15.75" thickBot="1" x14ac:dyDescent="0.3">
      <c r="A267" s="78">
        <v>2025</v>
      </c>
      <c r="B267" s="114" t="s">
        <v>661</v>
      </c>
      <c r="C267" s="86" t="s">
        <v>578</v>
      </c>
      <c r="D267" s="86" t="s">
        <v>578</v>
      </c>
      <c r="E267" s="79" t="s">
        <v>1681</v>
      </c>
      <c r="F267" s="80" t="s">
        <v>1303</v>
      </c>
      <c r="G267" s="80" t="s">
        <v>1304</v>
      </c>
      <c r="H267" s="80" t="s">
        <v>1305</v>
      </c>
      <c r="I267" s="80" t="s">
        <v>1306</v>
      </c>
      <c r="J267" s="80"/>
      <c r="K267" s="80"/>
      <c r="L267" s="74"/>
      <c r="M267" s="74"/>
      <c r="N267" s="74"/>
      <c r="O267" s="74"/>
      <c r="P267" s="74"/>
      <c r="Q267" s="74"/>
      <c r="R267" s="74"/>
      <c r="S267" s="74"/>
      <c r="T267" s="74"/>
      <c r="U267" s="74"/>
      <c r="V267" s="74"/>
      <c r="W267" s="74"/>
      <c r="X267" s="74"/>
      <c r="Y267" s="74"/>
    </row>
    <row r="268" spans="1:25" ht="15.75" thickBot="1" x14ac:dyDescent="0.3">
      <c r="A268" s="75">
        <v>2025</v>
      </c>
      <c r="B268" s="113" t="s">
        <v>661</v>
      </c>
      <c r="C268" s="85" t="s">
        <v>583</v>
      </c>
      <c r="D268" s="85" t="s">
        <v>583</v>
      </c>
      <c r="E268" s="76" t="s">
        <v>241</v>
      </c>
      <c r="F268" s="77" t="s">
        <v>1374</v>
      </c>
      <c r="G268" s="77" t="s">
        <v>1375</v>
      </c>
      <c r="H268" s="77" t="s">
        <v>1376</v>
      </c>
      <c r="I268" s="77" t="s">
        <v>1377</v>
      </c>
      <c r="J268" s="77"/>
      <c r="K268" s="77"/>
      <c r="L268" s="74"/>
      <c r="M268" s="74"/>
      <c r="N268" s="74"/>
      <c r="O268" s="74"/>
      <c r="P268" s="74"/>
      <c r="Q268" s="74"/>
      <c r="R268" s="74"/>
      <c r="S268" s="74"/>
      <c r="T268" s="74"/>
      <c r="U268" s="74"/>
      <c r="V268" s="74"/>
      <c r="W268" s="74"/>
      <c r="X268" s="74"/>
      <c r="Y268" s="74"/>
    </row>
    <row r="269" spans="1:25" ht="15.75" thickBot="1" x14ac:dyDescent="0.3">
      <c r="A269" s="78">
        <v>2025</v>
      </c>
      <c r="B269" s="114" t="s">
        <v>661</v>
      </c>
      <c r="C269" s="86" t="s">
        <v>584</v>
      </c>
      <c r="D269" s="86" t="s">
        <v>584</v>
      </c>
      <c r="E269" s="79" t="s">
        <v>242</v>
      </c>
      <c r="F269" s="80" t="s">
        <v>1378</v>
      </c>
      <c r="G269" s="80" t="s">
        <v>1379</v>
      </c>
      <c r="H269" s="80" t="s">
        <v>1380</v>
      </c>
      <c r="I269" s="80" t="s">
        <v>1381</v>
      </c>
      <c r="J269" s="80" t="s">
        <v>1382</v>
      </c>
      <c r="K269" s="80" t="s">
        <v>1383</v>
      </c>
      <c r="L269" s="74"/>
      <c r="M269" s="74"/>
      <c r="N269" s="74"/>
      <c r="O269" s="74"/>
      <c r="P269" s="74"/>
      <c r="Q269" s="74"/>
      <c r="R269" s="74"/>
      <c r="S269" s="74"/>
      <c r="T269" s="74"/>
      <c r="U269" s="74"/>
      <c r="V269" s="74"/>
      <c r="W269" s="74"/>
      <c r="X269" s="74"/>
      <c r="Y269" s="74"/>
    </row>
    <row r="270" spans="1:25" ht="15.75" thickBot="1" x14ac:dyDescent="0.3">
      <c r="A270" s="75">
        <v>2025</v>
      </c>
      <c r="B270" s="76">
        <v>10</v>
      </c>
      <c r="C270" s="85" t="s">
        <v>585</v>
      </c>
      <c r="D270" s="85" t="s">
        <v>585</v>
      </c>
      <c r="E270" s="76" t="s">
        <v>243</v>
      </c>
      <c r="F270" s="77" t="s">
        <v>2251</v>
      </c>
      <c r="G270" s="77" t="s">
        <v>1632</v>
      </c>
      <c r="H270" s="77" t="s">
        <v>1384</v>
      </c>
      <c r="I270" s="77" t="s">
        <v>1385</v>
      </c>
      <c r="J270" s="77"/>
      <c r="K270" s="77"/>
      <c r="L270" s="74"/>
      <c r="M270" s="74"/>
      <c r="N270" s="74"/>
      <c r="O270" s="74"/>
      <c r="P270" s="74"/>
      <c r="Q270" s="74"/>
      <c r="R270" s="74"/>
      <c r="S270" s="74"/>
      <c r="T270" s="74"/>
      <c r="U270" s="74"/>
      <c r="V270" s="74"/>
      <c r="W270" s="74"/>
      <c r="X270" s="74"/>
      <c r="Y270" s="74"/>
    </row>
    <row r="271" spans="1:25" ht="15.75" thickBot="1" x14ac:dyDescent="0.3">
      <c r="A271" s="78">
        <v>2025</v>
      </c>
      <c r="B271" s="114" t="s">
        <v>658</v>
      </c>
      <c r="C271" s="86" t="s">
        <v>560</v>
      </c>
      <c r="D271" s="86" t="s">
        <v>560</v>
      </c>
      <c r="E271" s="79" t="s">
        <v>244</v>
      </c>
      <c r="F271" s="80" t="s">
        <v>1251</v>
      </c>
      <c r="G271" s="80" t="s">
        <v>1386</v>
      </c>
      <c r="H271" s="80" t="s">
        <v>1387</v>
      </c>
      <c r="I271" s="80" t="s">
        <v>1388</v>
      </c>
      <c r="J271" s="80"/>
      <c r="K271" s="80"/>
      <c r="L271" s="74"/>
      <c r="M271" s="74"/>
      <c r="N271" s="74"/>
      <c r="O271" s="74"/>
      <c r="P271" s="74"/>
      <c r="Q271" s="74"/>
      <c r="R271" s="74"/>
      <c r="S271" s="74"/>
      <c r="T271" s="74"/>
      <c r="U271" s="74"/>
      <c r="V271" s="74"/>
      <c r="W271" s="74"/>
      <c r="X271" s="74"/>
      <c r="Y271" s="74"/>
    </row>
    <row r="272" spans="1:25" ht="15.75" thickBot="1" x14ac:dyDescent="0.3">
      <c r="A272" s="75">
        <v>2025</v>
      </c>
      <c r="B272" s="76">
        <v>13</v>
      </c>
      <c r="C272" s="85" t="s">
        <v>586</v>
      </c>
      <c r="D272" s="85" t="s">
        <v>586</v>
      </c>
      <c r="E272" s="76" t="s">
        <v>245</v>
      </c>
      <c r="F272" s="77" t="s">
        <v>1018</v>
      </c>
      <c r="G272" s="77" t="s">
        <v>1389</v>
      </c>
      <c r="H272" s="77" t="s">
        <v>1665</v>
      </c>
      <c r="I272" s="77" t="s">
        <v>1666</v>
      </c>
      <c r="J272" s="77"/>
      <c r="K272" s="77"/>
      <c r="L272" s="74"/>
      <c r="M272" s="74"/>
      <c r="N272" s="74"/>
      <c r="O272" s="74"/>
      <c r="P272" s="74"/>
      <c r="Q272" s="74"/>
      <c r="R272" s="74"/>
      <c r="S272" s="74"/>
      <c r="T272" s="74"/>
      <c r="U272" s="74"/>
      <c r="V272" s="74"/>
      <c r="W272" s="74"/>
      <c r="X272" s="74"/>
      <c r="Y272" s="74"/>
    </row>
    <row r="273" spans="1:25" ht="15.75" thickBot="1" x14ac:dyDescent="0.3">
      <c r="A273" s="78">
        <v>2025</v>
      </c>
      <c r="B273" s="114" t="s">
        <v>665</v>
      </c>
      <c r="C273" s="86" t="s">
        <v>587</v>
      </c>
      <c r="D273" s="86" t="s">
        <v>587</v>
      </c>
      <c r="E273" s="79" t="s">
        <v>641</v>
      </c>
      <c r="F273" s="80" t="s">
        <v>986</v>
      </c>
      <c r="G273" s="80" t="s">
        <v>2332</v>
      </c>
      <c r="H273" s="80" t="s">
        <v>1633</v>
      </c>
      <c r="I273" s="80" t="s">
        <v>1634</v>
      </c>
      <c r="J273" s="80"/>
      <c r="K273" s="80"/>
      <c r="L273" s="74"/>
      <c r="M273" s="74"/>
      <c r="N273" s="74"/>
      <c r="O273" s="74"/>
      <c r="P273" s="74"/>
      <c r="Q273" s="74"/>
      <c r="R273" s="74"/>
      <c r="S273" s="74"/>
      <c r="T273" s="74"/>
      <c r="U273" s="74"/>
      <c r="V273" s="74"/>
      <c r="W273" s="74"/>
      <c r="X273" s="74"/>
      <c r="Y273" s="74"/>
    </row>
    <row r="274" spans="1:25" ht="15.75" thickBot="1" x14ac:dyDescent="0.3">
      <c r="A274" s="75">
        <v>2025</v>
      </c>
      <c r="B274" s="113" t="s">
        <v>661</v>
      </c>
      <c r="C274" s="85" t="s">
        <v>588</v>
      </c>
      <c r="D274" s="85" t="s">
        <v>588</v>
      </c>
      <c r="E274" s="76" t="s">
        <v>246</v>
      </c>
      <c r="F274" s="77" t="s">
        <v>1390</v>
      </c>
      <c r="G274" s="77" t="s">
        <v>1391</v>
      </c>
      <c r="H274" s="77" t="s">
        <v>1392</v>
      </c>
      <c r="I274" s="77" t="s">
        <v>1393</v>
      </c>
      <c r="J274" s="77"/>
      <c r="K274" s="77"/>
      <c r="L274" s="74"/>
      <c r="M274" s="74"/>
      <c r="N274" s="74"/>
      <c r="O274" s="74"/>
      <c r="P274" s="74"/>
      <c r="Q274" s="74"/>
      <c r="R274" s="74"/>
      <c r="S274" s="74"/>
      <c r="T274" s="74"/>
      <c r="U274" s="74"/>
      <c r="V274" s="74"/>
      <c r="W274" s="74"/>
      <c r="X274" s="74"/>
      <c r="Y274" s="74"/>
    </row>
    <row r="275" spans="1:25" ht="15.75" thickBot="1" x14ac:dyDescent="0.3">
      <c r="A275" s="78">
        <v>2025</v>
      </c>
      <c r="B275" s="114" t="s">
        <v>661</v>
      </c>
      <c r="C275" s="86" t="s">
        <v>589</v>
      </c>
      <c r="D275" s="86" t="s">
        <v>589</v>
      </c>
      <c r="E275" s="79" t="s">
        <v>247</v>
      </c>
      <c r="F275" s="80" t="s">
        <v>2333</v>
      </c>
      <c r="G275" s="80" t="s">
        <v>2334</v>
      </c>
      <c r="H275" s="80" t="s">
        <v>1394</v>
      </c>
      <c r="I275" s="80" t="s">
        <v>1395</v>
      </c>
      <c r="J275" s="80"/>
      <c r="K275" s="80"/>
      <c r="L275" s="74"/>
      <c r="M275" s="74"/>
      <c r="N275" s="74"/>
      <c r="O275" s="74"/>
      <c r="P275" s="74"/>
      <c r="Q275" s="74"/>
      <c r="R275" s="74"/>
      <c r="S275" s="74"/>
      <c r="T275" s="74"/>
      <c r="U275" s="74"/>
      <c r="V275" s="74"/>
      <c r="W275" s="74"/>
      <c r="X275" s="74"/>
      <c r="Y275" s="74"/>
    </row>
    <row r="276" spans="1:25" ht="15.75" thickBot="1" x14ac:dyDescent="0.3">
      <c r="A276" s="75">
        <v>2025</v>
      </c>
      <c r="B276" s="113" t="s">
        <v>658</v>
      </c>
      <c r="C276" s="85" t="s">
        <v>591</v>
      </c>
      <c r="D276" s="85" t="s">
        <v>591</v>
      </c>
      <c r="E276" s="76" t="s">
        <v>248</v>
      </c>
      <c r="F276" s="77" t="s">
        <v>2335</v>
      </c>
      <c r="G276" s="77" t="s">
        <v>2336</v>
      </c>
      <c r="H276" s="77" t="s">
        <v>1396</v>
      </c>
      <c r="I276" s="77" t="s">
        <v>1397</v>
      </c>
      <c r="J276" s="77" t="s">
        <v>1398</v>
      </c>
      <c r="K276" s="77" t="s">
        <v>1399</v>
      </c>
      <c r="L276" s="74"/>
      <c r="M276" s="74"/>
      <c r="N276" s="74"/>
      <c r="O276" s="74"/>
      <c r="P276" s="74"/>
      <c r="Q276" s="74"/>
      <c r="R276" s="74"/>
      <c r="S276" s="74"/>
      <c r="T276" s="74"/>
      <c r="U276" s="74"/>
      <c r="V276" s="74"/>
      <c r="W276" s="74"/>
      <c r="X276" s="74"/>
      <c r="Y276" s="74"/>
    </row>
    <row r="277" spans="1:25" ht="15.75" thickBot="1" x14ac:dyDescent="0.3">
      <c r="A277" s="78">
        <v>2025</v>
      </c>
      <c r="B277" s="79">
        <v>10</v>
      </c>
      <c r="C277" s="86" t="s">
        <v>592</v>
      </c>
      <c r="D277" s="86" t="s">
        <v>592</v>
      </c>
      <c r="E277" s="79" t="s">
        <v>249</v>
      </c>
      <c r="F277" s="80" t="s">
        <v>2337</v>
      </c>
      <c r="G277" s="80" t="s">
        <v>2338</v>
      </c>
      <c r="H277" s="80" t="s">
        <v>2339</v>
      </c>
      <c r="I277" s="80" t="s">
        <v>2340</v>
      </c>
      <c r="J277" s="80"/>
      <c r="K277" s="80"/>
      <c r="L277" s="74"/>
      <c r="M277" s="74"/>
      <c r="N277" s="74"/>
      <c r="O277" s="74"/>
      <c r="P277" s="74"/>
      <c r="Q277" s="74"/>
      <c r="R277" s="74"/>
      <c r="S277" s="74"/>
      <c r="T277" s="74"/>
      <c r="U277" s="74"/>
      <c r="V277" s="74"/>
      <c r="W277" s="74"/>
      <c r="X277" s="74"/>
      <c r="Y277" s="74"/>
    </row>
    <row r="278" spans="1:25" ht="15.75" thickBot="1" x14ac:dyDescent="0.3">
      <c r="A278" s="75">
        <v>2025</v>
      </c>
      <c r="B278" s="76">
        <v>13</v>
      </c>
      <c r="C278" s="85" t="s">
        <v>593</v>
      </c>
      <c r="D278" s="85" t="s">
        <v>593</v>
      </c>
      <c r="E278" s="76" t="s">
        <v>250</v>
      </c>
      <c r="F278" s="77" t="s">
        <v>1635</v>
      </c>
      <c r="G278" s="77" t="s">
        <v>1636</v>
      </c>
      <c r="H278" s="77" t="s">
        <v>1764</v>
      </c>
      <c r="I278" s="77" t="s">
        <v>1765</v>
      </c>
      <c r="J278" s="77"/>
      <c r="K278" s="77"/>
      <c r="L278" s="74"/>
      <c r="M278" s="74"/>
      <c r="N278" s="74"/>
      <c r="O278" s="74"/>
      <c r="P278" s="74"/>
      <c r="Q278" s="74"/>
      <c r="R278" s="74"/>
      <c r="S278" s="74"/>
      <c r="T278" s="74"/>
      <c r="U278" s="74"/>
      <c r="V278" s="74"/>
      <c r="W278" s="74"/>
      <c r="X278" s="74"/>
      <c r="Y278" s="74"/>
    </row>
    <row r="279" spans="1:25" ht="15.75" thickBot="1" x14ac:dyDescent="0.3">
      <c r="A279" s="78">
        <v>2025</v>
      </c>
      <c r="B279" s="79">
        <v>13</v>
      </c>
      <c r="C279" s="86" t="s">
        <v>594</v>
      </c>
      <c r="D279" s="86" t="s">
        <v>594</v>
      </c>
      <c r="E279" s="79" t="s">
        <v>251</v>
      </c>
      <c r="F279" s="80" t="s">
        <v>1401</v>
      </c>
      <c r="G279" s="80" t="s">
        <v>1402</v>
      </c>
      <c r="H279" s="80" t="s">
        <v>1403</v>
      </c>
      <c r="I279" s="80" t="s">
        <v>1404</v>
      </c>
      <c r="J279" s="80"/>
      <c r="K279" s="80"/>
      <c r="L279" s="74"/>
      <c r="M279" s="74"/>
      <c r="N279" s="74"/>
      <c r="O279" s="74"/>
      <c r="P279" s="74"/>
      <c r="Q279" s="74"/>
      <c r="R279" s="74"/>
      <c r="S279" s="74"/>
      <c r="T279" s="74"/>
      <c r="U279" s="74"/>
      <c r="V279" s="74"/>
      <c r="W279" s="74"/>
      <c r="X279" s="74"/>
      <c r="Y279" s="74"/>
    </row>
    <row r="280" spans="1:25" ht="15.75" thickBot="1" x14ac:dyDescent="0.3">
      <c r="A280" s="75">
        <v>2025</v>
      </c>
      <c r="B280" s="76">
        <v>15</v>
      </c>
      <c r="C280" s="85" t="s">
        <v>595</v>
      </c>
      <c r="D280" s="85" t="s">
        <v>595</v>
      </c>
      <c r="E280" s="76" t="s">
        <v>252</v>
      </c>
      <c r="F280" s="77" t="s">
        <v>811</v>
      </c>
      <c r="G280" s="77" t="s">
        <v>1405</v>
      </c>
      <c r="H280" s="77" t="s">
        <v>813</v>
      </c>
      <c r="I280" s="77" t="s">
        <v>814</v>
      </c>
      <c r="J280" s="77"/>
      <c r="K280" s="77"/>
      <c r="L280" s="74"/>
      <c r="M280" s="74"/>
      <c r="N280" s="74"/>
      <c r="O280" s="74"/>
      <c r="P280" s="74"/>
      <c r="Q280" s="74"/>
      <c r="R280" s="74"/>
      <c r="S280" s="74"/>
      <c r="T280" s="74"/>
      <c r="U280" s="74"/>
      <c r="V280" s="74"/>
      <c r="W280" s="74"/>
      <c r="X280" s="74"/>
      <c r="Y280" s="74"/>
    </row>
    <row r="281" spans="1:25" ht="15.75" thickBot="1" x14ac:dyDescent="0.3">
      <c r="A281" s="78">
        <v>2025</v>
      </c>
      <c r="B281" s="114" t="s">
        <v>658</v>
      </c>
      <c r="C281" s="86" t="s">
        <v>596</v>
      </c>
      <c r="D281" s="86" t="s">
        <v>596</v>
      </c>
      <c r="E281" s="79" t="s">
        <v>642</v>
      </c>
      <c r="F281" s="80" t="s">
        <v>1406</v>
      </c>
      <c r="G281" s="80" t="s">
        <v>1407</v>
      </c>
      <c r="H281" s="80" t="s">
        <v>1408</v>
      </c>
      <c r="I281" s="80" t="s">
        <v>1409</v>
      </c>
      <c r="J281" s="80" t="s">
        <v>1406</v>
      </c>
      <c r="K281" s="80" t="s">
        <v>1407</v>
      </c>
      <c r="L281" s="74"/>
      <c r="M281" s="74"/>
      <c r="N281" s="74"/>
      <c r="O281" s="74"/>
      <c r="P281" s="74"/>
      <c r="Q281" s="74"/>
      <c r="R281" s="74"/>
      <c r="S281" s="74"/>
      <c r="T281" s="74"/>
      <c r="U281" s="74"/>
      <c r="V281" s="74"/>
      <c r="W281" s="74"/>
      <c r="X281" s="74"/>
      <c r="Y281" s="74"/>
    </row>
    <row r="282" spans="1:25" ht="15.75" thickBot="1" x14ac:dyDescent="0.3">
      <c r="A282" s="75">
        <v>2025</v>
      </c>
      <c r="B282" s="113" t="s">
        <v>665</v>
      </c>
      <c r="C282" s="85" t="s">
        <v>597</v>
      </c>
      <c r="D282" s="85" t="s">
        <v>597</v>
      </c>
      <c r="E282" s="76" t="s">
        <v>731</v>
      </c>
      <c r="F282" s="77" t="s">
        <v>1206</v>
      </c>
      <c r="G282" s="77" t="s">
        <v>1410</v>
      </c>
      <c r="H282" s="77" t="s">
        <v>1411</v>
      </c>
      <c r="I282" s="77" t="s">
        <v>1412</v>
      </c>
      <c r="J282" s="77"/>
      <c r="K282" s="77"/>
      <c r="L282" s="74"/>
      <c r="M282" s="74"/>
      <c r="N282" s="74"/>
      <c r="O282" s="74"/>
      <c r="P282" s="74"/>
      <c r="Q282" s="74"/>
      <c r="R282" s="74"/>
      <c r="S282" s="74"/>
      <c r="T282" s="74"/>
      <c r="U282" s="74"/>
      <c r="V282" s="74"/>
      <c r="W282" s="74"/>
      <c r="X282" s="74"/>
      <c r="Y282" s="74"/>
    </row>
    <row r="283" spans="1:25" ht="15.75" thickBot="1" x14ac:dyDescent="0.3">
      <c r="A283" s="78">
        <v>2025</v>
      </c>
      <c r="B283" s="79">
        <v>11</v>
      </c>
      <c r="C283" s="86" t="s">
        <v>598</v>
      </c>
      <c r="D283" s="86" t="s">
        <v>598</v>
      </c>
      <c r="E283" s="79" t="s">
        <v>253</v>
      </c>
      <c r="F283" s="80" t="s">
        <v>1165</v>
      </c>
      <c r="G283" s="80" t="s">
        <v>1413</v>
      </c>
      <c r="H283" s="80" t="s">
        <v>1167</v>
      </c>
      <c r="I283" s="80" t="s">
        <v>1414</v>
      </c>
      <c r="J283" s="80"/>
      <c r="K283" s="80"/>
      <c r="L283" s="74"/>
      <c r="M283" s="74"/>
      <c r="N283" s="74"/>
      <c r="O283" s="74"/>
      <c r="P283" s="74"/>
      <c r="Q283" s="74"/>
      <c r="R283" s="74"/>
      <c r="S283" s="74"/>
      <c r="T283" s="74"/>
      <c r="U283" s="74"/>
      <c r="V283" s="74"/>
      <c r="W283" s="74"/>
      <c r="X283" s="74"/>
      <c r="Y283" s="74"/>
    </row>
    <row r="284" spans="1:25" ht="15.75" thickBot="1" x14ac:dyDescent="0.3">
      <c r="A284" s="75">
        <v>2025</v>
      </c>
      <c r="B284" s="113" t="s">
        <v>661</v>
      </c>
      <c r="C284" s="85" t="s">
        <v>599</v>
      </c>
      <c r="D284" s="85" t="s">
        <v>599</v>
      </c>
      <c r="E284" s="76" t="s">
        <v>254</v>
      </c>
      <c r="F284" s="77" t="s">
        <v>1077</v>
      </c>
      <c r="G284" s="77" t="s">
        <v>1415</v>
      </c>
      <c r="H284" s="77" t="s">
        <v>1079</v>
      </c>
      <c r="I284" s="77" t="s">
        <v>1080</v>
      </c>
      <c r="J284" s="77"/>
      <c r="K284" s="77"/>
      <c r="L284" s="74"/>
      <c r="M284" s="74"/>
      <c r="N284" s="74"/>
      <c r="O284" s="74"/>
      <c r="P284" s="74"/>
      <c r="Q284" s="74"/>
      <c r="R284" s="74"/>
      <c r="S284" s="74"/>
      <c r="T284" s="74"/>
      <c r="U284" s="74"/>
      <c r="V284" s="74"/>
      <c r="W284" s="74"/>
      <c r="X284" s="74"/>
      <c r="Y284" s="74"/>
    </row>
    <row r="285" spans="1:25" ht="15.75" thickBot="1" x14ac:dyDescent="0.3">
      <c r="A285" s="78">
        <v>2025</v>
      </c>
      <c r="B285" s="79">
        <v>13</v>
      </c>
      <c r="C285" s="86" t="s">
        <v>600</v>
      </c>
      <c r="D285" s="86" t="s">
        <v>600</v>
      </c>
      <c r="E285" s="79" t="s">
        <v>732</v>
      </c>
      <c r="F285" s="80" t="s">
        <v>1057</v>
      </c>
      <c r="G285" s="80" t="s">
        <v>1637</v>
      </c>
      <c r="H285" s="80" t="s">
        <v>2082</v>
      </c>
      <c r="I285" s="80" t="s">
        <v>2083</v>
      </c>
      <c r="J285" s="80"/>
      <c r="K285" s="80"/>
      <c r="L285" s="74"/>
      <c r="M285" s="74"/>
      <c r="N285" s="74"/>
      <c r="O285" s="74"/>
      <c r="P285" s="74"/>
      <c r="Q285" s="74"/>
      <c r="R285" s="74"/>
      <c r="S285" s="74"/>
      <c r="T285" s="74"/>
      <c r="U285" s="74"/>
      <c r="V285" s="74"/>
      <c r="W285" s="74"/>
      <c r="X285" s="74"/>
      <c r="Y285" s="74"/>
    </row>
    <row r="286" spans="1:25" ht="15.75" thickBot="1" x14ac:dyDescent="0.3">
      <c r="A286" s="75">
        <v>2025</v>
      </c>
      <c r="B286" s="113" t="s">
        <v>658</v>
      </c>
      <c r="C286" s="85" t="s">
        <v>405</v>
      </c>
      <c r="D286" s="85" t="s">
        <v>676</v>
      </c>
      <c r="E286" s="76" t="s">
        <v>255</v>
      </c>
      <c r="F286" s="77" t="s">
        <v>1638</v>
      </c>
      <c r="G286" s="77" t="s">
        <v>1639</v>
      </c>
      <c r="H286" s="77" t="s">
        <v>1640</v>
      </c>
      <c r="I286" s="77" t="s">
        <v>1641</v>
      </c>
      <c r="J286" s="77"/>
      <c r="K286" s="77"/>
      <c r="L286" s="74"/>
      <c r="M286" s="74"/>
      <c r="N286" s="74"/>
      <c r="O286" s="74"/>
      <c r="P286" s="74"/>
      <c r="Q286" s="74"/>
      <c r="R286" s="74"/>
      <c r="S286" s="74"/>
      <c r="T286" s="74"/>
      <c r="U286" s="74"/>
      <c r="V286" s="74"/>
      <c r="W286" s="74"/>
      <c r="X286" s="74"/>
      <c r="Y286" s="74"/>
    </row>
    <row r="287" spans="1:25" ht="15.75" thickBot="1" x14ac:dyDescent="0.3">
      <c r="A287" s="78">
        <v>2025</v>
      </c>
      <c r="B287" s="79">
        <v>11</v>
      </c>
      <c r="C287" s="86" t="s">
        <v>601</v>
      </c>
      <c r="D287" s="86" t="s">
        <v>601</v>
      </c>
      <c r="E287" s="79" t="s">
        <v>256</v>
      </c>
      <c r="F287" s="80" t="s">
        <v>1356</v>
      </c>
      <c r="G287" s="80" t="s">
        <v>2341</v>
      </c>
      <c r="H287" s="80" t="s">
        <v>1081</v>
      </c>
      <c r="I287" s="80" t="s">
        <v>2342</v>
      </c>
      <c r="J287" s="80"/>
      <c r="K287" s="80"/>
      <c r="L287" s="74"/>
      <c r="M287" s="74"/>
      <c r="N287" s="74"/>
      <c r="O287" s="74"/>
      <c r="P287" s="74"/>
      <c r="Q287" s="74"/>
      <c r="R287" s="74"/>
      <c r="S287" s="74"/>
      <c r="T287" s="74"/>
      <c r="U287" s="74"/>
      <c r="V287" s="74"/>
      <c r="W287" s="74"/>
      <c r="X287" s="74"/>
      <c r="Y287" s="74"/>
    </row>
    <row r="288" spans="1:25" ht="15.75" thickBot="1" x14ac:dyDescent="0.3">
      <c r="A288" s="75">
        <v>2025</v>
      </c>
      <c r="B288" s="76">
        <v>11</v>
      </c>
      <c r="C288" s="85" t="s">
        <v>602</v>
      </c>
      <c r="D288" s="85" t="s">
        <v>602</v>
      </c>
      <c r="E288" s="76" t="s">
        <v>733</v>
      </c>
      <c r="F288" s="77" t="s">
        <v>1417</v>
      </c>
      <c r="G288" s="77" t="s">
        <v>1418</v>
      </c>
      <c r="H288" s="77" t="s">
        <v>1642</v>
      </c>
      <c r="I288" s="77" t="s">
        <v>1643</v>
      </c>
      <c r="J288" s="77"/>
      <c r="K288" s="77"/>
      <c r="L288" s="74"/>
      <c r="M288" s="74"/>
      <c r="N288" s="74"/>
      <c r="O288" s="74"/>
      <c r="P288" s="74"/>
      <c r="Q288" s="74"/>
      <c r="R288" s="74"/>
      <c r="S288" s="74"/>
      <c r="T288" s="74"/>
      <c r="U288" s="74"/>
      <c r="V288" s="74"/>
      <c r="W288" s="74"/>
      <c r="X288" s="74"/>
      <c r="Y288" s="74"/>
    </row>
    <row r="289" spans="1:25" ht="15.75" thickBot="1" x14ac:dyDescent="0.3">
      <c r="A289" s="78">
        <v>2025</v>
      </c>
      <c r="B289" s="79">
        <v>15</v>
      </c>
      <c r="C289" s="86" t="s">
        <v>603</v>
      </c>
      <c r="D289" s="86" t="s">
        <v>603</v>
      </c>
      <c r="E289" s="79" t="s">
        <v>734</v>
      </c>
      <c r="F289" s="80" t="s">
        <v>1419</v>
      </c>
      <c r="G289" s="80" t="s">
        <v>2343</v>
      </c>
      <c r="H289" s="80" t="s">
        <v>1420</v>
      </c>
      <c r="I289" s="80" t="s">
        <v>1421</v>
      </c>
      <c r="J289" s="80"/>
      <c r="K289" s="80"/>
      <c r="L289" s="74"/>
      <c r="M289" s="74"/>
      <c r="N289" s="74"/>
      <c r="O289" s="74"/>
      <c r="P289" s="74"/>
      <c r="Q289" s="74"/>
      <c r="R289" s="74"/>
      <c r="S289" s="74"/>
      <c r="T289" s="74"/>
      <c r="U289" s="74"/>
      <c r="V289" s="74"/>
      <c r="W289" s="74"/>
      <c r="X289" s="74"/>
      <c r="Y289" s="74"/>
    </row>
    <row r="290" spans="1:25" ht="15.75" thickBot="1" x14ac:dyDescent="0.3">
      <c r="A290" s="75">
        <v>2025</v>
      </c>
      <c r="B290" s="76">
        <v>11</v>
      </c>
      <c r="C290" s="85" t="s">
        <v>604</v>
      </c>
      <c r="D290" s="85" t="s">
        <v>604</v>
      </c>
      <c r="E290" s="76" t="s">
        <v>259</v>
      </c>
      <c r="F290" s="77" t="s">
        <v>1422</v>
      </c>
      <c r="G290" s="77" t="s">
        <v>1423</v>
      </c>
      <c r="H290" s="77" t="s">
        <v>1424</v>
      </c>
      <c r="I290" s="77" t="s">
        <v>1425</v>
      </c>
      <c r="J290" s="77"/>
      <c r="K290" s="77"/>
      <c r="L290" s="74"/>
      <c r="M290" s="74"/>
      <c r="N290" s="74"/>
      <c r="O290" s="74"/>
      <c r="P290" s="74"/>
      <c r="Q290" s="74"/>
      <c r="R290" s="74"/>
      <c r="S290" s="74"/>
      <c r="T290" s="74"/>
      <c r="U290" s="74"/>
      <c r="V290" s="74"/>
      <c r="W290" s="74"/>
      <c r="X290" s="74"/>
      <c r="Y290" s="74"/>
    </row>
    <row r="291" spans="1:25" ht="15.75" thickBot="1" x14ac:dyDescent="0.3">
      <c r="A291" s="78">
        <v>2025</v>
      </c>
      <c r="B291" s="79">
        <v>13</v>
      </c>
      <c r="C291" s="86" t="s">
        <v>605</v>
      </c>
      <c r="D291" s="86" t="s">
        <v>605</v>
      </c>
      <c r="E291" s="79" t="s">
        <v>260</v>
      </c>
      <c r="F291" s="80" t="s">
        <v>919</v>
      </c>
      <c r="G291" s="80" t="s">
        <v>920</v>
      </c>
      <c r="H291" s="80" t="s">
        <v>1426</v>
      </c>
      <c r="I291" s="80" t="s">
        <v>1427</v>
      </c>
      <c r="J291" s="80"/>
      <c r="K291" s="80"/>
      <c r="L291" s="74"/>
      <c r="M291" s="74"/>
      <c r="N291" s="74"/>
      <c r="O291" s="74"/>
      <c r="P291" s="74"/>
      <c r="Q291" s="74"/>
      <c r="R291" s="74"/>
      <c r="S291" s="74"/>
      <c r="T291" s="74"/>
      <c r="U291" s="74"/>
      <c r="V291" s="74"/>
      <c r="W291" s="74"/>
      <c r="X291" s="74"/>
      <c r="Y291" s="74"/>
    </row>
    <row r="292" spans="1:25" ht="15.75" thickBot="1" x14ac:dyDescent="0.3">
      <c r="A292" s="75">
        <v>2025</v>
      </c>
      <c r="B292" s="76">
        <v>10</v>
      </c>
      <c r="C292" s="85" t="s">
        <v>606</v>
      </c>
      <c r="D292" s="85" t="s">
        <v>606</v>
      </c>
      <c r="E292" s="76" t="s">
        <v>261</v>
      </c>
      <c r="F292" s="77" t="s">
        <v>1428</v>
      </c>
      <c r="G292" s="77" t="s">
        <v>1429</v>
      </c>
      <c r="H292" s="77" t="s">
        <v>2344</v>
      </c>
      <c r="I292" s="77" t="s">
        <v>2345</v>
      </c>
      <c r="J292" s="77"/>
      <c r="K292" s="77"/>
      <c r="L292" s="74"/>
      <c r="M292" s="74"/>
      <c r="N292" s="74"/>
      <c r="O292" s="74"/>
      <c r="P292" s="74"/>
      <c r="Q292" s="74"/>
      <c r="R292" s="74"/>
      <c r="S292" s="74"/>
      <c r="T292" s="74"/>
      <c r="U292" s="74"/>
      <c r="V292" s="74"/>
      <c r="W292" s="74"/>
      <c r="X292" s="74"/>
      <c r="Y292" s="74"/>
    </row>
    <row r="293" spans="1:25" ht="15.75" thickBot="1" x14ac:dyDescent="0.3">
      <c r="A293" s="78">
        <v>2025</v>
      </c>
      <c r="B293" s="79">
        <v>15</v>
      </c>
      <c r="C293" s="86" t="s">
        <v>607</v>
      </c>
      <c r="D293" s="86" t="s">
        <v>607</v>
      </c>
      <c r="E293" s="79" t="s">
        <v>735</v>
      </c>
      <c r="F293" s="80" t="s">
        <v>1062</v>
      </c>
      <c r="G293" s="80" t="s">
        <v>1430</v>
      </c>
      <c r="H293" s="80" t="s">
        <v>1431</v>
      </c>
      <c r="I293" s="80" t="s">
        <v>1432</v>
      </c>
      <c r="J293" s="80" t="s">
        <v>1433</v>
      </c>
      <c r="K293" s="80" t="s">
        <v>1434</v>
      </c>
      <c r="L293" s="74"/>
      <c r="M293" s="74"/>
      <c r="N293" s="74"/>
      <c r="O293" s="74"/>
      <c r="P293" s="74"/>
      <c r="Q293" s="74"/>
      <c r="R293" s="74"/>
      <c r="S293" s="74"/>
      <c r="T293" s="74"/>
      <c r="U293" s="74"/>
      <c r="V293" s="74"/>
      <c r="W293" s="74"/>
      <c r="X293" s="74"/>
      <c r="Y293" s="74"/>
    </row>
    <row r="294" spans="1:25" ht="15.75" thickBot="1" x14ac:dyDescent="0.3">
      <c r="A294" s="75">
        <v>2025</v>
      </c>
      <c r="B294" s="76">
        <v>15</v>
      </c>
      <c r="C294" s="85" t="s">
        <v>609</v>
      </c>
      <c r="D294" s="85" t="s">
        <v>609</v>
      </c>
      <c r="E294" s="76" t="s">
        <v>263</v>
      </c>
      <c r="F294" s="77" t="s">
        <v>1190</v>
      </c>
      <c r="G294" s="77" t="s">
        <v>1435</v>
      </c>
      <c r="H294" s="77" t="s">
        <v>1436</v>
      </c>
      <c r="I294" s="77" t="s">
        <v>1437</v>
      </c>
      <c r="J294" s="77"/>
      <c r="K294" s="77"/>
      <c r="L294" s="74"/>
      <c r="M294" s="74"/>
      <c r="N294" s="74"/>
      <c r="O294" s="74"/>
      <c r="P294" s="74"/>
      <c r="Q294" s="74"/>
      <c r="R294" s="74"/>
      <c r="S294" s="74"/>
      <c r="T294" s="74"/>
      <c r="U294" s="74"/>
      <c r="V294" s="74"/>
      <c r="W294" s="74"/>
      <c r="X294" s="74"/>
      <c r="Y294" s="74"/>
    </row>
    <row r="295" spans="1:25" ht="15.75" thickBot="1" x14ac:dyDescent="0.3">
      <c r="A295" s="78">
        <v>2025</v>
      </c>
      <c r="B295" s="114" t="s">
        <v>658</v>
      </c>
      <c r="C295" s="86" t="s">
        <v>610</v>
      </c>
      <c r="D295" s="86" t="s">
        <v>610</v>
      </c>
      <c r="E295" s="79" t="s">
        <v>264</v>
      </c>
      <c r="F295" s="80" t="s">
        <v>1148</v>
      </c>
      <c r="G295" s="80" t="s">
        <v>1644</v>
      </c>
      <c r="H295" s="80" t="s">
        <v>1438</v>
      </c>
      <c r="I295" s="80" t="s">
        <v>1439</v>
      </c>
      <c r="J295" s="80"/>
      <c r="K295" s="80"/>
      <c r="L295" s="74"/>
      <c r="M295" s="74"/>
      <c r="N295" s="74"/>
      <c r="O295" s="74"/>
      <c r="P295" s="74"/>
      <c r="Q295" s="74"/>
      <c r="R295" s="74"/>
      <c r="S295" s="74"/>
      <c r="T295" s="74"/>
      <c r="U295" s="74"/>
      <c r="V295" s="74"/>
      <c r="W295" s="74"/>
      <c r="X295" s="74"/>
      <c r="Y295" s="74"/>
    </row>
    <row r="296" spans="1:25" ht="15.75" thickBot="1" x14ac:dyDescent="0.3">
      <c r="A296" s="75">
        <v>2025</v>
      </c>
      <c r="B296" s="76">
        <v>10</v>
      </c>
      <c r="C296" s="85" t="s">
        <v>611</v>
      </c>
      <c r="D296" s="85" t="s">
        <v>611</v>
      </c>
      <c r="E296" s="76" t="s">
        <v>265</v>
      </c>
      <c r="F296" s="77" t="s">
        <v>1440</v>
      </c>
      <c r="G296" s="77" t="s">
        <v>1441</v>
      </c>
      <c r="H296" s="77" t="s">
        <v>1727</v>
      </c>
      <c r="I296" s="77" t="s">
        <v>1728</v>
      </c>
      <c r="J296" s="77"/>
      <c r="K296" s="77"/>
      <c r="L296" s="74"/>
      <c r="M296" s="74"/>
      <c r="N296" s="74"/>
      <c r="O296" s="74"/>
      <c r="P296" s="74"/>
      <c r="Q296" s="74"/>
      <c r="R296" s="74"/>
      <c r="S296" s="74"/>
      <c r="T296" s="74"/>
      <c r="U296" s="74"/>
      <c r="V296" s="74"/>
      <c r="W296" s="74"/>
      <c r="X296" s="74"/>
      <c r="Y296" s="74"/>
    </row>
    <row r="297" spans="1:25" ht="15.75" thickBot="1" x14ac:dyDescent="0.3">
      <c r="A297" s="78">
        <v>2025</v>
      </c>
      <c r="B297" s="114" t="s">
        <v>658</v>
      </c>
      <c r="C297" s="86" t="s">
        <v>612</v>
      </c>
      <c r="D297" s="86" t="s">
        <v>612</v>
      </c>
      <c r="E297" s="79" t="s">
        <v>736</v>
      </c>
      <c r="F297" s="80" t="s">
        <v>1361</v>
      </c>
      <c r="G297" s="80" t="s">
        <v>1645</v>
      </c>
      <c r="H297" s="80" t="s">
        <v>1766</v>
      </c>
      <c r="I297" s="80" t="s">
        <v>1767</v>
      </c>
      <c r="J297" s="80"/>
      <c r="K297" s="80"/>
      <c r="L297" s="74"/>
      <c r="M297" s="74"/>
      <c r="N297" s="74"/>
      <c r="O297" s="74"/>
      <c r="P297" s="74"/>
      <c r="Q297" s="74"/>
      <c r="R297" s="74"/>
      <c r="S297" s="74"/>
      <c r="T297" s="74"/>
      <c r="U297" s="74"/>
      <c r="V297" s="74"/>
      <c r="W297" s="74"/>
      <c r="X297" s="74"/>
      <c r="Y297" s="74"/>
    </row>
    <row r="298" spans="1:25" ht="15.75" thickBot="1" x14ac:dyDescent="0.3">
      <c r="A298" s="75">
        <v>2025</v>
      </c>
      <c r="B298" s="76">
        <v>11</v>
      </c>
      <c r="C298" s="85" t="s">
        <v>613</v>
      </c>
      <c r="D298" s="85" t="s">
        <v>613</v>
      </c>
      <c r="E298" s="76" t="s">
        <v>737</v>
      </c>
      <c r="F298" s="77" t="s">
        <v>1442</v>
      </c>
      <c r="G298" s="77" t="s">
        <v>1443</v>
      </c>
      <c r="H298" s="77" t="s">
        <v>1768</v>
      </c>
      <c r="I298" s="77" t="s">
        <v>1769</v>
      </c>
      <c r="J298" s="77" t="s">
        <v>1770</v>
      </c>
      <c r="K298" s="77" t="s">
        <v>1771</v>
      </c>
      <c r="L298" s="74"/>
      <c r="M298" s="74"/>
      <c r="N298" s="74"/>
      <c r="O298" s="74"/>
      <c r="P298" s="74"/>
      <c r="Q298" s="74"/>
      <c r="R298" s="74"/>
      <c r="S298" s="74"/>
      <c r="T298" s="74"/>
      <c r="U298" s="74"/>
      <c r="V298" s="74"/>
      <c r="W298" s="74"/>
      <c r="X298" s="74"/>
      <c r="Y298" s="74"/>
    </row>
    <row r="299" spans="1:25" ht="15.75" thickBot="1" x14ac:dyDescent="0.3">
      <c r="A299" s="78">
        <v>2025</v>
      </c>
      <c r="B299" s="114" t="s">
        <v>658</v>
      </c>
      <c r="C299" s="86" t="s">
        <v>614</v>
      </c>
      <c r="D299" s="86" t="s">
        <v>614</v>
      </c>
      <c r="E299" s="79" t="s">
        <v>266</v>
      </c>
      <c r="F299" s="80" t="s">
        <v>1247</v>
      </c>
      <c r="G299" s="80" t="s">
        <v>2346</v>
      </c>
      <c r="H299" s="80" t="s">
        <v>1772</v>
      </c>
      <c r="I299" s="80" t="s">
        <v>1773</v>
      </c>
      <c r="J299" s="80"/>
      <c r="K299" s="80"/>
      <c r="L299" s="74"/>
      <c r="M299" s="74"/>
      <c r="N299" s="74"/>
      <c r="O299" s="74"/>
      <c r="P299" s="74"/>
      <c r="Q299" s="74"/>
      <c r="R299" s="74"/>
      <c r="S299" s="74"/>
      <c r="T299" s="74"/>
      <c r="U299" s="74"/>
      <c r="V299" s="74"/>
      <c r="W299" s="74"/>
      <c r="X299" s="74"/>
      <c r="Y299" s="74"/>
    </row>
    <row r="300" spans="1:25" ht="15.75" thickBot="1" x14ac:dyDescent="0.3">
      <c r="A300" s="75">
        <v>2025</v>
      </c>
      <c r="B300" s="76">
        <v>15</v>
      </c>
      <c r="C300" s="85" t="s">
        <v>615</v>
      </c>
      <c r="D300" s="85" t="s">
        <v>615</v>
      </c>
      <c r="E300" s="76" t="s">
        <v>267</v>
      </c>
      <c r="F300" s="77" t="s">
        <v>1444</v>
      </c>
      <c r="G300" s="77" t="s">
        <v>1445</v>
      </c>
      <c r="H300" s="77" t="s">
        <v>1446</v>
      </c>
      <c r="I300" s="77" t="s">
        <v>1447</v>
      </c>
      <c r="J300" s="77"/>
      <c r="K300" s="77"/>
      <c r="L300" s="74"/>
      <c r="M300" s="74"/>
      <c r="N300" s="74"/>
      <c r="O300" s="74"/>
      <c r="P300" s="74"/>
      <c r="Q300" s="74"/>
      <c r="R300" s="74"/>
      <c r="S300" s="74"/>
      <c r="T300" s="74"/>
      <c r="U300" s="74"/>
      <c r="V300" s="74"/>
      <c r="W300" s="74"/>
      <c r="X300" s="74"/>
      <c r="Y300" s="74"/>
    </row>
    <row r="301" spans="1:25" ht="15.75" thickBot="1" x14ac:dyDescent="0.3">
      <c r="A301" s="78">
        <v>2025</v>
      </c>
      <c r="B301" s="114" t="s">
        <v>661</v>
      </c>
      <c r="C301" s="86" t="s">
        <v>616</v>
      </c>
      <c r="D301" s="86" t="s">
        <v>616</v>
      </c>
      <c r="E301" s="79" t="s">
        <v>268</v>
      </c>
      <c r="F301" s="80" t="s">
        <v>2333</v>
      </c>
      <c r="G301" s="80" t="s">
        <v>2347</v>
      </c>
      <c r="H301" s="80" t="s">
        <v>1394</v>
      </c>
      <c r="I301" s="80" t="s">
        <v>1395</v>
      </c>
      <c r="J301" s="80"/>
      <c r="K301" s="80"/>
      <c r="L301" s="74"/>
      <c r="M301" s="74"/>
      <c r="N301" s="74"/>
      <c r="O301" s="74"/>
      <c r="P301" s="74"/>
      <c r="Q301" s="74"/>
      <c r="R301" s="74"/>
      <c r="S301" s="74"/>
      <c r="T301" s="74"/>
      <c r="U301" s="74"/>
      <c r="V301" s="74"/>
      <c r="W301" s="74"/>
      <c r="X301" s="74"/>
      <c r="Y301" s="74"/>
    </row>
    <row r="302" spans="1:25" ht="15.75" thickBot="1" x14ac:dyDescent="0.3">
      <c r="A302" s="75">
        <v>2025</v>
      </c>
      <c r="B302" s="113" t="s">
        <v>661</v>
      </c>
      <c r="C302" s="85" t="s">
        <v>617</v>
      </c>
      <c r="D302" s="85" t="s">
        <v>617</v>
      </c>
      <c r="E302" s="76" t="s">
        <v>738</v>
      </c>
      <c r="F302" s="77" t="s">
        <v>2215</v>
      </c>
      <c r="G302" s="77" t="s">
        <v>2348</v>
      </c>
      <c r="H302" s="77" t="s">
        <v>1032</v>
      </c>
      <c r="I302" s="77" t="s">
        <v>1448</v>
      </c>
      <c r="J302" s="77"/>
      <c r="K302" s="77"/>
      <c r="L302" s="74"/>
      <c r="M302" s="74"/>
      <c r="N302" s="74"/>
      <c r="O302" s="74"/>
      <c r="P302" s="74"/>
      <c r="Q302" s="74"/>
      <c r="R302" s="74"/>
      <c r="S302" s="74"/>
      <c r="T302" s="74"/>
      <c r="U302" s="74"/>
      <c r="V302" s="74"/>
      <c r="W302" s="74"/>
      <c r="X302" s="74"/>
      <c r="Y302" s="74"/>
    </row>
    <row r="303" spans="1:25" ht="15.75" thickBot="1" x14ac:dyDescent="0.3">
      <c r="A303" s="78">
        <v>2025</v>
      </c>
      <c r="B303" s="79">
        <v>10</v>
      </c>
      <c r="C303" s="86" t="s">
        <v>618</v>
      </c>
      <c r="D303" s="86" t="s">
        <v>618</v>
      </c>
      <c r="E303" s="79" t="s">
        <v>269</v>
      </c>
      <c r="F303" s="80" t="s">
        <v>1449</v>
      </c>
      <c r="G303" s="80" t="s">
        <v>1450</v>
      </c>
      <c r="H303" s="80" t="s">
        <v>1451</v>
      </c>
      <c r="I303" s="80" t="s">
        <v>1452</v>
      </c>
      <c r="J303" s="80"/>
      <c r="K303" s="80"/>
      <c r="L303" s="74"/>
      <c r="M303" s="74"/>
      <c r="N303" s="74"/>
      <c r="O303" s="74"/>
      <c r="P303" s="74"/>
      <c r="Q303" s="74"/>
      <c r="R303" s="74"/>
      <c r="S303" s="74"/>
      <c r="T303" s="74"/>
      <c r="U303" s="74"/>
      <c r="V303" s="74"/>
      <c r="W303" s="74"/>
      <c r="X303" s="74"/>
      <c r="Y303" s="74"/>
    </row>
    <row r="304" spans="1:25" ht="15.75" thickBot="1" x14ac:dyDescent="0.3">
      <c r="A304" s="75">
        <v>2025</v>
      </c>
      <c r="B304" s="76">
        <v>15</v>
      </c>
      <c r="C304" s="85" t="s">
        <v>619</v>
      </c>
      <c r="D304" s="85" t="s">
        <v>619</v>
      </c>
      <c r="E304" s="76" t="s">
        <v>739</v>
      </c>
      <c r="F304" s="77" t="s">
        <v>1400</v>
      </c>
      <c r="G304" s="77" t="s">
        <v>2349</v>
      </c>
      <c r="H304" s="77" t="s">
        <v>1454</v>
      </c>
      <c r="I304" s="77" t="s">
        <v>1455</v>
      </c>
      <c r="J304" s="77"/>
      <c r="K304" s="77"/>
      <c r="L304" s="74"/>
      <c r="M304" s="74"/>
      <c r="N304" s="74"/>
      <c r="O304" s="74"/>
      <c r="P304" s="74"/>
      <c r="Q304" s="74"/>
      <c r="R304" s="74"/>
      <c r="S304" s="74"/>
      <c r="T304" s="74"/>
      <c r="U304" s="74"/>
      <c r="V304" s="74"/>
      <c r="W304" s="74"/>
      <c r="X304" s="74"/>
      <c r="Y304" s="74"/>
    </row>
    <row r="305" spans="1:25" ht="15.75" thickBot="1" x14ac:dyDescent="0.3">
      <c r="A305" s="78">
        <v>2025</v>
      </c>
      <c r="B305" s="114" t="s">
        <v>665</v>
      </c>
      <c r="C305" s="86" t="s">
        <v>620</v>
      </c>
      <c r="D305" s="86" t="s">
        <v>620</v>
      </c>
      <c r="E305" s="79" t="s">
        <v>270</v>
      </c>
      <c r="F305" s="80" t="s">
        <v>986</v>
      </c>
      <c r="G305" s="80" t="s">
        <v>2332</v>
      </c>
      <c r="H305" s="80" t="s">
        <v>1633</v>
      </c>
      <c r="I305" s="80" t="s">
        <v>2350</v>
      </c>
      <c r="J305" s="80"/>
      <c r="K305" s="80"/>
      <c r="L305" s="74"/>
      <c r="M305" s="74"/>
      <c r="N305" s="74"/>
      <c r="O305" s="74"/>
      <c r="P305" s="74"/>
      <c r="Q305" s="74"/>
      <c r="R305" s="74"/>
      <c r="S305" s="74"/>
      <c r="T305" s="74"/>
      <c r="U305" s="74"/>
      <c r="V305" s="74"/>
      <c r="W305" s="74"/>
      <c r="X305" s="74"/>
      <c r="Y305" s="74"/>
    </row>
    <row r="306" spans="1:25" ht="15.75" thickBot="1" x14ac:dyDescent="0.3">
      <c r="A306" s="75">
        <v>2025</v>
      </c>
      <c r="B306" s="76">
        <v>11</v>
      </c>
      <c r="C306" s="85" t="s">
        <v>590</v>
      </c>
      <c r="D306" s="85" t="s">
        <v>590</v>
      </c>
      <c r="E306" s="76" t="s">
        <v>271</v>
      </c>
      <c r="F306" s="77" t="s">
        <v>1456</v>
      </c>
      <c r="G306" s="77" t="s">
        <v>1457</v>
      </c>
      <c r="H306" s="77" t="s">
        <v>1277</v>
      </c>
      <c r="I306" s="77" t="s">
        <v>1458</v>
      </c>
      <c r="J306" s="77"/>
      <c r="K306" s="77"/>
      <c r="L306" s="74"/>
      <c r="M306" s="74"/>
      <c r="N306" s="74"/>
      <c r="O306" s="74"/>
      <c r="P306" s="74"/>
      <c r="Q306" s="74"/>
      <c r="R306" s="74"/>
      <c r="S306" s="74"/>
      <c r="T306" s="74"/>
      <c r="U306" s="74"/>
      <c r="V306" s="74"/>
      <c r="W306" s="74"/>
      <c r="X306" s="74"/>
      <c r="Y306" s="74"/>
    </row>
    <row r="307" spans="1:25" ht="15.75" thickBot="1" x14ac:dyDescent="0.3">
      <c r="A307" s="78">
        <v>2025</v>
      </c>
      <c r="B307" s="114" t="s">
        <v>665</v>
      </c>
      <c r="C307" s="86" t="s">
        <v>621</v>
      </c>
      <c r="D307" s="86" t="s">
        <v>621</v>
      </c>
      <c r="E307" s="79" t="s">
        <v>643</v>
      </c>
      <c r="F307" s="80" t="s">
        <v>2351</v>
      </c>
      <c r="G307" s="80" t="s">
        <v>2352</v>
      </c>
      <c r="H307" s="80" t="s">
        <v>1459</v>
      </c>
      <c r="I307" s="80" t="s">
        <v>1460</v>
      </c>
      <c r="J307" s="80"/>
      <c r="K307" s="80"/>
      <c r="L307" s="74"/>
      <c r="M307" s="74"/>
      <c r="N307" s="74"/>
      <c r="O307" s="74"/>
      <c r="P307" s="74"/>
      <c r="Q307" s="74"/>
      <c r="R307" s="74"/>
      <c r="S307" s="74"/>
      <c r="T307" s="74"/>
      <c r="U307" s="74"/>
      <c r="V307" s="74"/>
      <c r="W307" s="74"/>
      <c r="X307" s="74"/>
      <c r="Y307" s="74"/>
    </row>
    <row r="308" spans="1:25" ht="15.75" thickBot="1" x14ac:dyDescent="0.3">
      <c r="A308" s="75">
        <v>2025</v>
      </c>
      <c r="B308" s="76">
        <v>11</v>
      </c>
      <c r="C308" s="85" t="s">
        <v>622</v>
      </c>
      <c r="D308" s="85" t="s">
        <v>622</v>
      </c>
      <c r="E308" s="76" t="s">
        <v>740</v>
      </c>
      <c r="F308" s="77" t="s">
        <v>1514</v>
      </c>
      <c r="G308" s="77" t="s">
        <v>1646</v>
      </c>
      <c r="H308" s="77" t="s">
        <v>2353</v>
      </c>
      <c r="I308" s="77" t="s">
        <v>2354</v>
      </c>
      <c r="J308" s="77" t="s">
        <v>1647</v>
      </c>
      <c r="K308" s="77" t="s">
        <v>1648</v>
      </c>
      <c r="L308" s="74"/>
      <c r="M308" s="74"/>
      <c r="N308" s="74"/>
      <c r="O308" s="74"/>
      <c r="P308" s="74"/>
      <c r="Q308" s="74"/>
      <c r="R308" s="74"/>
      <c r="S308" s="74"/>
      <c r="T308" s="74"/>
      <c r="U308" s="74"/>
      <c r="V308" s="74"/>
      <c r="W308" s="74"/>
      <c r="X308" s="74"/>
      <c r="Y308" s="74"/>
    </row>
    <row r="309" spans="1:25" ht="15.75" thickBot="1" x14ac:dyDescent="0.3">
      <c r="A309" s="78">
        <v>2025</v>
      </c>
      <c r="B309" s="114" t="s">
        <v>658</v>
      </c>
      <c r="C309" s="86" t="s">
        <v>566</v>
      </c>
      <c r="D309" s="86" t="s">
        <v>566</v>
      </c>
      <c r="E309" s="79" t="s">
        <v>273</v>
      </c>
      <c r="F309" s="80" t="s">
        <v>1461</v>
      </c>
      <c r="G309" s="80" t="s">
        <v>1462</v>
      </c>
      <c r="H309" s="80" t="s">
        <v>1463</v>
      </c>
      <c r="I309" s="80" t="s">
        <v>1464</v>
      </c>
      <c r="J309" s="80"/>
      <c r="K309" s="80"/>
      <c r="L309" s="74"/>
      <c r="M309" s="74"/>
      <c r="N309" s="74"/>
      <c r="O309" s="74"/>
      <c r="P309" s="74"/>
      <c r="Q309" s="74"/>
      <c r="R309" s="74"/>
      <c r="S309" s="74"/>
      <c r="T309" s="74"/>
      <c r="U309" s="74"/>
      <c r="V309" s="74"/>
      <c r="W309" s="74"/>
      <c r="X309" s="74"/>
      <c r="Y309" s="74"/>
    </row>
    <row r="310" spans="1:25" ht="15.75" thickBot="1" x14ac:dyDescent="0.3">
      <c r="A310" s="75">
        <v>2025</v>
      </c>
      <c r="B310" s="113" t="s">
        <v>658</v>
      </c>
      <c r="C310" s="85" t="s">
        <v>348</v>
      </c>
      <c r="D310" s="85" t="s">
        <v>348</v>
      </c>
      <c r="E310" s="76" t="s">
        <v>274</v>
      </c>
      <c r="F310" s="77" t="s">
        <v>1465</v>
      </c>
      <c r="G310" s="77" t="s">
        <v>1466</v>
      </c>
      <c r="H310" s="77" t="s">
        <v>1467</v>
      </c>
      <c r="I310" s="77" t="s">
        <v>1468</v>
      </c>
      <c r="J310" s="77"/>
      <c r="K310" s="77"/>
      <c r="L310" s="74"/>
      <c r="M310" s="74"/>
      <c r="N310" s="74"/>
      <c r="O310" s="74"/>
      <c r="P310" s="74"/>
      <c r="Q310" s="74"/>
      <c r="R310" s="74"/>
      <c r="S310" s="74"/>
      <c r="T310" s="74"/>
      <c r="U310" s="74"/>
      <c r="V310" s="74"/>
      <c r="W310" s="74"/>
      <c r="X310" s="74"/>
      <c r="Y310" s="74"/>
    </row>
    <row r="311" spans="1:25" ht="15.75" thickBot="1" x14ac:dyDescent="0.3">
      <c r="A311" s="78">
        <v>2025</v>
      </c>
      <c r="B311" s="79">
        <v>13</v>
      </c>
      <c r="C311" s="86" t="s">
        <v>624</v>
      </c>
      <c r="D311" s="86" t="s">
        <v>624</v>
      </c>
      <c r="E311" s="79" t="s">
        <v>275</v>
      </c>
      <c r="F311" s="80" t="s">
        <v>1469</v>
      </c>
      <c r="G311" s="80" t="s">
        <v>1649</v>
      </c>
      <c r="H311" s="80" t="s">
        <v>1128</v>
      </c>
      <c r="I311" s="80" t="s">
        <v>1129</v>
      </c>
      <c r="J311" s="80"/>
      <c r="K311" s="80"/>
      <c r="L311" s="74"/>
      <c r="M311" s="74"/>
      <c r="N311" s="74"/>
      <c r="O311" s="74"/>
      <c r="P311" s="74"/>
      <c r="Q311" s="74"/>
      <c r="R311" s="74"/>
      <c r="S311" s="74"/>
      <c r="T311" s="74"/>
      <c r="U311" s="74"/>
      <c r="V311" s="74"/>
      <c r="W311" s="74"/>
      <c r="X311" s="74"/>
      <c r="Y311" s="74"/>
    </row>
    <row r="312" spans="1:25" ht="15.75" thickBot="1" x14ac:dyDescent="0.3">
      <c r="A312" s="75">
        <v>2025</v>
      </c>
      <c r="B312" s="113" t="s">
        <v>666</v>
      </c>
      <c r="C312" s="85" t="s">
        <v>625</v>
      </c>
      <c r="D312" s="85" t="s">
        <v>625</v>
      </c>
      <c r="E312" s="76" t="s">
        <v>276</v>
      </c>
      <c r="F312" s="77" t="s">
        <v>1470</v>
      </c>
      <c r="G312" s="77" t="s">
        <v>1471</v>
      </c>
      <c r="H312" s="77" t="s">
        <v>1472</v>
      </c>
      <c r="I312" s="77" t="s">
        <v>1473</v>
      </c>
      <c r="J312" s="77"/>
      <c r="K312" s="77"/>
      <c r="L312" s="74"/>
      <c r="M312" s="74"/>
      <c r="N312" s="74"/>
      <c r="O312" s="74"/>
      <c r="P312" s="74"/>
      <c r="Q312" s="74"/>
      <c r="R312" s="74"/>
      <c r="S312" s="74"/>
      <c r="T312" s="74"/>
      <c r="U312" s="74"/>
      <c r="V312" s="74"/>
      <c r="W312" s="74"/>
      <c r="X312" s="74"/>
      <c r="Y312" s="74"/>
    </row>
    <row r="313" spans="1:25" ht="15.75" thickBot="1" x14ac:dyDescent="0.3">
      <c r="A313" s="78">
        <v>2025</v>
      </c>
      <c r="B313" s="79">
        <v>12</v>
      </c>
      <c r="C313" s="86" t="s">
        <v>626</v>
      </c>
      <c r="D313" s="86" t="s">
        <v>626</v>
      </c>
      <c r="E313" s="79" t="s">
        <v>277</v>
      </c>
      <c r="F313" s="80" t="s">
        <v>1474</v>
      </c>
      <c r="G313" s="80" t="s">
        <v>1475</v>
      </c>
      <c r="H313" s="80" t="s">
        <v>1476</v>
      </c>
      <c r="I313" s="80" t="s">
        <v>1477</v>
      </c>
      <c r="J313" s="80"/>
      <c r="K313" s="80"/>
      <c r="L313" s="74"/>
      <c r="M313" s="74"/>
      <c r="N313" s="74"/>
      <c r="O313" s="74"/>
      <c r="P313" s="74"/>
      <c r="Q313" s="74"/>
      <c r="R313" s="74"/>
      <c r="S313" s="74"/>
      <c r="T313" s="74"/>
      <c r="U313" s="74"/>
      <c r="V313" s="74"/>
      <c r="W313" s="74"/>
      <c r="X313" s="74"/>
      <c r="Y313" s="74"/>
    </row>
    <row r="314" spans="1:25" ht="15.75" thickBot="1" x14ac:dyDescent="0.3">
      <c r="A314" s="75">
        <v>2025</v>
      </c>
      <c r="B314" s="113" t="s">
        <v>658</v>
      </c>
      <c r="C314" s="85" t="s">
        <v>627</v>
      </c>
      <c r="D314" s="85" t="s">
        <v>627</v>
      </c>
      <c r="E314" s="76" t="s">
        <v>278</v>
      </c>
      <c r="F314" s="77" t="s">
        <v>1478</v>
      </c>
      <c r="G314" s="77" t="s">
        <v>1479</v>
      </c>
      <c r="H314" s="77" t="s">
        <v>1574</v>
      </c>
      <c r="I314" s="77" t="s">
        <v>1774</v>
      </c>
      <c r="J314" s="77"/>
      <c r="K314" s="77"/>
      <c r="L314" s="74"/>
      <c r="M314" s="74"/>
      <c r="N314" s="74"/>
      <c r="O314" s="74"/>
      <c r="P314" s="74"/>
      <c r="Q314" s="74"/>
      <c r="R314" s="74"/>
      <c r="S314" s="74"/>
      <c r="T314" s="74"/>
      <c r="U314" s="74"/>
      <c r="V314" s="74"/>
      <c r="W314" s="74"/>
      <c r="X314" s="74"/>
      <c r="Y314" s="74"/>
    </row>
    <row r="315" spans="1:25" ht="15.75" thickBot="1" x14ac:dyDescent="0.3">
      <c r="A315" s="78">
        <v>2025</v>
      </c>
      <c r="B315" s="79">
        <v>12</v>
      </c>
      <c r="C315" s="86" t="s">
        <v>628</v>
      </c>
      <c r="D315" s="86" t="s">
        <v>628</v>
      </c>
      <c r="E315" s="79" t="s">
        <v>279</v>
      </c>
      <c r="F315" s="80" t="s">
        <v>1469</v>
      </c>
      <c r="G315" s="80" t="s">
        <v>1480</v>
      </c>
      <c r="H315" s="80" t="s">
        <v>1481</v>
      </c>
      <c r="I315" s="80" t="s">
        <v>1482</v>
      </c>
      <c r="J315" s="80"/>
      <c r="K315" s="80"/>
      <c r="L315" s="74"/>
      <c r="M315" s="74"/>
      <c r="N315" s="74"/>
      <c r="O315" s="74"/>
      <c r="P315" s="74"/>
      <c r="Q315" s="74"/>
      <c r="R315" s="74"/>
      <c r="S315" s="74"/>
      <c r="T315" s="74"/>
      <c r="U315" s="74"/>
      <c r="V315" s="74"/>
      <c r="W315" s="74"/>
      <c r="X315" s="74"/>
      <c r="Y315" s="74"/>
    </row>
    <row r="316" spans="1:25" ht="15.75" thickBot="1" x14ac:dyDescent="0.3">
      <c r="A316" s="75">
        <v>2025</v>
      </c>
      <c r="B316" s="76">
        <v>12</v>
      </c>
      <c r="C316" s="85" t="s">
        <v>629</v>
      </c>
      <c r="D316" s="85" t="s">
        <v>629</v>
      </c>
      <c r="E316" s="76" t="s">
        <v>280</v>
      </c>
      <c r="F316" s="77" t="s">
        <v>1483</v>
      </c>
      <c r="G316" s="77" t="s">
        <v>1484</v>
      </c>
      <c r="H316" s="77" t="s">
        <v>1485</v>
      </c>
      <c r="I316" s="77" t="s">
        <v>1486</v>
      </c>
      <c r="J316" s="77"/>
      <c r="K316" s="77"/>
      <c r="L316" s="74"/>
      <c r="M316" s="74"/>
      <c r="N316" s="74"/>
      <c r="O316" s="74"/>
      <c r="P316" s="74"/>
      <c r="Q316" s="74"/>
      <c r="R316" s="74"/>
      <c r="S316" s="74"/>
      <c r="T316" s="74"/>
      <c r="U316" s="74"/>
      <c r="V316" s="74"/>
      <c r="W316" s="74"/>
      <c r="X316" s="74"/>
      <c r="Y316" s="74"/>
    </row>
    <row r="317" spans="1:25" ht="15.75" thickBot="1" x14ac:dyDescent="0.3">
      <c r="A317" s="78">
        <v>2025</v>
      </c>
      <c r="B317" s="114" t="s">
        <v>665</v>
      </c>
      <c r="C317" s="86" t="s">
        <v>623</v>
      </c>
      <c r="D317" s="86" t="s">
        <v>623</v>
      </c>
      <c r="E317" s="79" t="s">
        <v>644</v>
      </c>
      <c r="F317" s="80" t="s">
        <v>2355</v>
      </c>
      <c r="G317" s="80" t="s">
        <v>1650</v>
      </c>
      <c r="H317" s="80" t="s">
        <v>1487</v>
      </c>
      <c r="I317" s="80" t="s">
        <v>1488</v>
      </c>
      <c r="J317" s="80" t="s">
        <v>1489</v>
      </c>
      <c r="K317" s="80" t="s">
        <v>1490</v>
      </c>
      <c r="L317" s="74"/>
      <c r="M317" s="74"/>
      <c r="N317" s="74"/>
      <c r="O317" s="74"/>
      <c r="P317" s="74"/>
      <c r="Q317" s="74"/>
      <c r="R317" s="74"/>
      <c r="S317" s="74"/>
      <c r="T317" s="74"/>
      <c r="U317" s="74"/>
      <c r="V317" s="74"/>
      <c r="W317" s="74"/>
      <c r="X317" s="74"/>
      <c r="Y317" s="74"/>
    </row>
    <row r="318" spans="1:25" ht="15.75" thickBot="1" x14ac:dyDescent="0.3">
      <c r="A318" s="75">
        <v>2025</v>
      </c>
      <c r="B318" s="76">
        <v>12</v>
      </c>
      <c r="C318" s="85" t="s">
        <v>630</v>
      </c>
      <c r="D318" s="85" t="s">
        <v>630</v>
      </c>
      <c r="E318" s="76" t="s">
        <v>282</v>
      </c>
      <c r="F318" s="77" t="s">
        <v>1491</v>
      </c>
      <c r="G318" s="77" t="s">
        <v>1492</v>
      </c>
      <c r="H318" s="77" t="s">
        <v>1493</v>
      </c>
      <c r="I318" s="77" t="s">
        <v>1494</v>
      </c>
      <c r="J318" s="77"/>
      <c r="K318" s="77"/>
      <c r="L318" s="74"/>
      <c r="M318" s="74"/>
      <c r="N318" s="74"/>
      <c r="O318" s="74"/>
      <c r="P318" s="74"/>
      <c r="Q318" s="74"/>
      <c r="R318" s="74"/>
      <c r="S318" s="74"/>
      <c r="T318" s="74"/>
      <c r="U318" s="74"/>
      <c r="V318" s="74"/>
      <c r="W318" s="74"/>
      <c r="X318" s="74"/>
      <c r="Y318" s="74"/>
    </row>
    <row r="319" spans="1:25" ht="15.75" thickBot="1" x14ac:dyDescent="0.3">
      <c r="A319" s="78">
        <v>2025</v>
      </c>
      <c r="B319" s="79">
        <v>12</v>
      </c>
      <c r="C319" s="86" t="s">
        <v>631</v>
      </c>
      <c r="D319" s="86" t="s">
        <v>631</v>
      </c>
      <c r="E319" s="79" t="s">
        <v>283</v>
      </c>
      <c r="F319" s="80" t="s">
        <v>1469</v>
      </c>
      <c r="G319" s="80" t="s">
        <v>2356</v>
      </c>
      <c r="H319" s="80" t="s">
        <v>1495</v>
      </c>
      <c r="I319" s="80" t="s">
        <v>1496</v>
      </c>
      <c r="J319" s="80"/>
      <c r="K319" s="80"/>
      <c r="L319" s="74"/>
      <c r="M319" s="74"/>
      <c r="N319" s="74"/>
      <c r="O319" s="74"/>
      <c r="P319" s="74"/>
      <c r="Q319" s="74"/>
      <c r="R319" s="74"/>
      <c r="S319" s="74"/>
      <c r="T319" s="74"/>
      <c r="U319" s="74"/>
      <c r="V319" s="74"/>
      <c r="W319" s="74"/>
      <c r="X319" s="74"/>
      <c r="Y319" s="74"/>
    </row>
    <row r="320" spans="1:25" ht="15.75" thickBot="1" x14ac:dyDescent="0.3">
      <c r="A320" s="75">
        <v>2025</v>
      </c>
      <c r="B320" s="76">
        <v>10</v>
      </c>
      <c r="C320" s="85" t="s">
        <v>632</v>
      </c>
      <c r="D320" s="85" t="s">
        <v>632</v>
      </c>
      <c r="E320" s="76" t="s">
        <v>284</v>
      </c>
      <c r="F320" s="77" t="s">
        <v>1497</v>
      </c>
      <c r="G320" s="77" t="s">
        <v>1498</v>
      </c>
      <c r="H320" s="77" t="s">
        <v>1499</v>
      </c>
      <c r="I320" s="77" t="s">
        <v>1500</v>
      </c>
      <c r="J320" s="77"/>
      <c r="K320" s="77"/>
      <c r="L320" s="74"/>
      <c r="M320" s="74"/>
      <c r="N320" s="74"/>
      <c r="O320" s="74"/>
      <c r="P320" s="74"/>
      <c r="Q320" s="74"/>
      <c r="R320" s="74"/>
      <c r="S320" s="74"/>
      <c r="T320" s="74"/>
      <c r="U320" s="74"/>
      <c r="V320" s="74"/>
      <c r="W320" s="74"/>
      <c r="X320" s="74"/>
      <c r="Y320" s="74"/>
    </row>
    <row r="321" spans="1:25" ht="15.75" thickBot="1" x14ac:dyDescent="0.3">
      <c r="A321" s="78">
        <v>2025</v>
      </c>
      <c r="B321" s="114" t="s">
        <v>666</v>
      </c>
      <c r="C321" s="86" t="s">
        <v>633</v>
      </c>
      <c r="D321" s="86" t="s">
        <v>633</v>
      </c>
      <c r="E321" s="79" t="s">
        <v>285</v>
      </c>
      <c r="F321" s="80" t="s">
        <v>961</v>
      </c>
      <c r="G321" s="80" t="s">
        <v>1501</v>
      </c>
      <c r="H321" s="80" t="s">
        <v>2357</v>
      </c>
      <c r="I321" s="80" t="s">
        <v>1651</v>
      </c>
      <c r="J321" s="80"/>
      <c r="K321" s="80"/>
      <c r="L321" s="74"/>
      <c r="M321" s="74"/>
      <c r="N321" s="74"/>
      <c r="O321" s="74"/>
      <c r="P321" s="74"/>
      <c r="Q321" s="74"/>
      <c r="R321" s="74"/>
      <c r="S321" s="74"/>
      <c r="T321" s="74"/>
      <c r="U321" s="74"/>
      <c r="V321" s="74"/>
      <c r="W321" s="74"/>
      <c r="X321" s="74"/>
      <c r="Y321" s="74"/>
    </row>
    <row r="322" spans="1:25" ht="15.75" thickBot="1" x14ac:dyDescent="0.3">
      <c r="A322" s="75">
        <v>2025</v>
      </c>
      <c r="B322" s="76">
        <v>15</v>
      </c>
      <c r="C322" s="85" t="s">
        <v>634</v>
      </c>
      <c r="D322" s="85" t="s">
        <v>634</v>
      </c>
      <c r="E322" s="76" t="s">
        <v>286</v>
      </c>
      <c r="F322" s="77" t="s">
        <v>2173</v>
      </c>
      <c r="G322" s="77" t="s">
        <v>2358</v>
      </c>
      <c r="H322" s="77" t="s">
        <v>1502</v>
      </c>
      <c r="I322" s="77" t="s">
        <v>1503</v>
      </c>
      <c r="J322" s="77"/>
      <c r="K322" s="77"/>
      <c r="L322" s="74"/>
      <c r="M322" s="74"/>
      <c r="N322" s="74"/>
      <c r="O322" s="74"/>
      <c r="P322" s="74"/>
      <c r="Q322" s="74"/>
      <c r="R322" s="74"/>
      <c r="S322" s="74"/>
      <c r="T322" s="74"/>
      <c r="U322" s="74"/>
      <c r="V322" s="74"/>
      <c r="W322" s="74"/>
      <c r="X322" s="74"/>
      <c r="Y322" s="74"/>
    </row>
    <row r="323" spans="1:25" ht="15.75" thickBot="1" x14ac:dyDescent="0.3">
      <c r="A323" s="78">
        <v>2025</v>
      </c>
      <c r="B323" s="79">
        <v>11</v>
      </c>
      <c r="C323" s="86" t="s">
        <v>635</v>
      </c>
      <c r="D323" s="86" t="s">
        <v>635</v>
      </c>
      <c r="E323" s="79" t="s">
        <v>287</v>
      </c>
      <c r="F323" s="80" t="s">
        <v>1504</v>
      </c>
      <c r="G323" s="80" t="s">
        <v>1505</v>
      </c>
      <c r="H323" s="80" t="s">
        <v>1506</v>
      </c>
      <c r="I323" s="80" t="s">
        <v>1507</v>
      </c>
      <c r="J323" s="80"/>
      <c r="K323" s="80"/>
      <c r="L323" s="74"/>
      <c r="M323" s="74"/>
      <c r="N323" s="74"/>
      <c r="O323" s="74"/>
      <c r="P323" s="74"/>
      <c r="Q323" s="74"/>
      <c r="R323" s="74"/>
      <c r="S323" s="74"/>
      <c r="T323" s="74"/>
      <c r="U323" s="74"/>
      <c r="V323" s="74"/>
      <c r="W323" s="74"/>
      <c r="X323" s="74"/>
      <c r="Y323" s="74"/>
    </row>
    <row r="324" spans="1:25" ht="15.75" thickBot="1" x14ac:dyDescent="0.3">
      <c r="A324" s="75">
        <v>2025</v>
      </c>
      <c r="B324" s="76">
        <v>13</v>
      </c>
      <c r="C324" s="85" t="s">
        <v>636</v>
      </c>
      <c r="D324" s="85" t="s">
        <v>636</v>
      </c>
      <c r="E324" s="76" t="s">
        <v>288</v>
      </c>
      <c r="F324" s="77" t="s">
        <v>1508</v>
      </c>
      <c r="G324" s="77" t="s">
        <v>1509</v>
      </c>
      <c r="H324" s="77" t="s">
        <v>1510</v>
      </c>
      <c r="I324" s="77" t="s">
        <v>1511</v>
      </c>
      <c r="J324" s="77"/>
      <c r="K324" s="77"/>
      <c r="L324" s="74"/>
      <c r="M324" s="74"/>
      <c r="N324" s="74"/>
      <c r="O324" s="74"/>
      <c r="P324" s="74"/>
      <c r="Q324" s="74"/>
      <c r="R324" s="74"/>
      <c r="S324" s="74"/>
      <c r="T324" s="74"/>
      <c r="U324" s="74"/>
      <c r="V324" s="74"/>
      <c r="W324" s="74"/>
      <c r="X324" s="74"/>
      <c r="Y324" s="74"/>
    </row>
    <row r="325" spans="1:25" ht="15.75" thickBot="1" x14ac:dyDescent="0.3">
      <c r="A325" s="78">
        <v>2025</v>
      </c>
      <c r="B325" s="79">
        <v>12</v>
      </c>
      <c r="C325" s="86" t="s">
        <v>637</v>
      </c>
      <c r="D325" s="86" t="s">
        <v>637</v>
      </c>
      <c r="E325" s="79" t="s">
        <v>289</v>
      </c>
      <c r="F325" s="80" t="s">
        <v>2359</v>
      </c>
      <c r="G325" s="80" t="s">
        <v>2360</v>
      </c>
      <c r="H325" s="80" t="s">
        <v>1512</v>
      </c>
      <c r="I325" s="80" t="s">
        <v>1513</v>
      </c>
      <c r="J325" s="80"/>
      <c r="K325" s="80"/>
      <c r="L325" s="74"/>
      <c r="M325" s="74"/>
      <c r="N325" s="74"/>
      <c r="O325" s="74"/>
      <c r="P325" s="74"/>
      <c r="Q325" s="74"/>
      <c r="R325" s="74"/>
      <c r="S325" s="74"/>
      <c r="T325" s="74"/>
      <c r="U325" s="74"/>
      <c r="V325" s="74"/>
      <c r="W325" s="74"/>
      <c r="X325" s="74"/>
      <c r="Y325" s="74"/>
    </row>
    <row r="326" spans="1:25" ht="15.75" thickBot="1" x14ac:dyDescent="0.3">
      <c r="A326" s="75">
        <v>2025</v>
      </c>
      <c r="B326" s="76">
        <v>11</v>
      </c>
      <c r="C326" s="85" t="s">
        <v>638</v>
      </c>
      <c r="D326" s="85" t="s">
        <v>638</v>
      </c>
      <c r="E326" s="76" t="s">
        <v>290</v>
      </c>
      <c r="F326" s="77" t="s">
        <v>1652</v>
      </c>
      <c r="G326" s="77" t="s">
        <v>1653</v>
      </c>
      <c r="H326" s="77" t="s">
        <v>1775</v>
      </c>
      <c r="I326" s="77" t="s">
        <v>1776</v>
      </c>
      <c r="J326" s="77" t="s">
        <v>1515</v>
      </c>
      <c r="K326" s="77" t="s">
        <v>1516</v>
      </c>
      <c r="L326" s="74"/>
      <c r="M326" s="74"/>
      <c r="N326" s="74"/>
      <c r="O326" s="74"/>
      <c r="P326" s="74"/>
      <c r="Q326" s="74"/>
      <c r="R326" s="74"/>
      <c r="S326" s="74"/>
      <c r="T326" s="74"/>
      <c r="U326" s="74"/>
      <c r="V326" s="74"/>
      <c r="W326" s="74"/>
      <c r="X326" s="74"/>
      <c r="Y326" s="74"/>
    </row>
    <row r="327" spans="1:25" ht="15.75" thickBot="1" x14ac:dyDescent="0.3">
      <c r="A327" s="82"/>
      <c r="B327" s="82"/>
      <c r="C327" s="87"/>
      <c r="D327" s="87"/>
      <c r="E327" s="82"/>
      <c r="F327" s="82"/>
      <c r="G327" s="82"/>
      <c r="H327" s="82"/>
      <c r="I327" s="82"/>
      <c r="J327" s="82"/>
      <c r="K327" s="82"/>
      <c r="L327" s="74"/>
      <c r="M327" s="74"/>
      <c r="N327" s="74"/>
      <c r="O327" s="74"/>
      <c r="P327" s="74"/>
      <c r="Q327" s="74"/>
      <c r="R327" s="74"/>
      <c r="S327" s="74"/>
      <c r="T327" s="74"/>
      <c r="U327" s="74"/>
      <c r="V327" s="74"/>
      <c r="W327" s="74"/>
      <c r="X327" s="74"/>
      <c r="Y327" s="74"/>
    </row>
    <row r="328" spans="1:25" ht="15.75" thickBot="1" x14ac:dyDescent="0.3">
      <c r="A328" s="83"/>
      <c r="B328" s="83"/>
      <c r="C328" s="88"/>
      <c r="D328" s="88"/>
      <c r="E328" s="83"/>
      <c r="F328" s="83"/>
      <c r="G328" s="83"/>
      <c r="H328" s="83"/>
      <c r="I328" s="83"/>
      <c r="J328" s="83"/>
      <c r="K328" s="83"/>
      <c r="L328" s="74"/>
      <c r="M328" s="74"/>
      <c r="N328" s="74"/>
      <c r="O328" s="74"/>
      <c r="P328" s="74"/>
      <c r="Q328" s="74"/>
      <c r="R328" s="74"/>
      <c r="S328" s="74"/>
      <c r="T328" s="74"/>
      <c r="U328" s="74"/>
      <c r="V328" s="74"/>
      <c r="W328" s="74"/>
      <c r="X328" s="74"/>
      <c r="Y328" s="74"/>
    </row>
    <row r="329" spans="1:25" ht="15.75" thickBot="1" x14ac:dyDescent="0.3">
      <c r="A329" s="82"/>
      <c r="B329" s="82"/>
      <c r="C329" s="87"/>
      <c r="D329" s="87"/>
      <c r="E329" s="82"/>
      <c r="F329" s="82"/>
      <c r="G329" s="82"/>
      <c r="H329" s="82"/>
      <c r="I329" s="82"/>
      <c r="J329" s="82"/>
      <c r="K329" s="82"/>
      <c r="L329" s="74"/>
      <c r="M329" s="74"/>
      <c r="N329" s="74"/>
      <c r="O329" s="74"/>
      <c r="P329" s="74"/>
      <c r="Q329" s="74"/>
      <c r="R329" s="74"/>
      <c r="S329" s="74"/>
      <c r="T329" s="74"/>
      <c r="U329" s="74"/>
      <c r="V329" s="74"/>
      <c r="W329" s="74"/>
      <c r="X329" s="74"/>
      <c r="Y329" s="74"/>
    </row>
    <row r="330" spans="1:25" ht="15.75" thickBot="1" x14ac:dyDescent="0.3">
      <c r="A330" s="83"/>
      <c r="B330" s="83"/>
      <c r="C330" s="88"/>
      <c r="D330" s="88"/>
      <c r="E330" s="83"/>
      <c r="F330" s="83"/>
      <c r="G330" s="83"/>
      <c r="H330" s="83"/>
      <c r="I330" s="83"/>
      <c r="J330" s="83"/>
      <c r="K330" s="83"/>
      <c r="L330" s="74"/>
      <c r="M330" s="74"/>
      <c r="N330" s="74"/>
      <c r="O330" s="74"/>
      <c r="P330" s="74"/>
      <c r="Q330" s="74"/>
      <c r="R330" s="74"/>
      <c r="S330" s="74"/>
      <c r="T330" s="74"/>
      <c r="U330" s="74"/>
      <c r="V330" s="74"/>
      <c r="W330" s="74"/>
      <c r="X330" s="74"/>
      <c r="Y330" s="74"/>
    </row>
    <row r="331" spans="1:25" ht="15.75" thickBot="1" x14ac:dyDescent="0.3">
      <c r="A331" s="82"/>
      <c r="B331" s="82"/>
      <c r="C331" s="87"/>
      <c r="D331" s="87"/>
      <c r="E331" s="82"/>
      <c r="F331" s="82"/>
      <c r="G331" s="82"/>
      <c r="H331" s="82"/>
      <c r="I331" s="82"/>
      <c r="J331" s="82"/>
      <c r="K331" s="82"/>
      <c r="L331" s="74"/>
      <c r="M331" s="74"/>
      <c r="N331" s="74"/>
      <c r="O331" s="74"/>
      <c r="P331" s="74"/>
      <c r="Q331" s="74"/>
      <c r="R331" s="74"/>
      <c r="S331" s="74"/>
      <c r="T331" s="74"/>
      <c r="U331" s="74"/>
      <c r="V331" s="74"/>
      <c r="W331" s="74"/>
      <c r="X331" s="74"/>
      <c r="Y331" s="74"/>
    </row>
    <row r="332" spans="1:25" ht="15.75" thickBot="1" x14ac:dyDescent="0.3">
      <c r="A332" s="83"/>
      <c r="B332" s="83"/>
      <c r="C332" s="88"/>
      <c r="D332" s="88"/>
      <c r="E332" s="83"/>
      <c r="F332" s="83"/>
      <c r="G332" s="83"/>
      <c r="H332" s="83"/>
      <c r="I332" s="83"/>
      <c r="J332" s="83"/>
      <c r="K332" s="83"/>
      <c r="L332" s="74"/>
      <c r="M332" s="74"/>
      <c r="N332" s="74"/>
      <c r="O332" s="74"/>
      <c r="P332" s="74"/>
      <c r="Q332" s="74"/>
      <c r="R332" s="74"/>
      <c r="S332" s="74"/>
      <c r="T332" s="74"/>
      <c r="U332" s="74"/>
      <c r="V332" s="74"/>
      <c r="W332" s="74"/>
      <c r="X332" s="74"/>
      <c r="Y332" s="74"/>
    </row>
    <row r="333" spans="1:25" ht="15.75" thickBot="1" x14ac:dyDescent="0.3">
      <c r="A333" s="82"/>
      <c r="B333" s="82"/>
      <c r="C333" s="87"/>
      <c r="D333" s="87"/>
      <c r="E333" s="82"/>
      <c r="F333" s="82"/>
      <c r="G333" s="82"/>
      <c r="H333" s="82"/>
      <c r="I333" s="82"/>
      <c r="J333" s="82"/>
      <c r="K333" s="82"/>
      <c r="L333" s="74"/>
      <c r="M333" s="74"/>
      <c r="N333" s="74"/>
      <c r="O333" s="74"/>
      <c r="P333" s="74"/>
      <c r="Q333" s="74"/>
      <c r="R333" s="74"/>
      <c r="S333" s="74"/>
      <c r="T333" s="74"/>
      <c r="U333" s="74"/>
      <c r="V333" s="74"/>
      <c r="W333" s="74"/>
      <c r="X333" s="74"/>
      <c r="Y333" s="74"/>
    </row>
    <row r="334" spans="1:25" ht="15.75" thickBot="1" x14ac:dyDescent="0.3">
      <c r="A334" s="83"/>
      <c r="B334" s="83"/>
      <c r="C334" s="88"/>
      <c r="D334" s="88"/>
      <c r="E334" s="83"/>
      <c r="F334" s="83"/>
      <c r="G334" s="83"/>
      <c r="H334" s="83"/>
      <c r="I334" s="83"/>
      <c r="J334" s="83"/>
      <c r="K334" s="83"/>
      <c r="L334" s="74"/>
      <c r="M334" s="74"/>
      <c r="N334" s="74"/>
      <c r="O334" s="74"/>
      <c r="P334" s="74"/>
      <c r="Q334" s="74"/>
      <c r="R334" s="74"/>
      <c r="S334" s="74"/>
      <c r="T334" s="74"/>
      <c r="U334" s="74"/>
      <c r="V334" s="74"/>
      <c r="W334" s="74"/>
      <c r="X334" s="74"/>
      <c r="Y334" s="74"/>
    </row>
    <row r="335" spans="1:25" ht="15.75" thickBot="1" x14ac:dyDescent="0.3">
      <c r="A335" s="82"/>
      <c r="B335" s="82"/>
      <c r="C335" s="87"/>
      <c r="D335" s="87"/>
      <c r="E335" s="82"/>
      <c r="F335" s="82"/>
      <c r="G335" s="82"/>
      <c r="H335" s="82"/>
      <c r="I335" s="82"/>
      <c r="J335" s="82"/>
      <c r="K335" s="82"/>
      <c r="L335" s="74"/>
      <c r="M335" s="74"/>
      <c r="N335" s="74"/>
      <c r="O335" s="74"/>
      <c r="P335" s="74"/>
      <c r="Q335" s="74"/>
      <c r="R335" s="74"/>
      <c r="S335" s="74"/>
      <c r="T335" s="74"/>
      <c r="U335" s="74"/>
      <c r="V335" s="74"/>
      <c r="W335" s="74"/>
      <c r="X335" s="74"/>
      <c r="Y335" s="74"/>
    </row>
    <row r="336" spans="1:25" ht="15.75" thickBot="1" x14ac:dyDescent="0.3">
      <c r="A336" s="83"/>
      <c r="B336" s="83"/>
      <c r="C336" s="88"/>
      <c r="D336" s="88"/>
      <c r="E336" s="83"/>
      <c r="F336" s="83"/>
      <c r="G336" s="83"/>
      <c r="H336" s="83"/>
      <c r="I336" s="83"/>
      <c r="J336" s="83"/>
      <c r="K336" s="83"/>
      <c r="L336" s="74"/>
      <c r="M336" s="74"/>
      <c r="N336" s="74"/>
      <c r="O336" s="74"/>
      <c r="P336" s="74"/>
      <c r="Q336" s="74"/>
      <c r="R336" s="74"/>
      <c r="S336" s="74"/>
      <c r="T336" s="74"/>
      <c r="U336" s="74"/>
      <c r="V336" s="74"/>
      <c r="W336" s="74"/>
      <c r="X336" s="74"/>
      <c r="Y336" s="74"/>
    </row>
    <row r="337" spans="1:25" ht="15.75" thickBot="1" x14ac:dyDescent="0.3">
      <c r="A337" s="82"/>
      <c r="B337" s="82"/>
      <c r="C337" s="87"/>
      <c r="D337" s="87"/>
      <c r="E337" s="82"/>
      <c r="F337" s="82"/>
      <c r="G337" s="82"/>
      <c r="H337" s="82"/>
      <c r="I337" s="82"/>
      <c r="J337" s="82"/>
      <c r="K337" s="82"/>
      <c r="L337" s="74"/>
      <c r="M337" s="74"/>
      <c r="N337" s="74"/>
      <c r="O337" s="74"/>
      <c r="P337" s="74"/>
      <c r="Q337" s="74"/>
      <c r="R337" s="74"/>
      <c r="S337" s="74"/>
      <c r="T337" s="74"/>
      <c r="U337" s="74"/>
      <c r="V337" s="74"/>
      <c r="W337" s="74"/>
      <c r="X337" s="74"/>
      <c r="Y337" s="74"/>
    </row>
    <row r="338" spans="1:25" ht="15.75" thickBot="1" x14ac:dyDescent="0.3">
      <c r="A338" s="83"/>
      <c r="B338" s="83"/>
      <c r="C338" s="88"/>
      <c r="D338" s="88"/>
      <c r="E338" s="83"/>
      <c r="F338" s="83"/>
      <c r="G338" s="83"/>
      <c r="H338" s="83"/>
      <c r="I338" s="83"/>
      <c r="J338" s="83"/>
      <c r="K338" s="83"/>
      <c r="L338" s="74"/>
      <c r="M338" s="74"/>
      <c r="N338" s="74"/>
      <c r="O338" s="74"/>
      <c r="P338" s="74"/>
      <c r="Q338" s="74"/>
      <c r="R338" s="74"/>
      <c r="S338" s="74"/>
      <c r="T338" s="74"/>
      <c r="U338" s="74"/>
      <c r="V338" s="74"/>
      <c r="W338" s="74"/>
      <c r="X338" s="74"/>
      <c r="Y338" s="74"/>
    </row>
    <row r="339" spans="1:25" ht="15.75" thickBot="1" x14ac:dyDescent="0.3">
      <c r="A339" s="82"/>
      <c r="B339" s="82"/>
      <c r="C339" s="87"/>
      <c r="D339" s="87"/>
      <c r="E339" s="82"/>
      <c r="F339" s="82"/>
      <c r="G339" s="82"/>
      <c r="H339" s="82"/>
      <c r="I339" s="82"/>
      <c r="J339" s="82"/>
      <c r="K339" s="82"/>
      <c r="L339" s="74"/>
      <c r="M339" s="74"/>
      <c r="N339" s="74"/>
      <c r="O339" s="74"/>
      <c r="P339" s="74"/>
      <c r="Q339" s="74"/>
      <c r="R339" s="74"/>
      <c r="S339" s="74"/>
      <c r="T339" s="74"/>
      <c r="U339" s="74"/>
      <c r="V339" s="74"/>
      <c r="W339" s="74"/>
      <c r="X339" s="74"/>
      <c r="Y339" s="74"/>
    </row>
    <row r="340" spans="1:25" ht="15.75" thickBot="1" x14ac:dyDescent="0.3">
      <c r="A340" s="83"/>
      <c r="B340" s="83"/>
      <c r="C340" s="88"/>
      <c r="D340" s="88"/>
      <c r="E340" s="83"/>
      <c r="F340" s="83"/>
      <c r="G340" s="83"/>
      <c r="H340" s="83"/>
      <c r="I340" s="83"/>
      <c r="J340" s="83"/>
      <c r="K340" s="83"/>
      <c r="L340" s="74"/>
      <c r="M340" s="74"/>
      <c r="N340" s="74"/>
      <c r="O340" s="74"/>
      <c r="P340" s="74"/>
      <c r="Q340" s="74"/>
      <c r="R340" s="74"/>
      <c r="S340" s="74"/>
      <c r="T340" s="74"/>
      <c r="U340" s="74"/>
      <c r="V340" s="74"/>
      <c r="W340" s="74"/>
      <c r="X340" s="74"/>
      <c r="Y340" s="74"/>
    </row>
    <row r="341" spans="1:25" ht="15.75" thickBot="1" x14ac:dyDescent="0.3">
      <c r="A341" s="82"/>
      <c r="B341" s="82"/>
      <c r="C341" s="87"/>
      <c r="D341" s="87"/>
      <c r="E341" s="82"/>
      <c r="F341" s="82"/>
      <c r="G341" s="82"/>
      <c r="H341" s="82"/>
      <c r="I341" s="82"/>
      <c r="J341" s="82"/>
      <c r="K341" s="82"/>
      <c r="L341" s="74"/>
      <c r="M341" s="74"/>
      <c r="N341" s="74"/>
      <c r="O341" s="74"/>
      <c r="P341" s="74"/>
      <c r="Q341" s="74"/>
      <c r="R341" s="74"/>
      <c r="S341" s="74"/>
      <c r="T341" s="74"/>
      <c r="U341" s="74"/>
      <c r="V341" s="74"/>
      <c r="W341" s="74"/>
      <c r="X341" s="74"/>
      <c r="Y341" s="74"/>
    </row>
    <row r="342" spans="1:25" ht="15.75" thickBot="1" x14ac:dyDescent="0.3">
      <c r="A342" s="83"/>
      <c r="B342" s="83"/>
      <c r="C342" s="88"/>
      <c r="D342" s="88"/>
      <c r="E342" s="83"/>
      <c r="F342" s="83"/>
      <c r="G342" s="83"/>
      <c r="H342" s="83"/>
      <c r="I342" s="83"/>
      <c r="J342" s="83"/>
      <c r="K342" s="83"/>
      <c r="L342" s="74"/>
      <c r="M342" s="74"/>
      <c r="N342" s="74"/>
      <c r="O342" s="74"/>
      <c r="P342" s="74"/>
      <c r="Q342" s="74"/>
      <c r="R342" s="74"/>
      <c r="S342" s="74"/>
      <c r="T342" s="74"/>
      <c r="U342" s="74"/>
      <c r="V342" s="74"/>
      <c r="W342" s="74"/>
      <c r="X342" s="74"/>
      <c r="Y342" s="74"/>
    </row>
    <row r="343" spans="1:25" ht="15.75" thickBot="1" x14ac:dyDescent="0.3">
      <c r="A343" s="82"/>
      <c r="B343" s="82"/>
      <c r="C343" s="87"/>
      <c r="D343" s="87"/>
      <c r="E343" s="82"/>
      <c r="F343" s="82"/>
      <c r="G343" s="82"/>
      <c r="H343" s="82"/>
      <c r="I343" s="82"/>
      <c r="J343" s="82"/>
      <c r="K343" s="82"/>
      <c r="L343" s="74"/>
      <c r="M343" s="74"/>
      <c r="N343" s="74"/>
      <c r="O343" s="74"/>
      <c r="P343" s="74"/>
      <c r="Q343" s="74"/>
      <c r="R343" s="74"/>
      <c r="S343" s="74"/>
      <c r="T343" s="74"/>
      <c r="U343" s="74"/>
      <c r="V343" s="74"/>
      <c r="W343" s="74"/>
      <c r="X343" s="74"/>
      <c r="Y343" s="74"/>
    </row>
    <row r="344" spans="1:25" ht="15.75" thickBot="1" x14ac:dyDescent="0.3">
      <c r="A344" s="83"/>
      <c r="B344" s="83"/>
      <c r="C344" s="88"/>
      <c r="D344" s="88"/>
      <c r="E344" s="83"/>
      <c r="F344" s="83"/>
      <c r="G344" s="83"/>
      <c r="H344" s="83"/>
      <c r="I344" s="83"/>
      <c r="J344" s="83"/>
      <c r="K344" s="83"/>
      <c r="L344" s="74"/>
      <c r="M344" s="74"/>
      <c r="N344" s="74"/>
      <c r="O344" s="74"/>
      <c r="P344" s="74"/>
      <c r="Q344" s="74"/>
      <c r="R344" s="74"/>
      <c r="S344" s="74"/>
      <c r="T344" s="74"/>
      <c r="U344" s="74"/>
      <c r="V344" s="74"/>
      <c r="W344" s="74"/>
      <c r="X344" s="74"/>
      <c r="Y344" s="74"/>
    </row>
    <row r="345" spans="1:25" ht="15.75" thickBot="1" x14ac:dyDescent="0.3">
      <c r="A345" s="82"/>
      <c r="B345" s="82"/>
      <c r="C345" s="87"/>
      <c r="D345" s="87"/>
      <c r="E345" s="82"/>
      <c r="F345" s="82"/>
      <c r="G345" s="82"/>
      <c r="H345" s="82"/>
      <c r="I345" s="82"/>
      <c r="J345" s="82"/>
      <c r="K345" s="82"/>
      <c r="L345" s="74"/>
      <c r="M345" s="74"/>
      <c r="N345" s="74"/>
      <c r="O345" s="74"/>
      <c r="P345" s="74"/>
      <c r="Q345" s="74"/>
      <c r="R345" s="74"/>
      <c r="S345" s="74"/>
      <c r="T345" s="74"/>
      <c r="U345" s="74"/>
      <c r="V345" s="74"/>
      <c r="W345" s="74"/>
      <c r="X345" s="74"/>
      <c r="Y345" s="74"/>
    </row>
    <row r="346" spans="1:25" ht="15.75" thickBot="1" x14ac:dyDescent="0.3">
      <c r="A346" s="83"/>
      <c r="B346" s="83"/>
      <c r="C346" s="88"/>
      <c r="D346" s="88"/>
      <c r="E346" s="83"/>
      <c r="F346" s="83"/>
      <c r="G346" s="83"/>
      <c r="H346" s="83"/>
      <c r="I346" s="83"/>
      <c r="J346" s="83"/>
      <c r="K346" s="83"/>
      <c r="L346" s="74"/>
      <c r="M346" s="74"/>
      <c r="N346" s="74"/>
      <c r="O346" s="74"/>
      <c r="P346" s="74"/>
      <c r="Q346" s="74"/>
      <c r="R346" s="74"/>
      <c r="S346" s="74"/>
      <c r="T346" s="74"/>
      <c r="U346" s="74"/>
      <c r="V346" s="74"/>
      <c r="W346" s="74"/>
      <c r="X346" s="74"/>
      <c r="Y346" s="74"/>
    </row>
    <row r="347" spans="1:25" ht="15.75" thickBot="1" x14ac:dyDescent="0.3">
      <c r="A347" s="82"/>
      <c r="B347" s="82"/>
      <c r="C347" s="87"/>
      <c r="D347" s="87"/>
      <c r="E347" s="82"/>
      <c r="F347" s="82"/>
      <c r="G347" s="82"/>
      <c r="H347" s="82"/>
      <c r="I347" s="82"/>
      <c r="J347" s="82"/>
      <c r="K347" s="82"/>
      <c r="L347" s="74"/>
      <c r="M347" s="74"/>
      <c r="N347" s="74"/>
      <c r="O347" s="74"/>
      <c r="P347" s="74"/>
      <c r="Q347" s="74"/>
      <c r="R347" s="74"/>
      <c r="S347" s="74"/>
      <c r="T347" s="74"/>
      <c r="U347" s="74"/>
      <c r="V347" s="74"/>
      <c r="W347" s="74"/>
      <c r="X347" s="74"/>
      <c r="Y347" s="74"/>
    </row>
    <row r="348" spans="1:25" ht="15.75" thickBot="1" x14ac:dyDescent="0.3">
      <c r="A348" s="83"/>
      <c r="B348" s="83"/>
      <c r="C348" s="88"/>
      <c r="D348" s="88"/>
      <c r="E348" s="83"/>
      <c r="F348" s="83"/>
      <c r="G348" s="83"/>
      <c r="H348" s="83"/>
      <c r="I348" s="83"/>
      <c r="J348" s="83"/>
      <c r="K348" s="83"/>
      <c r="L348" s="74"/>
      <c r="M348" s="74"/>
      <c r="N348" s="74"/>
      <c r="O348" s="74"/>
      <c r="P348" s="74"/>
      <c r="Q348" s="74"/>
      <c r="R348" s="74"/>
      <c r="S348" s="74"/>
      <c r="T348" s="74"/>
      <c r="U348" s="74"/>
      <c r="V348" s="74"/>
      <c r="W348" s="74"/>
      <c r="X348" s="74"/>
      <c r="Y348" s="74"/>
    </row>
    <row r="349" spans="1:25" ht="15.75" thickBot="1" x14ac:dyDescent="0.3">
      <c r="A349" s="82"/>
      <c r="B349" s="82"/>
      <c r="C349" s="87"/>
      <c r="D349" s="87"/>
      <c r="E349" s="82"/>
      <c r="F349" s="82"/>
      <c r="G349" s="82"/>
      <c r="H349" s="82"/>
      <c r="I349" s="82"/>
      <c r="J349" s="82"/>
      <c r="K349" s="82"/>
      <c r="L349" s="74"/>
      <c r="M349" s="74"/>
      <c r="N349" s="74"/>
      <c r="O349" s="74"/>
      <c r="P349" s="74"/>
      <c r="Q349" s="74"/>
      <c r="R349" s="74"/>
      <c r="S349" s="74"/>
      <c r="T349" s="74"/>
      <c r="U349" s="74"/>
      <c r="V349" s="74"/>
      <c r="W349" s="74"/>
      <c r="X349" s="74"/>
      <c r="Y349" s="74"/>
    </row>
    <row r="350" spans="1:25" ht="15.75" thickBot="1" x14ac:dyDescent="0.3">
      <c r="A350" s="83"/>
      <c r="B350" s="83"/>
      <c r="C350" s="88"/>
      <c r="D350" s="88"/>
      <c r="E350" s="83"/>
      <c r="F350" s="83"/>
      <c r="G350" s="83"/>
      <c r="H350" s="83"/>
      <c r="I350" s="83"/>
      <c r="J350" s="83"/>
      <c r="K350" s="83"/>
      <c r="L350" s="74"/>
      <c r="M350" s="74"/>
      <c r="N350" s="74"/>
      <c r="O350" s="74"/>
      <c r="P350" s="74"/>
      <c r="Q350" s="74"/>
      <c r="R350" s="74"/>
      <c r="S350" s="74"/>
      <c r="T350" s="74"/>
      <c r="U350" s="74"/>
      <c r="V350" s="74"/>
      <c r="W350" s="74"/>
      <c r="X350" s="74"/>
      <c r="Y350" s="74"/>
    </row>
    <row r="351" spans="1:25" ht="15.75" thickBot="1" x14ac:dyDescent="0.3">
      <c r="A351" s="82"/>
      <c r="B351" s="82"/>
      <c r="C351" s="87"/>
      <c r="D351" s="87"/>
      <c r="E351" s="82"/>
      <c r="F351" s="82"/>
      <c r="G351" s="82"/>
      <c r="H351" s="82"/>
      <c r="I351" s="82"/>
      <c r="J351" s="82"/>
      <c r="K351" s="82"/>
      <c r="L351" s="74"/>
      <c r="M351" s="74"/>
      <c r="N351" s="74"/>
      <c r="O351" s="74"/>
      <c r="P351" s="74"/>
      <c r="Q351" s="74"/>
      <c r="R351" s="74"/>
      <c r="S351" s="74"/>
      <c r="T351" s="74"/>
      <c r="U351" s="74"/>
      <c r="V351" s="74"/>
      <c r="W351" s="74"/>
      <c r="X351" s="74"/>
      <c r="Y351" s="74"/>
    </row>
    <row r="352" spans="1:25" ht="15.75" thickBot="1" x14ac:dyDescent="0.3">
      <c r="A352" s="83"/>
      <c r="B352" s="83"/>
      <c r="C352" s="88"/>
      <c r="D352" s="88"/>
      <c r="E352" s="83"/>
      <c r="F352" s="83"/>
      <c r="G352" s="83"/>
      <c r="H352" s="83"/>
      <c r="I352" s="83"/>
      <c r="J352" s="83"/>
      <c r="K352" s="83"/>
      <c r="L352" s="74"/>
      <c r="M352" s="74"/>
      <c r="N352" s="74"/>
      <c r="O352" s="74"/>
      <c r="P352" s="74"/>
      <c r="Q352" s="74"/>
      <c r="R352" s="74"/>
      <c r="S352" s="74"/>
      <c r="T352" s="74"/>
      <c r="U352" s="74"/>
      <c r="V352" s="74"/>
      <c r="W352" s="74"/>
      <c r="X352" s="74"/>
      <c r="Y352" s="74"/>
    </row>
    <row r="353" spans="1:25" ht="15.75" thickBot="1" x14ac:dyDescent="0.3">
      <c r="A353" s="82"/>
      <c r="B353" s="82"/>
      <c r="C353" s="87"/>
      <c r="D353" s="87"/>
      <c r="E353" s="82"/>
      <c r="F353" s="82"/>
      <c r="G353" s="82"/>
      <c r="H353" s="82"/>
      <c r="I353" s="82"/>
      <c r="J353" s="82"/>
      <c r="K353" s="82"/>
      <c r="L353" s="74"/>
      <c r="M353" s="74"/>
      <c r="N353" s="74"/>
      <c r="O353" s="74"/>
      <c r="P353" s="74"/>
      <c r="Q353" s="74"/>
      <c r="R353" s="74"/>
      <c r="S353" s="74"/>
      <c r="T353" s="74"/>
      <c r="U353" s="74"/>
      <c r="V353" s="74"/>
      <c r="W353" s="74"/>
      <c r="X353" s="74"/>
      <c r="Y353" s="74"/>
    </row>
    <row r="354" spans="1:25" ht="15.75" thickBot="1" x14ac:dyDescent="0.3">
      <c r="A354" s="83"/>
      <c r="B354" s="83"/>
      <c r="C354" s="88"/>
      <c r="D354" s="88"/>
      <c r="E354" s="83"/>
      <c r="F354" s="83"/>
      <c r="G354" s="83"/>
      <c r="H354" s="83"/>
      <c r="I354" s="83"/>
      <c r="J354" s="83"/>
      <c r="K354" s="83"/>
      <c r="L354" s="74"/>
      <c r="M354" s="74"/>
      <c r="N354" s="74"/>
      <c r="O354" s="74"/>
      <c r="P354" s="74"/>
      <c r="Q354" s="74"/>
      <c r="R354" s="74"/>
      <c r="S354" s="74"/>
      <c r="T354" s="74"/>
      <c r="U354" s="74"/>
      <c r="V354" s="74"/>
      <c r="W354" s="74"/>
      <c r="X354" s="74"/>
      <c r="Y354" s="74"/>
    </row>
    <row r="355" spans="1:25" ht="15.75" thickBot="1" x14ac:dyDescent="0.3">
      <c r="A355" s="82"/>
      <c r="B355" s="82"/>
      <c r="C355" s="87"/>
      <c r="D355" s="87"/>
      <c r="E355" s="82"/>
      <c r="F355" s="82"/>
      <c r="G355" s="82"/>
      <c r="H355" s="82"/>
      <c r="I355" s="82"/>
      <c r="J355" s="82"/>
      <c r="K355" s="82"/>
      <c r="L355" s="74"/>
      <c r="M355" s="74"/>
      <c r="N355" s="74"/>
      <c r="O355" s="74"/>
      <c r="P355" s="74"/>
      <c r="Q355" s="74"/>
      <c r="R355" s="74"/>
      <c r="S355" s="74"/>
      <c r="T355" s="74"/>
      <c r="U355" s="74"/>
      <c r="V355" s="74"/>
      <c r="W355" s="74"/>
      <c r="X355" s="74"/>
      <c r="Y355" s="74"/>
    </row>
    <row r="356" spans="1:25" ht="15.75" thickBot="1" x14ac:dyDescent="0.3">
      <c r="A356" s="83"/>
      <c r="B356" s="83"/>
      <c r="C356" s="88"/>
      <c r="D356" s="88"/>
      <c r="E356" s="83"/>
      <c r="F356" s="83"/>
      <c r="G356" s="83"/>
      <c r="H356" s="83"/>
      <c r="I356" s="83"/>
      <c r="J356" s="83"/>
      <c r="K356" s="83"/>
      <c r="L356" s="74"/>
      <c r="M356" s="74"/>
      <c r="N356" s="74"/>
      <c r="O356" s="74"/>
      <c r="P356" s="74"/>
      <c r="Q356" s="74"/>
      <c r="R356" s="74"/>
      <c r="S356" s="74"/>
      <c r="T356" s="74"/>
      <c r="U356" s="74"/>
      <c r="V356" s="74"/>
      <c r="W356" s="74"/>
      <c r="X356" s="74"/>
      <c r="Y356" s="74"/>
    </row>
    <row r="357" spans="1:25" ht="15.75" thickBot="1" x14ac:dyDescent="0.3">
      <c r="A357" s="82"/>
      <c r="B357" s="82"/>
      <c r="C357" s="87"/>
      <c r="D357" s="87"/>
      <c r="E357" s="82"/>
      <c r="F357" s="82"/>
      <c r="G357" s="82"/>
      <c r="H357" s="82"/>
      <c r="I357" s="82"/>
      <c r="J357" s="82"/>
      <c r="K357" s="82"/>
      <c r="L357" s="74"/>
      <c r="M357" s="74"/>
      <c r="N357" s="74"/>
      <c r="O357" s="74"/>
      <c r="P357" s="74"/>
      <c r="Q357" s="74"/>
      <c r="R357" s="74"/>
      <c r="S357" s="74"/>
      <c r="T357" s="74"/>
      <c r="U357" s="74"/>
      <c r="V357" s="74"/>
      <c r="W357" s="74"/>
      <c r="X357" s="74"/>
      <c r="Y357" s="74"/>
    </row>
    <row r="358" spans="1:25" ht="15.75" thickBot="1" x14ac:dyDescent="0.3">
      <c r="A358" s="83"/>
      <c r="B358" s="83"/>
      <c r="C358" s="88"/>
      <c r="D358" s="88"/>
      <c r="E358" s="83"/>
      <c r="F358" s="83"/>
      <c r="G358" s="83"/>
      <c r="H358" s="83"/>
      <c r="I358" s="83"/>
      <c r="J358" s="83"/>
      <c r="K358" s="83"/>
      <c r="L358" s="74"/>
      <c r="M358" s="74"/>
      <c r="N358" s="74"/>
      <c r="O358" s="74"/>
      <c r="P358" s="74"/>
      <c r="Q358" s="74"/>
      <c r="R358" s="74"/>
      <c r="S358" s="74"/>
      <c r="T358" s="74"/>
      <c r="U358" s="74"/>
      <c r="V358" s="74"/>
      <c r="W358" s="74"/>
      <c r="X358" s="74"/>
      <c r="Y358" s="74"/>
    </row>
    <row r="359" spans="1:25" ht="15.75" thickBot="1" x14ac:dyDescent="0.3">
      <c r="A359" s="82"/>
      <c r="B359" s="82"/>
      <c r="C359" s="87"/>
      <c r="D359" s="87"/>
      <c r="E359" s="82"/>
      <c r="F359" s="82"/>
      <c r="G359" s="82"/>
      <c r="H359" s="82"/>
      <c r="I359" s="82"/>
      <c r="J359" s="82"/>
      <c r="K359" s="82"/>
      <c r="L359" s="74"/>
      <c r="M359" s="74"/>
      <c r="N359" s="74"/>
      <c r="O359" s="74"/>
      <c r="P359" s="74"/>
      <c r="Q359" s="74"/>
      <c r="R359" s="74"/>
      <c r="S359" s="74"/>
      <c r="T359" s="74"/>
      <c r="U359" s="74"/>
      <c r="V359" s="74"/>
      <c r="W359" s="74"/>
      <c r="X359" s="74"/>
      <c r="Y359" s="74"/>
    </row>
    <row r="360" spans="1:25" ht="15.75" thickBot="1" x14ac:dyDescent="0.3">
      <c r="A360" s="83"/>
      <c r="B360" s="83"/>
      <c r="C360" s="88"/>
      <c r="D360" s="88"/>
      <c r="E360" s="83"/>
      <c r="F360" s="83"/>
      <c r="G360" s="83"/>
      <c r="H360" s="83"/>
      <c r="I360" s="83"/>
      <c r="J360" s="83"/>
      <c r="K360" s="83"/>
      <c r="L360" s="74"/>
      <c r="M360" s="74"/>
      <c r="N360" s="74"/>
      <c r="O360" s="74"/>
      <c r="P360" s="74"/>
      <c r="Q360" s="74"/>
      <c r="R360" s="74"/>
      <c r="S360" s="74"/>
      <c r="T360" s="74"/>
      <c r="U360" s="74"/>
      <c r="V360" s="74"/>
      <c r="W360" s="74"/>
      <c r="X360" s="74"/>
      <c r="Y360" s="74"/>
    </row>
    <row r="361" spans="1:25" ht="15.75" thickBot="1" x14ac:dyDescent="0.3">
      <c r="A361" s="82"/>
      <c r="B361" s="82"/>
      <c r="C361" s="87"/>
      <c r="D361" s="87"/>
      <c r="E361" s="82"/>
      <c r="F361" s="82"/>
      <c r="G361" s="82"/>
      <c r="H361" s="82"/>
      <c r="I361" s="82"/>
      <c r="J361" s="82"/>
      <c r="K361" s="82"/>
      <c r="L361" s="74"/>
      <c r="M361" s="74"/>
      <c r="N361" s="74"/>
      <c r="O361" s="74"/>
      <c r="P361" s="74"/>
      <c r="Q361" s="74"/>
      <c r="R361" s="74"/>
      <c r="S361" s="74"/>
      <c r="T361" s="74"/>
      <c r="U361" s="74"/>
      <c r="V361" s="74"/>
      <c r="W361" s="74"/>
      <c r="X361" s="74"/>
      <c r="Y361" s="74"/>
    </row>
    <row r="362" spans="1:25" ht="15.75" thickBot="1" x14ac:dyDescent="0.3">
      <c r="A362" s="83"/>
      <c r="B362" s="83"/>
      <c r="C362" s="88"/>
      <c r="D362" s="88"/>
      <c r="E362" s="83"/>
      <c r="F362" s="83"/>
      <c r="G362" s="83"/>
      <c r="H362" s="83"/>
      <c r="I362" s="83"/>
      <c r="J362" s="83"/>
      <c r="K362" s="83"/>
      <c r="L362" s="74"/>
      <c r="M362" s="74"/>
      <c r="N362" s="74"/>
      <c r="O362" s="74"/>
      <c r="P362" s="74"/>
      <c r="Q362" s="74"/>
      <c r="R362" s="74"/>
      <c r="S362" s="74"/>
      <c r="T362" s="74"/>
      <c r="U362" s="74"/>
      <c r="V362" s="74"/>
      <c r="W362" s="74"/>
      <c r="X362" s="74"/>
      <c r="Y362" s="74"/>
    </row>
    <row r="363" spans="1:25" ht="15.75" thickBot="1" x14ac:dyDescent="0.3">
      <c r="A363" s="82"/>
      <c r="B363" s="82"/>
      <c r="C363" s="87"/>
      <c r="D363" s="87"/>
      <c r="E363" s="82"/>
      <c r="F363" s="82"/>
      <c r="G363" s="82"/>
      <c r="H363" s="82"/>
      <c r="I363" s="82"/>
      <c r="J363" s="82"/>
      <c r="K363" s="82"/>
      <c r="L363" s="74"/>
      <c r="M363" s="74"/>
      <c r="N363" s="74"/>
      <c r="O363" s="74"/>
      <c r="P363" s="74"/>
      <c r="Q363" s="74"/>
      <c r="R363" s="74"/>
      <c r="S363" s="74"/>
      <c r="T363" s="74"/>
      <c r="U363" s="74"/>
      <c r="V363" s="74"/>
      <c r="W363" s="74"/>
      <c r="X363" s="74"/>
      <c r="Y363" s="74"/>
    </row>
    <row r="364" spans="1:25" ht="15.75" thickBot="1" x14ac:dyDescent="0.3">
      <c r="A364" s="83"/>
      <c r="B364" s="83"/>
      <c r="C364" s="88"/>
      <c r="D364" s="88"/>
      <c r="E364" s="83"/>
      <c r="F364" s="83"/>
      <c r="G364" s="83"/>
      <c r="H364" s="83"/>
      <c r="I364" s="83"/>
      <c r="J364" s="83"/>
      <c r="K364" s="83"/>
      <c r="L364" s="74"/>
      <c r="M364" s="74"/>
      <c r="N364" s="74"/>
      <c r="O364" s="74"/>
      <c r="P364" s="74"/>
      <c r="Q364" s="74"/>
      <c r="R364" s="74"/>
      <c r="S364" s="74"/>
      <c r="T364" s="74"/>
      <c r="U364" s="74"/>
      <c r="V364" s="74"/>
      <c r="W364" s="74"/>
      <c r="X364" s="74"/>
      <c r="Y364" s="74"/>
    </row>
    <row r="365" spans="1:25" ht="15.75" thickBot="1" x14ac:dyDescent="0.3">
      <c r="A365" s="82"/>
      <c r="B365" s="82"/>
      <c r="C365" s="87"/>
      <c r="D365" s="87"/>
      <c r="E365" s="82"/>
      <c r="F365" s="82"/>
      <c r="G365" s="82"/>
      <c r="H365" s="82"/>
      <c r="I365" s="82"/>
      <c r="J365" s="82"/>
      <c r="K365" s="82"/>
      <c r="L365" s="74"/>
      <c r="M365" s="74"/>
      <c r="N365" s="74"/>
      <c r="O365" s="74"/>
      <c r="P365" s="74"/>
      <c r="Q365" s="74"/>
      <c r="R365" s="74"/>
      <c r="S365" s="74"/>
      <c r="T365" s="74"/>
      <c r="U365" s="74"/>
      <c r="V365" s="74"/>
      <c r="W365" s="74"/>
      <c r="X365" s="74"/>
      <c r="Y365" s="74"/>
    </row>
    <row r="366" spans="1:25" ht="15.75" thickBot="1" x14ac:dyDescent="0.3">
      <c r="A366" s="83"/>
      <c r="B366" s="83"/>
      <c r="C366" s="88"/>
      <c r="D366" s="88"/>
      <c r="E366" s="83"/>
      <c r="F366" s="83"/>
      <c r="G366" s="83"/>
      <c r="H366" s="83"/>
      <c r="I366" s="83"/>
      <c r="J366" s="83"/>
      <c r="K366" s="83"/>
      <c r="L366" s="74"/>
      <c r="M366" s="74"/>
      <c r="N366" s="74"/>
      <c r="O366" s="74"/>
      <c r="P366" s="74"/>
      <c r="Q366" s="74"/>
      <c r="R366" s="74"/>
      <c r="S366" s="74"/>
      <c r="T366" s="74"/>
      <c r="U366" s="74"/>
      <c r="V366" s="74"/>
      <c r="W366" s="74"/>
      <c r="X366" s="74"/>
      <c r="Y366" s="74"/>
    </row>
    <row r="367" spans="1:25" ht="15.75" thickBot="1" x14ac:dyDescent="0.3">
      <c r="A367" s="82"/>
      <c r="B367" s="82"/>
      <c r="C367" s="87"/>
      <c r="D367" s="87"/>
      <c r="E367" s="82"/>
      <c r="F367" s="82"/>
      <c r="G367" s="82"/>
      <c r="H367" s="82"/>
      <c r="I367" s="82"/>
      <c r="J367" s="82"/>
      <c r="K367" s="82"/>
      <c r="L367" s="74"/>
      <c r="M367" s="74"/>
      <c r="N367" s="74"/>
      <c r="O367" s="74"/>
      <c r="P367" s="74"/>
      <c r="Q367" s="74"/>
      <c r="R367" s="74"/>
      <c r="S367" s="74"/>
      <c r="T367" s="74"/>
      <c r="U367" s="74"/>
      <c r="V367" s="74"/>
      <c r="W367" s="74"/>
      <c r="X367" s="74"/>
      <c r="Y367" s="74"/>
    </row>
    <row r="368" spans="1:25" ht="15.75" thickBot="1" x14ac:dyDescent="0.3">
      <c r="A368" s="83"/>
      <c r="B368" s="83"/>
      <c r="C368" s="88"/>
      <c r="D368" s="88"/>
      <c r="E368" s="83"/>
      <c r="F368" s="83"/>
      <c r="G368" s="83"/>
      <c r="H368" s="83"/>
      <c r="I368" s="83"/>
      <c r="J368" s="83"/>
      <c r="K368" s="83"/>
      <c r="L368" s="74"/>
      <c r="M368" s="74"/>
      <c r="N368" s="74"/>
      <c r="O368" s="74"/>
      <c r="P368" s="74"/>
      <c r="Q368" s="74"/>
      <c r="R368" s="74"/>
      <c r="S368" s="74"/>
      <c r="T368" s="74"/>
      <c r="U368" s="74"/>
      <c r="V368" s="74"/>
      <c r="W368" s="74"/>
      <c r="X368" s="74"/>
      <c r="Y368" s="74"/>
    </row>
    <row r="369" spans="1:25" ht="15.75" thickBot="1" x14ac:dyDescent="0.3">
      <c r="A369" s="82"/>
      <c r="B369" s="82"/>
      <c r="C369" s="87"/>
      <c r="D369" s="87"/>
      <c r="E369" s="82"/>
      <c r="F369" s="82"/>
      <c r="G369" s="82"/>
      <c r="H369" s="82"/>
      <c r="I369" s="82"/>
      <c r="J369" s="82"/>
      <c r="K369" s="82"/>
      <c r="L369" s="74"/>
      <c r="M369" s="74"/>
      <c r="N369" s="74"/>
      <c r="O369" s="74"/>
      <c r="P369" s="74"/>
      <c r="Q369" s="74"/>
      <c r="R369" s="74"/>
      <c r="S369" s="74"/>
      <c r="T369" s="74"/>
      <c r="U369" s="74"/>
      <c r="V369" s="74"/>
      <c r="W369" s="74"/>
      <c r="X369" s="74"/>
      <c r="Y369" s="74"/>
    </row>
    <row r="370" spans="1:25" ht="15.75" thickBot="1" x14ac:dyDescent="0.3">
      <c r="A370" s="83"/>
      <c r="B370" s="83"/>
      <c r="C370" s="88"/>
      <c r="D370" s="88"/>
      <c r="E370" s="83"/>
      <c r="F370" s="83"/>
      <c r="G370" s="83"/>
      <c r="H370" s="83"/>
      <c r="I370" s="83"/>
      <c r="J370" s="83"/>
      <c r="K370" s="83"/>
      <c r="L370" s="74"/>
      <c r="M370" s="74"/>
      <c r="N370" s="74"/>
      <c r="O370" s="74"/>
      <c r="P370" s="74"/>
      <c r="Q370" s="74"/>
      <c r="R370" s="74"/>
      <c r="S370" s="74"/>
      <c r="T370" s="74"/>
      <c r="U370" s="74"/>
      <c r="V370" s="74"/>
      <c r="W370" s="74"/>
      <c r="X370" s="74"/>
      <c r="Y370" s="74"/>
    </row>
    <row r="371" spans="1:25" ht="15.75" thickBot="1" x14ac:dyDescent="0.3">
      <c r="A371" s="82"/>
      <c r="B371" s="82"/>
      <c r="C371" s="87"/>
      <c r="D371" s="87"/>
      <c r="E371" s="82"/>
      <c r="F371" s="82"/>
      <c r="G371" s="82"/>
      <c r="H371" s="82"/>
      <c r="I371" s="82"/>
      <c r="J371" s="82"/>
      <c r="K371" s="82"/>
      <c r="L371" s="74"/>
      <c r="M371" s="74"/>
      <c r="N371" s="74"/>
      <c r="O371" s="74"/>
      <c r="P371" s="74"/>
      <c r="Q371" s="74"/>
      <c r="R371" s="74"/>
      <c r="S371" s="74"/>
      <c r="T371" s="74"/>
      <c r="U371" s="74"/>
      <c r="V371" s="74"/>
      <c r="W371" s="74"/>
      <c r="X371" s="74"/>
      <c r="Y371" s="74"/>
    </row>
    <row r="372" spans="1:25" ht="15.75" thickBot="1" x14ac:dyDescent="0.3">
      <c r="A372" s="83"/>
      <c r="B372" s="83"/>
      <c r="C372" s="88"/>
      <c r="D372" s="88"/>
      <c r="E372" s="83"/>
      <c r="F372" s="83"/>
      <c r="G372" s="83"/>
      <c r="H372" s="83"/>
      <c r="I372" s="83"/>
      <c r="J372" s="83"/>
      <c r="K372" s="83"/>
      <c r="L372" s="74"/>
      <c r="M372" s="74"/>
      <c r="N372" s="74"/>
      <c r="O372" s="74"/>
      <c r="P372" s="74"/>
      <c r="Q372" s="74"/>
      <c r="R372" s="74"/>
      <c r="S372" s="74"/>
      <c r="T372" s="74"/>
      <c r="U372" s="74"/>
      <c r="V372" s="74"/>
      <c r="W372" s="74"/>
      <c r="X372" s="74"/>
      <c r="Y372" s="74"/>
    </row>
    <row r="373" spans="1:25" ht="15.75" thickBot="1" x14ac:dyDescent="0.3">
      <c r="A373" s="82"/>
      <c r="B373" s="82"/>
      <c r="C373" s="87"/>
      <c r="D373" s="87"/>
      <c r="E373" s="82"/>
      <c r="F373" s="82"/>
      <c r="G373" s="82"/>
      <c r="H373" s="82"/>
      <c r="I373" s="82"/>
      <c r="J373" s="82"/>
      <c r="K373" s="82"/>
      <c r="L373" s="74"/>
      <c r="M373" s="74"/>
      <c r="N373" s="74"/>
      <c r="O373" s="74"/>
      <c r="P373" s="74"/>
      <c r="Q373" s="74"/>
      <c r="R373" s="74"/>
      <c r="S373" s="74"/>
      <c r="T373" s="74"/>
      <c r="U373" s="74"/>
      <c r="V373" s="74"/>
      <c r="W373" s="74"/>
      <c r="X373" s="74"/>
      <c r="Y373" s="74"/>
    </row>
    <row r="374" spans="1:25" ht="15.75" thickBot="1" x14ac:dyDescent="0.3">
      <c r="A374" s="83"/>
      <c r="B374" s="83"/>
      <c r="C374" s="88"/>
      <c r="D374" s="88"/>
      <c r="E374" s="83"/>
      <c r="F374" s="83"/>
      <c r="G374" s="83"/>
      <c r="H374" s="83"/>
      <c r="I374" s="83"/>
      <c r="J374" s="83"/>
      <c r="K374" s="83"/>
      <c r="L374" s="74"/>
      <c r="M374" s="74"/>
      <c r="N374" s="74"/>
      <c r="O374" s="74"/>
      <c r="P374" s="74"/>
      <c r="Q374" s="74"/>
      <c r="R374" s="74"/>
      <c r="S374" s="74"/>
      <c r="T374" s="74"/>
      <c r="U374" s="74"/>
      <c r="V374" s="74"/>
      <c r="W374" s="74"/>
      <c r="X374" s="74"/>
      <c r="Y374" s="74"/>
    </row>
    <row r="375" spans="1:25" ht="15.75" thickBot="1" x14ac:dyDescent="0.3">
      <c r="A375" s="82"/>
      <c r="B375" s="82"/>
      <c r="C375" s="87"/>
      <c r="D375" s="87"/>
      <c r="E375" s="82"/>
      <c r="F375" s="82"/>
      <c r="G375" s="82"/>
      <c r="H375" s="82"/>
      <c r="I375" s="82"/>
      <c r="J375" s="82"/>
      <c r="K375" s="82"/>
      <c r="L375" s="74"/>
      <c r="M375" s="74"/>
      <c r="N375" s="74"/>
      <c r="O375" s="74"/>
      <c r="P375" s="74"/>
      <c r="Q375" s="74"/>
      <c r="R375" s="74"/>
      <c r="S375" s="74"/>
      <c r="T375" s="74"/>
      <c r="U375" s="74"/>
      <c r="V375" s="74"/>
      <c r="W375" s="74"/>
      <c r="X375" s="74"/>
      <c r="Y375" s="74"/>
    </row>
    <row r="376" spans="1:25" ht="15.75" thickBot="1" x14ac:dyDescent="0.3">
      <c r="A376" s="83"/>
      <c r="B376" s="83"/>
      <c r="C376" s="88"/>
      <c r="D376" s="88"/>
      <c r="E376" s="83"/>
      <c r="F376" s="83"/>
      <c r="G376" s="83"/>
      <c r="H376" s="83"/>
      <c r="I376" s="83"/>
      <c r="J376" s="83"/>
      <c r="K376" s="83"/>
      <c r="L376" s="74"/>
      <c r="M376" s="74"/>
      <c r="N376" s="74"/>
      <c r="O376" s="74"/>
      <c r="P376" s="74"/>
      <c r="Q376" s="74"/>
      <c r="R376" s="74"/>
      <c r="S376" s="74"/>
      <c r="T376" s="74"/>
      <c r="U376" s="74"/>
      <c r="V376" s="74"/>
      <c r="W376" s="74"/>
      <c r="X376" s="74"/>
      <c r="Y376" s="74"/>
    </row>
    <row r="377" spans="1:25" ht="15.75" thickBot="1" x14ac:dyDescent="0.3">
      <c r="A377" s="82"/>
      <c r="B377" s="82"/>
      <c r="C377" s="87"/>
      <c r="D377" s="87"/>
      <c r="E377" s="82"/>
      <c r="F377" s="82"/>
      <c r="G377" s="82"/>
      <c r="H377" s="82"/>
      <c r="I377" s="82"/>
      <c r="J377" s="82"/>
      <c r="K377" s="82"/>
      <c r="L377" s="74"/>
      <c r="M377" s="74"/>
      <c r="N377" s="74"/>
      <c r="O377" s="74"/>
      <c r="P377" s="74"/>
      <c r="Q377" s="74"/>
      <c r="R377" s="74"/>
      <c r="S377" s="74"/>
      <c r="T377" s="74"/>
      <c r="U377" s="74"/>
      <c r="V377" s="74"/>
      <c r="W377" s="74"/>
      <c r="X377" s="74"/>
      <c r="Y377" s="74"/>
    </row>
    <row r="378" spans="1:25" ht="15.75" thickBot="1" x14ac:dyDescent="0.3">
      <c r="A378" s="83"/>
      <c r="B378" s="83"/>
      <c r="C378" s="88"/>
      <c r="D378" s="88"/>
      <c r="E378" s="83"/>
      <c r="F378" s="83"/>
      <c r="G378" s="83"/>
      <c r="H378" s="83"/>
      <c r="I378" s="83"/>
      <c r="J378" s="83"/>
      <c r="K378" s="83"/>
      <c r="L378" s="74"/>
      <c r="M378" s="74"/>
      <c r="N378" s="74"/>
      <c r="O378" s="74"/>
      <c r="P378" s="74"/>
      <c r="Q378" s="74"/>
      <c r="R378" s="74"/>
      <c r="S378" s="74"/>
      <c r="T378" s="74"/>
      <c r="U378" s="74"/>
      <c r="V378" s="74"/>
      <c r="W378" s="74"/>
      <c r="X378" s="74"/>
      <c r="Y378" s="74"/>
    </row>
    <row r="379" spans="1:25" ht="15.75" thickBot="1" x14ac:dyDescent="0.3">
      <c r="A379" s="82"/>
      <c r="B379" s="82"/>
      <c r="C379" s="87"/>
      <c r="D379" s="87"/>
      <c r="E379" s="82"/>
      <c r="F379" s="82"/>
      <c r="G379" s="82"/>
      <c r="H379" s="82"/>
      <c r="I379" s="82"/>
      <c r="J379" s="82"/>
      <c r="K379" s="82"/>
      <c r="L379" s="74"/>
      <c r="M379" s="74"/>
      <c r="N379" s="74"/>
      <c r="O379" s="74"/>
      <c r="P379" s="74"/>
      <c r="Q379" s="74"/>
      <c r="R379" s="74"/>
      <c r="S379" s="74"/>
      <c r="T379" s="74"/>
      <c r="U379" s="74"/>
      <c r="V379" s="74"/>
      <c r="W379" s="74"/>
      <c r="X379" s="74"/>
      <c r="Y379" s="74"/>
    </row>
    <row r="380" spans="1:25" ht="15.75" thickBot="1" x14ac:dyDescent="0.3">
      <c r="A380" s="83"/>
      <c r="B380" s="83"/>
      <c r="C380" s="88"/>
      <c r="D380" s="88"/>
      <c r="E380" s="83"/>
      <c r="F380" s="83"/>
      <c r="G380" s="83"/>
      <c r="H380" s="83"/>
      <c r="I380" s="83"/>
      <c r="J380" s="83"/>
      <c r="K380" s="83"/>
      <c r="L380" s="74"/>
      <c r="M380" s="74"/>
      <c r="N380" s="74"/>
      <c r="O380" s="74"/>
      <c r="P380" s="74"/>
      <c r="Q380" s="74"/>
      <c r="R380" s="74"/>
      <c r="S380" s="74"/>
      <c r="T380" s="74"/>
      <c r="U380" s="74"/>
      <c r="V380" s="74"/>
      <c r="W380" s="74"/>
      <c r="X380" s="74"/>
      <c r="Y380" s="74"/>
    </row>
    <row r="381" spans="1:25" ht="15.75" thickBot="1" x14ac:dyDescent="0.3">
      <c r="A381" s="82"/>
      <c r="B381" s="82"/>
      <c r="C381" s="87"/>
      <c r="D381" s="87"/>
      <c r="E381" s="82"/>
      <c r="F381" s="82"/>
      <c r="G381" s="82"/>
      <c r="H381" s="82"/>
      <c r="I381" s="82"/>
      <c r="J381" s="82"/>
      <c r="K381" s="82"/>
      <c r="L381" s="74"/>
      <c r="M381" s="74"/>
      <c r="N381" s="74"/>
      <c r="O381" s="74"/>
      <c r="P381" s="74"/>
      <c r="Q381" s="74"/>
      <c r="R381" s="74"/>
      <c r="S381" s="74"/>
      <c r="T381" s="74"/>
      <c r="U381" s="74"/>
      <c r="V381" s="74"/>
      <c r="W381" s="74"/>
      <c r="X381" s="74"/>
      <c r="Y381" s="74"/>
    </row>
    <row r="382" spans="1:25" ht="15.75" thickBot="1" x14ac:dyDescent="0.3">
      <c r="A382" s="83"/>
      <c r="B382" s="83"/>
      <c r="C382" s="88"/>
      <c r="D382" s="88"/>
      <c r="E382" s="83"/>
      <c r="F382" s="83"/>
      <c r="G382" s="83"/>
      <c r="H382" s="83"/>
      <c r="I382" s="83"/>
      <c r="J382" s="83"/>
      <c r="K382" s="83"/>
      <c r="L382" s="74"/>
      <c r="M382" s="74"/>
      <c r="N382" s="74"/>
      <c r="O382" s="74"/>
      <c r="P382" s="74"/>
      <c r="Q382" s="74"/>
      <c r="R382" s="74"/>
      <c r="S382" s="74"/>
      <c r="T382" s="74"/>
      <c r="U382" s="74"/>
      <c r="V382" s="74"/>
      <c r="W382" s="74"/>
      <c r="X382" s="74"/>
      <c r="Y382" s="74"/>
    </row>
    <row r="383" spans="1:25" ht="15.75" thickBot="1" x14ac:dyDescent="0.3">
      <c r="A383" s="82"/>
      <c r="B383" s="82"/>
      <c r="C383" s="87"/>
      <c r="D383" s="87"/>
      <c r="E383" s="82"/>
      <c r="F383" s="82"/>
      <c r="G383" s="82"/>
      <c r="H383" s="82"/>
      <c r="I383" s="82"/>
      <c r="J383" s="82"/>
      <c r="K383" s="82"/>
      <c r="L383" s="74"/>
      <c r="M383" s="74"/>
      <c r="N383" s="74"/>
      <c r="O383" s="74"/>
      <c r="P383" s="74"/>
      <c r="Q383" s="74"/>
      <c r="R383" s="74"/>
      <c r="S383" s="74"/>
      <c r="T383" s="74"/>
      <c r="U383" s="74"/>
      <c r="V383" s="74"/>
      <c r="W383" s="74"/>
      <c r="X383" s="74"/>
      <c r="Y383" s="74"/>
    </row>
    <row r="384" spans="1:25" ht="15.75" thickBot="1" x14ac:dyDescent="0.3">
      <c r="A384" s="83"/>
      <c r="B384" s="83"/>
      <c r="C384" s="88"/>
      <c r="D384" s="88"/>
      <c r="E384" s="83"/>
      <c r="F384" s="83"/>
      <c r="G384" s="83"/>
      <c r="H384" s="83"/>
      <c r="I384" s="83"/>
      <c r="J384" s="83"/>
      <c r="K384" s="83"/>
      <c r="L384" s="74"/>
      <c r="M384" s="74"/>
      <c r="N384" s="74"/>
      <c r="O384" s="74"/>
      <c r="P384" s="74"/>
      <c r="Q384" s="74"/>
      <c r="R384" s="74"/>
      <c r="S384" s="74"/>
      <c r="T384" s="74"/>
      <c r="U384" s="74"/>
      <c r="V384" s="74"/>
      <c r="W384" s="74"/>
      <c r="X384" s="74"/>
      <c r="Y384" s="74"/>
    </row>
    <row r="385" spans="1:25" ht="15.75" thickBot="1" x14ac:dyDescent="0.3">
      <c r="A385" s="82"/>
      <c r="B385" s="82"/>
      <c r="C385" s="87"/>
      <c r="D385" s="87"/>
      <c r="E385" s="82"/>
      <c r="F385" s="82"/>
      <c r="G385" s="82"/>
      <c r="H385" s="82"/>
      <c r="I385" s="82"/>
      <c r="J385" s="82"/>
      <c r="K385" s="82"/>
      <c r="L385" s="74"/>
      <c r="M385" s="74"/>
      <c r="N385" s="74"/>
      <c r="O385" s="74"/>
      <c r="P385" s="74"/>
      <c r="Q385" s="74"/>
      <c r="R385" s="74"/>
      <c r="S385" s="74"/>
      <c r="T385" s="74"/>
      <c r="U385" s="74"/>
      <c r="V385" s="74"/>
      <c r="W385" s="74"/>
      <c r="X385" s="74"/>
      <c r="Y385" s="74"/>
    </row>
    <row r="386" spans="1:25" ht="15.75" thickBot="1" x14ac:dyDescent="0.3">
      <c r="A386" s="83"/>
      <c r="B386" s="83"/>
      <c r="C386" s="88"/>
      <c r="D386" s="88"/>
      <c r="E386" s="83"/>
      <c r="F386" s="83"/>
      <c r="G386" s="83"/>
      <c r="H386" s="83"/>
      <c r="I386" s="83"/>
      <c r="J386" s="83"/>
      <c r="K386" s="83"/>
      <c r="L386" s="74"/>
      <c r="M386" s="74"/>
      <c r="N386" s="74"/>
      <c r="O386" s="74"/>
      <c r="P386" s="74"/>
      <c r="Q386" s="74"/>
      <c r="R386" s="74"/>
      <c r="S386" s="74"/>
      <c r="T386" s="74"/>
      <c r="U386" s="74"/>
      <c r="V386" s="74"/>
      <c r="W386" s="74"/>
      <c r="X386" s="74"/>
      <c r="Y386" s="74"/>
    </row>
    <row r="387" spans="1:25" ht="15.75" thickBot="1" x14ac:dyDescent="0.3">
      <c r="A387" s="82"/>
      <c r="B387" s="82"/>
      <c r="C387" s="87"/>
      <c r="D387" s="87"/>
      <c r="E387" s="82"/>
      <c r="F387" s="82"/>
      <c r="G387" s="82"/>
      <c r="H387" s="82"/>
      <c r="I387" s="82"/>
      <c r="J387" s="82"/>
      <c r="K387" s="82"/>
      <c r="L387" s="74"/>
      <c r="M387" s="74"/>
      <c r="N387" s="74"/>
      <c r="O387" s="74"/>
      <c r="P387" s="74"/>
      <c r="Q387" s="74"/>
      <c r="R387" s="74"/>
      <c r="S387" s="74"/>
      <c r="T387" s="74"/>
      <c r="U387" s="74"/>
      <c r="V387" s="74"/>
      <c r="W387" s="74"/>
      <c r="X387" s="74"/>
      <c r="Y387" s="74"/>
    </row>
    <row r="388" spans="1:25" ht="15.75" thickBot="1" x14ac:dyDescent="0.3">
      <c r="A388" s="83"/>
      <c r="B388" s="83"/>
      <c r="C388" s="88"/>
      <c r="D388" s="88"/>
      <c r="E388" s="83"/>
      <c r="F388" s="83"/>
      <c r="G388" s="83"/>
      <c r="H388" s="83"/>
      <c r="I388" s="83"/>
      <c r="J388" s="83"/>
      <c r="K388" s="83"/>
      <c r="L388" s="74"/>
      <c r="M388" s="74"/>
      <c r="N388" s="74"/>
      <c r="O388" s="74"/>
      <c r="P388" s="74"/>
      <c r="Q388" s="74"/>
      <c r="R388" s="74"/>
      <c r="S388" s="74"/>
      <c r="T388" s="74"/>
      <c r="U388" s="74"/>
      <c r="V388" s="74"/>
      <c r="W388" s="74"/>
      <c r="X388" s="74"/>
      <c r="Y388" s="74"/>
    </row>
    <row r="389" spans="1:25" ht="15.75" thickBot="1" x14ac:dyDescent="0.3">
      <c r="A389" s="82"/>
      <c r="B389" s="82"/>
      <c r="C389" s="87"/>
      <c r="D389" s="87"/>
      <c r="E389" s="82"/>
      <c r="F389" s="82"/>
      <c r="G389" s="82"/>
      <c r="H389" s="82"/>
      <c r="I389" s="82"/>
      <c r="J389" s="82"/>
      <c r="K389" s="82"/>
      <c r="L389" s="74"/>
      <c r="M389" s="74"/>
      <c r="N389" s="74"/>
      <c r="O389" s="74"/>
      <c r="P389" s="74"/>
      <c r="Q389" s="74"/>
      <c r="R389" s="74"/>
      <c r="S389" s="74"/>
      <c r="T389" s="74"/>
      <c r="U389" s="74"/>
      <c r="V389" s="74"/>
      <c r="W389" s="74"/>
      <c r="X389" s="74"/>
      <c r="Y389" s="74"/>
    </row>
    <row r="390" spans="1:25" ht="15.75" thickBot="1" x14ac:dyDescent="0.3">
      <c r="A390" s="83"/>
      <c r="B390" s="83"/>
      <c r="C390" s="88"/>
      <c r="D390" s="88"/>
      <c r="E390" s="83"/>
      <c r="F390" s="83"/>
      <c r="G390" s="83"/>
      <c r="H390" s="83"/>
      <c r="I390" s="83"/>
      <c r="J390" s="83"/>
      <c r="K390" s="83"/>
      <c r="L390" s="74"/>
      <c r="M390" s="74"/>
      <c r="N390" s="74"/>
      <c r="O390" s="74"/>
      <c r="P390" s="74"/>
      <c r="Q390" s="74"/>
      <c r="R390" s="74"/>
      <c r="S390" s="74"/>
      <c r="T390" s="74"/>
      <c r="U390" s="74"/>
      <c r="V390" s="74"/>
      <c r="W390" s="74"/>
      <c r="X390" s="74"/>
      <c r="Y390" s="74"/>
    </row>
    <row r="391" spans="1:25" ht="15.75" thickBot="1" x14ac:dyDescent="0.3">
      <c r="A391" s="82"/>
      <c r="B391" s="82"/>
      <c r="C391" s="87"/>
      <c r="D391" s="87"/>
      <c r="E391" s="82"/>
      <c r="F391" s="82"/>
      <c r="G391" s="82"/>
      <c r="H391" s="82"/>
      <c r="I391" s="82"/>
      <c r="J391" s="82"/>
      <c r="K391" s="82"/>
      <c r="L391" s="74"/>
      <c r="M391" s="74"/>
      <c r="N391" s="74"/>
      <c r="O391" s="74"/>
      <c r="P391" s="74"/>
      <c r="Q391" s="74"/>
      <c r="R391" s="74"/>
      <c r="S391" s="74"/>
      <c r="T391" s="74"/>
      <c r="U391" s="74"/>
      <c r="V391" s="74"/>
      <c r="W391" s="74"/>
      <c r="X391" s="74"/>
      <c r="Y391" s="74"/>
    </row>
    <row r="392" spans="1:25" ht="15.75" thickBot="1" x14ac:dyDescent="0.3">
      <c r="A392" s="83"/>
      <c r="B392" s="83"/>
      <c r="C392" s="88"/>
      <c r="D392" s="88"/>
      <c r="E392" s="83"/>
      <c r="F392" s="83"/>
      <c r="G392" s="83"/>
      <c r="H392" s="83"/>
      <c r="I392" s="83"/>
      <c r="J392" s="83"/>
      <c r="K392" s="83"/>
      <c r="L392" s="74"/>
      <c r="M392" s="74"/>
      <c r="N392" s="74"/>
      <c r="O392" s="74"/>
      <c r="P392" s="74"/>
      <c r="Q392" s="74"/>
      <c r="R392" s="74"/>
      <c r="S392" s="74"/>
      <c r="T392" s="74"/>
      <c r="U392" s="74"/>
      <c r="V392" s="74"/>
      <c r="W392" s="74"/>
      <c r="X392" s="74"/>
      <c r="Y392" s="74"/>
    </row>
    <row r="393" spans="1:25" ht="15.75" thickBot="1" x14ac:dyDescent="0.3">
      <c r="A393" s="82"/>
      <c r="B393" s="82"/>
      <c r="C393" s="87"/>
      <c r="D393" s="87"/>
      <c r="E393" s="82"/>
      <c r="F393" s="82"/>
      <c r="G393" s="82"/>
      <c r="H393" s="82"/>
      <c r="I393" s="82"/>
      <c r="J393" s="82"/>
      <c r="K393" s="82"/>
      <c r="L393" s="74"/>
      <c r="M393" s="74"/>
      <c r="N393" s="74"/>
      <c r="O393" s="74"/>
      <c r="P393" s="74"/>
      <c r="Q393" s="74"/>
      <c r="R393" s="74"/>
      <c r="S393" s="74"/>
      <c r="T393" s="74"/>
      <c r="U393" s="74"/>
      <c r="V393" s="74"/>
      <c r="W393" s="74"/>
      <c r="X393" s="74"/>
      <c r="Y393" s="74"/>
    </row>
    <row r="394" spans="1:25" ht="15.75" thickBot="1" x14ac:dyDescent="0.3">
      <c r="A394" s="83"/>
      <c r="B394" s="83"/>
      <c r="C394" s="88"/>
      <c r="D394" s="88"/>
      <c r="E394" s="83"/>
      <c r="F394" s="83"/>
      <c r="G394" s="83"/>
      <c r="H394" s="83"/>
      <c r="I394" s="83"/>
      <c r="J394" s="83"/>
      <c r="K394" s="83"/>
      <c r="L394" s="74"/>
      <c r="M394" s="74"/>
      <c r="N394" s="74"/>
      <c r="O394" s="74"/>
      <c r="P394" s="74"/>
      <c r="Q394" s="74"/>
      <c r="R394" s="74"/>
      <c r="S394" s="74"/>
      <c r="T394" s="74"/>
      <c r="U394" s="74"/>
      <c r="V394" s="74"/>
      <c r="W394" s="74"/>
      <c r="X394" s="74"/>
      <c r="Y394" s="74"/>
    </row>
    <row r="395" spans="1:25" ht="15.75" thickBot="1" x14ac:dyDescent="0.3">
      <c r="A395" s="82"/>
      <c r="B395" s="82"/>
      <c r="C395" s="87"/>
      <c r="D395" s="87"/>
      <c r="E395" s="82"/>
      <c r="F395" s="82"/>
      <c r="G395" s="82"/>
      <c r="H395" s="82"/>
      <c r="I395" s="82"/>
      <c r="J395" s="82"/>
      <c r="K395" s="82"/>
      <c r="L395" s="74"/>
      <c r="M395" s="74"/>
      <c r="N395" s="74"/>
      <c r="O395" s="74"/>
      <c r="P395" s="74"/>
      <c r="Q395" s="74"/>
      <c r="R395" s="74"/>
      <c r="S395" s="74"/>
      <c r="T395" s="74"/>
      <c r="U395" s="74"/>
      <c r="V395" s="74"/>
      <c r="W395" s="74"/>
      <c r="X395" s="74"/>
      <c r="Y395" s="74"/>
    </row>
    <row r="396" spans="1:25" ht="15.75" thickBot="1" x14ac:dyDescent="0.3">
      <c r="A396" s="83"/>
      <c r="B396" s="83"/>
      <c r="C396" s="88"/>
      <c r="D396" s="88"/>
      <c r="E396" s="83"/>
      <c r="F396" s="83"/>
      <c r="G396" s="83"/>
      <c r="H396" s="83"/>
      <c r="I396" s="83"/>
      <c r="J396" s="83"/>
      <c r="K396" s="83"/>
      <c r="L396" s="74"/>
      <c r="M396" s="74"/>
      <c r="N396" s="74"/>
      <c r="O396" s="74"/>
      <c r="P396" s="74"/>
      <c r="Q396" s="74"/>
      <c r="R396" s="74"/>
      <c r="S396" s="74"/>
      <c r="T396" s="74"/>
      <c r="U396" s="74"/>
      <c r="V396" s="74"/>
      <c r="W396" s="74"/>
      <c r="X396" s="74"/>
      <c r="Y396" s="74"/>
    </row>
    <row r="397" spans="1:25" ht="15.75" thickBot="1" x14ac:dyDescent="0.3">
      <c r="A397" s="82"/>
      <c r="B397" s="82"/>
      <c r="C397" s="87"/>
      <c r="D397" s="87"/>
      <c r="E397" s="82"/>
      <c r="F397" s="82"/>
      <c r="G397" s="82"/>
      <c r="H397" s="82"/>
      <c r="I397" s="82"/>
      <c r="J397" s="82"/>
      <c r="K397" s="82"/>
      <c r="L397" s="74"/>
      <c r="M397" s="74"/>
      <c r="N397" s="74"/>
      <c r="O397" s="74"/>
      <c r="P397" s="74"/>
      <c r="Q397" s="74"/>
      <c r="R397" s="74"/>
      <c r="S397" s="74"/>
      <c r="T397" s="74"/>
      <c r="U397" s="74"/>
      <c r="V397" s="74"/>
      <c r="W397" s="74"/>
      <c r="X397" s="74"/>
      <c r="Y397" s="74"/>
    </row>
    <row r="398" spans="1:25" ht="15.75" thickBot="1" x14ac:dyDescent="0.3">
      <c r="A398" s="83"/>
      <c r="B398" s="83"/>
      <c r="C398" s="88"/>
      <c r="D398" s="88"/>
      <c r="E398" s="83"/>
      <c r="F398" s="83"/>
      <c r="G398" s="83"/>
      <c r="H398" s="83"/>
      <c r="I398" s="83"/>
      <c r="J398" s="83"/>
      <c r="K398" s="83"/>
      <c r="L398" s="74"/>
      <c r="M398" s="74"/>
      <c r="N398" s="74"/>
      <c r="O398" s="74"/>
      <c r="P398" s="74"/>
      <c r="Q398" s="74"/>
      <c r="R398" s="74"/>
      <c r="S398" s="74"/>
      <c r="T398" s="74"/>
      <c r="U398" s="74"/>
      <c r="V398" s="74"/>
      <c r="W398" s="74"/>
      <c r="X398" s="74"/>
      <c r="Y398" s="74"/>
    </row>
    <row r="399" spans="1:25" ht="15.75" thickBot="1" x14ac:dyDescent="0.3">
      <c r="A399" s="82"/>
      <c r="B399" s="82"/>
      <c r="C399" s="87"/>
      <c r="D399" s="87"/>
      <c r="E399" s="82"/>
      <c r="F399" s="82"/>
      <c r="G399" s="82"/>
      <c r="H399" s="82"/>
      <c r="I399" s="82"/>
      <c r="J399" s="82"/>
      <c r="K399" s="82"/>
      <c r="L399" s="74"/>
      <c r="M399" s="74"/>
      <c r="N399" s="74"/>
      <c r="O399" s="74"/>
      <c r="P399" s="74"/>
      <c r="Q399" s="74"/>
      <c r="R399" s="74"/>
      <c r="S399" s="74"/>
      <c r="T399" s="74"/>
      <c r="U399" s="74"/>
      <c r="V399" s="74"/>
      <c r="W399" s="74"/>
      <c r="X399" s="74"/>
      <c r="Y399" s="74"/>
    </row>
    <row r="400" spans="1:25" ht="15.75" thickBot="1" x14ac:dyDescent="0.3">
      <c r="A400" s="83"/>
      <c r="B400" s="83"/>
      <c r="C400" s="88"/>
      <c r="D400" s="88"/>
      <c r="E400" s="83"/>
      <c r="F400" s="83"/>
      <c r="G400" s="83"/>
      <c r="H400" s="83"/>
      <c r="I400" s="83"/>
      <c r="J400" s="83"/>
      <c r="K400" s="83"/>
      <c r="L400" s="74"/>
      <c r="M400" s="74"/>
      <c r="N400" s="74"/>
      <c r="O400" s="74"/>
      <c r="P400" s="74"/>
      <c r="Q400" s="74"/>
      <c r="R400" s="74"/>
      <c r="S400" s="74"/>
      <c r="T400" s="74"/>
      <c r="U400" s="74"/>
      <c r="V400" s="74"/>
      <c r="W400" s="74"/>
      <c r="X400" s="74"/>
      <c r="Y400" s="74"/>
    </row>
    <row r="401" spans="1:25" ht="15.75" thickBot="1" x14ac:dyDescent="0.3">
      <c r="A401" s="82"/>
      <c r="B401" s="82"/>
      <c r="C401" s="87"/>
      <c r="D401" s="87"/>
      <c r="E401" s="82"/>
      <c r="F401" s="82"/>
      <c r="G401" s="82"/>
      <c r="H401" s="82"/>
      <c r="I401" s="82"/>
      <c r="J401" s="82"/>
      <c r="K401" s="82"/>
      <c r="L401" s="74"/>
      <c r="M401" s="74"/>
      <c r="N401" s="74"/>
      <c r="O401" s="74"/>
      <c r="P401" s="74"/>
      <c r="Q401" s="74"/>
      <c r="R401" s="74"/>
      <c r="S401" s="74"/>
      <c r="T401" s="74"/>
      <c r="U401" s="74"/>
      <c r="V401" s="74"/>
      <c r="W401" s="74"/>
      <c r="X401" s="74"/>
      <c r="Y401" s="74"/>
    </row>
    <row r="402" spans="1:25" ht="15.75" thickBot="1" x14ac:dyDescent="0.3">
      <c r="A402" s="83"/>
      <c r="B402" s="83"/>
      <c r="C402" s="88"/>
      <c r="D402" s="88"/>
      <c r="E402" s="83"/>
      <c r="F402" s="83"/>
      <c r="G402" s="83"/>
      <c r="H402" s="83"/>
      <c r="I402" s="83"/>
      <c r="J402" s="83"/>
      <c r="K402" s="83"/>
      <c r="L402" s="74"/>
      <c r="M402" s="74"/>
      <c r="N402" s="74"/>
      <c r="O402" s="74"/>
      <c r="P402" s="74"/>
      <c r="Q402" s="74"/>
      <c r="R402" s="74"/>
      <c r="S402" s="74"/>
      <c r="T402" s="74"/>
      <c r="U402" s="74"/>
      <c r="V402" s="74"/>
      <c r="W402" s="74"/>
      <c r="X402" s="74"/>
      <c r="Y402" s="74"/>
    </row>
    <row r="403" spans="1:25" ht="15.75" thickBot="1" x14ac:dyDescent="0.3">
      <c r="A403" s="82"/>
      <c r="B403" s="82"/>
      <c r="C403" s="87"/>
      <c r="D403" s="87"/>
      <c r="E403" s="82"/>
      <c r="F403" s="82"/>
      <c r="G403" s="82"/>
      <c r="H403" s="82"/>
      <c r="I403" s="82"/>
      <c r="J403" s="82"/>
      <c r="K403" s="82"/>
      <c r="L403" s="74"/>
      <c r="M403" s="74"/>
      <c r="N403" s="74"/>
      <c r="O403" s="74"/>
      <c r="P403" s="74"/>
      <c r="Q403" s="74"/>
      <c r="R403" s="74"/>
      <c r="S403" s="74"/>
      <c r="T403" s="74"/>
      <c r="U403" s="74"/>
      <c r="V403" s="74"/>
      <c r="W403" s="74"/>
      <c r="X403" s="74"/>
      <c r="Y403" s="74"/>
    </row>
    <row r="404" spans="1:25" ht="15.75" thickBot="1" x14ac:dyDescent="0.3">
      <c r="A404" s="83"/>
      <c r="B404" s="83"/>
      <c r="C404" s="88"/>
      <c r="D404" s="88"/>
      <c r="E404" s="83"/>
      <c r="F404" s="83"/>
      <c r="G404" s="83"/>
      <c r="H404" s="83"/>
      <c r="I404" s="83"/>
      <c r="J404" s="83"/>
      <c r="K404" s="83"/>
      <c r="L404" s="74"/>
      <c r="M404" s="74"/>
      <c r="N404" s="74"/>
      <c r="O404" s="74"/>
      <c r="P404" s="74"/>
      <c r="Q404" s="74"/>
      <c r="R404" s="74"/>
      <c r="S404" s="74"/>
      <c r="T404" s="74"/>
      <c r="U404" s="74"/>
      <c r="V404" s="74"/>
      <c r="W404" s="74"/>
      <c r="X404" s="74"/>
      <c r="Y404" s="74"/>
    </row>
    <row r="405" spans="1:25" ht="15.75" thickBot="1" x14ac:dyDescent="0.3">
      <c r="A405" s="82"/>
      <c r="B405" s="82"/>
      <c r="C405" s="87"/>
      <c r="D405" s="87"/>
      <c r="E405" s="82"/>
      <c r="F405" s="82"/>
      <c r="G405" s="82"/>
      <c r="H405" s="82"/>
      <c r="I405" s="82"/>
      <c r="J405" s="82"/>
      <c r="K405" s="82"/>
      <c r="L405" s="74"/>
      <c r="M405" s="74"/>
      <c r="N405" s="74"/>
      <c r="O405" s="74"/>
      <c r="P405" s="74"/>
      <c r="Q405" s="74"/>
      <c r="R405" s="74"/>
      <c r="S405" s="74"/>
      <c r="T405" s="74"/>
      <c r="U405" s="74"/>
      <c r="V405" s="74"/>
      <c r="W405" s="74"/>
      <c r="X405" s="74"/>
      <c r="Y405" s="74"/>
    </row>
    <row r="406" spans="1:25" ht="15.75" thickBot="1" x14ac:dyDescent="0.3">
      <c r="A406" s="83"/>
      <c r="B406" s="83"/>
      <c r="C406" s="88"/>
      <c r="D406" s="88"/>
      <c r="E406" s="83"/>
      <c r="F406" s="83"/>
      <c r="G406" s="83"/>
      <c r="H406" s="83"/>
      <c r="I406" s="83"/>
      <c r="J406" s="83"/>
      <c r="K406" s="83"/>
      <c r="L406" s="74"/>
      <c r="M406" s="74"/>
      <c r="N406" s="74"/>
      <c r="O406" s="74"/>
      <c r="P406" s="74"/>
      <c r="Q406" s="74"/>
      <c r="R406" s="74"/>
      <c r="S406" s="74"/>
      <c r="T406" s="74"/>
      <c r="U406" s="74"/>
      <c r="V406" s="74"/>
      <c r="W406" s="74"/>
      <c r="X406" s="74"/>
      <c r="Y406" s="74"/>
    </row>
    <row r="407" spans="1:25" ht="15.75" thickBot="1" x14ac:dyDescent="0.3">
      <c r="A407" s="82"/>
      <c r="B407" s="82"/>
      <c r="C407" s="87"/>
      <c r="D407" s="87"/>
      <c r="E407" s="82"/>
      <c r="F407" s="82"/>
      <c r="G407" s="82"/>
      <c r="H407" s="82"/>
      <c r="I407" s="82"/>
      <c r="J407" s="82"/>
      <c r="K407" s="82"/>
      <c r="L407" s="74"/>
      <c r="M407" s="74"/>
      <c r="N407" s="74"/>
      <c r="O407" s="74"/>
      <c r="P407" s="74"/>
      <c r="Q407" s="74"/>
      <c r="R407" s="74"/>
      <c r="S407" s="74"/>
      <c r="T407" s="74"/>
      <c r="U407" s="74"/>
      <c r="V407" s="74"/>
      <c r="W407" s="74"/>
      <c r="X407" s="74"/>
      <c r="Y407" s="74"/>
    </row>
    <row r="408" spans="1:25" ht="15.75" thickBot="1" x14ac:dyDescent="0.3">
      <c r="A408" s="83"/>
      <c r="B408" s="83"/>
      <c r="C408" s="88"/>
      <c r="D408" s="88"/>
      <c r="E408" s="83"/>
      <c r="F408" s="83"/>
      <c r="G408" s="83"/>
      <c r="H408" s="83"/>
      <c r="I408" s="83"/>
      <c r="J408" s="83"/>
      <c r="K408" s="83"/>
      <c r="L408" s="74"/>
      <c r="M408" s="74"/>
      <c r="N408" s="74"/>
      <c r="O408" s="74"/>
      <c r="P408" s="74"/>
      <c r="Q408" s="74"/>
      <c r="R408" s="74"/>
      <c r="S408" s="74"/>
      <c r="T408" s="74"/>
      <c r="U408" s="74"/>
      <c r="V408" s="74"/>
      <c r="W408" s="74"/>
      <c r="X408" s="74"/>
      <c r="Y408" s="74"/>
    </row>
    <row r="409" spans="1:25" ht="15.75" thickBot="1" x14ac:dyDescent="0.3">
      <c r="A409" s="82"/>
      <c r="B409" s="82"/>
      <c r="C409" s="87"/>
      <c r="D409" s="87"/>
      <c r="E409" s="82"/>
      <c r="F409" s="82"/>
      <c r="G409" s="82"/>
      <c r="H409" s="82"/>
      <c r="I409" s="82"/>
      <c r="J409" s="82"/>
      <c r="K409" s="82"/>
      <c r="L409" s="74"/>
      <c r="M409" s="74"/>
      <c r="N409" s="74"/>
      <c r="O409" s="74"/>
      <c r="P409" s="74"/>
      <c r="Q409" s="74"/>
      <c r="R409" s="74"/>
      <c r="S409" s="74"/>
      <c r="T409" s="74"/>
      <c r="U409" s="74"/>
      <c r="V409" s="74"/>
      <c r="W409" s="74"/>
      <c r="X409" s="74"/>
      <c r="Y409" s="74"/>
    </row>
    <row r="410" spans="1:25" ht="15.75" thickBot="1" x14ac:dyDescent="0.3">
      <c r="A410" s="83"/>
      <c r="B410" s="83"/>
      <c r="C410" s="88"/>
      <c r="D410" s="88"/>
      <c r="E410" s="83"/>
      <c r="F410" s="83"/>
      <c r="G410" s="83"/>
      <c r="H410" s="83"/>
      <c r="I410" s="83"/>
      <c r="J410" s="83"/>
      <c r="K410" s="83"/>
      <c r="L410" s="74"/>
      <c r="M410" s="74"/>
      <c r="N410" s="74"/>
      <c r="O410" s="74"/>
      <c r="P410" s="74"/>
      <c r="Q410" s="74"/>
      <c r="R410" s="74"/>
      <c r="S410" s="74"/>
      <c r="T410" s="74"/>
      <c r="U410" s="74"/>
      <c r="V410" s="74"/>
      <c r="W410" s="74"/>
      <c r="X410" s="74"/>
      <c r="Y410" s="74"/>
    </row>
    <row r="411" spans="1:25" ht="15.75" thickBot="1" x14ac:dyDescent="0.3">
      <c r="A411" s="82"/>
      <c r="B411" s="82"/>
      <c r="C411" s="87"/>
      <c r="D411" s="87"/>
      <c r="E411" s="82"/>
      <c r="F411" s="82"/>
      <c r="G411" s="82"/>
      <c r="H411" s="82"/>
      <c r="I411" s="82"/>
      <c r="J411" s="82"/>
      <c r="K411" s="82"/>
      <c r="L411" s="74"/>
      <c r="M411" s="74"/>
      <c r="N411" s="74"/>
      <c r="O411" s="74"/>
      <c r="P411" s="74"/>
      <c r="Q411" s="74"/>
      <c r="R411" s="74"/>
      <c r="S411" s="74"/>
      <c r="T411" s="74"/>
      <c r="U411" s="74"/>
      <c r="V411" s="74"/>
      <c r="W411" s="74"/>
      <c r="X411" s="74"/>
      <c r="Y411" s="74"/>
    </row>
    <row r="412" spans="1:25" ht="15.75" thickBot="1" x14ac:dyDescent="0.3">
      <c r="A412" s="83"/>
      <c r="B412" s="83"/>
      <c r="C412" s="88"/>
      <c r="D412" s="88"/>
      <c r="E412" s="83"/>
      <c r="F412" s="83"/>
      <c r="G412" s="83"/>
      <c r="H412" s="83"/>
      <c r="I412" s="83"/>
      <c r="J412" s="83"/>
      <c r="K412" s="83"/>
      <c r="L412" s="74"/>
      <c r="M412" s="74"/>
      <c r="N412" s="74"/>
      <c r="O412" s="74"/>
      <c r="P412" s="74"/>
      <c r="Q412" s="74"/>
      <c r="R412" s="74"/>
      <c r="S412" s="74"/>
      <c r="T412" s="74"/>
      <c r="U412" s="74"/>
      <c r="V412" s="74"/>
      <c r="W412" s="74"/>
      <c r="X412" s="74"/>
      <c r="Y412" s="74"/>
    </row>
    <row r="413" spans="1:25" ht="15.75" thickBot="1" x14ac:dyDescent="0.3">
      <c r="A413" s="82"/>
      <c r="B413" s="82"/>
      <c r="C413" s="87"/>
      <c r="D413" s="87"/>
      <c r="E413" s="82"/>
      <c r="F413" s="82"/>
      <c r="G413" s="82"/>
      <c r="H413" s="82"/>
      <c r="I413" s="82"/>
      <c r="J413" s="82"/>
      <c r="K413" s="82"/>
      <c r="L413" s="74"/>
      <c r="M413" s="74"/>
      <c r="N413" s="74"/>
      <c r="O413" s="74"/>
      <c r="P413" s="74"/>
      <c r="Q413" s="74"/>
      <c r="R413" s="74"/>
      <c r="S413" s="74"/>
      <c r="T413" s="74"/>
      <c r="U413" s="74"/>
      <c r="V413" s="74"/>
      <c r="W413" s="74"/>
      <c r="X413" s="74"/>
      <c r="Y413" s="74"/>
    </row>
    <row r="414" spans="1:25" ht="15.75" thickBot="1" x14ac:dyDescent="0.3">
      <c r="A414" s="83"/>
      <c r="B414" s="83"/>
      <c r="C414" s="88"/>
      <c r="D414" s="88"/>
      <c r="E414" s="83"/>
      <c r="F414" s="83"/>
      <c r="G414" s="83"/>
      <c r="H414" s="83"/>
      <c r="I414" s="83"/>
      <c r="J414" s="83"/>
      <c r="K414" s="83"/>
      <c r="L414" s="74"/>
      <c r="M414" s="74"/>
      <c r="N414" s="74"/>
      <c r="O414" s="74"/>
      <c r="P414" s="74"/>
      <c r="Q414" s="74"/>
      <c r="R414" s="74"/>
      <c r="S414" s="74"/>
      <c r="T414" s="74"/>
      <c r="U414" s="74"/>
      <c r="V414" s="74"/>
      <c r="W414" s="74"/>
      <c r="X414" s="74"/>
      <c r="Y414" s="74"/>
    </row>
    <row r="415" spans="1:25" ht="15.75" thickBot="1" x14ac:dyDescent="0.3">
      <c r="A415" s="82"/>
      <c r="B415" s="82"/>
      <c r="C415" s="87"/>
      <c r="D415" s="87"/>
      <c r="E415" s="82"/>
      <c r="F415" s="82"/>
      <c r="G415" s="82"/>
      <c r="H415" s="82"/>
      <c r="I415" s="82"/>
      <c r="J415" s="82"/>
      <c r="K415" s="82"/>
      <c r="L415" s="74"/>
      <c r="M415" s="74"/>
      <c r="N415" s="74"/>
      <c r="O415" s="74"/>
      <c r="P415" s="74"/>
      <c r="Q415" s="74"/>
      <c r="R415" s="74"/>
      <c r="S415" s="74"/>
      <c r="T415" s="74"/>
      <c r="U415" s="74"/>
      <c r="V415" s="74"/>
      <c r="W415" s="74"/>
      <c r="X415" s="74"/>
      <c r="Y415" s="74"/>
    </row>
    <row r="416" spans="1:25" ht="15.75" thickBot="1" x14ac:dyDescent="0.3">
      <c r="A416" s="83"/>
      <c r="B416" s="83"/>
      <c r="C416" s="88"/>
      <c r="D416" s="88"/>
      <c r="E416" s="83"/>
      <c r="F416" s="83"/>
      <c r="G416" s="83"/>
      <c r="H416" s="83"/>
      <c r="I416" s="83"/>
      <c r="J416" s="83"/>
      <c r="K416" s="83"/>
      <c r="L416" s="74"/>
      <c r="M416" s="74"/>
      <c r="N416" s="74"/>
      <c r="O416" s="74"/>
      <c r="P416" s="74"/>
      <c r="Q416" s="74"/>
      <c r="R416" s="74"/>
      <c r="S416" s="74"/>
      <c r="T416" s="74"/>
      <c r="U416" s="74"/>
      <c r="V416" s="74"/>
      <c r="W416" s="74"/>
      <c r="X416" s="74"/>
      <c r="Y416" s="74"/>
    </row>
    <row r="417" spans="1:25" ht="15.75" thickBot="1" x14ac:dyDescent="0.3">
      <c r="A417" s="82"/>
      <c r="B417" s="82"/>
      <c r="C417" s="87"/>
      <c r="D417" s="87"/>
      <c r="E417" s="82"/>
      <c r="F417" s="82"/>
      <c r="G417" s="82"/>
      <c r="H417" s="82"/>
      <c r="I417" s="82"/>
      <c r="J417" s="82"/>
      <c r="K417" s="82"/>
      <c r="L417" s="74"/>
      <c r="M417" s="74"/>
      <c r="N417" s="74"/>
      <c r="O417" s="74"/>
      <c r="P417" s="74"/>
      <c r="Q417" s="74"/>
      <c r="R417" s="74"/>
      <c r="S417" s="74"/>
      <c r="T417" s="74"/>
      <c r="U417" s="74"/>
      <c r="V417" s="74"/>
      <c r="W417" s="74"/>
      <c r="X417" s="74"/>
      <c r="Y417" s="74"/>
    </row>
    <row r="418" spans="1:25" ht="15.75" thickBot="1" x14ac:dyDescent="0.3">
      <c r="A418" s="83"/>
      <c r="B418" s="83"/>
      <c r="C418" s="88"/>
      <c r="D418" s="88"/>
      <c r="E418" s="83"/>
      <c r="F418" s="83"/>
      <c r="G418" s="83"/>
      <c r="H418" s="83"/>
      <c r="I418" s="83"/>
      <c r="J418" s="83"/>
      <c r="K418" s="83"/>
      <c r="L418" s="74"/>
      <c r="M418" s="74"/>
      <c r="N418" s="74"/>
      <c r="O418" s="74"/>
      <c r="P418" s="74"/>
      <c r="Q418" s="74"/>
      <c r="R418" s="74"/>
      <c r="S418" s="74"/>
      <c r="T418" s="74"/>
      <c r="U418" s="74"/>
      <c r="V418" s="74"/>
      <c r="W418" s="74"/>
      <c r="X418" s="74"/>
      <c r="Y418" s="74"/>
    </row>
    <row r="419" spans="1:25" ht="15.75" thickBot="1" x14ac:dyDescent="0.3">
      <c r="A419" s="82"/>
      <c r="B419" s="82"/>
      <c r="C419" s="87"/>
      <c r="D419" s="87"/>
      <c r="E419" s="82"/>
      <c r="F419" s="82"/>
      <c r="G419" s="82"/>
      <c r="H419" s="82"/>
      <c r="I419" s="82"/>
      <c r="J419" s="82"/>
      <c r="K419" s="82"/>
      <c r="L419" s="74"/>
      <c r="M419" s="74"/>
      <c r="N419" s="74"/>
      <c r="O419" s="74"/>
      <c r="P419" s="74"/>
      <c r="Q419" s="74"/>
      <c r="R419" s="74"/>
      <c r="S419" s="74"/>
      <c r="T419" s="74"/>
      <c r="U419" s="74"/>
      <c r="V419" s="74"/>
      <c r="W419" s="74"/>
      <c r="X419" s="74"/>
      <c r="Y419" s="74"/>
    </row>
    <row r="420" spans="1:25" ht="15.75" thickBot="1" x14ac:dyDescent="0.3">
      <c r="A420" s="83"/>
      <c r="B420" s="83"/>
      <c r="C420" s="88"/>
      <c r="D420" s="88"/>
      <c r="E420" s="83"/>
      <c r="F420" s="83"/>
      <c r="G420" s="83"/>
      <c r="H420" s="83"/>
      <c r="I420" s="83"/>
      <c r="J420" s="83"/>
      <c r="K420" s="83"/>
      <c r="L420" s="74"/>
      <c r="M420" s="74"/>
      <c r="N420" s="74"/>
      <c r="O420" s="74"/>
      <c r="P420" s="74"/>
      <c r="Q420" s="74"/>
      <c r="R420" s="74"/>
      <c r="S420" s="74"/>
      <c r="T420" s="74"/>
      <c r="U420" s="74"/>
      <c r="V420" s="74"/>
      <c r="W420" s="74"/>
      <c r="X420" s="74"/>
      <c r="Y420" s="74"/>
    </row>
    <row r="421" spans="1:25" ht="15.75" thickBot="1" x14ac:dyDescent="0.3">
      <c r="A421" s="82"/>
      <c r="B421" s="82"/>
      <c r="C421" s="87"/>
      <c r="D421" s="87"/>
      <c r="E421" s="82"/>
      <c r="F421" s="82"/>
      <c r="G421" s="82"/>
      <c r="H421" s="82"/>
      <c r="I421" s="82"/>
      <c r="J421" s="82"/>
      <c r="K421" s="82"/>
      <c r="L421" s="74"/>
      <c r="M421" s="74"/>
      <c r="N421" s="74"/>
      <c r="O421" s="74"/>
      <c r="P421" s="74"/>
      <c r="Q421" s="74"/>
      <c r="R421" s="74"/>
      <c r="S421" s="74"/>
      <c r="T421" s="74"/>
      <c r="U421" s="74"/>
      <c r="V421" s="74"/>
      <c r="W421" s="74"/>
      <c r="X421" s="74"/>
      <c r="Y421" s="74"/>
    </row>
    <row r="422" spans="1:25" ht="15.75" thickBot="1" x14ac:dyDescent="0.3">
      <c r="A422" s="83"/>
      <c r="B422" s="83"/>
      <c r="C422" s="88"/>
      <c r="D422" s="88"/>
      <c r="E422" s="83"/>
      <c r="F422" s="83"/>
      <c r="G422" s="83"/>
      <c r="H422" s="83"/>
      <c r="I422" s="83"/>
      <c r="J422" s="83"/>
      <c r="K422" s="83"/>
      <c r="L422" s="74"/>
      <c r="M422" s="74"/>
      <c r="N422" s="74"/>
      <c r="O422" s="74"/>
      <c r="P422" s="74"/>
      <c r="Q422" s="74"/>
      <c r="R422" s="74"/>
      <c r="S422" s="74"/>
      <c r="T422" s="74"/>
      <c r="U422" s="74"/>
      <c r="V422" s="74"/>
      <c r="W422" s="74"/>
      <c r="X422" s="74"/>
      <c r="Y422" s="74"/>
    </row>
    <row r="423" spans="1:25" ht="15.75" thickBot="1" x14ac:dyDescent="0.3">
      <c r="A423" s="82"/>
      <c r="B423" s="82"/>
      <c r="C423" s="87"/>
      <c r="D423" s="87"/>
      <c r="E423" s="82"/>
      <c r="F423" s="82"/>
      <c r="G423" s="82"/>
      <c r="H423" s="82"/>
      <c r="I423" s="82"/>
      <c r="J423" s="82"/>
      <c r="K423" s="82"/>
      <c r="L423" s="74"/>
      <c r="M423" s="74"/>
      <c r="N423" s="74"/>
      <c r="O423" s="74"/>
      <c r="P423" s="74"/>
      <c r="Q423" s="74"/>
      <c r="R423" s="74"/>
      <c r="S423" s="74"/>
      <c r="T423" s="74"/>
      <c r="U423" s="74"/>
      <c r="V423" s="74"/>
      <c r="W423" s="74"/>
      <c r="X423" s="74"/>
      <c r="Y423" s="74"/>
    </row>
    <row r="424" spans="1:25" ht="15.75" thickBot="1" x14ac:dyDescent="0.3">
      <c r="A424" s="83"/>
      <c r="B424" s="83"/>
      <c r="C424" s="88"/>
      <c r="D424" s="88"/>
      <c r="E424" s="83"/>
      <c r="F424" s="83"/>
      <c r="G424" s="83"/>
      <c r="H424" s="83"/>
      <c r="I424" s="83"/>
      <c r="J424" s="83"/>
      <c r="K424" s="83"/>
      <c r="L424" s="74"/>
      <c r="M424" s="74"/>
      <c r="N424" s="74"/>
      <c r="O424" s="74"/>
      <c r="P424" s="74"/>
      <c r="Q424" s="74"/>
      <c r="R424" s="74"/>
      <c r="S424" s="74"/>
      <c r="T424" s="74"/>
      <c r="U424" s="74"/>
      <c r="V424" s="74"/>
      <c r="W424" s="74"/>
      <c r="X424" s="74"/>
      <c r="Y424" s="74"/>
    </row>
    <row r="425" spans="1:25" ht="15.75" thickBot="1" x14ac:dyDescent="0.3">
      <c r="A425" s="82"/>
      <c r="B425" s="82"/>
      <c r="C425" s="87"/>
      <c r="D425" s="87"/>
      <c r="E425" s="82"/>
      <c r="F425" s="82"/>
      <c r="G425" s="82"/>
      <c r="H425" s="82"/>
      <c r="I425" s="82"/>
      <c r="J425" s="82"/>
      <c r="K425" s="82"/>
      <c r="L425" s="74"/>
      <c r="M425" s="74"/>
      <c r="N425" s="74"/>
      <c r="O425" s="74"/>
      <c r="P425" s="74"/>
      <c r="Q425" s="74"/>
      <c r="R425" s="74"/>
      <c r="S425" s="74"/>
      <c r="T425" s="74"/>
      <c r="U425" s="74"/>
      <c r="V425" s="74"/>
      <c r="W425" s="74"/>
      <c r="X425" s="74"/>
      <c r="Y425" s="74"/>
    </row>
    <row r="426" spans="1:25" ht="15.75" thickBot="1" x14ac:dyDescent="0.3">
      <c r="A426" s="83"/>
      <c r="B426" s="83"/>
      <c r="C426" s="88"/>
      <c r="D426" s="88"/>
      <c r="E426" s="83"/>
      <c r="F426" s="83"/>
      <c r="G426" s="83"/>
      <c r="H426" s="83"/>
      <c r="I426" s="83"/>
      <c r="J426" s="83"/>
      <c r="K426" s="83"/>
      <c r="L426" s="74"/>
      <c r="M426" s="74"/>
      <c r="N426" s="74"/>
      <c r="O426" s="74"/>
      <c r="P426" s="74"/>
      <c r="Q426" s="74"/>
      <c r="R426" s="74"/>
      <c r="S426" s="74"/>
      <c r="T426" s="74"/>
      <c r="U426" s="74"/>
      <c r="V426" s="74"/>
      <c r="W426" s="74"/>
      <c r="X426" s="74"/>
      <c r="Y426" s="74"/>
    </row>
    <row r="427" spans="1:25" ht="15.75" thickBot="1" x14ac:dyDescent="0.3">
      <c r="A427" s="82"/>
      <c r="B427" s="82"/>
      <c r="C427" s="87"/>
      <c r="D427" s="87"/>
      <c r="E427" s="82"/>
      <c r="F427" s="82"/>
      <c r="G427" s="82"/>
      <c r="H427" s="82"/>
      <c r="I427" s="82"/>
      <c r="J427" s="82"/>
      <c r="K427" s="82"/>
      <c r="L427" s="74"/>
      <c r="M427" s="74"/>
      <c r="N427" s="74"/>
      <c r="O427" s="74"/>
      <c r="P427" s="74"/>
      <c r="Q427" s="74"/>
      <c r="R427" s="74"/>
      <c r="S427" s="74"/>
      <c r="T427" s="74"/>
      <c r="U427" s="74"/>
      <c r="V427" s="74"/>
      <c r="W427" s="74"/>
      <c r="X427" s="74"/>
      <c r="Y427" s="74"/>
    </row>
    <row r="428" spans="1:25" ht="15.75" thickBot="1" x14ac:dyDescent="0.3">
      <c r="A428" s="83"/>
      <c r="B428" s="83"/>
      <c r="C428" s="88"/>
      <c r="D428" s="88"/>
      <c r="E428" s="83"/>
      <c r="F428" s="83"/>
      <c r="G428" s="83"/>
      <c r="H428" s="83"/>
      <c r="I428" s="83"/>
      <c r="J428" s="83"/>
      <c r="K428" s="83"/>
      <c r="L428" s="74"/>
      <c r="M428" s="74"/>
      <c r="N428" s="74"/>
      <c r="O428" s="74"/>
      <c r="P428" s="74"/>
      <c r="Q428" s="74"/>
      <c r="R428" s="74"/>
      <c r="S428" s="74"/>
      <c r="T428" s="74"/>
      <c r="U428" s="74"/>
      <c r="V428" s="74"/>
      <c r="W428" s="74"/>
      <c r="X428" s="74"/>
      <c r="Y428" s="74"/>
    </row>
    <row r="429" spans="1:25" ht="15.75" thickBot="1" x14ac:dyDescent="0.3">
      <c r="A429" s="82"/>
      <c r="B429" s="82"/>
      <c r="C429" s="87"/>
      <c r="D429" s="87"/>
      <c r="E429" s="82"/>
      <c r="F429" s="82"/>
      <c r="G429" s="82"/>
      <c r="H429" s="82"/>
      <c r="I429" s="82"/>
      <c r="J429" s="82"/>
      <c r="K429" s="82"/>
      <c r="L429" s="74"/>
      <c r="M429" s="74"/>
      <c r="N429" s="74"/>
      <c r="O429" s="74"/>
      <c r="P429" s="74"/>
      <c r="Q429" s="74"/>
      <c r="R429" s="74"/>
      <c r="S429" s="74"/>
      <c r="T429" s="74"/>
      <c r="U429" s="74"/>
      <c r="V429" s="74"/>
      <c r="W429" s="74"/>
      <c r="X429" s="74"/>
      <c r="Y429" s="74"/>
    </row>
    <row r="430" spans="1:25" ht="15.75" thickBot="1" x14ac:dyDescent="0.3">
      <c r="A430" s="83"/>
      <c r="B430" s="83"/>
      <c r="C430" s="88"/>
      <c r="D430" s="88"/>
      <c r="E430" s="83"/>
      <c r="F430" s="83"/>
      <c r="G430" s="83"/>
      <c r="H430" s="83"/>
      <c r="I430" s="83"/>
      <c r="J430" s="83"/>
      <c r="K430" s="83"/>
      <c r="L430" s="74"/>
      <c r="M430" s="74"/>
      <c r="N430" s="74"/>
      <c r="O430" s="74"/>
      <c r="P430" s="74"/>
      <c r="Q430" s="74"/>
      <c r="R430" s="74"/>
      <c r="S430" s="74"/>
      <c r="T430" s="74"/>
      <c r="U430" s="74"/>
      <c r="V430" s="74"/>
      <c r="W430" s="74"/>
      <c r="X430" s="74"/>
      <c r="Y430" s="74"/>
    </row>
    <row r="431" spans="1:25" ht="15.75" thickBot="1" x14ac:dyDescent="0.3">
      <c r="A431" s="82"/>
      <c r="B431" s="82"/>
      <c r="C431" s="87"/>
      <c r="D431" s="87"/>
      <c r="E431" s="82"/>
      <c r="F431" s="82"/>
      <c r="G431" s="82"/>
      <c r="H431" s="82"/>
      <c r="I431" s="82"/>
      <c r="J431" s="82"/>
      <c r="K431" s="82"/>
      <c r="L431" s="74"/>
      <c r="M431" s="74"/>
      <c r="N431" s="74"/>
      <c r="O431" s="74"/>
      <c r="P431" s="74"/>
      <c r="Q431" s="74"/>
      <c r="R431" s="74"/>
      <c r="S431" s="74"/>
      <c r="T431" s="74"/>
      <c r="U431" s="74"/>
      <c r="V431" s="74"/>
      <c r="W431" s="74"/>
      <c r="X431" s="74"/>
      <c r="Y431" s="74"/>
    </row>
    <row r="432" spans="1:25" ht="15.75" thickBot="1" x14ac:dyDescent="0.3">
      <c r="A432" s="83"/>
      <c r="B432" s="83"/>
      <c r="C432" s="88"/>
      <c r="D432" s="88"/>
      <c r="E432" s="83"/>
      <c r="F432" s="83"/>
      <c r="G432" s="83"/>
      <c r="H432" s="83"/>
      <c r="I432" s="83"/>
      <c r="J432" s="83"/>
      <c r="K432" s="83"/>
      <c r="L432" s="74"/>
      <c r="M432" s="74"/>
      <c r="N432" s="74"/>
      <c r="O432" s="74"/>
      <c r="P432" s="74"/>
      <c r="Q432" s="74"/>
      <c r="R432" s="74"/>
      <c r="S432" s="74"/>
      <c r="T432" s="74"/>
      <c r="U432" s="74"/>
      <c r="V432" s="74"/>
      <c r="W432" s="74"/>
      <c r="X432" s="74"/>
      <c r="Y432" s="74"/>
    </row>
    <row r="433" spans="1:25" ht="15.75" thickBot="1" x14ac:dyDescent="0.3">
      <c r="A433" s="82"/>
      <c r="B433" s="82"/>
      <c r="C433" s="87"/>
      <c r="D433" s="87"/>
      <c r="E433" s="82"/>
      <c r="F433" s="82"/>
      <c r="G433" s="82"/>
      <c r="H433" s="82"/>
      <c r="I433" s="82"/>
      <c r="J433" s="82"/>
      <c r="K433" s="82"/>
      <c r="L433" s="74"/>
      <c r="M433" s="74"/>
      <c r="N433" s="74"/>
      <c r="O433" s="74"/>
      <c r="P433" s="74"/>
      <c r="Q433" s="74"/>
      <c r="R433" s="74"/>
      <c r="S433" s="74"/>
      <c r="T433" s="74"/>
      <c r="U433" s="74"/>
      <c r="V433" s="74"/>
      <c r="W433" s="74"/>
      <c r="X433" s="74"/>
      <c r="Y433" s="74"/>
    </row>
    <row r="434" spans="1:25" ht="15.75" thickBot="1" x14ac:dyDescent="0.3">
      <c r="A434" s="83"/>
      <c r="B434" s="83"/>
      <c r="C434" s="88"/>
      <c r="D434" s="88"/>
      <c r="E434" s="83"/>
      <c r="F434" s="83"/>
      <c r="G434" s="83"/>
      <c r="H434" s="83"/>
      <c r="I434" s="83"/>
      <c r="J434" s="83"/>
      <c r="K434" s="83"/>
      <c r="L434" s="74"/>
      <c r="M434" s="74"/>
      <c r="N434" s="74"/>
      <c r="O434" s="74"/>
      <c r="P434" s="74"/>
      <c r="Q434" s="74"/>
      <c r="R434" s="74"/>
      <c r="S434" s="74"/>
      <c r="T434" s="74"/>
      <c r="U434" s="74"/>
      <c r="V434" s="74"/>
      <c r="W434" s="74"/>
      <c r="X434" s="74"/>
      <c r="Y434" s="74"/>
    </row>
    <row r="435" spans="1:25" ht="15.75" thickBot="1" x14ac:dyDescent="0.3">
      <c r="A435" s="82"/>
      <c r="B435" s="82"/>
      <c r="C435" s="87"/>
      <c r="D435" s="87"/>
      <c r="E435" s="82"/>
      <c r="F435" s="82"/>
      <c r="G435" s="82"/>
      <c r="H435" s="82"/>
      <c r="I435" s="82"/>
      <c r="J435" s="82"/>
      <c r="K435" s="82"/>
      <c r="L435" s="74"/>
      <c r="M435" s="74"/>
      <c r="N435" s="74"/>
      <c r="O435" s="74"/>
      <c r="P435" s="74"/>
      <c r="Q435" s="74"/>
      <c r="R435" s="74"/>
      <c r="S435" s="74"/>
      <c r="T435" s="74"/>
      <c r="U435" s="74"/>
      <c r="V435" s="74"/>
      <c r="W435" s="74"/>
      <c r="X435" s="74"/>
      <c r="Y435" s="74"/>
    </row>
    <row r="436" spans="1:25" ht="15.75" thickBot="1" x14ac:dyDescent="0.3">
      <c r="A436" s="83"/>
      <c r="B436" s="83"/>
      <c r="C436" s="88"/>
      <c r="D436" s="88"/>
      <c r="E436" s="83"/>
      <c r="F436" s="83"/>
      <c r="G436" s="83"/>
      <c r="H436" s="83"/>
      <c r="I436" s="83"/>
      <c r="J436" s="83"/>
      <c r="K436" s="83"/>
      <c r="L436" s="74"/>
      <c r="M436" s="74"/>
      <c r="N436" s="74"/>
      <c r="O436" s="74"/>
      <c r="P436" s="74"/>
      <c r="Q436" s="74"/>
      <c r="R436" s="74"/>
      <c r="S436" s="74"/>
      <c r="T436" s="74"/>
      <c r="U436" s="74"/>
      <c r="V436" s="74"/>
      <c r="W436" s="74"/>
      <c r="X436" s="74"/>
      <c r="Y436" s="74"/>
    </row>
    <row r="437" spans="1:25" ht="15.75" thickBot="1" x14ac:dyDescent="0.3">
      <c r="A437" s="82"/>
      <c r="B437" s="82"/>
      <c r="C437" s="87"/>
      <c r="D437" s="87"/>
      <c r="E437" s="82"/>
      <c r="F437" s="82"/>
      <c r="G437" s="82"/>
      <c r="H437" s="82"/>
      <c r="I437" s="82"/>
      <c r="J437" s="82"/>
      <c r="K437" s="82"/>
      <c r="L437" s="74"/>
      <c r="M437" s="74"/>
      <c r="N437" s="74"/>
      <c r="O437" s="74"/>
      <c r="P437" s="74"/>
      <c r="Q437" s="74"/>
      <c r="R437" s="74"/>
      <c r="S437" s="74"/>
      <c r="T437" s="74"/>
      <c r="U437" s="74"/>
      <c r="V437" s="74"/>
      <c r="W437" s="74"/>
      <c r="X437" s="74"/>
      <c r="Y437" s="74"/>
    </row>
    <row r="438" spans="1:25" ht="15.75" thickBot="1" x14ac:dyDescent="0.3">
      <c r="A438" s="83"/>
      <c r="B438" s="83"/>
      <c r="C438" s="88"/>
      <c r="D438" s="88"/>
      <c r="E438" s="83"/>
      <c r="F438" s="83"/>
      <c r="G438" s="83"/>
      <c r="H438" s="83"/>
      <c r="I438" s="83"/>
      <c r="J438" s="83"/>
      <c r="K438" s="83"/>
      <c r="L438" s="74"/>
      <c r="M438" s="74"/>
      <c r="N438" s="74"/>
      <c r="O438" s="74"/>
      <c r="P438" s="74"/>
      <c r="Q438" s="74"/>
      <c r="R438" s="74"/>
      <c r="S438" s="74"/>
      <c r="T438" s="74"/>
      <c r="U438" s="74"/>
      <c r="V438" s="74"/>
      <c r="W438" s="74"/>
      <c r="X438" s="74"/>
      <c r="Y438" s="74"/>
    </row>
    <row r="439" spans="1:25" ht="15.75" thickBot="1" x14ac:dyDescent="0.3">
      <c r="A439" s="82"/>
      <c r="B439" s="82"/>
      <c r="C439" s="87"/>
      <c r="D439" s="87"/>
      <c r="E439" s="82"/>
      <c r="F439" s="82"/>
      <c r="G439" s="82"/>
      <c r="H439" s="82"/>
      <c r="I439" s="82"/>
      <c r="J439" s="82"/>
      <c r="K439" s="82"/>
      <c r="L439" s="74"/>
      <c r="M439" s="74"/>
      <c r="N439" s="74"/>
      <c r="O439" s="74"/>
      <c r="P439" s="74"/>
      <c r="Q439" s="74"/>
      <c r="R439" s="74"/>
      <c r="S439" s="74"/>
      <c r="T439" s="74"/>
      <c r="U439" s="74"/>
      <c r="V439" s="74"/>
      <c r="W439" s="74"/>
      <c r="X439" s="74"/>
      <c r="Y439" s="74"/>
    </row>
    <row r="440" spans="1:25" ht="15.75" thickBot="1" x14ac:dyDescent="0.3">
      <c r="A440" s="83"/>
      <c r="B440" s="83"/>
      <c r="C440" s="88"/>
      <c r="D440" s="88"/>
      <c r="E440" s="83"/>
      <c r="F440" s="83"/>
      <c r="G440" s="83"/>
      <c r="H440" s="83"/>
      <c r="I440" s="83"/>
      <c r="J440" s="83"/>
      <c r="K440" s="83"/>
      <c r="L440" s="74"/>
      <c r="M440" s="74"/>
      <c r="N440" s="74"/>
      <c r="O440" s="74"/>
      <c r="P440" s="74"/>
      <c r="Q440" s="74"/>
      <c r="R440" s="74"/>
      <c r="S440" s="74"/>
      <c r="T440" s="74"/>
      <c r="U440" s="74"/>
      <c r="V440" s="74"/>
      <c r="W440" s="74"/>
      <c r="X440" s="74"/>
      <c r="Y440" s="74"/>
    </row>
    <row r="441" spans="1:25" ht="15.75" thickBot="1" x14ac:dyDescent="0.3">
      <c r="A441" s="82"/>
      <c r="B441" s="82"/>
      <c r="C441" s="87"/>
      <c r="D441" s="87"/>
      <c r="E441" s="82"/>
      <c r="F441" s="82"/>
      <c r="G441" s="82"/>
      <c r="H441" s="82"/>
      <c r="I441" s="82"/>
      <c r="J441" s="82"/>
      <c r="K441" s="82"/>
      <c r="L441" s="74"/>
      <c r="M441" s="74"/>
      <c r="N441" s="74"/>
      <c r="O441" s="74"/>
      <c r="P441" s="74"/>
      <c r="Q441" s="74"/>
      <c r="R441" s="74"/>
      <c r="S441" s="74"/>
      <c r="T441" s="74"/>
      <c r="U441" s="74"/>
      <c r="V441" s="74"/>
      <c r="W441" s="74"/>
      <c r="X441" s="74"/>
      <c r="Y441" s="74"/>
    </row>
    <row r="442" spans="1:25" ht="15.75" thickBot="1" x14ac:dyDescent="0.3">
      <c r="A442" s="83"/>
      <c r="B442" s="83"/>
      <c r="C442" s="88"/>
      <c r="D442" s="88"/>
      <c r="E442" s="83"/>
      <c r="F442" s="83"/>
      <c r="G442" s="83"/>
      <c r="H442" s="83"/>
      <c r="I442" s="83"/>
      <c r="J442" s="83"/>
      <c r="K442" s="83"/>
      <c r="L442" s="74"/>
      <c r="M442" s="74"/>
      <c r="N442" s="74"/>
      <c r="O442" s="74"/>
      <c r="P442" s="74"/>
      <c r="Q442" s="74"/>
      <c r="R442" s="74"/>
      <c r="S442" s="74"/>
      <c r="T442" s="74"/>
      <c r="U442" s="74"/>
      <c r="V442" s="74"/>
      <c r="W442" s="74"/>
      <c r="X442" s="74"/>
      <c r="Y442" s="74"/>
    </row>
    <row r="443" spans="1:25" ht="15.75" thickBot="1" x14ac:dyDescent="0.3">
      <c r="A443" s="82"/>
      <c r="B443" s="82"/>
      <c r="C443" s="87"/>
      <c r="D443" s="87"/>
      <c r="E443" s="82"/>
      <c r="F443" s="82"/>
      <c r="G443" s="82"/>
      <c r="H443" s="82"/>
      <c r="I443" s="82"/>
      <c r="J443" s="82"/>
      <c r="K443" s="82"/>
      <c r="L443" s="74"/>
      <c r="M443" s="74"/>
      <c r="N443" s="74"/>
      <c r="O443" s="74"/>
      <c r="P443" s="74"/>
      <c r="Q443" s="74"/>
      <c r="R443" s="74"/>
      <c r="S443" s="74"/>
      <c r="T443" s="74"/>
      <c r="U443" s="74"/>
      <c r="V443" s="74"/>
      <c r="W443" s="74"/>
      <c r="X443" s="74"/>
      <c r="Y443" s="74"/>
    </row>
    <row r="444" spans="1:25" ht="15.75" thickBot="1" x14ac:dyDescent="0.3">
      <c r="A444" s="83"/>
      <c r="B444" s="83"/>
      <c r="C444" s="88"/>
      <c r="D444" s="88"/>
      <c r="E444" s="83"/>
      <c r="F444" s="83"/>
      <c r="G444" s="83"/>
      <c r="H444" s="83"/>
      <c r="I444" s="83"/>
      <c r="J444" s="83"/>
      <c r="K444" s="83"/>
      <c r="L444" s="74"/>
      <c r="M444" s="74"/>
      <c r="N444" s="74"/>
      <c r="O444" s="74"/>
      <c r="P444" s="74"/>
      <c r="Q444" s="74"/>
      <c r="R444" s="74"/>
      <c r="S444" s="74"/>
      <c r="T444" s="74"/>
      <c r="U444" s="74"/>
      <c r="V444" s="74"/>
      <c r="W444" s="74"/>
      <c r="X444" s="74"/>
      <c r="Y444" s="74"/>
    </row>
    <row r="445" spans="1:25" ht="15.75" thickBot="1" x14ac:dyDescent="0.3">
      <c r="A445" s="82"/>
      <c r="B445" s="82"/>
      <c r="C445" s="87"/>
      <c r="D445" s="87"/>
      <c r="E445" s="82"/>
      <c r="F445" s="82"/>
      <c r="G445" s="82"/>
      <c r="H445" s="82"/>
      <c r="I445" s="82"/>
      <c r="J445" s="82"/>
      <c r="K445" s="82"/>
      <c r="L445" s="74"/>
      <c r="M445" s="74"/>
      <c r="N445" s="74"/>
      <c r="O445" s="74"/>
      <c r="P445" s="74"/>
      <c r="Q445" s="74"/>
      <c r="R445" s="74"/>
      <c r="S445" s="74"/>
      <c r="T445" s="74"/>
      <c r="U445" s="74"/>
      <c r="V445" s="74"/>
      <c r="W445" s="74"/>
      <c r="X445" s="74"/>
      <c r="Y445" s="74"/>
    </row>
    <row r="446" spans="1:25" ht="15.75" thickBot="1" x14ac:dyDescent="0.3">
      <c r="A446" s="83"/>
      <c r="B446" s="83"/>
      <c r="C446" s="88"/>
      <c r="D446" s="88"/>
      <c r="E446" s="83"/>
      <c r="F446" s="83"/>
      <c r="G446" s="83"/>
      <c r="H446" s="83"/>
      <c r="I446" s="83"/>
      <c r="J446" s="83"/>
      <c r="K446" s="83"/>
      <c r="L446" s="74"/>
      <c r="M446" s="74"/>
      <c r="N446" s="74"/>
      <c r="O446" s="74"/>
      <c r="P446" s="74"/>
      <c r="Q446" s="74"/>
      <c r="R446" s="74"/>
      <c r="S446" s="74"/>
      <c r="T446" s="74"/>
      <c r="U446" s="74"/>
      <c r="V446" s="74"/>
      <c r="W446" s="74"/>
      <c r="X446" s="74"/>
      <c r="Y446" s="74"/>
    </row>
    <row r="447" spans="1:25" ht="15.75" thickBot="1" x14ac:dyDescent="0.3">
      <c r="A447" s="82"/>
      <c r="B447" s="82"/>
      <c r="C447" s="87"/>
      <c r="D447" s="87"/>
      <c r="E447" s="82"/>
      <c r="F447" s="82"/>
      <c r="G447" s="82"/>
      <c r="H447" s="82"/>
      <c r="I447" s="82"/>
      <c r="J447" s="82"/>
      <c r="K447" s="82"/>
      <c r="L447" s="74"/>
      <c r="M447" s="74"/>
      <c r="N447" s="74"/>
      <c r="O447" s="74"/>
      <c r="P447" s="74"/>
      <c r="Q447" s="74"/>
      <c r="R447" s="74"/>
      <c r="S447" s="74"/>
      <c r="T447" s="74"/>
      <c r="U447" s="74"/>
      <c r="V447" s="74"/>
      <c r="W447" s="74"/>
      <c r="X447" s="74"/>
      <c r="Y447" s="74"/>
    </row>
    <row r="448" spans="1:25" ht="15.75" thickBot="1" x14ac:dyDescent="0.3">
      <c r="A448" s="83"/>
      <c r="B448" s="83"/>
      <c r="C448" s="88"/>
      <c r="D448" s="88"/>
      <c r="E448" s="83"/>
      <c r="F448" s="83"/>
      <c r="G448" s="83"/>
      <c r="H448" s="83"/>
      <c r="I448" s="83"/>
      <c r="J448" s="83"/>
      <c r="K448" s="83"/>
      <c r="L448" s="74"/>
      <c r="M448" s="74"/>
      <c r="N448" s="74"/>
      <c r="O448" s="74"/>
      <c r="P448" s="74"/>
      <c r="Q448" s="74"/>
      <c r="R448" s="74"/>
      <c r="S448" s="74"/>
      <c r="T448" s="74"/>
      <c r="U448" s="74"/>
      <c r="V448" s="74"/>
      <c r="W448" s="74"/>
      <c r="X448" s="74"/>
      <c r="Y448" s="74"/>
    </row>
    <row r="449" spans="1:25" ht="15.75" thickBot="1" x14ac:dyDescent="0.3">
      <c r="A449" s="82"/>
      <c r="B449" s="82"/>
      <c r="C449" s="87"/>
      <c r="D449" s="87"/>
      <c r="E449" s="82"/>
      <c r="F449" s="82"/>
      <c r="G449" s="82"/>
      <c r="H449" s="82"/>
      <c r="I449" s="82"/>
      <c r="J449" s="82"/>
      <c r="K449" s="82"/>
      <c r="L449" s="74"/>
      <c r="M449" s="74"/>
      <c r="N449" s="74"/>
      <c r="O449" s="74"/>
      <c r="P449" s="74"/>
      <c r="Q449" s="74"/>
      <c r="R449" s="74"/>
      <c r="S449" s="74"/>
      <c r="T449" s="74"/>
      <c r="U449" s="74"/>
      <c r="V449" s="74"/>
      <c r="W449" s="74"/>
      <c r="X449" s="74"/>
      <c r="Y449" s="74"/>
    </row>
    <row r="450" spans="1:25" ht="15.75" thickBot="1" x14ac:dyDescent="0.3">
      <c r="A450" s="83"/>
      <c r="B450" s="83"/>
      <c r="C450" s="88"/>
      <c r="D450" s="88"/>
      <c r="E450" s="83"/>
      <c r="F450" s="83"/>
      <c r="G450" s="83"/>
      <c r="H450" s="83"/>
      <c r="I450" s="83"/>
      <c r="J450" s="83"/>
      <c r="K450" s="83"/>
      <c r="L450" s="74"/>
      <c r="M450" s="74"/>
      <c r="N450" s="74"/>
      <c r="O450" s="74"/>
      <c r="P450" s="74"/>
      <c r="Q450" s="74"/>
      <c r="R450" s="74"/>
      <c r="S450" s="74"/>
      <c r="T450" s="74"/>
      <c r="U450" s="74"/>
      <c r="V450" s="74"/>
      <c r="W450" s="74"/>
      <c r="X450" s="74"/>
      <c r="Y450" s="74"/>
    </row>
    <row r="451" spans="1:25" ht="15.75" thickBot="1" x14ac:dyDescent="0.3">
      <c r="A451" s="82"/>
      <c r="B451" s="82"/>
      <c r="C451" s="87"/>
      <c r="D451" s="87"/>
      <c r="E451" s="82"/>
      <c r="F451" s="82"/>
      <c r="G451" s="82"/>
      <c r="H451" s="82"/>
      <c r="I451" s="82"/>
      <c r="J451" s="82"/>
      <c r="K451" s="82"/>
      <c r="L451" s="74"/>
      <c r="M451" s="74"/>
      <c r="N451" s="74"/>
      <c r="O451" s="74"/>
      <c r="P451" s="74"/>
      <c r="Q451" s="74"/>
      <c r="R451" s="74"/>
      <c r="S451" s="74"/>
      <c r="T451" s="74"/>
      <c r="U451" s="74"/>
      <c r="V451" s="74"/>
      <c r="W451" s="74"/>
      <c r="X451" s="74"/>
      <c r="Y451" s="74"/>
    </row>
    <row r="452" spans="1:25" ht="15.75" thickBot="1" x14ac:dyDescent="0.3">
      <c r="A452" s="83"/>
      <c r="B452" s="83"/>
      <c r="C452" s="88"/>
      <c r="D452" s="88"/>
      <c r="E452" s="83"/>
      <c r="F452" s="83"/>
      <c r="G452" s="83"/>
      <c r="H452" s="83"/>
      <c r="I452" s="83"/>
      <c r="J452" s="83"/>
      <c r="K452" s="83"/>
      <c r="L452" s="74"/>
      <c r="M452" s="74"/>
      <c r="N452" s="74"/>
      <c r="O452" s="74"/>
      <c r="P452" s="74"/>
      <c r="Q452" s="74"/>
      <c r="R452" s="74"/>
      <c r="S452" s="74"/>
      <c r="T452" s="74"/>
      <c r="U452" s="74"/>
      <c r="V452" s="74"/>
      <c r="W452" s="74"/>
      <c r="X452" s="74"/>
      <c r="Y452" s="74"/>
    </row>
    <row r="453" spans="1:25" ht="15.75" thickBot="1" x14ac:dyDescent="0.3">
      <c r="A453" s="82"/>
      <c r="B453" s="82"/>
      <c r="C453" s="87"/>
      <c r="D453" s="87"/>
      <c r="E453" s="82"/>
      <c r="F453" s="82"/>
      <c r="G453" s="82"/>
      <c r="H453" s="82"/>
      <c r="I453" s="82"/>
      <c r="J453" s="82"/>
      <c r="K453" s="82"/>
      <c r="L453" s="74"/>
      <c r="M453" s="74"/>
      <c r="N453" s="74"/>
      <c r="O453" s="74"/>
      <c r="P453" s="74"/>
      <c r="Q453" s="74"/>
      <c r="R453" s="74"/>
      <c r="S453" s="74"/>
      <c r="T453" s="74"/>
      <c r="U453" s="74"/>
      <c r="V453" s="74"/>
      <c r="W453" s="74"/>
      <c r="X453" s="74"/>
      <c r="Y453" s="74"/>
    </row>
    <row r="454" spans="1:25" ht="15.75" thickBot="1" x14ac:dyDescent="0.3">
      <c r="A454" s="83"/>
      <c r="B454" s="83"/>
      <c r="C454" s="88"/>
      <c r="D454" s="88"/>
      <c r="E454" s="83"/>
      <c r="F454" s="83"/>
      <c r="G454" s="83"/>
      <c r="H454" s="83"/>
      <c r="I454" s="83"/>
      <c r="J454" s="83"/>
      <c r="K454" s="83"/>
      <c r="L454" s="74"/>
      <c r="M454" s="74"/>
      <c r="N454" s="74"/>
      <c r="O454" s="74"/>
      <c r="P454" s="74"/>
      <c r="Q454" s="74"/>
      <c r="R454" s="74"/>
      <c r="S454" s="74"/>
      <c r="T454" s="74"/>
      <c r="U454" s="74"/>
      <c r="V454" s="74"/>
      <c r="W454" s="74"/>
      <c r="X454" s="74"/>
      <c r="Y454" s="74"/>
    </row>
    <row r="455" spans="1:25" ht="15.75" thickBot="1" x14ac:dyDescent="0.3">
      <c r="A455" s="82"/>
      <c r="B455" s="82"/>
      <c r="C455" s="87"/>
      <c r="D455" s="87"/>
      <c r="E455" s="82"/>
      <c r="F455" s="82"/>
      <c r="G455" s="82"/>
      <c r="H455" s="82"/>
      <c r="I455" s="82"/>
      <c r="J455" s="82"/>
      <c r="K455" s="82"/>
      <c r="L455" s="74"/>
      <c r="M455" s="74"/>
      <c r="N455" s="74"/>
      <c r="O455" s="74"/>
      <c r="P455" s="74"/>
      <c r="Q455" s="74"/>
      <c r="R455" s="74"/>
      <c r="S455" s="74"/>
      <c r="T455" s="74"/>
      <c r="U455" s="74"/>
      <c r="V455" s="74"/>
      <c r="W455" s="74"/>
      <c r="X455" s="74"/>
      <c r="Y455" s="74"/>
    </row>
    <row r="456" spans="1:25" ht="15.75" thickBot="1" x14ac:dyDescent="0.3">
      <c r="A456" s="83"/>
      <c r="B456" s="83"/>
      <c r="C456" s="88"/>
      <c r="D456" s="88"/>
      <c r="E456" s="83"/>
      <c r="F456" s="83"/>
      <c r="G456" s="83"/>
      <c r="H456" s="83"/>
      <c r="I456" s="83"/>
      <c r="J456" s="83"/>
      <c r="K456" s="83"/>
      <c r="L456" s="74"/>
      <c r="M456" s="74"/>
      <c r="N456" s="74"/>
      <c r="O456" s="74"/>
      <c r="P456" s="74"/>
      <c r="Q456" s="74"/>
      <c r="R456" s="74"/>
      <c r="S456" s="74"/>
      <c r="T456" s="74"/>
      <c r="U456" s="74"/>
      <c r="V456" s="74"/>
      <c r="W456" s="74"/>
      <c r="X456" s="74"/>
      <c r="Y456" s="74"/>
    </row>
    <row r="457" spans="1:25" ht="15.75" thickBot="1" x14ac:dyDescent="0.3">
      <c r="A457" s="82"/>
      <c r="B457" s="82"/>
      <c r="C457" s="87"/>
      <c r="D457" s="87"/>
      <c r="E457" s="82"/>
      <c r="F457" s="82"/>
      <c r="G457" s="82"/>
      <c r="H457" s="82"/>
      <c r="I457" s="82"/>
      <c r="J457" s="82"/>
      <c r="K457" s="82"/>
      <c r="L457" s="74"/>
      <c r="M457" s="74"/>
      <c r="N457" s="74"/>
      <c r="O457" s="74"/>
      <c r="P457" s="74"/>
      <c r="Q457" s="74"/>
      <c r="R457" s="74"/>
      <c r="S457" s="74"/>
      <c r="T457" s="74"/>
      <c r="U457" s="74"/>
      <c r="V457" s="74"/>
      <c r="W457" s="74"/>
      <c r="X457" s="74"/>
      <c r="Y457" s="74"/>
    </row>
    <row r="458" spans="1:25" ht="15.75" thickBot="1" x14ac:dyDescent="0.3">
      <c r="A458" s="83"/>
      <c r="B458" s="83"/>
      <c r="C458" s="88"/>
      <c r="D458" s="88"/>
      <c r="E458" s="83"/>
      <c r="F458" s="83"/>
      <c r="G458" s="83"/>
      <c r="H458" s="83"/>
      <c r="I458" s="83"/>
      <c r="J458" s="83"/>
      <c r="K458" s="83"/>
      <c r="L458" s="74"/>
      <c r="M458" s="74"/>
      <c r="N458" s="74"/>
      <c r="O458" s="74"/>
      <c r="P458" s="74"/>
      <c r="Q458" s="74"/>
      <c r="R458" s="74"/>
      <c r="S458" s="74"/>
      <c r="T458" s="74"/>
      <c r="U458" s="74"/>
      <c r="V458" s="74"/>
      <c r="W458" s="74"/>
      <c r="X458" s="74"/>
      <c r="Y458" s="74"/>
    </row>
    <row r="459" spans="1:25" ht="15.75" thickBot="1" x14ac:dyDescent="0.3">
      <c r="A459" s="82"/>
      <c r="B459" s="82"/>
      <c r="C459" s="87"/>
      <c r="D459" s="87"/>
      <c r="E459" s="82"/>
      <c r="F459" s="82"/>
      <c r="G459" s="82"/>
      <c r="H459" s="82"/>
      <c r="I459" s="82"/>
      <c r="J459" s="82"/>
      <c r="K459" s="82"/>
      <c r="L459" s="74"/>
      <c r="M459" s="74"/>
      <c r="N459" s="74"/>
      <c r="O459" s="74"/>
      <c r="P459" s="74"/>
      <c r="Q459" s="74"/>
      <c r="R459" s="74"/>
      <c r="S459" s="74"/>
      <c r="T459" s="74"/>
      <c r="U459" s="74"/>
      <c r="V459" s="74"/>
      <c r="W459" s="74"/>
      <c r="X459" s="74"/>
      <c r="Y459" s="74"/>
    </row>
    <row r="460" spans="1:25" ht="15.75" thickBot="1" x14ac:dyDescent="0.3">
      <c r="A460" s="83"/>
      <c r="B460" s="83"/>
      <c r="C460" s="88"/>
      <c r="D460" s="88"/>
      <c r="E460" s="83"/>
      <c r="F460" s="83"/>
      <c r="G460" s="83"/>
      <c r="H460" s="83"/>
      <c r="I460" s="83"/>
      <c r="J460" s="83"/>
      <c r="K460" s="83"/>
      <c r="L460" s="74"/>
      <c r="M460" s="74"/>
      <c r="N460" s="74"/>
      <c r="O460" s="74"/>
      <c r="P460" s="74"/>
      <c r="Q460" s="74"/>
      <c r="R460" s="74"/>
      <c r="S460" s="74"/>
      <c r="T460" s="74"/>
      <c r="U460" s="74"/>
      <c r="V460" s="74"/>
      <c r="W460" s="74"/>
      <c r="X460" s="74"/>
      <c r="Y460" s="74"/>
    </row>
    <row r="461" spans="1:25" ht="15.75" thickBot="1" x14ac:dyDescent="0.3">
      <c r="A461" s="82"/>
      <c r="B461" s="82"/>
      <c r="C461" s="87"/>
      <c r="D461" s="87"/>
      <c r="E461" s="82"/>
      <c r="F461" s="82"/>
      <c r="G461" s="82"/>
      <c r="H461" s="82"/>
      <c r="I461" s="82"/>
      <c r="J461" s="82"/>
      <c r="K461" s="82"/>
      <c r="L461" s="74"/>
      <c r="M461" s="74"/>
      <c r="N461" s="74"/>
      <c r="O461" s="74"/>
      <c r="P461" s="74"/>
      <c r="Q461" s="74"/>
      <c r="R461" s="74"/>
      <c r="S461" s="74"/>
      <c r="T461" s="74"/>
      <c r="U461" s="74"/>
      <c r="V461" s="74"/>
      <c r="W461" s="74"/>
      <c r="X461" s="74"/>
      <c r="Y461" s="74"/>
    </row>
    <row r="462" spans="1:25" ht="15.75" thickBot="1" x14ac:dyDescent="0.3">
      <c r="A462" s="83"/>
      <c r="B462" s="83"/>
      <c r="C462" s="88"/>
      <c r="D462" s="88"/>
      <c r="E462" s="83"/>
      <c r="F462" s="83"/>
      <c r="G462" s="83"/>
      <c r="H462" s="83"/>
      <c r="I462" s="83"/>
      <c r="J462" s="83"/>
      <c r="K462" s="83"/>
      <c r="L462" s="74"/>
      <c r="M462" s="74"/>
      <c r="N462" s="74"/>
      <c r="O462" s="74"/>
      <c r="P462" s="74"/>
      <c r="Q462" s="74"/>
      <c r="R462" s="74"/>
      <c r="S462" s="74"/>
      <c r="T462" s="74"/>
      <c r="U462" s="74"/>
      <c r="V462" s="74"/>
      <c r="W462" s="74"/>
      <c r="X462" s="74"/>
      <c r="Y462" s="74"/>
    </row>
    <row r="463" spans="1:25" ht="15.75" thickBot="1" x14ac:dyDescent="0.3">
      <c r="A463" s="82"/>
      <c r="B463" s="82"/>
      <c r="C463" s="87"/>
      <c r="D463" s="87"/>
      <c r="E463" s="82"/>
      <c r="F463" s="82"/>
      <c r="G463" s="82"/>
      <c r="H463" s="82"/>
      <c r="I463" s="82"/>
      <c r="J463" s="82"/>
      <c r="K463" s="82"/>
      <c r="L463" s="74"/>
      <c r="M463" s="74"/>
      <c r="N463" s="74"/>
      <c r="O463" s="74"/>
      <c r="P463" s="74"/>
      <c r="Q463" s="74"/>
      <c r="R463" s="74"/>
      <c r="S463" s="74"/>
      <c r="T463" s="74"/>
      <c r="U463" s="74"/>
      <c r="V463" s="74"/>
      <c r="W463" s="74"/>
      <c r="X463" s="74"/>
      <c r="Y463" s="74"/>
    </row>
    <row r="464" spans="1:25" ht="15.75" thickBot="1" x14ac:dyDescent="0.3">
      <c r="A464" s="83"/>
      <c r="B464" s="83"/>
      <c r="C464" s="88"/>
      <c r="D464" s="88"/>
      <c r="E464" s="83"/>
      <c r="F464" s="83"/>
      <c r="G464" s="83"/>
      <c r="H464" s="83"/>
      <c r="I464" s="83"/>
      <c r="J464" s="83"/>
      <c r="K464" s="83"/>
      <c r="L464" s="74"/>
      <c r="M464" s="74"/>
      <c r="N464" s="74"/>
      <c r="O464" s="74"/>
      <c r="P464" s="74"/>
      <c r="Q464" s="74"/>
      <c r="R464" s="74"/>
      <c r="S464" s="74"/>
      <c r="T464" s="74"/>
      <c r="U464" s="74"/>
      <c r="V464" s="74"/>
      <c r="W464" s="74"/>
      <c r="X464" s="74"/>
      <c r="Y464" s="74"/>
    </row>
    <row r="465" spans="1:25" ht="15.75" thickBot="1" x14ac:dyDescent="0.3">
      <c r="A465" s="82"/>
      <c r="B465" s="82"/>
      <c r="C465" s="87"/>
      <c r="D465" s="87"/>
      <c r="E465" s="82"/>
      <c r="F465" s="82"/>
      <c r="G465" s="82"/>
      <c r="H465" s="82"/>
      <c r="I465" s="82"/>
      <c r="J465" s="82"/>
      <c r="K465" s="82"/>
      <c r="L465" s="74"/>
      <c r="M465" s="74"/>
      <c r="N465" s="74"/>
      <c r="O465" s="74"/>
      <c r="P465" s="74"/>
      <c r="Q465" s="74"/>
      <c r="R465" s="74"/>
      <c r="S465" s="74"/>
      <c r="T465" s="74"/>
      <c r="U465" s="74"/>
      <c r="V465" s="74"/>
      <c r="W465" s="74"/>
      <c r="X465" s="74"/>
      <c r="Y465" s="74"/>
    </row>
    <row r="466" spans="1:25" ht="15.75" thickBot="1" x14ac:dyDescent="0.3">
      <c r="A466" s="83"/>
      <c r="B466" s="83"/>
      <c r="C466" s="88"/>
      <c r="D466" s="88"/>
      <c r="E466" s="83"/>
      <c r="F466" s="83"/>
      <c r="G466" s="83"/>
      <c r="H466" s="83"/>
      <c r="I466" s="83"/>
      <c r="J466" s="83"/>
      <c r="K466" s="83"/>
      <c r="L466" s="74"/>
      <c r="M466" s="74"/>
      <c r="N466" s="74"/>
      <c r="O466" s="74"/>
      <c r="P466" s="74"/>
      <c r="Q466" s="74"/>
      <c r="R466" s="74"/>
      <c r="S466" s="74"/>
      <c r="T466" s="74"/>
      <c r="U466" s="74"/>
      <c r="V466" s="74"/>
      <c r="W466" s="74"/>
      <c r="X466" s="74"/>
      <c r="Y466" s="74"/>
    </row>
    <row r="467" spans="1:25" ht="15.75" thickBot="1" x14ac:dyDescent="0.3">
      <c r="A467" s="82"/>
      <c r="B467" s="82"/>
      <c r="C467" s="87"/>
      <c r="D467" s="87"/>
      <c r="E467" s="82"/>
      <c r="F467" s="82"/>
      <c r="G467" s="82"/>
      <c r="H467" s="82"/>
      <c r="I467" s="82"/>
      <c r="J467" s="82"/>
      <c r="K467" s="82"/>
      <c r="L467" s="74"/>
      <c r="M467" s="74"/>
      <c r="N467" s="74"/>
      <c r="O467" s="74"/>
      <c r="P467" s="74"/>
      <c r="Q467" s="74"/>
      <c r="R467" s="74"/>
      <c r="S467" s="74"/>
      <c r="T467" s="74"/>
      <c r="U467" s="74"/>
      <c r="V467" s="74"/>
      <c r="W467" s="74"/>
      <c r="X467" s="74"/>
      <c r="Y467" s="74"/>
    </row>
    <row r="468" spans="1:25" ht="15.75" thickBot="1" x14ac:dyDescent="0.3">
      <c r="A468" s="83"/>
      <c r="B468" s="83"/>
      <c r="C468" s="88"/>
      <c r="D468" s="88"/>
      <c r="E468" s="83"/>
      <c r="F468" s="83"/>
      <c r="G468" s="83"/>
      <c r="H468" s="83"/>
      <c r="I468" s="83"/>
      <c r="J468" s="83"/>
      <c r="K468" s="83"/>
      <c r="L468" s="74"/>
      <c r="M468" s="74"/>
      <c r="N468" s="74"/>
      <c r="O468" s="74"/>
      <c r="P468" s="74"/>
      <c r="Q468" s="74"/>
      <c r="R468" s="74"/>
      <c r="S468" s="74"/>
      <c r="T468" s="74"/>
      <c r="U468" s="74"/>
      <c r="V468" s="74"/>
      <c r="W468" s="74"/>
      <c r="X468" s="74"/>
      <c r="Y468" s="74"/>
    </row>
    <row r="469" spans="1:25" ht="15.75" thickBot="1" x14ac:dyDescent="0.3">
      <c r="A469" s="82"/>
      <c r="B469" s="82"/>
      <c r="C469" s="87"/>
      <c r="D469" s="87"/>
      <c r="E469" s="82"/>
      <c r="F469" s="82"/>
      <c r="G469" s="82"/>
      <c r="H469" s="82"/>
      <c r="I469" s="82"/>
      <c r="J469" s="82"/>
      <c r="K469" s="82"/>
      <c r="L469" s="74"/>
      <c r="M469" s="74"/>
      <c r="N469" s="74"/>
      <c r="O469" s="74"/>
      <c r="P469" s="74"/>
      <c r="Q469" s="74"/>
      <c r="R469" s="74"/>
      <c r="S469" s="74"/>
      <c r="T469" s="74"/>
      <c r="U469" s="74"/>
      <c r="V469" s="74"/>
      <c r="W469" s="74"/>
      <c r="X469" s="74"/>
      <c r="Y469" s="74"/>
    </row>
    <row r="470" spans="1:25" ht="15.75" thickBot="1" x14ac:dyDescent="0.3">
      <c r="A470" s="83"/>
      <c r="B470" s="83"/>
      <c r="C470" s="88"/>
      <c r="D470" s="88"/>
      <c r="E470" s="83"/>
      <c r="F470" s="83"/>
      <c r="G470" s="83"/>
      <c r="H470" s="83"/>
      <c r="I470" s="83"/>
      <c r="J470" s="83"/>
      <c r="K470" s="83"/>
      <c r="L470" s="74"/>
      <c r="M470" s="74"/>
      <c r="N470" s="74"/>
      <c r="O470" s="74"/>
      <c r="P470" s="74"/>
      <c r="Q470" s="74"/>
      <c r="R470" s="74"/>
      <c r="S470" s="74"/>
      <c r="T470" s="74"/>
      <c r="U470" s="74"/>
      <c r="V470" s="74"/>
      <c r="W470" s="74"/>
      <c r="X470" s="74"/>
      <c r="Y470" s="74"/>
    </row>
    <row r="471" spans="1:25" ht="15.75" thickBot="1" x14ac:dyDescent="0.3">
      <c r="A471" s="82"/>
      <c r="B471" s="82"/>
      <c r="C471" s="87"/>
      <c r="D471" s="87"/>
      <c r="E471" s="82"/>
      <c r="F471" s="82"/>
      <c r="G471" s="82"/>
      <c r="H471" s="82"/>
      <c r="I471" s="82"/>
      <c r="J471" s="82"/>
      <c r="K471" s="82"/>
      <c r="L471" s="74"/>
      <c r="M471" s="74"/>
      <c r="N471" s="74"/>
      <c r="O471" s="74"/>
      <c r="P471" s="74"/>
      <c r="Q471" s="74"/>
      <c r="R471" s="74"/>
      <c r="S471" s="74"/>
      <c r="T471" s="74"/>
      <c r="U471" s="74"/>
      <c r="V471" s="74"/>
      <c r="W471" s="74"/>
      <c r="X471" s="74"/>
      <c r="Y471" s="74"/>
    </row>
    <row r="472" spans="1:25" ht="15.75" thickBot="1" x14ac:dyDescent="0.3">
      <c r="A472" s="83"/>
      <c r="B472" s="83"/>
      <c r="C472" s="88"/>
      <c r="D472" s="88"/>
      <c r="E472" s="83"/>
      <c r="F472" s="83"/>
      <c r="G472" s="83"/>
      <c r="H472" s="83"/>
      <c r="I472" s="83"/>
      <c r="J472" s="83"/>
      <c r="K472" s="83"/>
      <c r="L472" s="74"/>
      <c r="M472" s="74"/>
      <c r="N472" s="74"/>
      <c r="O472" s="74"/>
      <c r="P472" s="74"/>
      <c r="Q472" s="74"/>
      <c r="R472" s="74"/>
      <c r="S472" s="74"/>
      <c r="T472" s="74"/>
      <c r="U472" s="74"/>
      <c r="V472" s="74"/>
      <c r="W472" s="74"/>
      <c r="X472" s="74"/>
      <c r="Y472" s="74"/>
    </row>
    <row r="473" spans="1:25" ht="15.75" thickBot="1" x14ac:dyDescent="0.3">
      <c r="A473" s="82"/>
      <c r="B473" s="82"/>
      <c r="C473" s="87"/>
      <c r="D473" s="87"/>
      <c r="E473" s="82"/>
      <c r="F473" s="82"/>
      <c r="G473" s="82"/>
      <c r="H473" s="82"/>
      <c r="I473" s="82"/>
      <c r="J473" s="82"/>
      <c r="K473" s="82"/>
      <c r="L473" s="74"/>
      <c r="M473" s="74"/>
      <c r="N473" s="74"/>
      <c r="O473" s="74"/>
      <c r="P473" s="74"/>
      <c r="Q473" s="74"/>
      <c r="R473" s="74"/>
      <c r="S473" s="74"/>
      <c r="T473" s="74"/>
      <c r="U473" s="74"/>
      <c r="V473" s="74"/>
      <c r="W473" s="74"/>
      <c r="X473" s="74"/>
      <c r="Y473" s="74"/>
    </row>
    <row r="474" spans="1:25" ht="15.75" thickBot="1" x14ac:dyDescent="0.3">
      <c r="A474" s="83"/>
      <c r="B474" s="83"/>
      <c r="C474" s="88"/>
      <c r="D474" s="88"/>
      <c r="E474" s="83"/>
      <c r="F474" s="83"/>
      <c r="G474" s="83"/>
      <c r="H474" s="83"/>
      <c r="I474" s="83"/>
      <c r="J474" s="83"/>
      <c r="K474" s="83"/>
      <c r="L474" s="74"/>
      <c r="M474" s="74"/>
      <c r="N474" s="74"/>
      <c r="O474" s="74"/>
      <c r="P474" s="74"/>
      <c r="Q474" s="74"/>
      <c r="R474" s="74"/>
      <c r="S474" s="74"/>
      <c r="T474" s="74"/>
      <c r="U474" s="74"/>
      <c r="V474" s="74"/>
      <c r="W474" s="74"/>
      <c r="X474" s="74"/>
      <c r="Y474" s="74"/>
    </row>
    <row r="475" spans="1:25" ht="15.75" thickBot="1" x14ac:dyDescent="0.3">
      <c r="A475" s="82"/>
      <c r="B475" s="82"/>
      <c r="C475" s="87"/>
      <c r="D475" s="87"/>
      <c r="E475" s="82"/>
      <c r="F475" s="82"/>
      <c r="G475" s="82"/>
      <c r="H475" s="82"/>
      <c r="I475" s="82"/>
      <c r="J475" s="82"/>
      <c r="K475" s="82"/>
      <c r="L475" s="74"/>
      <c r="M475" s="74"/>
      <c r="N475" s="74"/>
      <c r="O475" s="74"/>
      <c r="P475" s="74"/>
      <c r="Q475" s="74"/>
      <c r="R475" s="74"/>
      <c r="S475" s="74"/>
      <c r="T475" s="74"/>
      <c r="U475" s="74"/>
      <c r="V475" s="74"/>
      <c r="W475" s="74"/>
      <c r="X475" s="74"/>
      <c r="Y475" s="74"/>
    </row>
    <row r="476" spans="1:25" ht="15.75" thickBot="1" x14ac:dyDescent="0.3">
      <c r="A476" s="83"/>
      <c r="B476" s="83"/>
      <c r="C476" s="88"/>
      <c r="D476" s="88"/>
      <c r="E476" s="83"/>
      <c r="F476" s="83"/>
      <c r="G476" s="83"/>
      <c r="H476" s="83"/>
      <c r="I476" s="83"/>
      <c r="J476" s="83"/>
      <c r="K476" s="83"/>
      <c r="L476" s="74"/>
      <c r="M476" s="74"/>
      <c r="N476" s="74"/>
      <c r="O476" s="74"/>
      <c r="P476" s="74"/>
      <c r="Q476" s="74"/>
      <c r="R476" s="74"/>
      <c r="S476" s="74"/>
      <c r="T476" s="74"/>
      <c r="U476" s="74"/>
      <c r="V476" s="74"/>
      <c r="W476" s="74"/>
      <c r="X476" s="74"/>
      <c r="Y476" s="74"/>
    </row>
    <row r="477" spans="1:25" ht="15.75" thickBot="1" x14ac:dyDescent="0.3">
      <c r="A477" s="82"/>
      <c r="B477" s="82"/>
      <c r="C477" s="87"/>
      <c r="D477" s="87"/>
      <c r="E477" s="82"/>
      <c r="F477" s="82"/>
      <c r="G477" s="82"/>
      <c r="H477" s="82"/>
      <c r="I477" s="82"/>
      <c r="J477" s="82"/>
      <c r="K477" s="82"/>
      <c r="L477" s="74"/>
      <c r="M477" s="74"/>
      <c r="N477" s="74"/>
      <c r="O477" s="74"/>
      <c r="P477" s="74"/>
      <c r="Q477" s="74"/>
      <c r="R477" s="74"/>
      <c r="S477" s="74"/>
      <c r="T477" s="74"/>
      <c r="U477" s="74"/>
      <c r="V477" s="74"/>
      <c r="W477" s="74"/>
      <c r="X477" s="74"/>
      <c r="Y477" s="74"/>
    </row>
    <row r="478" spans="1:25" ht="15.75" thickBot="1" x14ac:dyDescent="0.3">
      <c r="A478" s="83"/>
      <c r="B478" s="83"/>
      <c r="C478" s="88"/>
      <c r="D478" s="88"/>
      <c r="E478" s="83"/>
      <c r="F478" s="83"/>
      <c r="G478" s="83"/>
      <c r="H478" s="83"/>
      <c r="I478" s="83"/>
      <c r="J478" s="83"/>
      <c r="K478" s="83"/>
      <c r="L478" s="74"/>
      <c r="M478" s="74"/>
      <c r="N478" s="74"/>
      <c r="O478" s="74"/>
      <c r="P478" s="74"/>
      <c r="Q478" s="74"/>
      <c r="R478" s="74"/>
      <c r="S478" s="74"/>
      <c r="T478" s="74"/>
      <c r="U478" s="74"/>
      <c r="V478" s="74"/>
      <c r="W478" s="74"/>
      <c r="X478" s="74"/>
      <c r="Y478" s="74"/>
    </row>
    <row r="479" spans="1:25" ht="15.75" thickBot="1" x14ac:dyDescent="0.3">
      <c r="A479" s="82"/>
      <c r="B479" s="82"/>
      <c r="C479" s="87"/>
      <c r="D479" s="87"/>
      <c r="E479" s="82"/>
      <c r="F479" s="82"/>
      <c r="G479" s="82"/>
      <c r="H479" s="82"/>
      <c r="I479" s="82"/>
      <c r="J479" s="82"/>
      <c r="K479" s="82"/>
      <c r="L479" s="74"/>
      <c r="M479" s="74"/>
      <c r="N479" s="74"/>
      <c r="O479" s="74"/>
      <c r="P479" s="74"/>
      <c r="Q479" s="74"/>
      <c r="R479" s="74"/>
      <c r="S479" s="74"/>
      <c r="T479" s="74"/>
      <c r="U479" s="74"/>
      <c r="V479" s="74"/>
      <c r="W479" s="74"/>
      <c r="X479" s="74"/>
      <c r="Y479" s="74"/>
    </row>
    <row r="480" spans="1:25" ht="15.75" thickBot="1" x14ac:dyDescent="0.3">
      <c r="A480" s="83"/>
      <c r="B480" s="83"/>
      <c r="C480" s="88"/>
      <c r="D480" s="88"/>
      <c r="E480" s="83"/>
      <c r="F480" s="83"/>
      <c r="G480" s="83"/>
      <c r="H480" s="83"/>
      <c r="I480" s="83"/>
      <c r="J480" s="83"/>
      <c r="K480" s="83"/>
      <c r="L480" s="74"/>
      <c r="M480" s="74"/>
      <c r="N480" s="74"/>
      <c r="O480" s="74"/>
      <c r="P480" s="74"/>
      <c r="Q480" s="74"/>
      <c r="R480" s="74"/>
      <c r="S480" s="74"/>
      <c r="T480" s="74"/>
      <c r="U480" s="74"/>
      <c r="V480" s="74"/>
      <c r="W480" s="74"/>
      <c r="X480" s="74"/>
      <c r="Y480" s="74"/>
    </row>
    <row r="481" spans="1:25" ht="15.75" thickBot="1" x14ac:dyDescent="0.3">
      <c r="A481" s="82"/>
      <c r="B481" s="82"/>
      <c r="C481" s="87"/>
      <c r="D481" s="87"/>
      <c r="E481" s="82"/>
      <c r="F481" s="82"/>
      <c r="G481" s="82"/>
      <c r="H481" s="82"/>
      <c r="I481" s="82"/>
      <c r="J481" s="82"/>
      <c r="K481" s="82"/>
      <c r="L481" s="74"/>
      <c r="M481" s="74"/>
      <c r="N481" s="74"/>
      <c r="O481" s="74"/>
      <c r="P481" s="74"/>
      <c r="Q481" s="74"/>
      <c r="R481" s="74"/>
      <c r="S481" s="74"/>
      <c r="T481" s="74"/>
      <c r="U481" s="74"/>
      <c r="V481" s="74"/>
      <c r="W481" s="74"/>
      <c r="X481" s="74"/>
      <c r="Y481" s="74"/>
    </row>
    <row r="482" spans="1:25" ht="15.75" thickBot="1" x14ac:dyDescent="0.3">
      <c r="A482" s="83"/>
      <c r="B482" s="83"/>
      <c r="C482" s="88"/>
      <c r="D482" s="88"/>
      <c r="E482" s="83"/>
      <c r="F482" s="83"/>
      <c r="G482" s="83"/>
      <c r="H482" s="83"/>
      <c r="I482" s="83"/>
      <c r="J482" s="83"/>
      <c r="K482" s="83"/>
      <c r="L482" s="74"/>
      <c r="M482" s="74"/>
      <c r="N482" s="74"/>
      <c r="O482" s="74"/>
      <c r="P482" s="74"/>
      <c r="Q482" s="74"/>
      <c r="R482" s="74"/>
      <c r="S482" s="74"/>
      <c r="T482" s="74"/>
      <c r="U482" s="74"/>
      <c r="V482" s="74"/>
      <c r="W482" s="74"/>
      <c r="X482" s="74"/>
      <c r="Y482" s="74"/>
    </row>
    <row r="483" spans="1:25" ht="15.75" thickBot="1" x14ac:dyDescent="0.3">
      <c r="A483" s="82"/>
      <c r="B483" s="82"/>
      <c r="C483" s="87"/>
      <c r="D483" s="87"/>
      <c r="E483" s="82"/>
      <c r="F483" s="82"/>
      <c r="G483" s="82"/>
      <c r="H483" s="82"/>
      <c r="I483" s="82"/>
      <c r="J483" s="82"/>
      <c r="K483" s="82"/>
      <c r="L483" s="74"/>
      <c r="M483" s="74"/>
      <c r="N483" s="74"/>
      <c r="O483" s="74"/>
      <c r="P483" s="74"/>
      <c r="Q483" s="74"/>
      <c r="R483" s="74"/>
      <c r="S483" s="74"/>
      <c r="T483" s="74"/>
      <c r="U483" s="74"/>
      <c r="V483" s="74"/>
      <c r="W483" s="74"/>
      <c r="X483" s="74"/>
      <c r="Y483" s="74"/>
    </row>
    <row r="484" spans="1:25" ht="15.75" thickBot="1" x14ac:dyDescent="0.3">
      <c r="A484" s="83"/>
      <c r="B484" s="83"/>
      <c r="C484" s="88"/>
      <c r="D484" s="88"/>
      <c r="E484" s="83"/>
      <c r="F484" s="83"/>
      <c r="G484" s="83"/>
      <c r="H484" s="83"/>
      <c r="I484" s="83"/>
      <c r="J484" s="83"/>
      <c r="K484" s="83"/>
      <c r="L484" s="74"/>
      <c r="M484" s="74"/>
      <c r="N484" s="74"/>
      <c r="O484" s="74"/>
      <c r="P484" s="74"/>
      <c r="Q484" s="74"/>
      <c r="R484" s="74"/>
      <c r="S484" s="74"/>
      <c r="T484" s="74"/>
      <c r="U484" s="74"/>
      <c r="V484" s="74"/>
      <c r="W484" s="74"/>
      <c r="X484" s="74"/>
      <c r="Y484" s="74"/>
    </row>
    <row r="485" spans="1:25" ht="15.75" thickBot="1" x14ac:dyDescent="0.3">
      <c r="A485" s="82"/>
      <c r="B485" s="82"/>
      <c r="C485" s="87"/>
      <c r="D485" s="87"/>
      <c r="E485" s="82"/>
      <c r="F485" s="82"/>
      <c r="G485" s="82"/>
      <c r="H485" s="82"/>
      <c r="I485" s="82"/>
      <c r="J485" s="82"/>
      <c r="K485" s="82"/>
      <c r="L485" s="74"/>
      <c r="M485" s="74"/>
      <c r="N485" s="74"/>
      <c r="O485" s="74"/>
      <c r="P485" s="74"/>
      <c r="Q485" s="74"/>
      <c r="R485" s="74"/>
      <c r="S485" s="74"/>
      <c r="T485" s="74"/>
      <c r="U485" s="74"/>
      <c r="V485" s="74"/>
      <c r="W485" s="74"/>
      <c r="X485" s="74"/>
      <c r="Y485" s="74"/>
    </row>
    <row r="486" spans="1:25" ht="15.75" thickBot="1" x14ac:dyDescent="0.3">
      <c r="A486" s="83"/>
      <c r="B486" s="83"/>
      <c r="C486" s="88"/>
      <c r="D486" s="88"/>
      <c r="E486" s="83"/>
      <c r="F486" s="83"/>
      <c r="G486" s="83"/>
      <c r="H486" s="83"/>
      <c r="I486" s="83"/>
      <c r="J486" s="83"/>
      <c r="K486" s="83"/>
      <c r="L486" s="74"/>
      <c r="M486" s="74"/>
      <c r="N486" s="74"/>
      <c r="O486" s="74"/>
      <c r="P486" s="74"/>
      <c r="Q486" s="74"/>
      <c r="R486" s="74"/>
      <c r="S486" s="74"/>
      <c r="T486" s="74"/>
      <c r="U486" s="74"/>
      <c r="V486" s="74"/>
      <c r="W486" s="74"/>
      <c r="X486" s="74"/>
      <c r="Y486" s="74"/>
    </row>
    <row r="487" spans="1:25" ht="15.75" thickBot="1" x14ac:dyDescent="0.3">
      <c r="A487" s="82"/>
      <c r="B487" s="82"/>
      <c r="C487" s="87"/>
      <c r="D487" s="87"/>
      <c r="E487" s="82"/>
      <c r="F487" s="82"/>
      <c r="G487" s="82"/>
      <c r="H487" s="82"/>
      <c r="I487" s="82"/>
      <c r="J487" s="82"/>
      <c r="K487" s="82"/>
      <c r="L487" s="74"/>
      <c r="M487" s="74"/>
      <c r="N487" s="74"/>
      <c r="O487" s="74"/>
      <c r="P487" s="74"/>
      <c r="Q487" s="74"/>
      <c r="R487" s="74"/>
      <c r="S487" s="74"/>
      <c r="T487" s="74"/>
      <c r="U487" s="74"/>
      <c r="V487" s="74"/>
      <c r="W487" s="74"/>
      <c r="X487" s="74"/>
      <c r="Y487" s="74"/>
    </row>
    <row r="488" spans="1:25" ht="15.75" thickBot="1" x14ac:dyDescent="0.3">
      <c r="A488" s="83"/>
      <c r="B488" s="83"/>
      <c r="C488" s="88"/>
      <c r="D488" s="88"/>
      <c r="E488" s="83"/>
      <c r="F488" s="83"/>
      <c r="G488" s="83"/>
      <c r="H488" s="83"/>
      <c r="I488" s="83"/>
      <c r="J488" s="83"/>
      <c r="K488" s="83"/>
      <c r="L488" s="74"/>
      <c r="M488" s="74"/>
      <c r="N488" s="74"/>
      <c r="O488" s="74"/>
      <c r="P488" s="74"/>
      <c r="Q488" s="74"/>
      <c r="R488" s="74"/>
      <c r="S488" s="74"/>
      <c r="T488" s="74"/>
      <c r="U488" s="74"/>
      <c r="V488" s="74"/>
      <c r="W488" s="74"/>
      <c r="X488" s="74"/>
      <c r="Y488" s="74"/>
    </row>
    <row r="489" spans="1:25" ht="15.75" thickBot="1" x14ac:dyDescent="0.3">
      <c r="A489" s="82"/>
      <c r="B489" s="82"/>
      <c r="C489" s="87"/>
      <c r="D489" s="87"/>
      <c r="E489" s="82"/>
      <c r="F489" s="82"/>
      <c r="G489" s="82"/>
      <c r="H489" s="82"/>
      <c r="I489" s="82"/>
      <c r="J489" s="82"/>
      <c r="K489" s="82"/>
      <c r="L489" s="74"/>
      <c r="M489" s="74"/>
      <c r="N489" s="74"/>
      <c r="O489" s="74"/>
      <c r="P489" s="74"/>
      <c r="Q489" s="74"/>
      <c r="R489" s="74"/>
      <c r="S489" s="74"/>
      <c r="T489" s="74"/>
      <c r="U489" s="74"/>
      <c r="V489" s="74"/>
      <c r="W489" s="74"/>
      <c r="X489" s="74"/>
      <c r="Y489" s="74"/>
    </row>
    <row r="490" spans="1:25" ht="15.75" thickBot="1" x14ac:dyDescent="0.3">
      <c r="A490" s="83"/>
      <c r="B490" s="83"/>
      <c r="C490" s="88"/>
      <c r="D490" s="88"/>
      <c r="E490" s="83"/>
      <c r="F490" s="83"/>
      <c r="G490" s="83"/>
      <c r="H490" s="83"/>
      <c r="I490" s="83"/>
      <c r="J490" s="83"/>
      <c r="K490" s="83"/>
      <c r="L490" s="74"/>
      <c r="M490" s="74"/>
      <c r="N490" s="74"/>
      <c r="O490" s="74"/>
      <c r="P490" s="74"/>
      <c r="Q490" s="74"/>
      <c r="R490" s="74"/>
      <c r="S490" s="74"/>
      <c r="T490" s="74"/>
      <c r="U490" s="74"/>
      <c r="V490" s="74"/>
      <c r="W490" s="74"/>
      <c r="X490" s="74"/>
      <c r="Y490" s="74"/>
    </row>
    <row r="491" spans="1:25" ht="15.75" thickBot="1" x14ac:dyDescent="0.3">
      <c r="A491" s="82"/>
      <c r="B491" s="82"/>
      <c r="C491" s="87"/>
      <c r="D491" s="87"/>
      <c r="E491" s="82"/>
      <c r="F491" s="82"/>
      <c r="G491" s="82"/>
      <c r="H491" s="82"/>
      <c r="I491" s="82"/>
      <c r="J491" s="82"/>
      <c r="K491" s="82"/>
      <c r="L491" s="74"/>
      <c r="M491" s="74"/>
      <c r="N491" s="74"/>
      <c r="O491" s="74"/>
      <c r="P491" s="74"/>
      <c r="Q491" s="74"/>
      <c r="R491" s="74"/>
      <c r="S491" s="74"/>
      <c r="T491" s="74"/>
      <c r="U491" s="74"/>
      <c r="V491" s="74"/>
      <c r="W491" s="74"/>
      <c r="X491" s="74"/>
      <c r="Y491" s="74"/>
    </row>
    <row r="492" spans="1:25" ht="15.75" thickBot="1" x14ac:dyDescent="0.3">
      <c r="A492" s="83"/>
      <c r="B492" s="83"/>
      <c r="C492" s="88"/>
      <c r="D492" s="88"/>
      <c r="E492" s="83"/>
      <c r="F492" s="83"/>
      <c r="G492" s="83"/>
      <c r="H492" s="83"/>
      <c r="I492" s="83"/>
      <c r="J492" s="83"/>
      <c r="K492" s="83"/>
      <c r="L492" s="74"/>
      <c r="M492" s="74"/>
      <c r="N492" s="74"/>
      <c r="O492" s="74"/>
      <c r="P492" s="74"/>
      <c r="Q492" s="74"/>
      <c r="R492" s="74"/>
      <c r="S492" s="74"/>
      <c r="T492" s="74"/>
      <c r="U492" s="74"/>
      <c r="V492" s="74"/>
      <c r="W492" s="74"/>
      <c r="X492" s="74"/>
      <c r="Y492" s="74"/>
    </row>
    <row r="493" spans="1:25" ht="15.75" thickBot="1" x14ac:dyDescent="0.3">
      <c r="A493" s="82"/>
      <c r="B493" s="82"/>
      <c r="C493" s="87"/>
      <c r="D493" s="87"/>
      <c r="E493" s="82"/>
      <c r="F493" s="82"/>
      <c r="G493" s="82"/>
      <c r="H493" s="82"/>
      <c r="I493" s="82"/>
      <c r="J493" s="82"/>
      <c r="K493" s="82"/>
      <c r="L493" s="74"/>
      <c r="M493" s="74"/>
      <c r="N493" s="74"/>
      <c r="O493" s="74"/>
      <c r="P493" s="74"/>
      <c r="Q493" s="74"/>
      <c r="R493" s="74"/>
      <c r="S493" s="74"/>
      <c r="T493" s="74"/>
      <c r="U493" s="74"/>
      <c r="V493" s="74"/>
      <c r="W493" s="74"/>
      <c r="X493" s="74"/>
      <c r="Y493" s="74"/>
    </row>
    <row r="494" spans="1:25" ht="15.75" thickBot="1" x14ac:dyDescent="0.3">
      <c r="A494" s="83"/>
      <c r="B494" s="83"/>
      <c r="C494" s="88"/>
      <c r="D494" s="88"/>
      <c r="E494" s="83"/>
      <c r="F494" s="83"/>
      <c r="G494" s="83"/>
      <c r="H494" s="83"/>
      <c r="I494" s="83"/>
      <c r="J494" s="83"/>
      <c r="K494" s="83"/>
      <c r="L494" s="74"/>
      <c r="M494" s="74"/>
      <c r="N494" s="74"/>
      <c r="O494" s="74"/>
      <c r="P494" s="74"/>
      <c r="Q494" s="74"/>
      <c r="R494" s="74"/>
      <c r="S494" s="74"/>
      <c r="T494" s="74"/>
      <c r="U494" s="74"/>
      <c r="V494" s="74"/>
      <c r="W494" s="74"/>
      <c r="X494" s="74"/>
      <c r="Y494" s="74"/>
    </row>
    <row r="495" spans="1:25" ht="15.75" thickBot="1" x14ac:dyDescent="0.3">
      <c r="A495" s="82"/>
      <c r="B495" s="82"/>
      <c r="C495" s="87"/>
      <c r="D495" s="87"/>
      <c r="E495" s="82"/>
      <c r="F495" s="82"/>
      <c r="G495" s="82"/>
      <c r="H495" s="82"/>
      <c r="I495" s="82"/>
      <c r="J495" s="82"/>
      <c r="K495" s="82"/>
      <c r="L495" s="74"/>
      <c r="M495" s="74"/>
      <c r="N495" s="74"/>
      <c r="O495" s="74"/>
      <c r="P495" s="74"/>
      <c r="Q495" s="74"/>
      <c r="R495" s="74"/>
      <c r="S495" s="74"/>
      <c r="T495" s="74"/>
      <c r="U495" s="74"/>
      <c r="V495" s="74"/>
      <c r="W495" s="74"/>
      <c r="X495" s="74"/>
      <c r="Y495" s="74"/>
    </row>
    <row r="496" spans="1:25" ht="15.75" thickBot="1" x14ac:dyDescent="0.3">
      <c r="A496" s="83"/>
      <c r="B496" s="83"/>
      <c r="C496" s="88"/>
      <c r="D496" s="88"/>
      <c r="E496" s="83"/>
      <c r="F496" s="83"/>
      <c r="G496" s="83"/>
      <c r="H496" s="83"/>
      <c r="I496" s="83"/>
      <c r="J496" s="83"/>
      <c r="K496" s="83"/>
      <c r="L496" s="74"/>
      <c r="M496" s="74"/>
      <c r="N496" s="74"/>
      <c r="O496" s="74"/>
      <c r="P496" s="74"/>
      <c r="Q496" s="74"/>
      <c r="R496" s="74"/>
      <c r="S496" s="74"/>
      <c r="T496" s="74"/>
      <c r="U496" s="74"/>
      <c r="V496" s="74"/>
      <c r="W496" s="74"/>
      <c r="X496" s="74"/>
      <c r="Y496" s="74"/>
    </row>
    <row r="497" spans="1:25" ht="15.75" thickBot="1" x14ac:dyDescent="0.3">
      <c r="A497" s="82"/>
      <c r="B497" s="82"/>
      <c r="C497" s="87"/>
      <c r="D497" s="87"/>
      <c r="E497" s="82"/>
      <c r="F497" s="82"/>
      <c r="G497" s="82"/>
      <c r="H497" s="82"/>
      <c r="I497" s="82"/>
      <c r="J497" s="82"/>
      <c r="K497" s="82"/>
      <c r="L497" s="74"/>
      <c r="M497" s="74"/>
      <c r="N497" s="74"/>
      <c r="O497" s="74"/>
      <c r="P497" s="74"/>
      <c r="Q497" s="74"/>
      <c r="R497" s="74"/>
      <c r="S497" s="74"/>
      <c r="T497" s="74"/>
      <c r="U497" s="74"/>
      <c r="V497" s="74"/>
      <c r="W497" s="74"/>
      <c r="X497" s="74"/>
      <c r="Y497" s="74"/>
    </row>
    <row r="498" spans="1:25" ht="15.75" thickBot="1" x14ac:dyDescent="0.3">
      <c r="A498" s="83"/>
      <c r="B498" s="83"/>
      <c r="C498" s="88"/>
      <c r="D498" s="88"/>
      <c r="E498" s="83"/>
      <c r="F498" s="83"/>
      <c r="G498" s="83"/>
      <c r="H498" s="83"/>
      <c r="I498" s="83"/>
      <c r="J498" s="83"/>
      <c r="K498" s="83"/>
      <c r="L498" s="74"/>
      <c r="M498" s="74"/>
      <c r="N498" s="74"/>
      <c r="O498" s="74"/>
      <c r="P498" s="74"/>
      <c r="Q498" s="74"/>
      <c r="R498" s="74"/>
      <c r="S498" s="74"/>
      <c r="T498" s="74"/>
      <c r="U498" s="74"/>
      <c r="V498" s="74"/>
      <c r="W498" s="74"/>
      <c r="X498" s="74"/>
      <c r="Y498" s="74"/>
    </row>
    <row r="499" spans="1:25" ht="15.75" thickBot="1" x14ac:dyDescent="0.3">
      <c r="A499" s="82"/>
      <c r="B499" s="82"/>
      <c r="C499" s="87"/>
      <c r="D499" s="87"/>
      <c r="E499" s="82"/>
      <c r="F499" s="82"/>
      <c r="G499" s="82"/>
      <c r="H499" s="82"/>
      <c r="I499" s="82"/>
      <c r="J499" s="82"/>
      <c r="K499" s="82"/>
      <c r="L499" s="74"/>
      <c r="M499" s="74"/>
      <c r="N499" s="74"/>
      <c r="O499" s="74"/>
      <c r="P499" s="74"/>
      <c r="Q499" s="74"/>
      <c r="R499" s="74"/>
      <c r="S499" s="74"/>
      <c r="T499" s="74"/>
      <c r="U499" s="74"/>
      <c r="V499" s="74"/>
      <c r="W499" s="74"/>
      <c r="X499" s="74"/>
      <c r="Y499" s="74"/>
    </row>
    <row r="500" spans="1:25" ht="15.75" thickBot="1" x14ac:dyDescent="0.3">
      <c r="A500" s="83"/>
      <c r="B500" s="83"/>
      <c r="C500" s="88"/>
      <c r="D500" s="88"/>
      <c r="E500" s="83"/>
      <c r="F500" s="83"/>
      <c r="G500" s="83"/>
      <c r="H500" s="83"/>
      <c r="I500" s="83"/>
      <c r="J500" s="83"/>
      <c r="K500" s="83"/>
      <c r="L500" s="74"/>
      <c r="M500" s="74"/>
      <c r="N500" s="74"/>
      <c r="O500" s="74"/>
      <c r="P500" s="74"/>
      <c r="Q500" s="74"/>
      <c r="R500" s="74"/>
      <c r="S500" s="74"/>
      <c r="T500" s="74"/>
      <c r="U500" s="74"/>
      <c r="V500" s="74"/>
      <c r="W500" s="74"/>
      <c r="X500" s="74"/>
      <c r="Y500" s="74"/>
    </row>
    <row r="501" spans="1:25" ht="15.75" thickBot="1" x14ac:dyDescent="0.3">
      <c r="A501" s="82"/>
      <c r="B501" s="82"/>
      <c r="C501" s="87"/>
      <c r="D501" s="87"/>
      <c r="E501" s="82"/>
      <c r="F501" s="82"/>
      <c r="G501" s="82"/>
      <c r="H501" s="82"/>
      <c r="I501" s="82"/>
      <c r="J501" s="82"/>
      <c r="K501" s="82"/>
      <c r="L501" s="74"/>
      <c r="M501" s="74"/>
      <c r="N501" s="74"/>
      <c r="O501" s="74"/>
      <c r="P501" s="74"/>
      <c r="Q501" s="74"/>
      <c r="R501" s="74"/>
      <c r="S501" s="74"/>
      <c r="T501" s="74"/>
      <c r="U501" s="74"/>
      <c r="V501" s="74"/>
      <c r="W501" s="74"/>
      <c r="X501" s="74"/>
      <c r="Y501" s="74"/>
    </row>
    <row r="502" spans="1:25" ht="15.75" thickBot="1" x14ac:dyDescent="0.3">
      <c r="A502" s="83"/>
      <c r="B502" s="83"/>
      <c r="C502" s="88"/>
      <c r="D502" s="88"/>
      <c r="E502" s="83"/>
      <c r="F502" s="83"/>
      <c r="G502" s="83"/>
      <c r="H502" s="83"/>
      <c r="I502" s="83"/>
      <c r="J502" s="83"/>
      <c r="K502" s="83"/>
      <c r="L502" s="74"/>
      <c r="M502" s="74"/>
      <c r="N502" s="74"/>
      <c r="O502" s="74"/>
      <c r="P502" s="74"/>
      <c r="Q502" s="74"/>
      <c r="R502" s="74"/>
      <c r="S502" s="74"/>
      <c r="T502" s="74"/>
      <c r="U502" s="74"/>
      <c r="V502" s="74"/>
      <c r="W502" s="74"/>
      <c r="X502" s="74"/>
      <c r="Y502" s="74"/>
    </row>
    <row r="503" spans="1:25" ht="15.75" thickBot="1" x14ac:dyDescent="0.3">
      <c r="A503" s="82"/>
      <c r="B503" s="82"/>
      <c r="C503" s="87"/>
      <c r="D503" s="87"/>
      <c r="E503" s="82"/>
      <c r="F503" s="82"/>
      <c r="G503" s="82"/>
      <c r="H503" s="82"/>
      <c r="I503" s="82"/>
      <c r="J503" s="82"/>
      <c r="K503" s="82"/>
      <c r="L503" s="74"/>
      <c r="M503" s="74"/>
      <c r="N503" s="74"/>
      <c r="O503" s="74"/>
      <c r="P503" s="74"/>
      <c r="Q503" s="74"/>
      <c r="R503" s="74"/>
      <c r="S503" s="74"/>
      <c r="T503" s="74"/>
      <c r="U503" s="74"/>
      <c r="V503" s="74"/>
      <c r="W503" s="74"/>
      <c r="X503" s="74"/>
      <c r="Y503" s="74"/>
    </row>
    <row r="504" spans="1:25" ht="15.75" thickBot="1" x14ac:dyDescent="0.3">
      <c r="A504" s="83"/>
      <c r="B504" s="83"/>
      <c r="C504" s="88"/>
      <c r="D504" s="88"/>
      <c r="E504" s="83"/>
      <c r="F504" s="83"/>
      <c r="G504" s="83"/>
      <c r="H504" s="83"/>
      <c r="I504" s="83"/>
      <c r="J504" s="83"/>
      <c r="K504" s="83"/>
      <c r="L504" s="74"/>
      <c r="M504" s="74"/>
      <c r="N504" s="74"/>
      <c r="O504" s="74"/>
      <c r="P504" s="74"/>
      <c r="Q504" s="74"/>
      <c r="R504" s="74"/>
      <c r="S504" s="74"/>
      <c r="T504" s="74"/>
      <c r="U504" s="74"/>
      <c r="V504" s="74"/>
      <c r="W504" s="74"/>
      <c r="X504" s="74"/>
      <c r="Y504" s="74"/>
    </row>
    <row r="505" spans="1:25" ht="15.75" thickBot="1" x14ac:dyDescent="0.3">
      <c r="A505" s="82"/>
      <c r="B505" s="82"/>
      <c r="C505" s="87"/>
      <c r="D505" s="87"/>
      <c r="E505" s="82"/>
      <c r="F505" s="82"/>
      <c r="G505" s="82"/>
      <c r="H505" s="82"/>
      <c r="I505" s="82"/>
      <c r="J505" s="82"/>
      <c r="K505" s="82"/>
      <c r="L505" s="74"/>
      <c r="M505" s="74"/>
      <c r="N505" s="74"/>
      <c r="O505" s="74"/>
      <c r="P505" s="74"/>
      <c r="Q505" s="74"/>
      <c r="R505" s="74"/>
      <c r="S505" s="74"/>
      <c r="T505" s="74"/>
      <c r="U505" s="74"/>
      <c r="V505" s="74"/>
      <c r="W505" s="74"/>
      <c r="X505" s="74"/>
      <c r="Y505" s="74"/>
    </row>
    <row r="506" spans="1:25" ht="15.75" thickBot="1" x14ac:dyDescent="0.3">
      <c r="A506" s="83"/>
      <c r="B506" s="83"/>
      <c r="C506" s="88"/>
      <c r="D506" s="88"/>
      <c r="E506" s="83"/>
      <c r="F506" s="83"/>
      <c r="G506" s="83"/>
      <c r="H506" s="83"/>
      <c r="I506" s="83"/>
      <c r="J506" s="83"/>
      <c r="K506" s="83"/>
      <c r="L506" s="74"/>
      <c r="M506" s="74"/>
      <c r="N506" s="74"/>
      <c r="O506" s="74"/>
      <c r="P506" s="74"/>
      <c r="Q506" s="74"/>
      <c r="R506" s="74"/>
      <c r="S506" s="74"/>
      <c r="T506" s="74"/>
      <c r="U506" s="74"/>
      <c r="V506" s="74"/>
      <c r="W506" s="74"/>
      <c r="X506" s="74"/>
      <c r="Y506" s="74"/>
    </row>
    <row r="507" spans="1:25" ht="15.75" thickBot="1" x14ac:dyDescent="0.3">
      <c r="A507" s="82"/>
      <c r="B507" s="82"/>
      <c r="C507" s="87"/>
      <c r="D507" s="87"/>
      <c r="E507" s="82"/>
      <c r="F507" s="82"/>
      <c r="G507" s="82"/>
      <c r="H507" s="82"/>
      <c r="I507" s="82"/>
      <c r="J507" s="82"/>
      <c r="K507" s="82"/>
      <c r="L507" s="74"/>
      <c r="M507" s="74"/>
      <c r="N507" s="74"/>
      <c r="O507" s="74"/>
      <c r="P507" s="74"/>
      <c r="Q507" s="74"/>
      <c r="R507" s="74"/>
      <c r="S507" s="74"/>
      <c r="T507" s="74"/>
      <c r="U507" s="74"/>
      <c r="V507" s="74"/>
      <c r="W507" s="74"/>
      <c r="X507" s="74"/>
      <c r="Y507" s="74"/>
    </row>
    <row r="508" spans="1:25" ht="15.75" thickBot="1" x14ac:dyDescent="0.3">
      <c r="A508" s="83"/>
      <c r="B508" s="83"/>
      <c r="C508" s="88"/>
      <c r="D508" s="88"/>
      <c r="E508" s="83"/>
      <c r="F508" s="83"/>
      <c r="G508" s="83"/>
      <c r="H508" s="83"/>
      <c r="I508" s="83"/>
      <c r="J508" s="83"/>
      <c r="K508" s="83"/>
      <c r="L508" s="74"/>
      <c r="M508" s="74"/>
      <c r="N508" s="74"/>
      <c r="O508" s="74"/>
      <c r="P508" s="74"/>
      <c r="Q508" s="74"/>
      <c r="R508" s="74"/>
      <c r="S508" s="74"/>
      <c r="T508" s="74"/>
      <c r="U508" s="74"/>
      <c r="V508" s="74"/>
      <c r="W508" s="74"/>
      <c r="X508" s="74"/>
      <c r="Y508" s="74"/>
    </row>
    <row r="509" spans="1:25" ht="15.75" thickBot="1" x14ac:dyDescent="0.3">
      <c r="A509" s="82"/>
      <c r="B509" s="82"/>
      <c r="C509" s="87"/>
      <c r="D509" s="87"/>
      <c r="E509" s="82"/>
      <c r="F509" s="82"/>
      <c r="G509" s="82"/>
      <c r="H509" s="82"/>
      <c r="I509" s="82"/>
      <c r="J509" s="82"/>
      <c r="K509" s="82"/>
      <c r="L509" s="74"/>
      <c r="M509" s="74"/>
      <c r="N509" s="74"/>
      <c r="O509" s="74"/>
      <c r="P509" s="74"/>
      <c r="Q509" s="74"/>
      <c r="R509" s="74"/>
      <c r="S509" s="74"/>
      <c r="T509" s="74"/>
      <c r="U509" s="74"/>
      <c r="V509" s="74"/>
      <c r="W509" s="74"/>
      <c r="X509" s="74"/>
      <c r="Y509" s="74"/>
    </row>
    <row r="510" spans="1:25" ht="15.75" thickBot="1" x14ac:dyDescent="0.3">
      <c r="A510" s="83"/>
      <c r="B510" s="83"/>
      <c r="C510" s="88"/>
      <c r="D510" s="88"/>
      <c r="E510" s="83"/>
      <c r="F510" s="83"/>
      <c r="G510" s="83"/>
      <c r="H510" s="83"/>
      <c r="I510" s="83"/>
      <c r="J510" s="83"/>
      <c r="K510" s="83"/>
      <c r="L510" s="74"/>
      <c r="M510" s="74"/>
      <c r="N510" s="74"/>
      <c r="O510" s="74"/>
      <c r="P510" s="74"/>
      <c r="Q510" s="74"/>
      <c r="R510" s="74"/>
      <c r="S510" s="74"/>
      <c r="T510" s="74"/>
      <c r="U510" s="74"/>
      <c r="V510" s="74"/>
      <c r="W510" s="74"/>
      <c r="X510" s="74"/>
      <c r="Y510" s="74"/>
    </row>
    <row r="511" spans="1:25" ht="15.75" thickBot="1" x14ac:dyDescent="0.3">
      <c r="A511" s="82"/>
      <c r="B511" s="82"/>
      <c r="C511" s="87"/>
      <c r="D511" s="87"/>
      <c r="E511" s="82"/>
      <c r="F511" s="82"/>
      <c r="G511" s="82"/>
      <c r="H511" s="82"/>
      <c r="I511" s="82"/>
      <c r="J511" s="82"/>
      <c r="K511" s="82"/>
      <c r="L511" s="74"/>
      <c r="M511" s="74"/>
      <c r="N511" s="74"/>
      <c r="O511" s="74"/>
      <c r="P511" s="74"/>
      <c r="Q511" s="74"/>
      <c r="R511" s="74"/>
      <c r="S511" s="74"/>
      <c r="T511" s="74"/>
      <c r="U511" s="74"/>
      <c r="V511" s="74"/>
      <c r="W511" s="74"/>
      <c r="X511" s="74"/>
      <c r="Y511" s="74"/>
    </row>
    <row r="512" spans="1:25" ht="15.75" thickBot="1" x14ac:dyDescent="0.3">
      <c r="A512" s="83"/>
      <c r="B512" s="83"/>
      <c r="C512" s="88"/>
      <c r="D512" s="88"/>
      <c r="E512" s="83"/>
      <c r="F512" s="83"/>
      <c r="G512" s="83"/>
      <c r="H512" s="83"/>
      <c r="I512" s="83"/>
      <c r="J512" s="83"/>
      <c r="K512" s="83"/>
      <c r="L512" s="74"/>
      <c r="M512" s="74"/>
      <c r="N512" s="74"/>
      <c r="O512" s="74"/>
      <c r="P512" s="74"/>
      <c r="Q512" s="74"/>
      <c r="R512" s="74"/>
      <c r="S512" s="74"/>
      <c r="T512" s="74"/>
      <c r="U512" s="74"/>
      <c r="V512" s="74"/>
      <c r="W512" s="74"/>
      <c r="X512" s="74"/>
      <c r="Y512" s="74"/>
    </row>
    <row r="513" spans="1:25" ht="15.75" thickBot="1" x14ac:dyDescent="0.3">
      <c r="A513" s="82"/>
      <c r="B513" s="82"/>
      <c r="C513" s="87"/>
      <c r="D513" s="87"/>
      <c r="E513" s="82"/>
      <c r="F513" s="82"/>
      <c r="G513" s="82"/>
      <c r="H513" s="82"/>
      <c r="I513" s="82"/>
      <c r="J513" s="82"/>
      <c r="K513" s="82"/>
      <c r="L513" s="74"/>
      <c r="M513" s="74"/>
      <c r="N513" s="74"/>
      <c r="O513" s="74"/>
      <c r="P513" s="74"/>
      <c r="Q513" s="74"/>
      <c r="R513" s="74"/>
      <c r="S513" s="74"/>
      <c r="T513" s="74"/>
      <c r="U513" s="74"/>
      <c r="V513" s="74"/>
      <c r="W513" s="74"/>
      <c r="X513" s="74"/>
      <c r="Y513" s="74"/>
    </row>
    <row r="514" spans="1:25" ht="15.75" thickBot="1" x14ac:dyDescent="0.3">
      <c r="A514" s="83"/>
      <c r="B514" s="83"/>
      <c r="C514" s="88"/>
      <c r="D514" s="88"/>
      <c r="E514" s="83"/>
      <c r="F514" s="83"/>
      <c r="G514" s="83"/>
      <c r="H514" s="83"/>
      <c r="I514" s="83"/>
      <c r="J514" s="83"/>
      <c r="K514" s="83"/>
      <c r="L514" s="74"/>
      <c r="M514" s="74"/>
      <c r="N514" s="74"/>
      <c r="O514" s="74"/>
      <c r="P514" s="74"/>
      <c r="Q514" s="74"/>
      <c r="R514" s="74"/>
      <c r="S514" s="74"/>
      <c r="T514" s="74"/>
      <c r="U514" s="74"/>
      <c r="V514" s="74"/>
      <c r="W514" s="74"/>
      <c r="X514" s="74"/>
      <c r="Y514" s="74"/>
    </row>
    <row r="515" spans="1:25" ht="15.75" thickBot="1" x14ac:dyDescent="0.3">
      <c r="A515" s="82"/>
      <c r="B515" s="82"/>
      <c r="C515" s="87"/>
      <c r="D515" s="87"/>
      <c r="E515" s="82"/>
      <c r="F515" s="82"/>
      <c r="G515" s="82"/>
      <c r="H515" s="82"/>
      <c r="I515" s="82"/>
      <c r="J515" s="82"/>
      <c r="K515" s="82"/>
      <c r="L515" s="74"/>
      <c r="M515" s="74"/>
      <c r="N515" s="74"/>
      <c r="O515" s="74"/>
      <c r="P515" s="74"/>
      <c r="Q515" s="74"/>
      <c r="R515" s="74"/>
      <c r="S515" s="74"/>
      <c r="T515" s="74"/>
      <c r="U515" s="74"/>
      <c r="V515" s="74"/>
      <c r="W515" s="74"/>
      <c r="X515" s="74"/>
      <c r="Y515" s="74"/>
    </row>
    <row r="516" spans="1:25" ht="15.75" thickBot="1" x14ac:dyDescent="0.3">
      <c r="A516" s="83"/>
      <c r="B516" s="83"/>
      <c r="C516" s="88"/>
      <c r="D516" s="88"/>
      <c r="E516" s="83"/>
      <c r="F516" s="83"/>
      <c r="G516" s="83"/>
      <c r="H516" s="83"/>
      <c r="I516" s="83"/>
      <c r="J516" s="83"/>
      <c r="K516" s="83"/>
      <c r="L516" s="74"/>
      <c r="M516" s="74"/>
      <c r="N516" s="74"/>
      <c r="O516" s="74"/>
      <c r="P516" s="74"/>
      <c r="Q516" s="74"/>
      <c r="R516" s="74"/>
      <c r="S516" s="74"/>
      <c r="T516" s="74"/>
      <c r="U516" s="74"/>
      <c r="V516" s="74"/>
      <c r="W516" s="74"/>
      <c r="X516" s="74"/>
      <c r="Y516" s="74"/>
    </row>
    <row r="517" spans="1:25" ht="15.75" thickBot="1" x14ac:dyDescent="0.3">
      <c r="A517" s="82"/>
      <c r="B517" s="82"/>
      <c r="C517" s="87"/>
      <c r="D517" s="87"/>
      <c r="E517" s="82"/>
      <c r="F517" s="82"/>
      <c r="G517" s="82"/>
      <c r="H517" s="82"/>
      <c r="I517" s="82"/>
      <c r="J517" s="82"/>
      <c r="K517" s="82"/>
      <c r="L517" s="74"/>
      <c r="M517" s="74"/>
      <c r="N517" s="74"/>
      <c r="O517" s="74"/>
      <c r="P517" s="74"/>
      <c r="Q517" s="74"/>
      <c r="R517" s="74"/>
      <c r="S517" s="74"/>
      <c r="T517" s="74"/>
      <c r="U517" s="74"/>
      <c r="V517" s="74"/>
      <c r="W517" s="74"/>
      <c r="X517" s="74"/>
      <c r="Y517" s="74"/>
    </row>
    <row r="518" spans="1:25" ht="15.75" thickBot="1" x14ac:dyDescent="0.3">
      <c r="A518" s="83"/>
      <c r="B518" s="83"/>
      <c r="C518" s="88"/>
      <c r="D518" s="88"/>
      <c r="E518" s="83"/>
      <c r="F518" s="83"/>
      <c r="G518" s="83"/>
      <c r="H518" s="83"/>
      <c r="I518" s="83"/>
      <c r="J518" s="83"/>
      <c r="K518" s="83"/>
      <c r="L518" s="74"/>
      <c r="M518" s="74"/>
      <c r="N518" s="74"/>
      <c r="O518" s="74"/>
      <c r="P518" s="74"/>
      <c r="Q518" s="74"/>
      <c r="R518" s="74"/>
      <c r="S518" s="74"/>
      <c r="T518" s="74"/>
      <c r="U518" s="74"/>
      <c r="V518" s="74"/>
      <c r="W518" s="74"/>
      <c r="X518" s="74"/>
      <c r="Y518" s="74"/>
    </row>
    <row r="519" spans="1:25" ht="15.75" thickBot="1" x14ac:dyDescent="0.3">
      <c r="A519" s="82"/>
      <c r="B519" s="82"/>
      <c r="C519" s="87"/>
      <c r="D519" s="87"/>
      <c r="E519" s="82"/>
      <c r="F519" s="82"/>
      <c r="G519" s="82"/>
      <c r="H519" s="82"/>
      <c r="I519" s="82"/>
      <c r="J519" s="82"/>
      <c r="K519" s="82"/>
      <c r="L519" s="74"/>
      <c r="M519" s="74"/>
      <c r="N519" s="74"/>
      <c r="O519" s="74"/>
      <c r="P519" s="74"/>
      <c r="Q519" s="74"/>
      <c r="R519" s="74"/>
      <c r="S519" s="74"/>
      <c r="T519" s="74"/>
      <c r="U519" s="74"/>
      <c r="V519" s="74"/>
      <c r="W519" s="74"/>
      <c r="X519" s="74"/>
      <c r="Y519" s="74"/>
    </row>
    <row r="520" spans="1:25" ht="15.75" thickBot="1" x14ac:dyDescent="0.3">
      <c r="A520" s="83"/>
      <c r="B520" s="83"/>
      <c r="C520" s="88"/>
      <c r="D520" s="88"/>
      <c r="E520" s="83"/>
      <c r="F520" s="83"/>
      <c r="G520" s="83"/>
      <c r="H520" s="83"/>
      <c r="I520" s="83"/>
      <c r="J520" s="83"/>
      <c r="K520" s="83"/>
      <c r="L520" s="74"/>
      <c r="M520" s="74"/>
      <c r="N520" s="74"/>
      <c r="O520" s="74"/>
      <c r="P520" s="74"/>
      <c r="Q520" s="74"/>
      <c r="R520" s="74"/>
      <c r="S520" s="74"/>
      <c r="T520" s="74"/>
      <c r="U520" s="74"/>
      <c r="V520" s="74"/>
      <c r="W520" s="74"/>
      <c r="X520" s="74"/>
      <c r="Y520" s="74"/>
    </row>
    <row r="521" spans="1:25" ht="15.75" thickBot="1" x14ac:dyDescent="0.3">
      <c r="A521" s="82"/>
      <c r="B521" s="82"/>
      <c r="C521" s="87"/>
      <c r="D521" s="87"/>
      <c r="E521" s="82"/>
      <c r="F521" s="82"/>
      <c r="G521" s="82"/>
      <c r="H521" s="82"/>
      <c r="I521" s="82"/>
      <c r="J521" s="82"/>
      <c r="K521" s="82"/>
      <c r="L521" s="74"/>
      <c r="M521" s="74"/>
      <c r="N521" s="74"/>
      <c r="O521" s="74"/>
      <c r="P521" s="74"/>
      <c r="Q521" s="74"/>
      <c r="R521" s="74"/>
      <c r="S521" s="74"/>
      <c r="T521" s="74"/>
      <c r="U521" s="74"/>
      <c r="V521" s="74"/>
      <c r="W521" s="74"/>
      <c r="X521" s="74"/>
      <c r="Y521" s="74"/>
    </row>
    <row r="522" spans="1:25" ht="15.75" thickBot="1" x14ac:dyDescent="0.3">
      <c r="A522" s="83"/>
      <c r="B522" s="83"/>
      <c r="C522" s="88"/>
      <c r="D522" s="88"/>
      <c r="E522" s="83"/>
      <c r="F522" s="83"/>
      <c r="G522" s="83"/>
      <c r="H522" s="83"/>
      <c r="I522" s="83"/>
      <c r="J522" s="83"/>
      <c r="K522" s="83"/>
      <c r="L522" s="74"/>
      <c r="M522" s="74"/>
      <c r="N522" s="74"/>
      <c r="O522" s="74"/>
      <c r="P522" s="74"/>
      <c r="Q522" s="74"/>
      <c r="R522" s="74"/>
      <c r="S522" s="74"/>
      <c r="T522" s="74"/>
      <c r="U522" s="74"/>
      <c r="V522" s="74"/>
      <c r="W522" s="74"/>
      <c r="X522" s="74"/>
      <c r="Y522" s="74"/>
    </row>
    <row r="523" spans="1:25" ht="15.75" thickBot="1" x14ac:dyDescent="0.3">
      <c r="A523" s="82"/>
      <c r="B523" s="82"/>
      <c r="C523" s="87"/>
      <c r="D523" s="87"/>
      <c r="E523" s="82"/>
      <c r="F523" s="82"/>
      <c r="G523" s="82"/>
      <c r="H523" s="82"/>
      <c r="I523" s="82"/>
      <c r="J523" s="82"/>
      <c r="K523" s="82"/>
      <c r="L523" s="74"/>
      <c r="M523" s="74"/>
      <c r="N523" s="74"/>
      <c r="O523" s="74"/>
      <c r="P523" s="74"/>
      <c r="Q523" s="74"/>
      <c r="R523" s="74"/>
      <c r="S523" s="74"/>
      <c r="T523" s="74"/>
      <c r="U523" s="74"/>
      <c r="V523" s="74"/>
      <c r="W523" s="74"/>
      <c r="X523" s="74"/>
      <c r="Y523" s="74"/>
    </row>
    <row r="524" spans="1:25" ht="15.75" thickBot="1" x14ac:dyDescent="0.3">
      <c r="A524" s="83"/>
      <c r="B524" s="83"/>
      <c r="C524" s="88"/>
      <c r="D524" s="88"/>
      <c r="E524" s="83"/>
      <c r="F524" s="83"/>
      <c r="G524" s="83"/>
      <c r="H524" s="83"/>
      <c r="I524" s="83"/>
      <c r="J524" s="83"/>
      <c r="K524" s="83"/>
      <c r="L524" s="74"/>
      <c r="M524" s="74"/>
      <c r="N524" s="74"/>
      <c r="O524" s="74"/>
      <c r="P524" s="74"/>
      <c r="Q524" s="74"/>
      <c r="R524" s="74"/>
      <c r="S524" s="74"/>
      <c r="T524" s="74"/>
      <c r="U524" s="74"/>
      <c r="V524" s="74"/>
      <c r="W524" s="74"/>
      <c r="X524" s="74"/>
      <c r="Y524" s="74"/>
    </row>
    <row r="525" spans="1:25" ht="15.75" thickBot="1" x14ac:dyDescent="0.3">
      <c r="A525" s="82"/>
      <c r="B525" s="82"/>
      <c r="C525" s="87"/>
      <c r="D525" s="87"/>
      <c r="E525" s="82"/>
      <c r="F525" s="82"/>
      <c r="G525" s="82"/>
      <c r="H525" s="82"/>
      <c r="I525" s="82"/>
      <c r="J525" s="82"/>
      <c r="K525" s="82"/>
      <c r="L525" s="74"/>
      <c r="M525" s="74"/>
      <c r="N525" s="74"/>
      <c r="O525" s="74"/>
      <c r="P525" s="74"/>
      <c r="Q525" s="74"/>
      <c r="R525" s="74"/>
      <c r="S525" s="74"/>
      <c r="T525" s="74"/>
      <c r="U525" s="74"/>
      <c r="V525" s="74"/>
      <c r="W525" s="74"/>
      <c r="X525" s="74"/>
      <c r="Y525" s="74"/>
    </row>
    <row r="526" spans="1:25" ht="15.75" thickBot="1" x14ac:dyDescent="0.3">
      <c r="A526" s="83"/>
      <c r="B526" s="83"/>
      <c r="C526" s="88"/>
      <c r="D526" s="88"/>
      <c r="E526" s="83"/>
      <c r="F526" s="83"/>
      <c r="G526" s="83"/>
      <c r="H526" s="83"/>
      <c r="I526" s="83"/>
      <c r="J526" s="83"/>
      <c r="K526" s="83"/>
      <c r="L526" s="74"/>
      <c r="M526" s="74"/>
      <c r="N526" s="74"/>
      <c r="O526" s="74"/>
      <c r="P526" s="74"/>
      <c r="Q526" s="74"/>
      <c r="R526" s="74"/>
      <c r="S526" s="74"/>
      <c r="T526" s="74"/>
      <c r="U526" s="74"/>
      <c r="V526" s="74"/>
      <c r="W526" s="74"/>
      <c r="X526" s="74"/>
      <c r="Y526" s="74"/>
    </row>
    <row r="527" spans="1:25" ht="15.75" thickBot="1" x14ac:dyDescent="0.3">
      <c r="A527" s="82"/>
      <c r="B527" s="82"/>
      <c r="C527" s="87"/>
      <c r="D527" s="87"/>
      <c r="E527" s="82"/>
      <c r="F527" s="82"/>
      <c r="G527" s="82"/>
      <c r="H527" s="82"/>
      <c r="I527" s="82"/>
      <c r="J527" s="82"/>
      <c r="K527" s="82"/>
      <c r="L527" s="74"/>
      <c r="M527" s="74"/>
      <c r="N527" s="74"/>
      <c r="O527" s="74"/>
      <c r="P527" s="74"/>
      <c r="Q527" s="74"/>
      <c r="R527" s="74"/>
      <c r="S527" s="74"/>
      <c r="T527" s="74"/>
      <c r="U527" s="74"/>
      <c r="V527" s="74"/>
      <c r="W527" s="74"/>
      <c r="X527" s="74"/>
      <c r="Y527" s="74"/>
    </row>
    <row r="528" spans="1:25" ht="15.75" thickBot="1" x14ac:dyDescent="0.3">
      <c r="A528" s="83"/>
      <c r="B528" s="83"/>
      <c r="C528" s="88"/>
      <c r="D528" s="88"/>
      <c r="E528" s="83"/>
      <c r="F528" s="83"/>
      <c r="G528" s="83"/>
      <c r="H528" s="83"/>
      <c r="I528" s="83"/>
      <c r="J528" s="83"/>
      <c r="K528" s="83"/>
      <c r="L528" s="74"/>
      <c r="M528" s="74"/>
      <c r="N528" s="74"/>
      <c r="O528" s="74"/>
      <c r="P528" s="74"/>
      <c r="Q528" s="74"/>
      <c r="R528" s="74"/>
      <c r="S528" s="74"/>
      <c r="T528" s="74"/>
      <c r="U528" s="74"/>
      <c r="V528" s="74"/>
      <c r="W528" s="74"/>
      <c r="X528" s="74"/>
      <c r="Y528" s="74"/>
    </row>
    <row r="529" spans="1:25" ht="15.75" thickBot="1" x14ac:dyDescent="0.3">
      <c r="A529" s="82"/>
      <c r="B529" s="82"/>
      <c r="C529" s="87"/>
      <c r="D529" s="87"/>
      <c r="E529" s="82"/>
      <c r="F529" s="82"/>
      <c r="G529" s="82"/>
      <c r="H529" s="82"/>
      <c r="I529" s="82"/>
      <c r="J529" s="82"/>
      <c r="K529" s="82"/>
      <c r="L529" s="74"/>
      <c r="M529" s="74"/>
      <c r="N529" s="74"/>
      <c r="O529" s="74"/>
      <c r="P529" s="74"/>
      <c r="Q529" s="74"/>
      <c r="R529" s="74"/>
      <c r="S529" s="74"/>
      <c r="T529" s="74"/>
      <c r="U529" s="74"/>
      <c r="V529" s="74"/>
      <c r="W529" s="74"/>
      <c r="X529" s="74"/>
      <c r="Y529" s="74"/>
    </row>
    <row r="530" spans="1:25" ht="15.75" thickBot="1" x14ac:dyDescent="0.3">
      <c r="A530" s="83"/>
      <c r="B530" s="83"/>
      <c r="C530" s="88"/>
      <c r="D530" s="88"/>
      <c r="E530" s="83"/>
      <c r="F530" s="83"/>
      <c r="G530" s="83"/>
      <c r="H530" s="83"/>
      <c r="I530" s="83"/>
      <c r="J530" s="83"/>
      <c r="K530" s="83"/>
      <c r="L530" s="74"/>
      <c r="M530" s="74"/>
      <c r="N530" s="74"/>
      <c r="O530" s="74"/>
      <c r="P530" s="74"/>
      <c r="Q530" s="74"/>
      <c r="R530" s="74"/>
      <c r="S530" s="74"/>
      <c r="T530" s="74"/>
      <c r="U530" s="74"/>
      <c r="V530" s="74"/>
      <c r="W530" s="74"/>
      <c r="X530" s="74"/>
      <c r="Y530" s="74"/>
    </row>
    <row r="531" spans="1:25" ht="15.75" thickBot="1" x14ac:dyDescent="0.3">
      <c r="A531" s="82"/>
      <c r="B531" s="82"/>
      <c r="C531" s="87"/>
      <c r="D531" s="87"/>
      <c r="E531" s="82"/>
      <c r="F531" s="82"/>
      <c r="G531" s="82"/>
      <c r="H531" s="82"/>
      <c r="I531" s="82"/>
      <c r="J531" s="82"/>
      <c r="K531" s="82"/>
      <c r="L531" s="74"/>
      <c r="M531" s="74"/>
      <c r="N531" s="74"/>
      <c r="O531" s="74"/>
      <c r="P531" s="74"/>
      <c r="Q531" s="74"/>
      <c r="R531" s="74"/>
      <c r="S531" s="74"/>
      <c r="T531" s="74"/>
      <c r="U531" s="74"/>
      <c r="V531" s="74"/>
      <c r="W531" s="74"/>
      <c r="X531" s="74"/>
      <c r="Y531" s="74"/>
    </row>
    <row r="532" spans="1:25" ht="15.75" thickBot="1" x14ac:dyDescent="0.3">
      <c r="A532" s="83"/>
      <c r="B532" s="83"/>
      <c r="C532" s="88"/>
      <c r="D532" s="88"/>
      <c r="E532" s="83"/>
      <c r="F532" s="83"/>
      <c r="G532" s="83"/>
      <c r="H532" s="83"/>
      <c r="I532" s="83"/>
      <c r="J532" s="83"/>
      <c r="K532" s="83"/>
      <c r="L532" s="74"/>
      <c r="M532" s="74"/>
      <c r="N532" s="74"/>
      <c r="O532" s="74"/>
      <c r="P532" s="74"/>
      <c r="Q532" s="74"/>
      <c r="R532" s="74"/>
      <c r="S532" s="74"/>
      <c r="T532" s="74"/>
      <c r="U532" s="74"/>
      <c r="V532" s="74"/>
      <c r="W532" s="74"/>
      <c r="X532" s="74"/>
      <c r="Y532" s="74"/>
    </row>
    <row r="533" spans="1:25" ht="15.75" thickBot="1" x14ac:dyDescent="0.3">
      <c r="A533" s="82"/>
      <c r="B533" s="82"/>
      <c r="C533" s="87"/>
      <c r="D533" s="87"/>
      <c r="E533" s="82"/>
      <c r="F533" s="82"/>
      <c r="G533" s="82"/>
      <c r="H533" s="82"/>
      <c r="I533" s="82"/>
      <c r="J533" s="82"/>
      <c r="K533" s="82"/>
      <c r="L533" s="74"/>
      <c r="M533" s="74"/>
      <c r="N533" s="74"/>
      <c r="O533" s="74"/>
      <c r="P533" s="74"/>
      <c r="Q533" s="74"/>
      <c r="R533" s="74"/>
      <c r="S533" s="74"/>
      <c r="T533" s="74"/>
      <c r="U533" s="74"/>
      <c r="V533" s="74"/>
      <c r="W533" s="74"/>
      <c r="X533" s="74"/>
      <c r="Y533" s="74"/>
    </row>
    <row r="534" spans="1:25" ht="15.75" thickBot="1" x14ac:dyDescent="0.3">
      <c r="A534" s="83"/>
      <c r="B534" s="83"/>
      <c r="C534" s="88"/>
      <c r="D534" s="88"/>
      <c r="E534" s="83"/>
      <c r="F534" s="83"/>
      <c r="G534" s="83"/>
      <c r="H534" s="83"/>
      <c r="I534" s="83"/>
      <c r="J534" s="83"/>
      <c r="K534" s="83"/>
      <c r="L534" s="74"/>
      <c r="M534" s="74"/>
      <c r="N534" s="74"/>
      <c r="O534" s="74"/>
      <c r="P534" s="74"/>
      <c r="Q534" s="74"/>
      <c r="R534" s="74"/>
      <c r="S534" s="74"/>
      <c r="T534" s="74"/>
      <c r="U534" s="74"/>
      <c r="V534" s="74"/>
      <c r="W534" s="74"/>
      <c r="X534" s="74"/>
      <c r="Y534" s="74"/>
    </row>
    <row r="535" spans="1:25" ht="15.75" thickBot="1" x14ac:dyDescent="0.3">
      <c r="A535" s="82"/>
      <c r="B535" s="82"/>
      <c r="C535" s="87"/>
      <c r="D535" s="87"/>
      <c r="E535" s="82"/>
      <c r="F535" s="82"/>
      <c r="G535" s="82"/>
      <c r="H535" s="82"/>
      <c r="I535" s="82"/>
      <c r="J535" s="82"/>
      <c r="K535" s="82"/>
      <c r="L535" s="74"/>
      <c r="M535" s="74"/>
      <c r="N535" s="74"/>
      <c r="O535" s="74"/>
      <c r="P535" s="74"/>
      <c r="Q535" s="74"/>
      <c r="R535" s="74"/>
      <c r="S535" s="74"/>
      <c r="T535" s="74"/>
      <c r="U535" s="74"/>
      <c r="V535" s="74"/>
      <c r="W535" s="74"/>
      <c r="X535" s="74"/>
      <c r="Y535" s="74"/>
    </row>
    <row r="536" spans="1:25" ht="15.75" thickBot="1" x14ac:dyDescent="0.3">
      <c r="A536" s="83"/>
      <c r="B536" s="83"/>
      <c r="C536" s="88"/>
      <c r="D536" s="88"/>
      <c r="E536" s="83"/>
      <c r="F536" s="83"/>
      <c r="G536" s="83"/>
      <c r="H536" s="83"/>
      <c r="I536" s="83"/>
      <c r="J536" s="83"/>
      <c r="K536" s="83"/>
      <c r="L536" s="74"/>
      <c r="M536" s="74"/>
      <c r="N536" s="74"/>
      <c r="O536" s="74"/>
      <c r="P536" s="74"/>
      <c r="Q536" s="74"/>
      <c r="R536" s="74"/>
      <c r="S536" s="74"/>
      <c r="T536" s="74"/>
      <c r="U536" s="74"/>
      <c r="V536" s="74"/>
      <c r="W536" s="74"/>
      <c r="X536" s="74"/>
      <c r="Y536" s="74"/>
    </row>
    <row r="537" spans="1:25" ht="15.75" thickBot="1" x14ac:dyDescent="0.3">
      <c r="A537" s="82"/>
      <c r="B537" s="82"/>
      <c r="C537" s="87"/>
      <c r="D537" s="87"/>
      <c r="E537" s="82"/>
      <c r="F537" s="82"/>
      <c r="G537" s="82"/>
      <c r="H537" s="82"/>
      <c r="I537" s="82"/>
      <c r="J537" s="82"/>
      <c r="K537" s="82"/>
      <c r="L537" s="74"/>
      <c r="M537" s="74"/>
      <c r="N537" s="74"/>
      <c r="O537" s="74"/>
      <c r="P537" s="74"/>
      <c r="Q537" s="74"/>
      <c r="R537" s="74"/>
      <c r="S537" s="74"/>
      <c r="T537" s="74"/>
      <c r="U537" s="74"/>
      <c r="V537" s="74"/>
      <c r="W537" s="74"/>
      <c r="X537" s="74"/>
      <c r="Y537" s="74"/>
    </row>
    <row r="538" spans="1:25" ht="15.75" thickBot="1" x14ac:dyDescent="0.3">
      <c r="A538" s="83"/>
      <c r="B538" s="83"/>
      <c r="C538" s="88"/>
      <c r="D538" s="88"/>
      <c r="E538" s="83"/>
      <c r="F538" s="83"/>
      <c r="G538" s="83"/>
      <c r="H538" s="83"/>
      <c r="I538" s="83"/>
      <c r="J538" s="83"/>
      <c r="K538" s="83"/>
      <c r="L538" s="74"/>
      <c r="M538" s="74"/>
      <c r="N538" s="74"/>
      <c r="O538" s="74"/>
      <c r="P538" s="74"/>
      <c r="Q538" s="74"/>
      <c r="R538" s="74"/>
      <c r="S538" s="74"/>
      <c r="T538" s="74"/>
      <c r="U538" s="74"/>
      <c r="V538" s="74"/>
      <c r="W538" s="74"/>
      <c r="X538" s="74"/>
      <c r="Y538" s="74"/>
    </row>
    <row r="539" spans="1:25" ht="15.75" thickBot="1" x14ac:dyDescent="0.3">
      <c r="A539" s="82"/>
      <c r="B539" s="82"/>
      <c r="C539" s="87"/>
      <c r="D539" s="87"/>
      <c r="E539" s="82"/>
      <c r="F539" s="82"/>
      <c r="G539" s="82"/>
      <c r="H539" s="82"/>
      <c r="I539" s="82"/>
      <c r="J539" s="82"/>
      <c r="K539" s="82"/>
      <c r="L539" s="74"/>
      <c r="M539" s="74"/>
      <c r="N539" s="74"/>
      <c r="O539" s="74"/>
      <c r="P539" s="74"/>
      <c r="Q539" s="74"/>
      <c r="R539" s="74"/>
      <c r="S539" s="74"/>
      <c r="T539" s="74"/>
      <c r="U539" s="74"/>
      <c r="V539" s="74"/>
      <c r="W539" s="74"/>
      <c r="X539" s="74"/>
      <c r="Y539" s="74"/>
    </row>
    <row r="540" spans="1:25" ht="15.75" thickBot="1" x14ac:dyDescent="0.3">
      <c r="A540" s="83"/>
      <c r="B540" s="83"/>
      <c r="C540" s="88"/>
      <c r="D540" s="88"/>
      <c r="E540" s="83"/>
      <c r="F540" s="83"/>
      <c r="G540" s="83"/>
      <c r="H540" s="83"/>
      <c r="I540" s="83"/>
      <c r="J540" s="83"/>
      <c r="K540" s="83"/>
      <c r="L540" s="74"/>
      <c r="M540" s="74"/>
      <c r="N540" s="74"/>
      <c r="O540" s="74"/>
      <c r="P540" s="74"/>
      <c r="Q540" s="74"/>
      <c r="R540" s="74"/>
      <c r="S540" s="74"/>
      <c r="T540" s="74"/>
      <c r="U540" s="74"/>
      <c r="V540" s="74"/>
      <c r="W540" s="74"/>
      <c r="X540" s="74"/>
      <c r="Y540" s="74"/>
    </row>
    <row r="541" spans="1:25" ht="15.75" thickBot="1" x14ac:dyDescent="0.3">
      <c r="A541" s="82"/>
      <c r="B541" s="82"/>
      <c r="C541" s="87"/>
      <c r="D541" s="87"/>
      <c r="E541" s="82"/>
      <c r="F541" s="82"/>
      <c r="G541" s="82"/>
      <c r="H541" s="82"/>
      <c r="I541" s="82"/>
      <c r="J541" s="82"/>
      <c r="K541" s="82"/>
      <c r="L541" s="74"/>
      <c r="M541" s="74"/>
      <c r="N541" s="74"/>
      <c r="O541" s="74"/>
      <c r="P541" s="74"/>
      <c r="Q541" s="74"/>
      <c r="R541" s="74"/>
      <c r="S541" s="74"/>
      <c r="T541" s="74"/>
      <c r="U541" s="74"/>
      <c r="V541" s="74"/>
      <c r="W541" s="74"/>
      <c r="X541" s="74"/>
      <c r="Y541" s="74"/>
    </row>
    <row r="542" spans="1:25" ht="15.75" thickBot="1" x14ac:dyDescent="0.3">
      <c r="A542" s="83"/>
      <c r="B542" s="83"/>
      <c r="C542" s="88"/>
      <c r="D542" s="88"/>
      <c r="E542" s="83"/>
      <c r="F542" s="83"/>
      <c r="G542" s="83"/>
      <c r="H542" s="83"/>
      <c r="I542" s="83"/>
      <c r="J542" s="83"/>
      <c r="K542" s="83"/>
      <c r="L542" s="74"/>
      <c r="M542" s="74"/>
      <c r="N542" s="74"/>
      <c r="O542" s="74"/>
      <c r="P542" s="74"/>
      <c r="Q542" s="74"/>
      <c r="R542" s="74"/>
      <c r="S542" s="74"/>
      <c r="T542" s="74"/>
      <c r="U542" s="74"/>
      <c r="V542" s="74"/>
      <c r="W542" s="74"/>
      <c r="X542" s="74"/>
      <c r="Y542" s="74"/>
    </row>
    <row r="543" spans="1:25" ht="15.75" thickBot="1" x14ac:dyDescent="0.3">
      <c r="A543" s="82"/>
      <c r="B543" s="82"/>
      <c r="C543" s="87"/>
      <c r="D543" s="87"/>
      <c r="E543" s="82"/>
      <c r="F543" s="82"/>
      <c r="G543" s="82"/>
      <c r="H543" s="82"/>
      <c r="I543" s="82"/>
      <c r="J543" s="82"/>
      <c r="K543" s="82"/>
      <c r="L543" s="74"/>
      <c r="M543" s="74"/>
      <c r="N543" s="74"/>
      <c r="O543" s="74"/>
      <c r="P543" s="74"/>
      <c r="Q543" s="74"/>
      <c r="R543" s="74"/>
      <c r="S543" s="74"/>
      <c r="T543" s="74"/>
      <c r="U543" s="74"/>
      <c r="V543" s="74"/>
      <c r="W543" s="74"/>
      <c r="X543" s="74"/>
      <c r="Y543" s="74"/>
    </row>
    <row r="544" spans="1:25" ht="15.75" thickBot="1" x14ac:dyDescent="0.3">
      <c r="A544" s="83"/>
      <c r="B544" s="83"/>
      <c r="C544" s="88"/>
      <c r="D544" s="88"/>
      <c r="E544" s="83"/>
      <c r="F544" s="83"/>
      <c r="G544" s="83"/>
      <c r="H544" s="83"/>
      <c r="I544" s="83"/>
      <c r="J544" s="83"/>
      <c r="K544" s="83"/>
      <c r="L544" s="74"/>
      <c r="M544" s="74"/>
      <c r="N544" s="74"/>
      <c r="O544" s="74"/>
      <c r="P544" s="74"/>
      <c r="Q544" s="74"/>
      <c r="R544" s="74"/>
      <c r="S544" s="74"/>
      <c r="T544" s="74"/>
      <c r="U544" s="74"/>
      <c r="V544" s="74"/>
      <c r="W544" s="74"/>
      <c r="X544" s="74"/>
      <c r="Y544" s="74"/>
    </row>
    <row r="545" spans="1:25" ht="15.75" thickBot="1" x14ac:dyDescent="0.3">
      <c r="A545" s="82"/>
      <c r="B545" s="82"/>
      <c r="C545" s="87"/>
      <c r="D545" s="87"/>
      <c r="E545" s="82"/>
      <c r="F545" s="82"/>
      <c r="G545" s="82"/>
      <c r="H545" s="82"/>
      <c r="I545" s="82"/>
      <c r="J545" s="82"/>
      <c r="K545" s="82"/>
      <c r="L545" s="74"/>
      <c r="M545" s="74"/>
      <c r="N545" s="74"/>
      <c r="O545" s="74"/>
      <c r="P545" s="74"/>
      <c r="Q545" s="74"/>
      <c r="R545" s="74"/>
      <c r="S545" s="74"/>
      <c r="T545" s="74"/>
      <c r="U545" s="74"/>
      <c r="V545" s="74"/>
      <c r="W545" s="74"/>
      <c r="X545" s="74"/>
      <c r="Y545" s="74"/>
    </row>
    <row r="546" spans="1:25" ht="15.75" thickBot="1" x14ac:dyDescent="0.3">
      <c r="A546" s="83"/>
      <c r="B546" s="83"/>
      <c r="C546" s="88"/>
      <c r="D546" s="88"/>
      <c r="E546" s="83"/>
      <c r="F546" s="83"/>
      <c r="G546" s="83"/>
      <c r="H546" s="83"/>
      <c r="I546" s="83"/>
      <c r="J546" s="83"/>
      <c r="K546" s="83"/>
      <c r="L546" s="74"/>
      <c r="M546" s="74"/>
      <c r="N546" s="74"/>
      <c r="O546" s="74"/>
      <c r="P546" s="74"/>
      <c r="Q546" s="74"/>
      <c r="R546" s="74"/>
      <c r="S546" s="74"/>
      <c r="T546" s="74"/>
      <c r="U546" s="74"/>
      <c r="V546" s="74"/>
      <c r="W546" s="74"/>
      <c r="X546" s="74"/>
      <c r="Y546" s="74"/>
    </row>
    <row r="547" spans="1:25" ht="15.75" thickBot="1" x14ac:dyDescent="0.3">
      <c r="A547" s="82"/>
      <c r="B547" s="82"/>
      <c r="C547" s="87"/>
      <c r="D547" s="87"/>
      <c r="E547" s="82"/>
      <c r="F547" s="82"/>
      <c r="G547" s="82"/>
      <c r="H547" s="82"/>
      <c r="I547" s="82"/>
      <c r="J547" s="82"/>
      <c r="K547" s="82"/>
      <c r="L547" s="74"/>
      <c r="M547" s="74"/>
      <c r="N547" s="74"/>
      <c r="O547" s="74"/>
      <c r="P547" s="74"/>
      <c r="Q547" s="74"/>
      <c r="R547" s="74"/>
      <c r="S547" s="74"/>
      <c r="T547" s="74"/>
      <c r="U547" s="74"/>
      <c r="V547" s="74"/>
      <c r="W547" s="74"/>
      <c r="X547" s="74"/>
      <c r="Y547" s="74"/>
    </row>
    <row r="548" spans="1:25" ht="15.75" thickBot="1" x14ac:dyDescent="0.3">
      <c r="A548" s="83"/>
      <c r="B548" s="83"/>
      <c r="C548" s="88"/>
      <c r="D548" s="88"/>
      <c r="E548" s="83"/>
      <c r="F548" s="83"/>
      <c r="G548" s="83"/>
      <c r="H548" s="83"/>
      <c r="I548" s="83"/>
      <c r="J548" s="83"/>
      <c r="K548" s="83"/>
      <c r="L548" s="74"/>
      <c r="M548" s="74"/>
      <c r="N548" s="74"/>
      <c r="O548" s="74"/>
      <c r="P548" s="74"/>
      <c r="Q548" s="74"/>
      <c r="R548" s="74"/>
      <c r="S548" s="74"/>
      <c r="T548" s="74"/>
      <c r="U548" s="74"/>
      <c r="V548" s="74"/>
      <c r="W548" s="74"/>
      <c r="X548" s="74"/>
      <c r="Y548" s="74"/>
    </row>
    <row r="549" spans="1:25" ht="15.75" thickBot="1" x14ac:dyDescent="0.3">
      <c r="A549" s="82"/>
      <c r="B549" s="82"/>
      <c r="C549" s="87"/>
      <c r="D549" s="87"/>
      <c r="E549" s="82"/>
      <c r="F549" s="82"/>
      <c r="G549" s="82"/>
      <c r="H549" s="82"/>
      <c r="I549" s="82"/>
      <c r="J549" s="82"/>
      <c r="K549" s="82"/>
      <c r="L549" s="74"/>
      <c r="M549" s="74"/>
      <c r="N549" s="74"/>
      <c r="O549" s="74"/>
      <c r="P549" s="74"/>
      <c r="Q549" s="74"/>
      <c r="R549" s="74"/>
      <c r="S549" s="74"/>
      <c r="T549" s="74"/>
      <c r="U549" s="74"/>
      <c r="V549" s="74"/>
      <c r="W549" s="74"/>
      <c r="X549" s="74"/>
      <c r="Y549" s="74"/>
    </row>
    <row r="550" spans="1:25" ht="15.75" thickBot="1" x14ac:dyDescent="0.3">
      <c r="A550" s="83"/>
      <c r="B550" s="83"/>
      <c r="C550" s="88"/>
      <c r="D550" s="88"/>
      <c r="E550" s="83"/>
      <c r="F550" s="83"/>
      <c r="G550" s="83"/>
      <c r="H550" s="83"/>
      <c r="I550" s="83"/>
      <c r="J550" s="83"/>
      <c r="K550" s="83"/>
      <c r="L550" s="74"/>
      <c r="M550" s="74"/>
      <c r="N550" s="74"/>
      <c r="O550" s="74"/>
      <c r="P550" s="74"/>
      <c r="Q550" s="74"/>
      <c r="R550" s="74"/>
      <c r="S550" s="74"/>
      <c r="T550" s="74"/>
      <c r="U550" s="74"/>
      <c r="V550" s="74"/>
      <c r="W550" s="74"/>
      <c r="X550" s="74"/>
      <c r="Y550" s="74"/>
    </row>
    <row r="551" spans="1:25" ht="15.75" thickBot="1" x14ac:dyDescent="0.3">
      <c r="A551" s="82"/>
      <c r="B551" s="82"/>
      <c r="C551" s="87"/>
      <c r="D551" s="87"/>
      <c r="E551" s="82"/>
      <c r="F551" s="82"/>
      <c r="G551" s="82"/>
      <c r="H551" s="82"/>
      <c r="I551" s="82"/>
      <c r="J551" s="82"/>
      <c r="K551" s="82"/>
      <c r="L551" s="74"/>
      <c r="M551" s="74"/>
      <c r="N551" s="74"/>
      <c r="O551" s="74"/>
      <c r="P551" s="74"/>
      <c r="Q551" s="74"/>
      <c r="R551" s="74"/>
      <c r="S551" s="74"/>
      <c r="T551" s="74"/>
      <c r="U551" s="74"/>
      <c r="V551" s="74"/>
      <c r="W551" s="74"/>
      <c r="X551" s="74"/>
      <c r="Y551" s="74"/>
    </row>
    <row r="552" spans="1:25" ht="15.75" thickBot="1" x14ac:dyDescent="0.3">
      <c r="A552" s="83"/>
      <c r="B552" s="83"/>
      <c r="C552" s="88"/>
      <c r="D552" s="88"/>
      <c r="E552" s="83"/>
      <c r="F552" s="83"/>
      <c r="G552" s="83"/>
      <c r="H552" s="83"/>
      <c r="I552" s="83"/>
      <c r="J552" s="83"/>
      <c r="K552" s="83"/>
      <c r="L552" s="74"/>
      <c r="M552" s="74"/>
      <c r="N552" s="74"/>
      <c r="O552" s="74"/>
      <c r="P552" s="74"/>
      <c r="Q552" s="74"/>
      <c r="R552" s="74"/>
      <c r="S552" s="74"/>
      <c r="T552" s="74"/>
      <c r="U552" s="74"/>
      <c r="V552" s="74"/>
      <c r="W552" s="74"/>
      <c r="X552" s="74"/>
      <c r="Y552" s="74"/>
    </row>
    <row r="553" spans="1:25" ht="15.75" thickBot="1" x14ac:dyDescent="0.3">
      <c r="A553" s="82"/>
      <c r="B553" s="82"/>
      <c r="C553" s="87"/>
      <c r="D553" s="87"/>
      <c r="E553" s="82"/>
      <c r="F553" s="82"/>
      <c r="G553" s="82"/>
      <c r="H553" s="82"/>
      <c r="I553" s="82"/>
      <c r="J553" s="82"/>
      <c r="K553" s="82"/>
      <c r="L553" s="74"/>
      <c r="M553" s="74"/>
      <c r="N553" s="74"/>
      <c r="O553" s="74"/>
      <c r="P553" s="74"/>
      <c r="Q553" s="74"/>
      <c r="R553" s="74"/>
      <c r="S553" s="74"/>
      <c r="T553" s="74"/>
      <c r="U553" s="74"/>
      <c r="V553" s="74"/>
      <c r="W553" s="74"/>
      <c r="X553" s="74"/>
      <c r="Y553" s="74"/>
    </row>
    <row r="554" spans="1:25" ht="15.75" thickBot="1" x14ac:dyDescent="0.3">
      <c r="A554" s="83"/>
      <c r="B554" s="83"/>
      <c r="C554" s="88"/>
      <c r="D554" s="88"/>
      <c r="E554" s="83"/>
      <c r="F554" s="83"/>
      <c r="G554" s="83"/>
      <c r="H554" s="83"/>
      <c r="I554" s="83"/>
      <c r="J554" s="83"/>
      <c r="K554" s="83"/>
      <c r="L554" s="74"/>
      <c r="M554" s="74"/>
      <c r="N554" s="74"/>
      <c r="O554" s="74"/>
      <c r="P554" s="74"/>
      <c r="Q554" s="74"/>
      <c r="R554" s="74"/>
      <c r="S554" s="74"/>
      <c r="T554" s="74"/>
      <c r="U554" s="74"/>
      <c r="V554" s="74"/>
      <c r="W554" s="74"/>
      <c r="X554" s="74"/>
      <c r="Y554" s="74"/>
    </row>
    <row r="555" spans="1:25" ht="15.75" thickBot="1" x14ac:dyDescent="0.3">
      <c r="A555" s="82"/>
      <c r="B555" s="82"/>
      <c r="C555" s="87"/>
      <c r="D555" s="87"/>
      <c r="E555" s="82"/>
      <c r="F555" s="82"/>
      <c r="G555" s="82"/>
      <c r="H555" s="82"/>
      <c r="I555" s="82"/>
      <c r="J555" s="82"/>
      <c r="K555" s="82"/>
      <c r="L555" s="74"/>
      <c r="M555" s="74"/>
      <c r="N555" s="74"/>
      <c r="O555" s="74"/>
      <c r="P555" s="74"/>
      <c r="Q555" s="74"/>
      <c r="R555" s="74"/>
      <c r="S555" s="74"/>
      <c r="T555" s="74"/>
      <c r="U555" s="74"/>
      <c r="V555" s="74"/>
      <c r="W555" s="74"/>
      <c r="X555" s="74"/>
      <c r="Y555" s="74"/>
    </row>
    <row r="556" spans="1:25" ht="15.75" thickBot="1" x14ac:dyDescent="0.3">
      <c r="A556" s="83"/>
      <c r="B556" s="83"/>
      <c r="C556" s="88"/>
      <c r="D556" s="88"/>
      <c r="E556" s="83"/>
      <c r="F556" s="83"/>
      <c r="G556" s="83"/>
      <c r="H556" s="83"/>
      <c r="I556" s="83"/>
      <c r="J556" s="83"/>
      <c r="K556" s="83"/>
      <c r="L556" s="74"/>
      <c r="M556" s="74"/>
      <c r="N556" s="74"/>
      <c r="O556" s="74"/>
      <c r="P556" s="74"/>
      <c r="Q556" s="74"/>
      <c r="R556" s="74"/>
      <c r="S556" s="74"/>
      <c r="T556" s="74"/>
      <c r="U556" s="74"/>
      <c r="V556" s="74"/>
      <c r="W556" s="74"/>
      <c r="X556" s="74"/>
      <c r="Y556" s="74"/>
    </row>
    <row r="557" spans="1:25" ht="15.75" thickBot="1" x14ac:dyDescent="0.3">
      <c r="A557" s="82"/>
      <c r="B557" s="82"/>
      <c r="C557" s="87"/>
      <c r="D557" s="87"/>
      <c r="E557" s="82"/>
      <c r="F557" s="82"/>
      <c r="G557" s="82"/>
      <c r="H557" s="82"/>
      <c r="I557" s="82"/>
      <c r="J557" s="82"/>
      <c r="K557" s="82"/>
      <c r="L557" s="74"/>
      <c r="M557" s="74"/>
      <c r="N557" s="74"/>
      <c r="O557" s="74"/>
      <c r="P557" s="74"/>
      <c r="Q557" s="74"/>
      <c r="R557" s="74"/>
      <c r="S557" s="74"/>
      <c r="T557" s="74"/>
      <c r="U557" s="74"/>
      <c r="V557" s="74"/>
      <c r="W557" s="74"/>
      <c r="X557" s="74"/>
      <c r="Y557" s="74"/>
    </row>
    <row r="558" spans="1:25" ht="15.75" thickBot="1" x14ac:dyDescent="0.3">
      <c r="A558" s="83"/>
      <c r="B558" s="83"/>
      <c r="C558" s="88"/>
      <c r="D558" s="88"/>
      <c r="E558" s="83"/>
      <c r="F558" s="83"/>
      <c r="G558" s="83"/>
      <c r="H558" s="83"/>
      <c r="I558" s="83"/>
      <c r="J558" s="83"/>
      <c r="K558" s="83"/>
      <c r="L558" s="74"/>
      <c r="M558" s="74"/>
      <c r="N558" s="74"/>
      <c r="O558" s="74"/>
      <c r="P558" s="74"/>
      <c r="Q558" s="74"/>
      <c r="R558" s="74"/>
      <c r="S558" s="74"/>
      <c r="T558" s="74"/>
      <c r="U558" s="74"/>
      <c r="V558" s="74"/>
      <c r="W558" s="74"/>
      <c r="X558" s="74"/>
      <c r="Y558" s="74"/>
    </row>
    <row r="559" spans="1:25" ht="15.75" thickBot="1" x14ac:dyDescent="0.3">
      <c r="A559" s="82"/>
      <c r="B559" s="82"/>
      <c r="C559" s="87"/>
      <c r="D559" s="87"/>
      <c r="E559" s="82"/>
      <c r="F559" s="82"/>
      <c r="G559" s="82"/>
      <c r="H559" s="82"/>
      <c r="I559" s="82"/>
      <c r="J559" s="82"/>
      <c r="K559" s="82"/>
      <c r="L559" s="74"/>
      <c r="M559" s="74"/>
      <c r="N559" s="74"/>
      <c r="O559" s="74"/>
      <c r="P559" s="74"/>
      <c r="Q559" s="74"/>
      <c r="R559" s="74"/>
      <c r="S559" s="74"/>
      <c r="T559" s="74"/>
      <c r="U559" s="74"/>
      <c r="V559" s="74"/>
      <c r="W559" s="74"/>
      <c r="X559" s="74"/>
      <c r="Y559" s="74"/>
    </row>
    <row r="560" spans="1:25" ht="15.75" thickBot="1" x14ac:dyDescent="0.3">
      <c r="A560" s="83"/>
      <c r="B560" s="83"/>
      <c r="C560" s="88"/>
      <c r="D560" s="88"/>
      <c r="E560" s="83"/>
      <c r="F560" s="83"/>
      <c r="G560" s="83"/>
      <c r="H560" s="83"/>
      <c r="I560" s="83"/>
      <c r="J560" s="83"/>
      <c r="K560" s="83"/>
      <c r="L560" s="74"/>
      <c r="M560" s="74"/>
      <c r="N560" s="74"/>
      <c r="O560" s="74"/>
      <c r="P560" s="74"/>
      <c r="Q560" s="74"/>
      <c r="R560" s="74"/>
      <c r="S560" s="74"/>
      <c r="T560" s="74"/>
      <c r="U560" s="74"/>
      <c r="V560" s="74"/>
      <c r="W560" s="74"/>
      <c r="X560" s="74"/>
      <c r="Y560" s="74"/>
    </row>
    <row r="561" spans="1:25" ht="15.75" thickBot="1" x14ac:dyDescent="0.3">
      <c r="A561" s="82"/>
      <c r="B561" s="82"/>
      <c r="C561" s="87"/>
      <c r="D561" s="87"/>
      <c r="E561" s="82"/>
      <c r="F561" s="82"/>
      <c r="G561" s="82"/>
      <c r="H561" s="82"/>
      <c r="I561" s="82"/>
      <c r="J561" s="82"/>
      <c r="K561" s="82"/>
      <c r="L561" s="74"/>
      <c r="M561" s="74"/>
      <c r="N561" s="74"/>
      <c r="O561" s="74"/>
      <c r="P561" s="74"/>
      <c r="Q561" s="74"/>
      <c r="R561" s="74"/>
      <c r="S561" s="74"/>
      <c r="T561" s="74"/>
      <c r="U561" s="74"/>
      <c r="V561" s="74"/>
      <c r="W561" s="74"/>
      <c r="X561" s="74"/>
      <c r="Y561" s="74"/>
    </row>
    <row r="562" spans="1:25" ht="15.75" thickBot="1" x14ac:dyDescent="0.3">
      <c r="A562" s="83"/>
      <c r="B562" s="83"/>
      <c r="C562" s="88"/>
      <c r="D562" s="88"/>
      <c r="E562" s="83"/>
      <c r="F562" s="83"/>
      <c r="G562" s="83"/>
      <c r="H562" s="83"/>
      <c r="I562" s="83"/>
      <c r="J562" s="83"/>
      <c r="K562" s="83"/>
      <c r="L562" s="74"/>
      <c r="M562" s="74"/>
      <c r="N562" s="74"/>
      <c r="O562" s="74"/>
      <c r="P562" s="74"/>
      <c r="Q562" s="74"/>
      <c r="R562" s="74"/>
      <c r="S562" s="74"/>
      <c r="T562" s="74"/>
      <c r="U562" s="74"/>
      <c r="V562" s="74"/>
      <c r="W562" s="74"/>
      <c r="X562" s="74"/>
      <c r="Y562" s="74"/>
    </row>
    <row r="563" spans="1:25" ht="15.75" thickBot="1" x14ac:dyDescent="0.3">
      <c r="A563" s="82"/>
      <c r="B563" s="82"/>
      <c r="C563" s="87"/>
      <c r="D563" s="87"/>
      <c r="E563" s="82"/>
      <c r="F563" s="82"/>
      <c r="G563" s="82"/>
      <c r="H563" s="82"/>
      <c r="I563" s="82"/>
      <c r="J563" s="82"/>
      <c r="K563" s="82"/>
      <c r="L563" s="74"/>
      <c r="M563" s="74"/>
      <c r="N563" s="74"/>
      <c r="O563" s="74"/>
      <c r="P563" s="74"/>
      <c r="Q563" s="74"/>
      <c r="R563" s="74"/>
      <c r="S563" s="74"/>
      <c r="T563" s="74"/>
      <c r="U563" s="74"/>
      <c r="V563" s="74"/>
      <c r="W563" s="74"/>
      <c r="X563" s="74"/>
      <c r="Y563" s="74"/>
    </row>
    <row r="564" spans="1:25" ht="15.75" thickBot="1" x14ac:dyDescent="0.3">
      <c r="A564" s="83"/>
      <c r="B564" s="83"/>
      <c r="C564" s="88"/>
      <c r="D564" s="88"/>
      <c r="E564" s="83"/>
      <c r="F564" s="83"/>
      <c r="G564" s="83"/>
      <c r="H564" s="83"/>
      <c r="I564" s="83"/>
      <c r="J564" s="83"/>
      <c r="K564" s="83"/>
      <c r="L564" s="74"/>
      <c r="M564" s="74"/>
      <c r="N564" s="74"/>
      <c r="O564" s="74"/>
      <c r="P564" s="74"/>
      <c r="Q564" s="74"/>
      <c r="R564" s="74"/>
      <c r="S564" s="74"/>
      <c r="T564" s="74"/>
      <c r="U564" s="74"/>
      <c r="V564" s="74"/>
      <c r="W564" s="74"/>
      <c r="X564" s="74"/>
      <c r="Y564" s="74"/>
    </row>
    <row r="565" spans="1:25" ht="15.75" thickBot="1" x14ac:dyDescent="0.3">
      <c r="A565" s="82"/>
      <c r="B565" s="82"/>
      <c r="C565" s="87"/>
      <c r="D565" s="87"/>
      <c r="E565" s="82"/>
      <c r="F565" s="82"/>
      <c r="G565" s="82"/>
      <c r="H565" s="82"/>
      <c r="I565" s="82"/>
      <c r="J565" s="82"/>
      <c r="K565" s="82"/>
      <c r="L565" s="74"/>
      <c r="M565" s="74"/>
      <c r="N565" s="74"/>
      <c r="O565" s="74"/>
      <c r="P565" s="74"/>
      <c r="Q565" s="74"/>
      <c r="R565" s="74"/>
      <c r="S565" s="74"/>
      <c r="T565" s="74"/>
      <c r="U565" s="74"/>
      <c r="V565" s="74"/>
      <c r="W565" s="74"/>
      <c r="X565" s="74"/>
      <c r="Y565" s="74"/>
    </row>
    <row r="566" spans="1:25" ht="15.75" thickBot="1" x14ac:dyDescent="0.3">
      <c r="A566" s="83"/>
      <c r="B566" s="83"/>
      <c r="C566" s="88"/>
      <c r="D566" s="88"/>
      <c r="E566" s="83"/>
      <c r="F566" s="83"/>
      <c r="G566" s="83"/>
      <c r="H566" s="83"/>
      <c r="I566" s="83"/>
      <c r="J566" s="83"/>
      <c r="K566" s="83"/>
      <c r="L566" s="74"/>
      <c r="M566" s="74"/>
      <c r="N566" s="74"/>
      <c r="O566" s="74"/>
      <c r="P566" s="74"/>
      <c r="Q566" s="74"/>
      <c r="R566" s="74"/>
      <c r="S566" s="74"/>
      <c r="T566" s="74"/>
      <c r="U566" s="74"/>
      <c r="V566" s="74"/>
      <c r="W566" s="74"/>
      <c r="X566" s="74"/>
      <c r="Y566" s="74"/>
    </row>
    <row r="567" spans="1:25" ht="15.75" thickBot="1" x14ac:dyDescent="0.3">
      <c r="A567" s="82"/>
      <c r="B567" s="82"/>
      <c r="C567" s="87"/>
      <c r="D567" s="87"/>
      <c r="E567" s="82"/>
      <c r="F567" s="82"/>
      <c r="G567" s="82"/>
      <c r="H567" s="82"/>
      <c r="I567" s="82"/>
      <c r="J567" s="82"/>
      <c r="K567" s="82"/>
      <c r="L567" s="74"/>
      <c r="M567" s="74"/>
      <c r="N567" s="74"/>
      <c r="O567" s="74"/>
      <c r="P567" s="74"/>
      <c r="Q567" s="74"/>
      <c r="R567" s="74"/>
      <c r="S567" s="74"/>
      <c r="T567" s="74"/>
      <c r="U567" s="74"/>
      <c r="V567" s="74"/>
      <c r="W567" s="74"/>
      <c r="X567" s="74"/>
      <c r="Y567" s="74"/>
    </row>
    <row r="568" spans="1:25" ht="15.75" thickBot="1" x14ac:dyDescent="0.3">
      <c r="A568" s="83"/>
      <c r="B568" s="83"/>
      <c r="C568" s="88"/>
      <c r="D568" s="88"/>
      <c r="E568" s="83"/>
      <c r="F568" s="83"/>
      <c r="G568" s="83"/>
      <c r="H568" s="83"/>
      <c r="I568" s="83"/>
      <c r="J568" s="83"/>
      <c r="K568" s="83"/>
      <c r="L568" s="74"/>
      <c r="M568" s="74"/>
      <c r="N568" s="74"/>
      <c r="O568" s="74"/>
      <c r="P568" s="74"/>
      <c r="Q568" s="74"/>
      <c r="R568" s="74"/>
      <c r="S568" s="74"/>
      <c r="T568" s="74"/>
      <c r="U568" s="74"/>
      <c r="V568" s="74"/>
      <c r="W568" s="74"/>
      <c r="X568" s="74"/>
      <c r="Y568" s="74"/>
    </row>
    <row r="569" spans="1:25" ht="15.75" thickBot="1" x14ac:dyDescent="0.3">
      <c r="A569" s="82"/>
      <c r="B569" s="82"/>
      <c r="C569" s="87"/>
      <c r="D569" s="87"/>
      <c r="E569" s="82"/>
      <c r="F569" s="82"/>
      <c r="G569" s="82"/>
      <c r="H569" s="82"/>
      <c r="I569" s="82"/>
      <c r="J569" s="82"/>
      <c r="K569" s="82"/>
      <c r="L569" s="74"/>
      <c r="M569" s="74"/>
      <c r="N569" s="74"/>
      <c r="O569" s="74"/>
      <c r="P569" s="74"/>
      <c r="Q569" s="74"/>
      <c r="R569" s="74"/>
      <c r="S569" s="74"/>
      <c r="T569" s="74"/>
      <c r="U569" s="74"/>
      <c r="V569" s="74"/>
      <c r="W569" s="74"/>
      <c r="X569" s="74"/>
      <c r="Y569" s="74"/>
    </row>
    <row r="570" spans="1:25" ht="15.75" thickBot="1" x14ac:dyDescent="0.3">
      <c r="A570" s="83"/>
      <c r="B570" s="83"/>
      <c r="C570" s="88"/>
      <c r="D570" s="88"/>
      <c r="E570" s="83"/>
      <c r="F570" s="83"/>
      <c r="G570" s="83"/>
      <c r="H570" s="83"/>
      <c r="I570" s="83"/>
      <c r="J570" s="83"/>
      <c r="K570" s="83"/>
      <c r="L570" s="74"/>
      <c r="M570" s="74"/>
      <c r="N570" s="74"/>
      <c r="O570" s="74"/>
      <c r="P570" s="74"/>
      <c r="Q570" s="74"/>
      <c r="R570" s="74"/>
      <c r="S570" s="74"/>
      <c r="T570" s="74"/>
      <c r="U570" s="74"/>
      <c r="V570" s="74"/>
      <c r="W570" s="74"/>
      <c r="X570" s="74"/>
      <c r="Y570" s="74"/>
    </row>
    <row r="571" spans="1:25" ht="15.75" thickBot="1" x14ac:dyDescent="0.3">
      <c r="A571" s="82"/>
      <c r="B571" s="82"/>
      <c r="C571" s="87"/>
      <c r="D571" s="87"/>
      <c r="E571" s="82"/>
      <c r="F571" s="82"/>
      <c r="G571" s="82"/>
      <c r="H571" s="82"/>
      <c r="I571" s="82"/>
      <c r="J571" s="82"/>
      <c r="K571" s="82"/>
      <c r="L571" s="74"/>
      <c r="M571" s="74"/>
      <c r="N571" s="74"/>
      <c r="O571" s="74"/>
      <c r="P571" s="74"/>
      <c r="Q571" s="74"/>
      <c r="R571" s="74"/>
      <c r="S571" s="74"/>
      <c r="T571" s="74"/>
      <c r="U571" s="74"/>
      <c r="V571" s="74"/>
      <c r="W571" s="74"/>
      <c r="X571" s="74"/>
      <c r="Y571" s="74"/>
    </row>
    <row r="572" spans="1:25" ht="15.75" thickBot="1" x14ac:dyDescent="0.3">
      <c r="A572" s="83"/>
      <c r="B572" s="83"/>
      <c r="C572" s="88"/>
      <c r="D572" s="88"/>
      <c r="E572" s="83"/>
      <c r="F572" s="83"/>
      <c r="G572" s="83"/>
      <c r="H572" s="83"/>
      <c r="I572" s="83"/>
      <c r="J572" s="83"/>
      <c r="K572" s="83"/>
      <c r="L572" s="74"/>
      <c r="M572" s="74"/>
      <c r="N572" s="74"/>
      <c r="O572" s="74"/>
      <c r="P572" s="74"/>
      <c r="Q572" s="74"/>
      <c r="R572" s="74"/>
      <c r="S572" s="74"/>
      <c r="T572" s="74"/>
      <c r="U572" s="74"/>
      <c r="V572" s="74"/>
      <c r="W572" s="74"/>
      <c r="X572" s="74"/>
      <c r="Y572" s="74"/>
    </row>
    <row r="573" spans="1:25" ht="15.75" thickBot="1" x14ac:dyDescent="0.3">
      <c r="A573" s="82"/>
      <c r="B573" s="82"/>
      <c r="C573" s="87"/>
      <c r="D573" s="87"/>
      <c r="E573" s="82"/>
      <c r="F573" s="82"/>
      <c r="G573" s="82"/>
      <c r="H573" s="82"/>
      <c r="I573" s="82"/>
      <c r="J573" s="82"/>
      <c r="K573" s="82"/>
      <c r="L573" s="74"/>
      <c r="M573" s="74"/>
      <c r="N573" s="74"/>
      <c r="O573" s="74"/>
      <c r="P573" s="74"/>
      <c r="Q573" s="74"/>
      <c r="R573" s="74"/>
      <c r="S573" s="74"/>
      <c r="T573" s="74"/>
      <c r="U573" s="74"/>
      <c r="V573" s="74"/>
      <c r="W573" s="74"/>
      <c r="X573" s="74"/>
      <c r="Y573" s="74"/>
    </row>
    <row r="574" spans="1:25" ht="15.75" thickBot="1" x14ac:dyDescent="0.3">
      <c r="A574" s="83"/>
      <c r="B574" s="83"/>
      <c r="C574" s="88"/>
      <c r="D574" s="88"/>
      <c r="E574" s="83"/>
      <c r="F574" s="83"/>
      <c r="G574" s="83"/>
      <c r="H574" s="83"/>
      <c r="I574" s="83"/>
      <c r="J574" s="83"/>
      <c r="K574" s="83"/>
      <c r="L574" s="74"/>
      <c r="M574" s="74"/>
      <c r="N574" s="74"/>
      <c r="O574" s="74"/>
      <c r="P574" s="74"/>
      <c r="Q574" s="74"/>
      <c r="R574" s="74"/>
      <c r="S574" s="74"/>
      <c r="T574" s="74"/>
      <c r="U574" s="74"/>
      <c r="V574" s="74"/>
      <c r="W574" s="74"/>
      <c r="X574" s="74"/>
      <c r="Y574" s="74"/>
    </row>
    <row r="575" spans="1:25" ht="15.75" thickBot="1" x14ac:dyDescent="0.3">
      <c r="A575" s="82"/>
      <c r="B575" s="82"/>
      <c r="C575" s="87"/>
      <c r="D575" s="87"/>
      <c r="E575" s="82"/>
      <c r="F575" s="82"/>
      <c r="G575" s="82"/>
      <c r="H575" s="82"/>
      <c r="I575" s="82"/>
      <c r="J575" s="82"/>
      <c r="K575" s="82"/>
      <c r="L575" s="74"/>
      <c r="M575" s="74"/>
      <c r="N575" s="74"/>
      <c r="O575" s="74"/>
      <c r="P575" s="74"/>
      <c r="Q575" s="74"/>
      <c r="R575" s="74"/>
      <c r="S575" s="74"/>
      <c r="T575" s="74"/>
      <c r="U575" s="74"/>
      <c r="V575" s="74"/>
      <c r="W575" s="74"/>
      <c r="X575" s="74"/>
      <c r="Y575" s="74"/>
    </row>
    <row r="576" spans="1:25" ht="15.75" thickBot="1" x14ac:dyDescent="0.3">
      <c r="A576" s="83"/>
      <c r="B576" s="83"/>
      <c r="C576" s="88"/>
      <c r="D576" s="88"/>
      <c r="E576" s="83"/>
      <c r="F576" s="83"/>
      <c r="G576" s="83"/>
      <c r="H576" s="83"/>
      <c r="I576" s="83"/>
      <c r="J576" s="83"/>
      <c r="K576" s="83"/>
      <c r="L576" s="74"/>
      <c r="M576" s="74"/>
      <c r="N576" s="74"/>
      <c r="O576" s="74"/>
      <c r="P576" s="74"/>
      <c r="Q576" s="74"/>
      <c r="R576" s="74"/>
      <c r="S576" s="74"/>
      <c r="T576" s="74"/>
      <c r="U576" s="74"/>
      <c r="V576" s="74"/>
      <c r="W576" s="74"/>
      <c r="X576" s="74"/>
      <c r="Y576" s="74"/>
    </row>
    <row r="577" spans="1:25" ht="15.75" thickBot="1" x14ac:dyDescent="0.3">
      <c r="A577" s="82"/>
      <c r="B577" s="82"/>
      <c r="C577" s="87"/>
      <c r="D577" s="87"/>
      <c r="E577" s="82"/>
      <c r="F577" s="82"/>
      <c r="G577" s="82"/>
      <c r="H577" s="82"/>
      <c r="I577" s="82"/>
      <c r="J577" s="82"/>
      <c r="K577" s="82"/>
      <c r="L577" s="74"/>
      <c r="M577" s="74"/>
      <c r="N577" s="74"/>
      <c r="O577" s="74"/>
      <c r="P577" s="74"/>
      <c r="Q577" s="74"/>
      <c r="R577" s="74"/>
      <c r="S577" s="74"/>
      <c r="T577" s="74"/>
      <c r="U577" s="74"/>
      <c r="V577" s="74"/>
      <c r="W577" s="74"/>
      <c r="X577" s="74"/>
      <c r="Y577" s="74"/>
    </row>
    <row r="578" spans="1:25" ht="15.75" thickBot="1" x14ac:dyDescent="0.3">
      <c r="A578" s="83"/>
      <c r="B578" s="83"/>
      <c r="C578" s="88"/>
      <c r="D578" s="88"/>
      <c r="E578" s="83"/>
      <c r="F578" s="83"/>
      <c r="G578" s="83"/>
      <c r="H578" s="83"/>
      <c r="I578" s="83"/>
      <c r="J578" s="83"/>
      <c r="K578" s="83"/>
      <c r="L578" s="74"/>
      <c r="M578" s="74"/>
      <c r="N578" s="74"/>
      <c r="O578" s="74"/>
      <c r="P578" s="74"/>
      <c r="Q578" s="74"/>
      <c r="R578" s="74"/>
      <c r="S578" s="74"/>
      <c r="T578" s="74"/>
      <c r="U578" s="74"/>
      <c r="V578" s="74"/>
      <c r="W578" s="74"/>
      <c r="X578" s="74"/>
      <c r="Y578" s="74"/>
    </row>
    <row r="579" spans="1:25" ht="15.75" thickBot="1" x14ac:dyDescent="0.3">
      <c r="A579" s="82"/>
      <c r="B579" s="82"/>
      <c r="C579" s="87"/>
      <c r="D579" s="87"/>
      <c r="E579" s="82"/>
      <c r="F579" s="82"/>
      <c r="G579" s="82"/>
      <c r="H579" s="82"/>
      <c r="I579" s="82"/>
      <c r="J579" s="82"/>
      <c r="K579" s="82"/>
      <c r="L579" s="74"/>
      <c r="M579" s="74"/>
      <c r="N579" s="74"/>
      <c r="O579" s="74"/>
      <c r="P579" s="74"/>
      <c r="Q579" s="74"/>
      <c r="R579" s="74"/>
      <c r="S579" s="74"/>
      <c r="T579" s="74"/>
      <c r="U579" s="74"/>
      <c r="V579" s="74"/>
      <c r="W579" s="74"/>
      <c r="X579" s="74"/>
      <c r="Y579" s="74"/>
    </row>
    <row r="580" spans="1:25" ht="15.75" thickBot="1" x14ac:dyDescent="0.3">
      <c r="A580" s="83"/>
      <c r="B580" s="83"/>
      <c r="C580" s="88"/>
      <c r="D580" s="88"/>
      <c r="E580" s="83"/>
      <c r="F580" s="83"/>
      <c r="G580" s="83"/>
      <c r="H580" s="83"/>
      <c r="I580" s="83"/>
      <c r="J580" s="83"/>
      <c r="K580" s="83"/>
      <c r="L580" s="74"/>
      <c r="M580" s="74"/>
      <c r="N580" s="74"/>
      <c r="O580" s="74"/>
      <c r="P580" s="74"/>
      <c r="Q580" s="74"/>
      <c r="R580" s="74"/>
      <c r="S580" s="74"/>
      <c r="T580" s="74"/>
      <c r="U580" s="74"/>
      <c r="V580" s="74"/>
      <c r="W580" s="74"/>
      <c r="X580" s="74"/>
      <c r="Y580" s="74"/>
    </row>
    <row r="581" spans="1:25" ht="15.75" thickBot="1" x14ac:dyDescent="0.3">
      <c r="A581" s="82"/>
      <c r="B581" s="82"/>
      <c r="C581" s="87"/>
      <c r="D581" s="87"/>
      <c r="E581" s="82"/>
      <c r="F581" s="82"/>
      <c r="G581" s="82"/>
      <c r="H581" s="82"/>
      <c r="I581" s="82"/>
      <c r="J581" s="82"/>
      <c r="K581" s="82"/>
      <c r="L581" s="74"/>
      <c r="M581" s="74"/>
      <c r="N581" s="74"/>
      <c r="O581" s="74"/>
      <c r="P581" s="74"/>
      <c r="Q581" s="74"/>
      <c r="R581" s="74"/>
      <c r="S581" s="74"/>
      <c r="T581" s="74"/>
      <c r="U581" s="74"/>
      <c r="V581" s="74"/>
      <c r="W581" s="74"/>
      <c r="X581" s="74"/>
      <c r="Y581" s="74"/>
    </row>
    <row r="582" spans="1:25" ht="15.75" thickBot="1" x14ac:dyDescent="0.3">
      <c r="A582" s="83"/>
      <c r="B582" s="83"/>
      <c r="C582" s="88"/>
      <c r="D582" s="88"/>
      <c r="E582" s="83"/>
      <c r="F582" s="83"/>
      <c r="G582" s="83"/>
      <c r="H582" s="83"/>
      <c r="I582" s="83"/>
      <c r="J582" s="83"/>
      <c r="K582" s="83"/>
      <c r="L582" s="74"/>
      <c r="M582" s="74"/>
      <c r="N582" s="74"/>
      <c r="O582" s="74"/>
      <c r="P582" s="74"/>
      <c r="Q582" s="74"/>
      <c r="R582" s="74"/>
      <c r="S582" s="74"/>
      <c r="T582" s="74"/>
      <c r="U582" s="74"/>
      <c r="V582" s="74"/>
      <c r="W582" s="74"/>
      <c r="X582" s="74"/>
      <c r="Y582" s="74"/>
    </row>
    <row r="583" spans="1:25" ht="15.75" thickBot="1" x14ac:dyDescent="0.3">
      <c r="A583" s="82"/>
      <c r="B583" s="82"/>
      <c r="C583" s="87"/>
      <c r="D583" s="87"/>
      <c r="E583" s="82"/>
      <c r="F583" s="82"/>
      <c r="G583" s="82"/>
      <c r="H583" s="82"/>
      <c r="I583" s="82"/>
      <c r="J583" s="82"/>
      <c r="K583" s="82"/>
      <c r="L583" s="74"/>
      <c r="M583" s="74"/>
      <c r="N583" s="74"/>
      <c r="O583" s="74"/>
      <c r="P583" s="74"/>
      <c r="Q583" s="74"/>
      <c r="R583" s="74"/>
      <c r="S583" s="74"/>
      <c r="T583" s="74"/>
      <c r="U583" s="74"/>
      <c r="V583" s="74"/>
      <c r="W583" s="74"/>
      <c r="X583" s="74"/>
      <c r="Y583" s="74"/>
    </row>
    <row r="584" spans="1:25" ht="15.75" thickBot="1" x14ac:dyDescent="0.3">
      <c r="A584" s="83"/>
      <c r="B584" s="83"/>
      <c r="C584" s="88"/>
      <c r="D584" s="88"/>
      <c r="E584" s="83"/>
      <c r="F584" s="83"/>
      <c r="G584" s="83"/>
      <c r="H584" s="83"/>
      <c r="I584" s="83"/>
      <c r="J584" s="83"/>
      <c r="K584" s="83"/>
      <c r="L584" s="74"/>
      <c r="M584" s="74"/>
      <c r="N584" s="74"/>
      <c r="O584" s="74"/>
      <c r="P584" s="74"/>
      <c r="Q584" s="74"/>
      <c r="R584" s="74"/>
      <c r="S584" s="74"/>
      <c r="T584" s="74"/>
      <c r="U584" s="74"/>
      <c r="V584" s="74"/>
      <c r="W584" s="74"/>
      <c r="X584" s="74"/>
      <c r="Y584" s="74"/>
    </row>
    <row r="585" spans="1:25" ht="15.75" thickBot="1" x14ac:dyDescent="0.3">
      <c r="A585" s="82"/>
      <c r="B585" s="82"/>
      <c r="C585" s="87"/>
      <c r="D585" s="87"/>
      <c r="E585" s="82"/>
      <c r="F585" s="82"/>
      <c r="G585" s="82"/>
      <c r="H585" s="82"/>
      <c r="I585" s="82"/>
      <c r="J585" s="82"/>
      <c r="K585" s="82"/>
      <c r="L585" s="74"/>
      <c r="M585" s="74"/>
      <c r="N585" s="74"/>
      <c r="O585" s="74"/>
      <c r="P585" s="74"/>
      <c r="Q585" s="74"/>
      <c r="R585" s="74"/>
      <c r="S585" s="74"/>
      <c r="T585" s="74"/>
      <c r="U585" s="74"/>
      <c r="V585" s="74"/>
      <c r="W585" s="74"/>
      <c r="X585" s="74"/>
      <c r="Y585" s="74"/>
    </row>
    <row r="586" spans="1:25" ht="15.75" thickBot="1" x14ac:dyDescent="0.3">
      <c r="A586" s="83"/>
      <c r="B586" s="83"/>
      <c r="C586" s="88"/>
      <c r="D586" s="88"/>
      <c r="E586" s="83"/>
      <c r="F586" s="83"/>
      <c r="G586" s="83"/>
      <c r="H586" s="83"/>
      <c r="I586" s="83"/>
      <c r="J586" s="83"/>
      <c r="K586" s="83"/>
      <c r="L586" s="74"/>
      <c r="M586" s="74"/>
      <c r="N586" s="74"/>
      <c r="O586" s="74"/>
      <c r="P586" s="74"/>
      <c r="Q586" s="74"/>
      <c r="R586" s="74"/>
      <c r="S586" s="74"/>
      <c r="T586" s="74"/>
      <c r="U586" s="74"/>
      <c r="V586" s="74"/>
      <c r="W586" s="74"/>
      <c r="X586" s="74"/>
      <c r="Y586" s="74"/>
    </row>
    <row r="587" spans="1:25" ht="15.75" thickBot="1" x14ac:dyDescent="0.3">
      <c r="A587" s="82"/>
      <c r="B587" s="82"/>
      <c r="C587" s="87"/>
      <c r="D587" s="87"/>
      <c r="E587" s="82"/>
      <c r="F587" s="82"/>
      <c r="G587" s="82"/>
      <c r="H587" s="82"/>
      <c r="I587" s="82"/>
      <c r="J587" s="82"/>
      <c r="K587" s="82"/>
      <c r="L587" s="74"/>
      <c r="M587" s="74"/>
      <c r="N587" s="74"/>
      <c r="O587" s="74"/>
      <c r="P587" s="74"/>
      <c r="Q587" s="74"/>
      <c r="R587" s="74"/>
      <c r="S587" s="74"/>
      <c r="T587" s="74"/>
      <c r="U587" s="74"/>
      <c r="V587" s="74"/>
      <c r="W587" s="74"/>
      <c r="X587" s="74"/>
      <c r="Y587" s="74"/>
    </row>
    <row r="588" spans="1:25" ht="15.75" thickBot="1" x14ac:dyDescent="0.3">
      <c r="A588" s="83"/>
      <c r="B588" s="83"/>
      <c r="C588" s="88"/>
      <c r="D588" s="88"/>
      <c r="E588" s="83"/>
      <c r="F588" s="83"/>
      <c r="G588" s="83"/>
      <c r="H588" s="83"/>
      <c r="I588" s="83"/>
      <c r="J588" s="83"/>
      <c r="K588" s="83"/>
      <c r="L588" s="74"/>
      <c r="M588" s="74"/>
      <c r="N588" s="74"/>
      <c r="O588" s="74"/>
      <c r="P588" s="74"/>
      <c r="Q588" s="74"/>
      <c r="R588" s="74"/>
      <c r="S588" s="74"/>
      <c r="T588" s="74"/>
      <c r="U588" s="74"/>
      <c r="V588" s="74"/>
      <c r="W588" s="74"/>
      <c r="X588" s="74"/>
      <c r="Y588" s="74"/>
    </row>
    <row r="589" spans="1:25" ht="15.75" thickBot="1" x14ac:dyDescent="0.3">
      <c r="A589" s="82"/>
      <c r="B589" s="82"/>
      <c r="C589" s="87"/>
      <c r="D589" s="87"/>
      <c r="E589" s="82"/>
      <c r="F589" s="82"/>
      <c r="G589" s="82"/>
      <c r="H589" s="82"/>
      <c r="I589" s="82"/>
      <c r="J589" s="82"/>
      <c r="K589" s="82"/>
      <c r="L589" s="74"/>
      <c r="M589" s="74"/>
      <c r="N589" s="74"/>
      <c r="O589" s="74"/>
      <c r="P589" s="74"/>
      <c r="Q589" s="74"/>
      <c r="R589" s="74"/>
      <c r="S589" s="74"/>
      <c r="T589" s="74"/>
      <c r="U589" s="74"/>
      <c r="V589" s="74"/>
      <c r="W589" s="74"/>
      <c r="X589" s="74"/>
      <c r="Y589" s="74"/>
    </row>
    <row r="590" spans="1:25" ht="15.75" thickBot="1" x14ac:dyDescent="0.3">
      <c r="A590" s="83"/>
      <c r="B590" s="83"/>
      <c r="C590" s="88"/>
      <c r="D590" s="88"/>
      <c r="E590" s="83"/>
      <c r="F590" s="83"/>
      <c r="G590" s="83"/>
      <c r="H590" s="83"/>
      <c r="I590" s="83"/>
      <c r="J590" s="83"/>
      <c r="K590" s="83"/>
      <c r="L590" s="74"/>
      <c r="M590" s="74"/>
      <c r="N590" s="74"/>
      <c r="O590" s="74"/>
      <c r="P590" s="74"/>
      <c r="Q590" s="74"/>
      <c r="R590" s="74"/>
      <c r="S590" s="74"/>
      <c r="T590" s="74"/>
      <c r="U590" s="74"/>
      <c r="V590" s="74"/>
      <c r="W590" s="74"/>
      <c r="X590" s="74"/>
      <c r="Y590" s="74"/>
    </row>
    <row r="591" spans="1:25" ht="15.75" thickBot="1" x14ac:dyDescent="0.3">
      <c r="A591" s="82"/>
      <c r="B591" s="82"/>
      <c r="C591" s="87"/>
      <c r="D591" s="87"/>
      <c r="E591" s="82"/>
      <c r="F591" s="82"/>
      <c r="G591" s="82"/>
      <c r="H591" s="82"/>
      <c r="I591" s="82"/>
      <c r="J591" s="82"/>
      <c r="K591" s="82"/>
      <c r="L591" s="74"/>
      <c r="M591" s="74"/>
      <c r="N591" s="74"/>
      <c r="O591" s="74"/>
      <c r="P591" s="74"/>
      <c r="Q591" s="74"/>
      <c r="R591" s="74"/>
      <c r="S591" s="74"/>
      <c r="T591" s="74"/>
      <c r="U591" s="74"/>
      <c r="V591" s="74"/>
      <c r="W591" s="74"/>
      <c r="X591" s="74"/>
      <c r="Y591" s="74"/>
    </row>
    <row r="592" spans="1:25" ht="15.75" thickBot="1" x14ac:dyDescent="0.3">
      <c r="A592" s="83"/>
      <c r="B592" s="83"/>
      <c r="C592" s="88"/>
      <c r="D592" s="88"/>
      <c r="E592" s="83"/>
      <c r="F592" s="83"/>
      <c r="G592" s="83"/>
      <c r="H592" s="83"/>
      <c r="I592" s="83"/>
      <c r="J592" s="83"/>
      <c r="K592" s="83"/>
      <c r="L592" s="74"/>
      <c r="M592" s="74"/>
      <c r="N592" s="74"/>
      <c r="O592" s="74"/>
      <c r="P592" s="74"/>
      <c r="Q592" s="74"/>
      <c r="R592" s="74"/>
      <c r="S592" s="74"/>
      <c r="T592" s="74"/>
      <c r="U592" s="74"/>
      <c r="V592" s="74"/>
      <c r="W592" s="74"/>
      <c r="X592" s="74"/>
      <c r="Y592" s="74"/>
    </row>
    <row r="593" spans="1:25" ht="15.75" thickBot="1" x14ac:dyDescent="0.3">
      <c r="A593" s="82"/>
      <c r="B593" s="82"/>
      <c r="C593" s="87"/>
      <c r="D593" s="87"/>
      <c r="E593" s="82"/>
      <c r="F593" s="82"/>
      <c r="G593" s="82"/>
      <c r="H593" s="82"/>
      <c r="I593" s="82"/>
      <c r="J593" s="82"/>
      <c r="K593" s="82"/>
      <c r="L593" s="74"/>
      <c r="M593" s="74"/>
      <c r="N593" s="74"/>
      <c r="O593" s="74"/>
      <c r="P593" s="74"/>
      <c r="Q593" s="74"/>
      <c r="R593" s="74"/>
      <c r="S593" s="74"/>
      <c r="T593" s="74"/>
      <c r="U593" s="74"/>
      <c r="V593" s="74"/>
      <c r="W593" s="74"/>
      <c r="X593" s="74"/>
      <c r="Y593" s="74"/>
    </row>
    <row r="594" spans="1:25" ht="15.75" thickBot="1" x14ac:dyDescent="0.3">
      <c r="A594" s="83"/>
      <c r="B594" s="83"/>
      <c r="C594" s="88"/>
      <c r="D594" s="88"/>
      <c r="E594" s="83"/>
      <c r="F594" s="83"/>
      <c r="G594" s="83"/>
      <c r="H594" s="83"/>
      <c r="I594" s="83"/>
      <c r="J594" s="83"/>
      <c r="K594" s="83"/>
      <c r="L594" s="74"/>
      <c r="M594" s="74"/>
      <c r="N594" s="74"/>
      <c r="O594" s="74"/>
      <c r="P594" s="74"/>
      <c r="Q594" s="74"/>
      <c r="R594" s="74"/>
      <c r="S594" s="74"/>
      <c r="T594" s="74"/>
      <c r="U594" s="74"/>
      <c r="V594" s="74"/>
      <c r="W594" s="74"/>
      <c r="X594" s="74"/>
      <c r="Y594" s="74"/>
    </row>
    <row r="595" spans="1:25" ht="15.75" thickBot="1" x14ac:dyDescent="0.3">
      <c r="A595" s="82"/>
      <c r="B595" s="82"/>
      <c r="C595" s="87"/>
      <c r="D595" s="87"/>
      <c r="E595" s="82"/>
      <c r="F595" s="82"/>
      <c r="G595" s="82"/>
      <c r="H595" s="82"/>
      <c r="I595" s="82"/>
      <c r="J595" s="82"/>
      <c r="K595" s="82"/>
      <c r="L595" s="74"/>
      <c r="M595" s="74"/>
      <c r="N595" s="74"/>
      <c r="O595" s="74"/>
      <c r="P595" s="74"/>
      <c r="Q595" s="74"/>
      <c r="R595" s="74"/>
      <c r="S595" s="74"/>
      <c r="T595" s="74"/>
      <c r="U595" s="74"/>
      <c r="V595" s="74"/>
      <c r="W595" s="74"/>
      <c r="X595" s="74"/>
      <c r="Y595" s="74"/>
    </row>
    <row r="596" spans="1:25" ht="15.75" thickBot="1" x14ac:dyDescent="0.3">
      <c r="A596" s="83"/>
      <c r="B596" s="83"/>
      <c r="C596" s="88"/>
      <c r="D596" s="88"/>
      <c r="E596" s="83"/>
      <c r="F596" s="83"/>
      <c r="G596" s="83"/>
      <c r="H596" s="83"/>
      <c r="I596" s="83"/>
      <c r="J596" s="83"/>
      <c r="K596" s="83"/>
      <c r="L596" s="74"/>
      <c r="M596" s="74"/>
      <c r="N596" s="74"/>
      <c r="O596" s="74"/>
      <c r="P596" s="74"/>
      <c r="Q596" s="74"/>
      <c r="R596" s="74"/>
      <c r="S596" s="74"/>
      <c r="T596" s="74"/>
      <c r="U596" s="74"/>
      <c r="V596" s="74"/>
      <c r="W596" s="74"/>
      <c r="X596" s="74"/>
      <c r="Y596" s="74"/>
    </row>
    <row r="597" spans="1:25" ht="15.75" thickBot="1" x14ac:dyDescent="0.3">
      <c r="A597" s="82"/>
      <c r="B597" s="82"/>
      <c r="C597" s="87"/>
      <c r="D597" s="87"/>
      <c r="E597" s="82"/>
      <c r="F597" s="82"/>
      <c r="G597" s="82"/>
      <c r="H597" s="82"/>
      <c r="I597" s="82"/>
      <c r="J597" s="82"/>
      <c r="K597" s="82"/>
      <c r="L597" s="74"/>
      <c r="M597" s="74"/>
      <c r="N597" s="74"/>
      <c r="O597" s="74"/>
      <c r="P597" s="74"/>
      <c r="Q597" s="74"/>
      <c r="R597" s="74"/>
      <c r="S597" s="74"/>
      <c r="T597" s="74"/>
      <c r="U597" s="74"/>
      <c r="V597" s="74"/>
      <c r="W597" s="74"/>
      <c r="X597" s="74"/>
      <c r="Y597" s="74"/>
    </row>
    <row r="598" spans="1:25" ht="15.75" thickBot="1" x14ac:dyDescent="0.3">
      <c r="A598" s="83"/>
      <c r="B598" s="83"/>
      <c r="C598" s="88"/>
      <c r="D598" s="88"/>
      <c r="E598" s="83"/>
      <c r="F598" s="83"/>
      <c r="G598" s="83"/>
      <c r="H598" s="83"/>
      <c r="I598" s="83"/>
      <c r="J598" s="83"/>
      <c r="K598" s="83"/>
      <c r="L598" s="74"/>
      <c r="M598" s="74"/>
      <c r="N598" s="74"/>
      <c r="O598" s="74"/>
      <c r="P598" s="74"/>
      <c r="Q598" s="74"/>
      <c r="R598" s="74"/>
      <c r="S598" s="74"/>
      <c r="T598" s="74"/>
      <c r="U598" s="74"/>
      <c r="V598" s="74"/>
      <c r="W598" s="74"/>
      <c r="X598" s="74"/>
      <c r="Y598" s="74"/>
    </row>
    <row r="599" spans="1:25" ht="15.75" thickBot="1" x14ac:dyDescent="0.3">
      <c r="A599" s="82"/>
      <c r="B599" s="82"/>
      <c r="C599" s="87"/>
      <c r="D599" s="87"/>
      <c r="E599" s="82"/>
      <c r="F599" s="82"/>
      <c r="G599" s="82"/>
      <c r="H599" s="82"/>
      <c r="I599" s="82"/>
      <c r="J599" s="82"/>
      <c r="K599" s="82"/>
      <c r="L599" s="74"/>
      <c r="M599" s="74"/>
      <c r="N599" s="74"/>
      <c r="O599" s="74"/>
      <c r="P599" s="74"/>
      <c r="Q599" s="74"/>
      <c r="R599" s="74"/>
      <c r="S599" s="74"/>
      <c r="T599" s="74"/>
      <c r="U599" s="74"/>
      <c r="V599" s="74"/>
      <c r="W599" s="74"/>
      <c r="X599" s="74"/>
      <c r="Y599" s="74"/>
    </row>
    <row r="600" spans="1:25" ht="15.75" thickBot="1" x14ac:dyDescent="0.3">
      <c r="A600" s="83"/>
      <c r="B600" s="83"/>
      <c r="C600" s="88"/>
      <c r="D600" s="88"/>
      <c r="E600" s="83"/>
      <c r="F600" s="83"/>
      <c r="G600" s="83"/>
      <c r="H600" s="83"/>
      <c r="I600" s="83"/>
      <c r="J600" s="83"/>
      <c r="K600" s="83"/>
      <c r="L600" s="74"/>
      <c r="M600" s="74"/>
      <c r="N600" s="74"/>
      <c r="O600" s="74"/>
      <c r="P600" s="74"/>
      <c r="Q600" s="74"/>
      <c r="R600" s="74"/>
      <c r="S600" s="74"/>
      <c r="T600" s="74"/>
      <c r="U600" s="74"/>
      <c r="V600" s="74"/>
      <c r="W600" s="74"/>
      <c r="X600" s="74"/>
      <c r="Y600" s="74"/>
    </row>
    <row r="601" spans="1:25" ht="15.75" thickBot="1" x14ac:dyDescent="0.3">
      <c r="A601" s="82"/>
      <c r="B601" s="82"/>
      <c r="C601" s="87"/>
      <c r="D601" s="87"/>
      <c r="E601" s="82"/>
      <c r="F601" s="82"/>
      <c r="G601" s="82"/>
      <c r="H601" s="82"/>
      <c r="I601" s="82"/>
      <c r="J601" s="82"/>
      <c r="K601" s="82"/>
      <c r="L601" s="74"/>
      <c r="M601" s="74"/>
      <c r="N601" s="74"/>
      <c r="O601" s="74"/>
      <c r="P601" s="74"/>
      <c r="Q601" s="74"/>
      <c r="R601" s="74"/>
      <c r="S601" s="74"/>
      <c r="T601" s="74"/>
      <c r="U601" s="74"/>
      <c r="V601" s="74"/>
      <c r="W601" s="74"/>
      <c r="X601" s="74"/>
      <c r="Y601" s="74"/>
    </row>
    <row r="602" spans="1:25" ht="15.75" thickBot="1" x14ac:dyDescent="0.3">
      <c r="A602" s="83"/>
      <c r="B602" s="83"/>
      <c r="C602" s="88"/>
      <c r="D602" s="88"/>
      <c r="E602" s="83"/>
      <c r="F602" s="83"/>
      <c r="G602" s="83"/>
      <c r="H602" s="83"/>
      <c r="I602" s="83"/>
      <c r="J602" s="83"/>
      <c r="K602" s="83"/>
      <c r="L602" s="74"/>
      <c r="M602" s="74"/>
      <c r="N602" s="74"/>
      <c r="O602" s="74"/>
      <c r="P602" s="74"/>
      <c r="Q602" s="74"/>
      <c r="R602" s="74"/>
      <c r="S602" s="74"/>
      <c r="T602" s="74"/>
      <c r="U602" s="74"/>
      <c r="V602" s="74"/>
      <c r="W602" s="74"/>
      <c r="X602" s="74"/>
      <c r="Y602" s="74"/>
    </row>
    <row r="603" spans="1:25" ht="15.75" thickBot="1" x14ac:dyDescent="0.3">
      <c r="A603" s="82"/>
      <c r="B603" s="82"/>
      <c r="C603" s="87"/>
      <c r="D603" s="87"/>
      <c r="E603" s="82"/>
      <c r="F603" s="82"/>
      <c r="G603" s="82"/>
      <c r="H603" s="82"/>
      <c r="I603" s="82"/>
      <c r="J603" s="82"/>
      <c r="K603" s="82"/>
      <c r="L603" s="74"/>
      <c r="M603" s="74"/>
      <c r="N603" s="74"/>
      <c r="O603" s="74"/>
      <c r="P603" s="74"/>
      <c r="Q603" s="74"/>
      <c r="R603" s="74"/>
      <c r="S603" s="74"/>
      <c r="T603" s="74"/>
      <c r="U603" s="74"/>
      <c r="V603" s="74"/>
      <c r="W603" s="74"/>
      <c r="X603" s="74"/>
      <c r="Y603" s="74"/>
    </row>
    <row r="604" spans="1:25" ht="15.75" thickBot="1" x14ac:dyDescent="0.3">
      <c r="A604" s="83"/>
      <c r="B604" s="83"/>
      <c r="C604" s="88"/>
      <c r="D604" s="88"/>
      <c r="E604" s="83"/>
      <c r="F604" s="83"/>
      <c r="G604" s="83"/>
      <c r="H604" s="83"/>
      <c r="I604" s="83"/>
      <c r="J604" s="83"/>
      <c r="K604" s="83"/>
      <c r="L604" s="74"/>
      <c r="M604" s="74"/>
      <c r="N604" s="74"/>
      <c r="O604" s="74"/>
      <c r="P604" s="74"/>
      <c r="Q604" s="74"/>
      <c r="R604" s="74"/>
      <c r="S604" s="74"/>
      <c r="T604" s="74"/>
      <c r="U604" s="74"/>
      <c r="V604" s="74"/>
      <c r="W604" s="74"/>
      <c r="X604" s="74"/>
      <c r="Y604" s="74"/>
    </row>
    <row r="605" spans="1:25" ht="15.75" thickBot="1" x14ac:dyDescent="0.3">
      <c r="A605" s="82"/>
      <c r="B605" s="82"/>
      <c r="C605" s="87"/>
      <c r="D605" s="87"/>
      <c r="E605" s="82"/>
      <c r="F605" s="82"/>
      <c r="G605" s="82"/>
      <c r="H605" s="82"/>
      <c r="I605" s="82"/>
      <c r="J605" s="82"/>
      <c r="K605" s="82"/>
      <c r="L605" s="74"/>
      <c r="M605" s="74"/>
      <c r="N605" s="74"/>
      <c r="O605" s="74"/>
      <c r="P605" s="74"/>
      <c r="Q605" s="74"/>
      <c r="R605" s="74"/>
      <c r="S605" s="74"/>
      <c r="T605" s="74"/>
      <c r="U605" s="74"/>
      <c r="V605" s="74"/>
      <c r="W605" s="74"/>
      <c r="X605" s="74"/>
      <c r="Y605" s="74"/>
    </row>
    <row r="606" spans="1:25" ht="15.75" thickBot="1" x14ac:dyDescent="0.3">
      <c r="A606" s="83"/>
      <c r="B606" s="83"/>
      <c r="C606" s="88"/>
      <c r="D606" s="88"/>
      <c r="E606" s="83"/>
      <c r="F606" s="83"/>
      <c r="G606" s="83"/>
      <c r="H606" s="83"/>
      <c r="I606" s="83"/>
      <c r="J606" s="83"/>
      <c r="K606" s="83"/>
      <c r="L606" s="74"/>
      <c r="M606" s="74"/>
      <c r="N606" s="74"/>
      <c r="O606" s="74"/>
      <c r="P606" s="74"/>
      <c r="Q606" s="74"/>
      <c r="R606" s="74"/>
      <c r="S606" s="74"/>
      <c r="T606" s="74"/>
      <c r="U606" s="74"/>
      <c r="V606" s="74"/>
      <c r="W606" s="74"/>
      <c r="X606" s="74"/>
      <c r="Y606" s="74"/>
    </row>
    <row r="607" spans="1:25" ht="15.75" thickBot="1" x14ac:dyDescent="0.3">
      <c r="A607" s="82"/>
      <c r="B607" s="82"/>
      <c r="C607" s="87"/>
      <c r="D607" s="87"/>
      <c r="E607" s="82"/>
      <c r="F607" s="82"/>
      <c r="G607" s="82"/>
      <c r="H607" s="82"/>
      <c r="I607" s="82"/>
      <c r="J607" s="82"/>
      <c r="K607" s="82"/>
      <c r="L607" s="74"/>
      <c r="M607" s="74"/>
      <c r="N607" s="74"/>
      <c r="O607" s="74"/>
      <c r="P607" s="74"/>
      <c r="Q607" s="74"/>
      <c r="R607" s="74"/>
      <c r="S607" s="74"/>
      <c r="T607" s="74"/>
      <c r="U607" s="74"/>
      <c r="V607" s="74"/>
      <c r="W607" s="74"/>
      <c r="X607" s="74"/>
      <c r="Y607" s="74"/>
    </row>
    <row r="608" spans="1:25" ht="15.75" thickBot="1" x14ac:dyDescent="0.3">
      <c r="A608" s="83"/>
      <c r="B608" s="83"/>
      <c r="C608" s="88"/>
      <c r="D608" s="88"/>
      <c r="E608" s="83"/>
      <c r="F608" s="83"/>
      <c r="G608" s="83"/>
      <c r="H608" s="83"/>
      <c r="I608" s="83"/>
      <c r="J608" s="83"/>
      <c r="K608" s="83"/>
      <c r="L608" s="74"/>
      <c r="M608" s="74"/>
      <c r="N608" s="74"/>
      <c r="O608" s="74"/>
      <c r="P608" s="74"/>
      <c r="Q608" s="74"/>
      <c r="R608" s="74"/>
      <c r="S608" s="74"/>
      <c r="T608" s="74"/>
      <c r="U608" s="74"/>
      <c r="V608" s="74"/>
      <c r="W608" s="74"/>
      <c r="X608" s="74"/>
      <c r="Y608" s="74"/>
    </row>
    <row r="609" spans="1:25" ht="15.75" thickBot="1" x14ac:dyDescent="0.3">
      <c r="A609" s="82"/>
      <c r="B609" s="82"/>
      <c r="C609" s="87"/>
      <c r="D609" s="87"/>
      <c r="E609" s="82"/>
      <c r="F609" s="82"/>
      <c r="G609" s="82"/>
      <c r="H609" s="82"/>
      <c r="I609" s="82"/>
      <c r="J609" s="82"/>
      <c r="K609" s="82"/>
      <c r="L609" s="74"/>
      <c r="M609" s="74"/>
      <c r="N609" s="74"/>
      <c r="O609" s="74"/>
      <c r="P609" s="74"/>
      <c r="Q609" s="74"/>
      <c r="R609" s="74"/>
      <c r="S609" s="74"/>
      <c r="T609" s="74"/>
      <c r="U609" s="74"/>
      <c r="V609" s="74"/>
      <c r="W609" s="74"/>
      <c r="X609" s="74"/>
      <c r="Y609" s="74"/>
    </row>
    <row r="610" spans="1:25" ht="15.75" thickBot="1" x14ac:dyDescent="0.3">
      <c r="A610" s="83"/>
      <c r="B610" s="83"/>
      <c r="C610" s="88"/>
      <c r="D610" s="88"/>
      <c r="E610" s="83"/>
      <c r="F610" s="83"/>
      <c r="G610" s="83"/>
      <c r="H610" s="83"/>
      <c r="I610" s="83"/>
      <c r="J610" s="83"/>
      <c r="K610" s="83"/>
      <c r="L610" s="74"/>
      <c r="M610" s="74"/>
      <c r="N610" s="74"/>
      <c r="O610" s="74"/>
      <c r="P610" s="74"/>
      <c r="Q610" s="74"/>
      <c r="R610" s="74"/>
      <c r="S610" s="74"/>
      <c r="T610" s="74"/>
      <c r="U610" s="74"/>
      <c r="V610" s="74"/>
      <c r="W610" s="74"/>
      <c r="X610" s="74"/>
      <c r="Y610" s="74"/>
    </row>
    <row r="611" spans="1:25" ht="15.75" thickBot="1" x14ac:dyDescent="0.3">
      <c r="A611" s="82"/>
      <c r="B611" s="82"/>
      <c r="C611" s="87"/>
      <c r="D611" s="87"/>
      <c r="E611" s="82"/>
      <c r="F611" s="82"/>
      <c r="G611" s="82"/>
      <c r="H611" s="82"/>
      <c r="I611" s="82"/>
      <c r="J611" s="82"/>
      <c r="K611" s="82"/>
      <c r="L611" s="74"/>
      <c r="M611" s="74"/>
      <c r="N611" s="74"/>
      <c r="O611" s="74"/>
      <c r="P611" s="74"/>
      <c r="Q611" s="74"/>
      <c r="R611" s="74"/>
      <c r="S611" s="74"/>
      <c r="T611" s="74"/>
      <c r="U611" s="74"/>
      <c r="V611" s="74"/>
      <c r="W611" s="74"/>
      <c r="X611" s="74"/>
      <c r="Y611" s="74"/>
    </row>
    <row r="612" spans="1:25" ht="15.75" thickBot="1" x14ac:dyDescent="0.3">
      <c r="A612" s="83"/>
      <c r="B612" s="83"/>
      <c r="C612" s="88"/>
      <c r="D612" s="88"/>
      <c r="E612" s="83"/>
      <c r="F612" s="83"/>
      <c r="G612" s="83"/>
      <c r="H612" s="83"/>
      <c r="I612" s="83"/>
      <c r="J612" s="83"/>
      <c r="K612" s="83"/>
      <c r="L612" s="74"/>
      <c r="M612" s="74"/>
      <c r="N612" s="74"/>
      <c r="O612" s="74"/>
      <c r="P612" s="74"/>
      <c r="Q612" s="74"/>
      <c r="R612" s="74"/>
      <c r="S612" s="74"/>
      <c r="T612" s="74"/>
      <c r="U612" s="74"/>
      <c r="V612" s="74"/>
      <c r="W612" s="74"/>
      <c r="X612" s="74"/>
      <c r="Y612" s="74"/>
    </row>
    <row r="613" spans="1:25" ht="15.75" thickBot="1" x14ac:dyDescent="0.3">
      <c r="A613" s="82"/>
      <c r="B613" s="82"/>
      <c r="C613" s="87"/>
      <c r="D613" s="87"/>
      <c r="E613" s="82"/>
      <c r="F613" s="82"/>
      <c r="G613" s="82"/>
      <c r="H613" s="82"/>
      <c r="I613" s="82"/>
      <c r="J613" s="82"/>
      <c r="K613" s="82"/>
      <c r="L613" s="74"/>
      <c r="M613" s="74"/>
      <c r="N613" s="74"/>
      <c r="O613" s="74"/>
      <c r="P613" s="74"/>
      <c r="Q613" s="74"/>
      <c r="R613" s="74"/>
      <c r="S613" s="74"/>
      <c r="T613" s="74"/>
      <c r="U613" s="74"/>
      <c r="V613" s="74"/>
      <c r="W613" s="74"/>
      <c r="X613" s="74"/>
      <c r="Y613" s="74"/>
    </row>
    <row r="614" spans="1:25" ht="15.75" thickBot="1" x14ac:dyDescent="0.3">
      <c r="A614" s="83"/>
      <c r="B614" s="83"/>
      <c r="C614" s="88"/>
      <c r="D614" s="88"/>
      <c r="E614" s="83"/>
      <c r="F614" s="83"/>
      <c r="G614" s="83"/>
      <c r="H614" s="83"/>
      <c r="I614" s="83"/>
      <c r="J614" s="83"/>
      <c r="K614" s="83"/>
      <c r="L614" s="74"/>
      <c r="M614" s="74"/>
      <c r="N614" s="74"/>
      <c r="O614" s="74"/>
      <c r="P614" s="74"/>
      <c r="Q614" s="74"/>
      <c r="R614" s="74"/>
      <c r="S614" s="74"/>
      <c r="T614" s="74"/>
      <c r="U614" s="74"/>
      <c r="V614" s="74"/>
      <c r="W614" s="74"/>
      <c r="X614" s="74"/>
      <c r="Y614" s="74"/>
    </row>
    <row r="615" spans="1:25" ht="15.75" thickBot="1" x14ac:dyDescent="0.3">
      <c r="A615" s="82"/>
      <c r="B615" s="82"/>
      <c r="C615" s="87"/>
      <c r="D615" s="87"/>
      <c r="E615" s="82"/>
      <c r="F615" s="82"/>
      <c r="G615" s="82"/>
      <c r="H615" s="82"/>
      <c r="I615" s="82"/>
      <c r="J615" s="82"/>
      <c r="K615" s="82"/>
      <c r="L615" s="74"/>
      <c r="M615" s="74"/>
      <c r="N615" s="74"/>
      <c r="O615" s="74"/>
      <c r="P615" s="74"/>
      <c r="Q615" s="74"/>
      <c r="R615" s="74"/>
      <c r="S615" s="74"/>
      <c r="T615" s="74"/>
      <c r="U615" s="74"/>
      <c r="V615" s="74"/>
      <c r="W615" s="74"/>
      <c r="X615" s="74"/>
      <c r="Y615" s="74"/>
    </row>
    <row r="616" spans="1:25" ht="15.75" thickBot="1" x14ac:dyDescent="0.3">
      <c r="A616" s="83"/>
      <c r="B616" s="83"/>
      <c r="C616" s="88"/>
      <c r="D616" s="88"/>
      <c r="E616" s="83"/>
      <c r="F616" s="83"/>
      <c r="G616" s="83"/>
      <c r="H616" s="83"/>
      <c r="I616" s="83"/>
      <c r="J616" s="83"/>
      <c r="K616" s="83"/>
      <c r="L616" s="74"/>
      <c r="M616" s="74"/>
      <c r="N616" s="74"/>
      <c r="O616" s="74"/>
      <c r="P616" s="74"/>
      <c r="Q616" s="74"/>
      <c r="R616" s="74"/>
      <c r="S616" s="74"/>
      <c r="T616" s="74"/>
      <c r="U616" s="74"/>
      <c r="V616" s="74"/>
      <c r="W616" s="74"/>
      <c r="X616" s="74"/>
      <c r="Y616" s="74"/>
    </row>
    <row r="617" spans="1:25" ht="15.75" thickBot="1" x14ac:dyDescent="0.3">
      <c r="A617" s="82"/>
      <c r="B617" s="82"/>
      <c r="C617" s="87"/>
      <c r="D617" s="87"/>
      <c r="E617" s="82"/>
      <c r="F617" s="82"/>
      <c r="G617" s="82"/>
      <c r="H617" s="82"/>
      <c r="I617" s="82"/>
      <c r="J617" s="82"/>
      <c r="K617" s="82"/>
      <c r="L617" s="74"/>
      <c r="M617" s="74"/>
      <c r="N617" s="74"/>
      <c r="O617" s="74"/>
      <c r="P617" s="74"/>
      <c r="Q617" s="74"/>
      <c r="R617" s="74"/>
      <c r="S617" s="74"/>
      <c r="T617" s="74"/>
      <c r="U617" s="74"/>
      <c r="V617" s="74"/>
      <c r="W617" s="74"/>
      <c r="X617" s="74"/>
      <c r="Y617" s="74"/>
    </row>
    <row r="618" spans="1:25" ht="15.75" thickBot="1" x14ac:dyDescent="0.3">
      <c r="A618" s="83"/>
      <c r="B618" s="83"/>
      <c r="C618" s="88"/>
      <c r="D618" s="88"/>
      <c r="E618" s="83"/>
      <c r="F618" s="83"/>
      <c r="G618" s="83"/>
      <c r="H618" s="83"/>
      <c r="I618" s="83"/>
      <c r="J618" s="83"/>
      <c r="K618" s="83"/>
      <c r="L618" s="74"/>
      <c r="M618" s="74"/>
      <c r="N618" s="74"/>
      <c r="O618" s="74"/>
      <c r="P618" s="74"/>
      <c r="Q618" s="74"/>
      <c r="R618" s="74"/>
      <c r="S618" s="74"/>
      <c r="T618" s="74"/>
      <c r="U618" s="74"/>
      <c r="V618" s="74"/>
      <c r="W618" s="74"/>
      <c r="X618" s="74"/>
      <c r="Y618" s="74"/>
    </row>
    <row r="619" spans="1:25" ht="15.75" thickBot="1" x14ac:dyDescent="0.3">
      <c r="A619" s="82"/>
      <c r="B619" s="82"/>
      <c r="C619" s="87"/>
      <c r="D619" s="87"/>
      <c r="E619" s="82"/>
      <c r="F619" s="82"/>
      <c r="G619" s="82"/>
      <c r="H619" s="82"/>
      <c r="I619" s="82"/>
      <c r="J619" s="82"/>
      <c r="K619" s="82"/>
      <c r="L619" s="74"/>
      <c r="M619" s="74"/>
      <c r="N619" s="74"/>
      <c r="O619" s="74"/>
      <c r="P619" s="74"/>
      <c r="Q619" s="74"/>
      <c r="R619" s="74"/>
      <c r="S619" s="74"/>
      <c r="T619" s="74"/>
      <c r="U619" s="74"/>
      <c r="V619" s="74"/>
      <c r="W619" s="74"/>
      <c r="X619" s="74"/>
      <c r="Y619" s="74"/>
    </row>
    <row r="620" spans="1:25" ht="15.75" thickBot="1" x14ac:dyDescent="0.3">
      <c r="A620" s="83"/>
      <c r="B620" s="83"/>
      <c r="C620" s="88"/>
      <c r="D620" s="88"/>
      <c r="E620" s="83"/>
      <c r="F620" s="83"/>
      <c r="G620" s="83"/>
      <c r="H620" s="83"/>
      <c r="I620" s="83"/>
      <c r="J620" s="83"/>
      <c r="K620" s="83"/>
      <c r="L620" s="74"/>
      <c r="M620" s="74"/>
      <c r="N620" s="74"/>
      <c r="O620" s="74"/>
      <c r="P620" s="74"/>
      <c r="Q620" s="74"/>
      <c r="R620" s="74"/>
      <c r="S620" s="74"/>
      <c r="T620" s="74"/>
      <c r="U620" s="74"/>
      <c r="V620" s="74"/>
      <c r="W620" s="74"/>
      <c r="X620" s="74"/>
      <c r="Y620" s="74"/>
    </row>
    <row r="621" spans="1:25" ht="15.75" thickBot="1" x14ac:dyDescent="0.3">
      <c r="A621" s="82"/>
      <c r="B621" s="82"/>
      <c r="C621" s="87"/>
      <c r="D621" s="87"/>
      <c r="E621" s="82"/>
      <c r="F621" s="82"/>
      <c r="G621" s="82"/>
      <c r="H621" s="82"/>
      <c r="I621" s="82"/>
      <c r="J621" s="82"/>
      <c r="K621" s="82"/>
      <c r="L621" s="74"/>
      <c r="M621" s="74"/>
      <c r="N621" s="74"/>
      <c r="O621" s="74"/>
      <c r="P621" s="74"/>
      <c r="Q621" s="74"/>
      <c r="R621" s="74"/>
      <c r="S621" s="74"/>
      <c r="T621" s="74"/>
      <c r="U621" s="74"/>
      <c r="V621" s="74"/>
      <c r="W621" s="74"/>
      <c r="X621" s="74"/>
      <c r="Y621" s="74"/>
    </row>
    <row r="622" spans="1:25" ht="15.75" thickBot="1" x14ac:dyDescent="0.3">
      <c r="A622" s="83"/>
      <c r="B622" s="83"/>
      <c r="C622" s="88"/>
      <c r="D622" s="88"/>
      <c r="E622" s="83"/>
      <c r="F622" s="83"/>
      <c r="G622" s="83"/>
      <c r="H622" s="83"/>
      <c r="I622" s="83"/>
      <c r="J622" s="83"/>
      <c r="K622" s="83"/>
      <c r="L622" s="74"/>
      <c r="M622" s="74"/>
      <c r="N622" s="74"/>
      <c r="O622" s="74"/>
      <c r="P622" s="74"/>
      <c r="Q622" s="74"/>
      <c r="R622" s="74"/>
      <c r="S622" s="74"/>
      <c r="T622" s="74"/>
      <c r="U622" s="74"/>
      <c r="V622" s="74"/>
      <c r="W622" s="74"/>
      <c r="X622" s="74"/>
      <c r="Y622" s="74"/>
    </row>
    <row r="623" spans="1:25" ht="15.75" thickBot="1" x14ac:dyDescent="0.3">
      <c r="A623" s="82"/>
      <c r="B623" s="82"/>
      <c r="C623" s="87"/>
      <c r="D623" s="87"/>
      <c r="E623" s="82"/>
      <c r="F623" s="82"/>
      <c r="G623" s="82"/>
      <c r="H623" s="82"/>
      <c r="I623" s="82"/>
      <c r="J623" s="82"/>
      <c r="K623" s="82"/>
      <c r="L623" s="74"/>
      <c r="M623" s="74"/>
      <c r="N623" s="74"/>
      <c r="O623" s="74"/>
      <c r="P623" s="74"/>
      <c r="Q623" s="74"/>
      <c r="R623" s="74"/>
      <c r="S623" s="74"/>
      <c r="T623" s="74"/>
      <c r="U623" s="74"/>
      <c r="V623" s="74"/>
      <c r="W623" s="74"/>
      <c r="X623" s="74"/>
      <c r="Y623" s="74"/>
    </row>
    <row r="624" spans="1:25" ht="15.75" thickBot="1" x14ac:dyDescent="0.3">
      <c r="A624" s="83"/>
      <c r="B624" s="83"/>
      <c r="C624" s="88"/>
      <c r="D624" s="88"/>
      <c r="E624" s="83"/>
      <c r="F624" s="83"/>
      <c r="G624" s="83"/>
      <c r="H624" s="83"/>
      <c r="I624" s="83"/>
      <c r="J624" s="83"/>
      <c r="K624" s="83"/>
      <c r="L624" s="74"/>
      <c r="M624" s="74"/>
      <c r="N624" s="74"/>
      <c r="O624" s="74"/>
      <c r="P624" s="74"/>
      <c r="Q624" s="74"/>
      <c r="R624" s="74"/>
      <c r="S624" s="74"/>
      <c r="T624" s="74"/>
      <c r="U624" s="74"/>
      <c r="V624" s="74"/>
      <c r="W624" s="74"/>
      <c r="X624" s="74"/>
      <c r="Y624" s="74"/>
    </row>
    <row r="625" spans="1:25" ht="15.75" thickBot="1" x14ac:dyDescent="0.3">
      <c r="A625" s="82"/>
      <c r="B625" s="82"/>
      <c r="C625" s="87"/>
      <c r="D625" s="87"/>
      <c r="E625" s="82"/>
      <c r="F625" s="82"/>
      <c r="G625" s="82"/>
      <c r="H625" s="82"/>
      <c r="I625" s="82"/>
      <c r="J625" s="82"/>
      <c r="K625" s="82"/>
      <c r="L625" s="74"/>
      <c r="M625" s="74"/>
      <c r="N625" s="74"/>
      <c r="O625" s="74"/>
      <c r="P625" s="74"/>
      <c r="Q625" s="74"/>
      <c r="R625" s="74"/>
      <c r="S625" s="74"/>
      <c r="T625" s="74"/>
      <c r="U625" s="74"/>
      <c r="V625" s="74"/>
      <c r="W625" s="74"/>
      <c r="X625" s="74"/>
      <c r="Y625" s="74"/>
    </row>
    <row r="626" spans="1:25" ht="15.75" thickBot="1" x14ac:dyDescent="0.3">
      <c r="A626" s="83"/>
      <c r="B626" s="83"/>
      <c r="C626" s="88"/>
      <c r="D626" s="88"/>
      <c r="E626" s="83"/>
      <c r="F626" s="83"/>
      <c r="G626" s="83"/>
      <c r="H626" s="83"/>
      <c r="I626" s="83"/>
      <c r="J626" s="83"/>
      <c r="K626" s="83"/>
      <c r="L626" s="74"/>
      <c r="M626" s="74"/>
      <c r="N626" s="74"/>
      <c r="O626" s="74"/>
      <c r="P626" s="74"/>
      <c r="Q626" s="74"/>
      <c r="R626" s="74"/>
      <c r="S626" s="74"/>
      <c r="T626" s="74"/>
      <c r="U626" s="74"/>
      <c r="V626" s="74"/>
      <c r="W626" s="74"/>
      <c r="X626" s="74"/>
      <c r="Y626" s="74"/>
    </row>
    <row r="627" spans="1:25" ht="15.75" thickBot="1" x14ac:dyDescent="0.3">
      <c r="A627" s="82"/>
      <c r="B627" s="82"/>
      <c r="C627" s="87"/>
      <c r="D627" s="87"/>
      <c r="E627" s="82"/>
      <c r="F627" s="82"/>
      <c r="G627" s="82"/>
      <c r="H627" s="82"/>
      <c r="I627" s="82"/>
      <c r="J627" s="82"/>
      <c r="K627" s="82"/>
      <c r="L627" s="74"/>
      <c r="M627" s="74"/>
      <c r="N627" s="74"/>
      <c r="O627" s="74"/>
      <c r="P627" s="74"/>
      <c r="Q627" s="74"/>
      <c r="R627" s="74"/>
      <c r="S627" s="74"/>
      <c r="T627" s="74"/>
      <c r="U627" s="74"/>
      <c r="V627" s="74"/>
      <c r="W627" s="74"/>
      <c r="X627" s="74"/>
      <c r="Y627" s="74"/>
    </row>
    <row r="628" spans="1:25" ht="15.75" thickBot="1" x14ac:dyDescent="0.3">
      <c r="A628" s="83"/>
      <c r="B628" s="83"/>
      <c r="C628" s="88"/>
      <c r="D628" s="88"/>
      <c r="E628" s="83"/>
      <c r="F628" s="83"/>
      <c r="G628" s="83"/>
      <c r="H628" s="83"/>
      <c r="I628" s="83"/>
      <c r="J628" s="83"/>
      <c r="K628" s="83"/>
      <c r="L628" s="74"/>
      <c r="M628" s="74"/>
      <c r="N628" s="74"/>
      <c r="O628" s="74"/>
      <c r="P628" s="74"/>
      <c r="Q628" s="74"/>
      <c r="R628" s="74"/>
      <c r="S628" s="74"/>
      <c r="T628" s="74"/>
      <c r="U628" s="74"/>
      <c r="V628" s="74"/>
      <c r="W628" s="74"/>
      <c r="X628" s="74"/>
      <c r="Y628" s="74"/>
    </row>
    <row r="629" spans="1:25" ht="15.75" thickBot="1" x14ac:dyDescent="0.3">
      <c r="A629" s="82"/>
      <c r="B629" s="82"/>
      <c r="C629" s="87"/>
      <c r="D629" s="87"/>
      <c r="E629" s="82"/>
      <c r="F629" s="82"/>
      <c r="G629" s="82"/>
      <c r="H629" s="82"/>
      <c r="I629" s="82"/>
      <c r="J629" s="82"/>
      <c r="K629" s="82"/>
      <c r="L629" s="74"/>
      <c r="M629" s="74"/>
      <c r="N629" s="74"/>
      <c r="O629" s="74"/>
      <c r="P629" s="74"/>
      <c r="Q629" s="74"/>
      <c r="R629" s="74"/>
      <c r="S629" s="74"/>
      <c r="T629" s="74"/>
      <c r="U629" s="74"/>
      <c r="V629" s="74"/>
      <c r="W629" s="74"/>
      <c r="X629" s="74"/>
      <c r="Y629" s="74"/>
    </row>
    <row r="630" spans="1:25" ht="15.75" thickBot="1" x14ac:dyDescent="0.3">
      <c r="A630" s="83"/>
      <c r="B630" s="83"/>
      <c r="C630" s="88"/>
      <c r="D630" s="88"/>
      <c r="E630" s="83"/>
      <c r="F630" s="83"/>
      <c r="G630" s="83"/>
      <c r="H630" s="83"/>
      <c r="I630" s="83"/>
      <c r="J630" s="83"/>
      <c r="K630" s="83"/>
      <c r="L630" s="74"/>
      <c r="M630" s="74"/>
      <c r="N630" s="74"/>
      <c r="O630" s="74"/>
      <c r="P630" s="74"/>
      <c r="Q630" s="74"/>
      <c r="R630" s="74"/>
      <c r="S630" s="74"/>
      <c r="T630" s="74"/>
      <c r="U630" s="74"/>
      <c r="V630" s="74"/>
      <c r="W630" s="74"/>
      <c r="X630" s="74"/>
      <c r="Y630" s="74"/>
    </row>
    <row r="631" spans="1:25" ht="15.75" thickBot="1" x14ac:dyDescent="0.3">
      <c r="A631" s="82"/>
      <c r="B631" s="82"/>
      <c r="C631" s="87"/>
      <c r="D631" s="87"/>
      <c r="E631" s="82"/>
      <c r="F631" s="82"/>
      <c r="G631" s="82"/>
      <c r="H631" s="82"/>
      <c r="I631" s="82"/>
      <c r="J631" s="82"/>
      <c r="K631" s="82"/>
      <c r="L631" s="74"/>
      <c r="M631" s="74"/>
      <c r="N631" s="74"/>
      <c r="O631" s="74"/>
      <c r="P631" s="74"/>
      <c r="Q631" s="74"/>
      <c r="R631" s="74"/>
      <c r="S631" s="74"/>
      <c r="T631" s="74"/>
      <c r="U631" s="74"/>
      <c r="V631" s="74"/>
      <c r="W631" s="74"/>
      <c r="X631" s="74"/>
      <c r="Y631" s="74"/>
    </row>
    <row r="632" spans="1:25" ht="15.75" thickBot="1" x14ac:dyDescent="0.3">
      <c r="A632" s="83"/>
      <c r="B632" s="83"/>
      <c r="C632" s="88"/>
      <c r="D632" s="88"/>
      <c r="E632" s="83"/>
      <c r="F632" s="83"/>
      <c r="G632" s="83"/>
      <c r="H632" s="83"/>
      <c r="I632" s="83"/>
      <c r="J632" s="83"/>
      <c r="K632" s="83"/>
      <c r="L632" s="74"/>
      <c r="M632" s="74"/>
      <c r="N632" s="74"/>
      <c r="O632" s="74"/>
      <c r="P632" s="74"/>
      <c r="Q632" s="74"/>
      <c r="R632" s="74"/>
      <c r="S632" s="74"/>
      <c r="T632" s="74"/>
      <c r="U632" s="74"/>
      <c r="V632" s="74"/>
      <c r="W632" s="74"/>
      <c r="X632" s="74"/>
      <c r="Y632" s="74"/>
    </row>
    <row r="633" spans="1:25" ht="15.75" thickBot="1" x14ac:dyDescent="0.3">
      <c r="A633" s="82"/>
      <c r="B633" s="82"/>
      <c r="C633" s="87"/>
      <c r="D633" s="87"/>
      <c r="E633" s="82"/>
      <c r="F633" s="82"/>
      <c r="G633" s="82"/>
      <c r="H633" s="82"/>
      <c r="I633" s="82"/>
      <c r="J633" s="82"/>
      <c r="K633" s="82"/>
      <c r="L633" s="74"/>
      <c r="M633" s="74"/>
      <c r="N633" s="74"/>
      <c r="O633" s="74"/>
      <c r="P633" s="74"/>
      <c r="Q633" s="74"/>
      <c r="R633" s="74"/>
      <c r="S633" s="74"/>
      <c r="T633" s="74"/>
      <c r="U633" s="74"/>
      <c r="V633" s="74"/>
      <c r="W633" s="74"/>
      <c r="X633" s="74"/>
      <c r="Y633" s="74"/>
    </row>
    <row r="634" spans="1:25" ht="15.75" thickBot="1" x14ac:dyDescent="0.3">
      <c r="A634" s="83"/>
      <c r="B634" s="83"/>
      <c r="C634" s="88"/>
      <c r="D634" s="88"/>
      <c r="E634" s="83"/>
      <c r="F634" s="83"/>
      <c r="G634" s="83"/>
      <c r="H634" s="83"/>
      <c r="I634" s="83"/>
      <c r="J634" s="83"/>
      <c r="K634" s="83"/>
      <c r="L634" s="74"/>
      <c r="M634" s="74"/>
      <c r="N634" s="74"/>
      <c r="O634" s="74"/>
      <c r="P634" s="74"/>
      <c r="Q634" s="74"/>
      <c r="R634" s="74"/>
      <c r="S634" s="74"/>
      <c r="T634" s="74"/>
      <c r="U634" s="74"/>
      <c r="V634" s="74"/>
      <c r="W634" s="74"/>
      <c r="X634" s="74"/>
      <c r="Y634" s="74"/>
    </row>
    <row r="635" spans="1:25" ht="15.75" thickBot="1" x14ac:dyDescent="0.3">
      <c r="A635" s="82"/>
      <c r="B635" s="82"/>
      <c r="C635" s="87"/>
      <c r="D635" s="87"/>
      <c r="E635" s="82"/>
      <c r="F635" s="82"/>
      <c r="G635" s="82"/>
      <c r="H635" s="82"/>
      <c r="I635" s="82"/>
      <c r="J635" s="82"/>
      <c r="K635" s="82"/>
      <c r="L635" s="74"/>
      <c r="M635" s="74"/>
      <c r="N635" s="74"/>
      <c r="O635" s="74"/>
      <c r="P635" s="74"/>
      <c r="Q635" s="74"/>
      <c r="R635" s="74"/>
      <c r="S635" s="74"/>
      <c r="T635" s="74"/>
      <c r="U635" s="74"/>
      <c r="V635" s="74"/>
      <c r="W635" s="74"/>
      <c r="X635" s="74"/>
      <c r="Y635" s="74"/>
    </row>
    <row r="636" spans="1:25" ht="15.75" thickBot="1" x14ac:dyDescent="0.3">
      <c r="A636" s="83"/>
      <c r="B636" s="83"/>
      <c r="C636" s="88"/>
      <c r="D636" s="88"/>
      <c r="E636" s="83"/>
      <c r="F636" s="83"/>
      <c r="G636" s="83"/>
      <c r="H636" s="83"/>
      <c r="I636" s="83"/>
      <c r="J636" s="83"/>
      <c r="K636" s="83"/>
      <c r="L636" s="74"/>
      <c r="M636" s="74"/>
      <c r="N636" s="74"/>
      <c r="O636" s="74"/>
      <c r="P636" s="74"/>
      <c r="Q636" s="74"/>
      <c r="R636" s="74"/>
      <c r="S636" s="74"/>
      <c r="T636" s="74"/>
      <c r="U636" s="74"/>
      <c r="V636" s="74"/>
      <c r="W636" s="74"/>
      <c r="X636" s="74"/>
      <c r="Y636" s="74"/>
    </row>
    <row r="637" spans="1:25" ht="15.75" thickBot="1" x14ac:dyDescent="0.3">
      <c r="A637" s="82"/>
      <c r="B637" s="82"/>
      <c r="C637" s="87"/>
      <c r="D637" s="87"/>
      <c r="E637" s="82"/>
      <c r="F637" s="82"/>
      <c r="G637" s="82"/>
      <c r="H637" s="82"/>
      <c r="I637" s="82"/>
      <c r="J637" s="82"/>
      <c r="K637" s="82"/>
      <c r="L637" s="74"/>
      <c r="M637" s="74"/>
      <c r="N637" s="74"/>
      <c r="O637" s="74"/>
      <c r="P637" s="74"/>
      <c r="Q637" s="74"/>
      <c r="R637" s="74"/>
      <c r="S637" s="74"/>
      <c r="T637" s="74"/>
      <c r="U637" s="74"/>
      <c r="V637" s="74"/>
      <c r="W637" s="74"/>
      <c r="X637" s="74"/>
      <c r="Y637" s="74"/>
    </row>
    <row r="638" spans="1:25" ht="15.75" thickBot="1" x14ac:dyDescent="0.3">
      <c r="A638" s="83"/>
      <c r="B638" s="83"/>
      <c r="C638" s="88"/>
      <c r="D638" s="88"/>
      <c r="E638" s="83"/>
      <c r="F638" s="83"/>
      <c r="G638" s="83"/>
      <c r="H638" s="83"/>
      <c r="I638" s="83"/>
      <c r="J638" s="83"/>
      <c r="K638" s="83"/>
      <c r="L638" s="74"/>
      <c r="M638" s="74"/>
      <c r="N638" s="74"/>
      <c r="O638" s="74"/>
      <c r="P638" s="74"/>
      <c r="Q638" s="74"/>
      <c r="R638" s="74"/>
      <c r="S638" s="74"/>
      <c r="T638" s="74"/>
      <c r="U638" s="74"/>
      <c r="V638" s="74"/>
      <c r="W638" s="74"/>
      <c r="X638" s="74"/>
      <c r="Y638" s="74"/>
    </row>
    <row r="639" spans="1:25" ht="15.75" thickBot="1" x14ac:dyDescent="0.3">
      <c r="A639" s="82"/>
      <c r="B639" s="82"/>
      <c r="C639" s="87"/>
      <c r="D639" s="87"/>
      <c r="E639" s="82"/>
      <c r="F639" s="82"/>
      <c r="G639" s="82"/>
      <c r="H639" s="82"/>
      <c r="I639" s="82"/>
      <c r="J639" s="82"/>
      <c r="K639" s="82"/>
      <c r="L639" s="74"/>
      <c r="M639" s="74"/>
      <c r="N639" s="74"/>
      <c r="O639" s="74"/>
      <c r="P639" s="74"/>
      <c r="Q639" s="74"/>
      <c r="R639" s="74"/>
      <c r="S639" s="74"/>
      <c r="T639" s="74"/>
      <c r="U639" s="74"/>
      <c r="V639" s="74"/>
      <c r="W639" s="74"/>
      <c r="X639" s="74"/>
      <c r="Y639" s="74"/>
    </row>
    <row r="640" spans="1:25" ht="15.75" thickBot="1" x14ac:dyDescent="0.3">
      <c r="A640" s="83"/>
      <c r="B640" s="83"/>
      <c r="C640" s="88"/>
      <c r="D640" s="88"/>
      <c r="E640" s="83"/>
      <c r="F640" s="83"/>
      <c r="G640" s="83"/>
      <c r="H640" s="83"/>
      <c r="I640" s="83"/>
      <c r="J640" s="83"/>
      <c r="K640" s="83"/>
      <c r="L640" s="74"/>
      <c r="M640" s="74"/>
      <c r="N640" s="74"/>
      <c r="O640" s="74"/>
      <c r="P640" s="74"/>
      <c r="Q640" s="74"/>
      <c r="R640" s="74"/>
      <c r="S640" s="74"/>
      <c r="T640" s="74"/>
      <c r="U640" s="74"/>
      <c r="V640" s="74"/>
      <c r="W640" s="74"/>
      <c r="X640" s="74"/>
      <c r="Y640" s="74"/>
    </row>
    <row r="641" spans="1:25" ht="15.75" thickBot="1" x14ac:dyDescent="0.3">
      <c r="A641" s="82"/>
      <c r="B641" s="82"/>
      <c r="C641" s="87"/>
      <c r="D641" s="87"/>
      <c r="E641" s="82"/>
      <c r="F641" s="82"/>
      <c r="G641" s="82"/>
      <c r="H641" s="82"/>
      <c r="I641" s="82"/>
      <c r="J641" s="82"/>
      <c r="K641" s="82"/>
      <c r="L641" s="74"/>
      <c r="M641" s="74"/>
      <c r="N641" s="74"/>
      <c r="O641" s="74"/>
      <c r="P641" s="74"/>
      <c r="Q641" s="74"/>
      <c r="R641" s="74"/>
      <c r="S641" s="74"/>
      <c r="T641" s="74"/>
      <c r="U641" s="74"/>
      <c r="V641" s="74"/>
      <c r="W641" s="74"/>
      <c r="X641" s="74"/>
      <c r="Y641" s="74"/>
    </row>
    <row r="642" spans="1:25" ht="15.75" thickBot="1" x14ac:dyDescent="0.3">
      <c r="A642" s="83"/>
      <c r="B642" s="83"/>
      <c r="C642" s="88"/>
      <c r="D642" s="88"/>
      <c r="E642" s="83"/>
      <c r="F642" s="83"/>
      <c r="G642" s="83"/>
      <c r="H642" s="83"/>
      <c r="I642" s="83"/>
      <c r="J642" s="83"/>
      <c r="K642" s="83"/>
      <c r="L642" s="74"/>
      <c r="M642" s="74"/>
      <c r="N642" s="74"/>
      <c r="O642" s="74"/>
      <c r="P642" s="74"/>
      <c r="Q642" s="74"/>
      <c r="R642" s="74"/>
      <c r="S642" s="74"/>
      <c r="T642" s="74"/>
      <c r="U642" s="74"/>
      <c r="V642" s="74"/>
      <c r="W642" s="74"/>
      <c r="X642" s="74"/>
      <c r="Y642" s="74"/>
    </row>
    <row r="643" spans="1:25" ht="15.75" thickBot="1" x14ac:dyDescent="0.3">
      <c r="A643" s="82"/>
      <c r="B643" s="82"/>
      <c r="C643" s="87"/>
      <c r="D643" s="87"/>
      <c r="E643" s="82"/>
      <c r="F643" s="82"/>
      <c r="G643" s="82"/>
      <c r="H643" s="82"/>
      <c r="I643" s="82"/>
      <c r="J643" s="82"/>
      <c r="K643" s="82"/>
      <c r="L643" s="74"/>
      <c r="M643" s="74"/>
      <c r="N643" s="74"/>
      <c r="O643" s="74"/>
      <c r="P643" s="74"/>
      <c r="Q643" s="74"/>
      <c r="R643" s="74"/>
      <c r="S643" s="74"/>
      <c r="T643" s="74"/>
      <c r="U643" s="74"/>
      <c r="V643" s="74"/>
      <c r="W643" s="74"/>
      <c r="X643" s="74"/>
      <c r="Y643" s="74"/>
    </row>
    <row r="644" spans="1:25" ht="15.75" thickBot="1" x14ac:dyDescent="0.3">
      <c r="A644" s="83"/>
      <c r="B644" s="83"/>
      <c r="C644" s="88"/>
      <c r="D644" s="88"/>
      <c r="E644" s="83"/>
      <c r="F644" s="83"/>
      <c r="G644" s="83"/>
      <c r="H644" s="83"/>
      <c r="I644" s="83"/>
      <c r="J644" s="83"/>
      <c r="K644" s="83"/>
      <c r="L644" s="74"/>
      <c r="M644" s="74"/>
      <c r="N644" s="74"/>
      <c r="O644" s="74"/>
      <c r="P644" s="74"/>
      <c r="Q644" s="74"/>
      <c r="R644" s="74"/>
      <c r="S644" s="74"/>
      <c r="T644" s="74"/>
      <c r="U644" s="74"/>
      <c r="V644" s="74"/>
      <c r="W644" s="74"/>
      <c r="X644" s="74"/>
      <c r="Y644" s="74"/>
    </row>
    <row r="645" spans="1:25" ht="15.75" thickBot="1" x14ac:dyDescent="0.3">
      <c r="A645" s="82"/>
      <c r="B645" s="82"/>
      <c r="C645" s="87"/>
      <c r="D645" s="87"/>
      <c r="E645" s="82"/>
      <c r="F645" s="82"/>
      <c r="G645" s="82"/>
      <c r="H645" s="82"/>
      <c r="I645" s="82"/>
      <c r="J645" s="82"/>
      <c r="K645" s="82"/>
      <c r="L645" s="74"/>
      <c r="M645" s="74"/>
      <c r="N645" s="74"/>
      <c r="O645" s="74"/>
      <c r="P645" s="74"/>
      <c r="Q645" s="74"/>
      <c r="R645" s="74"/>
      <c r="S645" s="74"/>
      <c r="T645" s="74"/>
      <c r="U645" s="74"/>
      <c r="V645" s="74"/>
      <c r="W645" s="74"/>
      <c r="X645" s="74"/>
      <c r="Y645" s="74"/>
    </row>
    <row r="646" spans="1:25" ht="15.75" thickBot="1" x14ac:dyDescent="0.3">
      <c r="A646" s="83"/>
      <c r="B646" s="83"/>
      <c r="C646" s="88"/>
      <c r="D646" s="88"/>
      <c r="E646" s="83"/>
      <c r="F646" s="83"/>
      <c r="G646" s="83"/>
      <c r="H646" s="83"/>
      <c r="I646" s="83"/>
      <c r="J646" s="83"/>
      <c r="K646" s="83"/>
      <c r="L646" s="74"/>
      <c r="M646" s="74"/>
      <c r="N646" s="74"/>
      <c r="O646" s="74"/>
      <c r="P646" s="74"/>
      <c r="Q646" s="74"/>
      <c r="R646" s="74"/>
      <c r="S646" s="74"/>
      <c r="T646" s="74"/>
      <c r="U646" s="74"/>
      <c r="V646" s="74"/>
      <c r="W646" s="74"/>
      <c r="X646" s="74"/>
      <c r="Y646" s="74"/>
    </row>
    <row r="647" spans="1:25" ht="15.75" thickBot="1" x14ac:dyDescent="0.3">
      <c r="A647" s="82"/>
      <c r="B647" s="82"/>
      <c r="C647" s="87"/>
      <c r="D647" s="87"/>
      <c r="E647" s="82"/>
      <c r="F647" s="82"/>
      <c r="G647" s="82"/>
      <c r="H647" s="82"/>
      <c r="I647" s="82"/>
      <c r="J647" s="82"/>
      <c r="K647" s="82"/>
      <c r="L647" s="74"/>
      <c r="M647" s="74"/>
      <c r="N647" s="74"/>
      <c r="O647" s="74"/>
      <c r="P647" s="74"/>
      <c r="Q647" s="74"/>
      <c r="R647" s="74"/>
      <c r="S647" s="74"/>
      <c r="T647" s="74"/>
      <c r="U647" s="74"/>
      <c r="V647" s="74"/>
      <c r="W647" s="74"/>
      <c r="X647" s="74"/>
      <c r="Y647" s="74"/>
    </row>
    <row r="648" spans="1:25" ht="15.75" thickBot="1" x14ac:dyDescent="0.3">
      <c r="A648" s="83"/>
      <c r="B648" s="83"/>
      <c r="C648" s="88"/>
      <c r="D648" s="88"/>
      <c r="E648" s="83"/>
      <c r="F648" s="83"/>
      <c r="G648" s="83"/>
      <c r="H648" s="83"/>
      <c r="I648" s="83"/>
      <c r="J648" s="83"/>
      <c r="K648" s="83"/>
      <c r="L648" s="74"/>
      <c r="M648" s="74"/>
      <c r="N648" s="74"/>
      <c r="O648" s="74"/>
      <c r="P648" s="74"/>
      <c r="Q648" s="74"/>
      <c r="R648" s="74"/>
      <c r="S648" s="74"/>
      <c r="T648" s="74"/>
      <c r="U648" s="74"/>
      <c r="V648" s="74"/>
      <c r="W648" s="74"/>
      <c r="X648" s="74"/>
      <c r="Y648" s="74"/>
    </row>
    <row r="649" spans="1:25" ht="15.75" thickBot="1" x14ac:dyDescent="0.3">
      <c r="A649" s="82"/>
      <c r="B649" s="82"/>
      <c r="C649" s="87"/>
      <c r="D649" s="87"/>
      <c r="E649" s="82"/>
      <c r="F649" s="82"/>
      <c r="G649" s="82"/>
      <c r="H649" s="82"/>
      <c r="I649" s="82"/>
      <c r="J649" s="82"/>
      <c r="K649" s="82"/>
      <c r="L649" s="74"/>
      <c r="M649" s="74"/>
      <c r="N649" s="74"/>
      <c r="O649" s="74"/>
      <c r="P649" s="74"/>
      <c r="Q649" s="74"/>
      <c r="R649" s="74"/>
      <c r="S649" s="74"/>
      <c r="T649" s="74"/>
      <c r="U649" s="74"/>
      <c r="V649" s="74"/>
      <c r="W649" s="74"/>
      <c r="X649" s="74"/>
      <c r="Y649" s="74"/>
    </row>
    <row r="650" spans="1:25" ht="15.75" thickBot="1" x14ac:dyDescent="0.3">
      <c r="A650" s="83"/>
      <c r="B650" s="83"/>
      <c r="C650" s="88"/>
      <c r="D650" s="88"/>
      <c r="E650" s="83"/>
      <c r="F650" s="83"/>
      <c r="G650" s="83"/>
      <c r="H650" s="83"/>
      <c r="I650" s="83"/>
      <c r="J650" s="83"/>
      <c r="K650" s="83"/>
      <c r="L650" s="74"/>
      <c r="M650" s="74"/>
      <c r="N650" s="74"/>
      <c r="O650" s="74"/>
      <c r="P650" s="74"/>
      <c r="Q650" s="74"/>
      <c r="R650" s="74"/>
      <c r="S650" s="74"/>
      <c r="T650" s="74"/>
      <c r="U650" s="74"/>
      <c r="V650" s="74"/>
      <c r="W650" s="74"/>
      <c r="X650" s="74"/>
      <c r="Y650" s="74"/>
    </row>
    <row r="651" spans="1:25" ht="15.75" thickBot="1" x14ac:dyDescent="0.3">
      <c r="A651" s="82"/>
      <c r="B651" s="82"/>
      <c r="C651" s="87"/>
      <c r="D651" s="87"/>
      <c r="E651" s="82"/>
      <c r="F651" s="82"/>
      <c r="G651" s="82"/>
      <c r="H651" s="82"/>
      <c r="I651" s="82"/>
      <c r="J651" s="82"/>
      <c r="K651" s="82"/>
      <c r="L651" s="74"/>
      <c r="M651" s="74"/>
      <c r="N651" s="74"/>
      <c r="O651" s="74"/>
      <c r="P651" s="74"/>
      <c r="Q651" s="74"/>
      <c r="R651" s="74"/>
      <c r="S651" s="74"/>
      <c r="T651" s="74"/>
      <c r="U651" s="74"/>
      <c r="V651" s="74"/>
      <c r="W651" s="74"/>
      <c r="X651" s="74"/>
      <c r="Y651" s="74"/>
    </row>
    <row r="652" spans="1:25" ht="15.75" thickBot="1" x14ac:dyDescent="0.3">
      <c r="A652" s="83"/>
      <c r="B652" s="83"/>
      <c r="C652" s="88"/>
      <c r="D652" s="88"/>
      <c r="E652" s="83"/>
      <c r="F652" s="83"/>
      <c r="G652" s="83"/>
      <c r="H652" s="83"/>
      <c r="I652" s="83"/>
      <c r="J652" s="83"/>
      <c r="K652" s="83"/>
      <c r="L652" s="74"/>
      <c r="M652" s="74"/>
      <c r="N652" s="74"/>
      <c r="O652" s="74"/>
      <c r="P652" s="74"/>
      <c r="Q652" s="74"/>
      <c r="R652" s="74"/>
      <c r="S652" s="74"/>
      <c r="T652" s="74"/>
      <c r="U652" s="74"/>
      <c r="V652" s="74"/>
      <c r="W652" s="74"/>
      <c r="X652" s="74"/>
      <c r="Y652" s="74"/>
    </row>
    <row r="653" spans="1:25" ht="15.75" thickBot="1" x14ac:dyDescent="0.3">
      <c r="A653" s="82"/>
      <c r="B653" s="82"/>
      <c r="C653" s="87"/>
      <c r="D653" s="87"/>
      <c r="E653" s="82"/>
      <c r="F653" s="82"/>
      <c r="G653" s="82"/>
      <c r="H653" s="82"/>
      <c r="I653" s="82"/>
      <c r="J653" s="82"/>
      <c r="K653" s="82"/>
      <c r="L653" s="74"/>
      <c r="M653" s="74"/>
      <c r="N653" s="74"/>
      <c r="O653" s="74"/>
      <c r="P653" s="74"/>
      <c r="Q653" s="74"/>
      <c r="R653" s="74"/>
      <c r="S653" s="74"/>
      <c r="T653" s="74"/>
      <c r="U653" s="74"/>
      <c r="V653" s="74"/>
      <c r="W653" s="74"/>
      <c r="X653" s="74"/>
      <c r="Y653" s="74"/>
    </row>
    <row r="654" spans="1:25" ht="15.75" thickBot="1" x14ac:dyDescent="0.3">
      <c r="A654" s="83"/>
      <c r="B654" s="83"/>
      <c r="C654" s="88"/>
      <c r="D654" s="88"/>
      <c r="E654" s="83"/>
      <c r="F654" s="83"/>
      <c r="G654" s="83"/>
      <c r="H654" s="83"/>
      <c r="I654" s="83"/>
      <c r="J654" s="83"/>
      <c r="K654" s="83"/>
      <c r="L654" s="74"/>
      <c r="M654" s="74"/>
      <c r="N654" s="74"/>
      <c r="O654" s="74"/>
      <c r="P654" s="74"/>
      <c r="Q654" s="74"/>
      <c r="R654" s="74"/>
      <c r="S654" s="74"/>
      <c r="T654" s="74"/>
      <c r="U654" s="74"/>
      <c r="V654" s="74"/>
      <c r="W654" s="74"/>
      <c r="X654" s="74"/>
      <c r="Y654" s="74"/>
    </row>
    <row r="655" spans="1:25" ht="15.75" thickBot="1" x14ac:dyDescent="0.3">
      <c r="A655" s="82"/>
      <c r="B655" s="82"/>
      <c r="C655" s="87"/>
      <c r="D655" s="87"/>
      <c r="E655" s="82"/>
      <c r="F655" s="82"/>
      <c r="G655" s="82"/>
      <c r="H655" s="82"/>
      <c r="I655" s="82"/>
      <c r="J655" s="82"/>
      <c r="K655" s="82"/>
      <c r="L655" s="74"/>
      <c r="M655" s="74"/>
      <c r="N655" s="74"/>
      <c r="O655" s="74"/>
      <c r="P655" s="74"/>
      <c r="Q655" s="74"/>
      <c r="R655" s="74"/>
      <c r="S655" s="74"/>
      <c r="T655" s="74"/>
      <c r="U655" s="74"/>
      <c r="V655" s="74"/>
      <c r="W655" s="74"/>
      <c r="X655" s="74"/>
      <c r="Y655" s="74"/>
    </row>
    <row r="656" spans="1:25" ht="15.75" thickBot="1" x14ac:dyDescent="0.3">
      <c r="A656" s="83"/>
      <c r="B656" s="83"/>
      <c r="C656" s="88"/>
      <c r="D656" s="88"/>
      <c r="E656" s="83"/>
      <c r="F656" s="83"/>
      <c r="G656" s="83"/>
      <c r="H656" s="83"/>
      <c r="I656" s="83"/>
      <c r="J656" s="83"/>
      <c r="K656" s="83"/>
      <c r="L656" s="74"/>
      <c r="M656" s="74"/>
      <c r="N656" s="74"/>
      <c r="O656" s="74"/>
      <c r="P656" s="74"/>
      <c r="Q656" s="74"/>
      <c r="R656" s="74"/>
      <c r="S656" s="74"/>
      <c r="T656" s="74"/>
      <c r="U656" s="74"/>
      <c r="V656" s="74"/>
      <c r="W656" s="74"/>
      <c r="X656" s="74"/>
      <c r="Y656" s="74"/>
    </row>
    <row r="657" spans="1:25" ht="15.75" thickBot="1" x14ac:dyDescent="0.3">
      <c r="A657" s="82"/>
      <c r="B657" s="82"/>
      <c r="C657" s="87"/>
      <c r="D657" s="87"/>
      <c r="E657" s="82"/>
      <c r="F657" s="82"/>
      <c r="G657" s="82"/>
      <c r="H657" s="82"/>
      <c r="I657" s="82"/>
      <c r="J657" s="82"/>
      <c r="K657" s="82"/>
      <c r="L657" s="74"/>
      <c r="M657" s="74"/>
      <c r="N657" s="74"/>
      <c r="O657" s="74"/>
      <c r="P657" s="74"/>
      <c r="Q657" s="74"/>
      <c r="R657" s="74"/>
      <c r="S657" s="74"/>
      <c r="T657" s="74"/>
      <c r="U657" s="74"/>
      <c r="V657" s="74"/>
      <c r="W657" s="74"/>
      <c r="X657" s="74"/>
      <c r="Y657" s="74"/>
    </row>
    <row r="658" spans="1:25" ht="15.75" thickBot="1" x14ac:dyDescent="0.3">
      <c r="A658" s="83"/>
      <c r="B658" s="83"/>
      <c r="C658" s="88"/>
      <c r="D658" s="88"/>
      <c r="E658" s="83"/>
      <c r="F658" s="83"/>
      <c r="G658" s="83"/>
      <c r="H658" s="83"/>
      <c r="I658" s="83"/>
      <c r="J658" s="83"/>
      <c r="K658" s="83"/>
      <c r="L658" s="74"/>
      <c r="M658" s="74"/>
      <c r="N658" s="74"/>
      <c r="O658" s="74"/>
      <c r="P658" s="74"/>
      <c r="Q658" s="74"/>
      <c r="R658" s="74"/>
      <c r="S658" s="74"/>
      <c r="T658" s="74"/>
      <c r="U658" s="74"/>
      <c r="V658" s="74"/>
      <c r="W658" s="74"/>
      <c r="X658" s="74"/>
      <c r="Y658" s="74"/>
    </row>
    <row r="659" spans="1:25" ht="15.75" thickBot="1" x14ac:dyDescent="0.3">
      <c r="A659" s="82"/>
      <c r="B659" s="82"/>
      <c r="C659" s="87"/>
      <c r="D659" s="87"/>
      <c r="E659" s="82"/>
      <c r="F659" s="82"/>
      <c r="G659" s="82"/>
      <c r="H659" s="82"/>
      <c r="I659" s="82"/>
      <c r="J659" s="82"/>
      <c r="K659" s="82"/>
      <c r="L659" s="74"/>
      <c r="M659" s="74"/>
      <c r="N659" s="74"/>
      <c r="O659" s="74"/>
      <c r="P659" s="74"/>
      <c r="Q659" s="74"/>
      <c r="R659" s="74"/>
      <c r="S659" s="74"/>
      <c r="T659" s="74"/>
      <c r="U659" s="74"/>
      <c r="V659" s="74"/>
      <c r="W659" s="74"/>
      <c r="X659" s="74"/>
      <c r="Y659" s="74"/>
    </row>
    <row r="660" spans="1:25" ht="15.75" thickBot="1" x14ac:dyDescent="0.3">
      <c r="A660" s="83"/>
      <c r="B660" s="83"/>
      <c r="C660" s="88"/>
      <c r="D660" s="88"/>
      <c r="E660" s="83"/>
      <c r="F660" s="83"/>
      <c r="G660" s="83"/>
      <c r="H660" s="83"/>
      <c r="I660" s="83"/>
      <c r="J660" s="83"/>
      <c r="K660" s="83"/>
      <c r="L660" s="74"/>
      <c r="M660" s="74"/>
      <c r="N660" s="74"/>
      <c r="O660" s="74"/>
      <c r="P660" s="74"/>
      <c r="Q660" s="74"/>
      <c r="R660" s="74"/>
      <c r="S660" s="74"/>
      <c r="T660" s="74"/>
      <c r="U660" s="74"/>
      <c r="V660" s="74"/>
      <c r="W660" s="74"/>
      <c r="X660" s="74"/>
      <c r="Y660" s="74"/>
    </row>
    <row r="661" spans="1:25" ht="15.75" thickBot="1" x14ac:dyDescent="0.3">
      <c r="A661" s="82"/>
      <c r="B661" s="82"/>
      <c r="C661" s="87"/>
      <c r="D661" s="87"/>
      <c r="E661" s="82"/>
      <c r="F661" s="82"/>
      <c r="G661" s="82"/>
      <c r="H661" s="82"/>
      <c r="I661" s="82"/>
      <c r="J661" s="82"/>
      <c r="K661" s="82"/>
      <c r="L661" s="74"/>
      <c r="M661" s="74"/>
      <c r="N661" s="74"/>
      <c r="O661" s="74"/>
      <c r="P661" s="74"/>
      <c r="Q661" s="74"/>
      <c r="R661" s="74"/>
      <c r="S661" s="74"/>
      <c r="T661" s="74"/>
      <c r="U661" s="74"/>
      <c r="V661" s="74"/>
      <c r="W661" s="74"/>
      <c r="X661" s="74"/>
      <c r="Y661" s="74"/>
    </row>
    <row r="662" spans="1:25" ht="15.75" thickBot="1" x14ac:dyDescent="0.3">
      <c r="A662" s="83"/>
      <c r="B662" s="83"/>
      <c r="C662" s="88"/>
      <c r="D662" s="88"/>
      <c r="E662" s="83"/>
      <c r="F662" s="83"/>
      <c r="G662" s="83"/>
      <c r="H662" s="83"/>
      <c r="I662" s="83"/>
      <c r="J662" s="83"/>
      <c r="K662" s="83"/>
      <c r="L662" s="74"/>
      <c r="M662" s="74"/>
      <c r="N662" s="74"/>
      <c r="O662" s="74"/>
      <c r="P662" s="74"/>
      <c r="Q662" s="74"/>
      <c r="R662" s="74"/>
      <c r="S662" s="74"/>
      <c r="T662" s="74"/>
      <c r="U662" s="74"/>
      <c r="V662" s="74"/>
      <c r="W662" s="74"/>
      <c r="X662" s="74"/>
      <c r="Y662" s="74"/>
    </row>
    <row r="663" spans="1:25" ht="15.75" thickBot="1" x14ac:dyDescent="0.3">
      <c r="A663" s="82"/>
      <c r="B663" s="82"/>
      <c r="C663" s="87"/>
      <c r="D663" s="87"/>
      <c r="E663" s="82"/>
      <c r="F663" s="82"/>
      <c r="G663" s="82"/>
      <c r="H663" s="82"/>
      <c r="I663" s="82"/>
      <c r="J663" s="82"/>
      <c r="K663" s="82"/>
      <c r="L663" s="74"/>
      <c r="M663" s="74"/>
      <c r="N663" s="74"/>
      <c r="O663" s="74"/>
      <c r="P663" s="74"/>
      <c r="Q663" s="74"/>
      <c r="R663" s="74"/>
      <c r="S663" s="74"/>
      <c r="T663" s="74"/>
      <c r="U663" s="74"/>
      <c r="V663" s="74"/>
      <c r="W663" s="74"/>
      <c r="X663" s="74"/>
      <c r="Y663" s="74"/>
    </row>
    <row r="664" spans="1:25" ht="15.75" thickBot="1" x14ac:dyDescent="0.3">
      <c r="A664" s="83"/>
      <c r="B664" s="83"/>
      <c r="C664" s="88"/>
      <c r="D664" s="88"/>
      <c r="E664" s="83"/>
      <c r="F664" s="83"/>
      <c r="G664" s="83"/>
      <c r="H664" s="83"/>
      <c r="I664" s="83"/>
      <c r="J664" s="83"/>
      <c r="K664" s="83"/>
      <c r="L664" s="74"/>
      <c r="M664" s="74"/>
      <c r="N664" s="74"/>
      <c r="O664" s="74"/>
      <c r="P664" s="74"/>
      <c r="Q664" s="74"/>
      <c r="R664" s="74"/>
      <c r="S664" s="74"/>
      <c r="T664" s="74"/>
      <c r="U664" s="74"/>
      <c r="V664" s="74"/>
      <c r="W664" s="74"/>
      <c r="X664" s="74"/>
      <c r="Y664" s="74"/>
    </row>
    <row r="665" spans="1:25" ht="15.75" thickBot="1" x14ac:dyDescent="0.3">
      <c r="A665" s="82"/>
      <c r="B665" s="82"/>
      <c r="C665" s="87"/>
      <c r="D665" s="87"/>
      <c r="E665" s="82"/>
      <c r="F665" s="82"/>
      <c r="G665" s="82"/>
      <c r="H665" s="82"/>
      <c r="I665" s="82"/>
      <c r="J665" s="82"/>
      <c r="K665" s="82"/>
      <c r="L665" s="74"/>
      <c r="M665" s="74"/>
      <c r="N665" s="74"/>
      <c r="O665" s="74"/>
      <c r="P665" s="74"/>
      <c r="Q665" s="74"/>
      <c r="R665" s="74"/>
      <c r="S665" s="74"/>
      <c r="T665" s="74"/>
      <c r="U665" s="74"/>
      <c r="V665" s="74"/>
      <c r="W665" s="74"/>
      <c r="X665" s="74"/>
      <c r="Y665" s="74"/>
    </row>
    <row r="666" spans="1:25" ht="15.75" thickBot="1" x14ac:dyDescent="0.3">
      <c r="A666" s="83"/>
      <c r="B666" s="83"/>
      <c r="C666" s="88"/>
      <c r="D666" s="88"/>
      <c r="E666" s="83"/>
      <c r="F666" s="83"/>
      <c r="G666" s="83"/>
      <c r="H666" s="83"/>
      <c r="I666" s="83"/>
      <c r="J666" s="83"/>
      <c r="K666" s="83"/>
      <c r="L666" s="74"/>
      <c r="M666" s="74"/>
      <c r="N666" s="74"/>
      <c r="O666" s="74"/>
      <c r="P666" s="74"/>
      <c r="Q666" s="74"/>
      <c r="R666" s="74"/>
      <c r="S666" s="74"/>
      <c r="T666" s="74"/>
      <c r="U666" s="74"/>
      <c r="V666" s="74"/>
      <c r="W666" s="74"/>
      <c r="X666" s="74"/>
      <c r="Y666" s="74"/>
    </row>
    <row r="667" spans="1:25" ht="15.75" thickBot="1" x14ac:dyDescent="0.3">
      <c r="A667" s="82"/>
      <c r="B667" s="82"/>
      <c r="C667" s="87"/>
      <c r="D667" s="87"/>
      <c r="E667" s="82"/>
      <c r="F667" s="82"/>
      <c r="G667" s="82"/>
      <c r="H667" s="82"/>
      <c r="I667" s="82"/>
      <c r="J667" s="82"/>
      <c r="K667" s="82"/>
      <c r="L667" s="74"/>
      <c r="M667" s="74"/>
      <c r="N667" s="74"/>
      <c r="O667" s="74"/>
      <c r="P667" s="74"/>
      <c r="Q667" s="74"/>
      <c r="R667" s="74"/>
      <c r="S667" s="74"/>
      <c r="T667" s="74"/>
      <c r="U667" s="74"/>
      <c r="V667" s="74"/>
      <c r="W667" s="74"/>
      <c r="X667" s="74"/>
      <c r="Y667" s="74"/>
    </row>
    <row r="668" spans="1:25" ht="15.75" thickBot="1" x14ac:dyDescent="0.3">
      <c r="A668" s="83"/>
      <c r="B668" s="83"/>
      <c r="C668" s="88"/>
      <c r="D668" s="88"/>
      <c r="E668" s="83"/>
      <c r="F668" s="83"/>
      <c r="G668" s="83"/>
      <c r="H668" s="83"/>
      <c r="I668" s="83"/>
      <c r="J668" s="83"/>
      <c r="K668" s="83"/>
      <c r="L668" s="74"/>
      <c r="M668" s="74"/>
      <c r="N668" s="74"/>
      <c r="O668" s="74"/>
      <c r="P668" s="74"/>
      <c r="Q668" s="74"/>
      <c r="R668" s="74"/>
      <c r="S668" s="74"/>
      <c r="T668" s="74"/>
      <c r="U668" s="74"/>
      <c r="V668" s="74"/>
      <c r="W668" s="74"/>
      <c r="X668" s="74"/>
      <c r="Y668" s="74"/>
    </row>
    <row r="669" spans="1:25" ht="15.75" thickBot="1" x14ac:dyDescent="0.3">
      <c r="A669" s="82"/>
      <c r="B669" s="82"/>
      <c r="C669" s="87"/>
      <c r="D669" s="87"/>
      <c r="E669" s="82"/>
      <c r="F669" s="82"/>
      <c r="G669" s="82"/>
      <c r="H669" s="82"/>
      <c r="I669" s="82"/>
      <c r="J669" s="82"/>
      <c r="K669" s="82"/>
      <c r="L669" s="74"/>
      <c r="M669" s="74"/>
      <c r="N669" s="74"/>
      <c r="O669" s="74"/>
      <c r="P669" s="74"/>
      <c r="Q669" s="74"/>
      <c r="R669" s="74"/>
      <c r="S669" s="74"/>
      <c r="T669" s="74"/>
      <c r="U669" s="74"/>
      <c r="V669" s="74"/>
      <c r="W669" s="74"/>
      <c r="X669" s="74"/>
      <c r="Y669" s="74"/>
    </row>
    <row r="670" spans="1:25" ht="15.75" thickBot="1" x14ac:dyDescent="0.3">
      <c r="A670" s="83"/>
      <c r="B670" s="83"/>
      <c r="C670" s="88"/>
      <c r="D670" s="88"/>
      <c r="E670" s="83"/>
      <c r="F670" s="83"/>
      <c r="G670" s="83"/>
      <c r="H670" s="83"/>
      <c r="I670" s="83"/>
      <c r="J670" s="83"/>
      <c r="K670" s="83"/>
      <c r="L670" s="74"/>
      <c r="M670" s="74"/>
      <c r="N670" s="74"/>
      <c r="O670" s="74"/>
      <c r="P670" s="74"/>
      <c r="Q670" s="74"/>
      <c r="R670" s="74"/>
      <c r="S670" s="74"/>
      <c r="T670" s="74"/>
      <c r="U670" s="74"/>
      <c r="V670" s="74"/>
      <c r="W670" s="74"/>
      <c r="X670" s="74"/>
      <c r="Y670" s="74"/>
    </row>
    <row r="671" spans="1:25" ht="15.75" thickBot="1" x14ac:dyDescent="0.3">
      <c r="A671" s="82"/>
      <c r="B671" s="82"/>
      <c r="C671" s="87"/>
      <c r="D671" s="87"/>
      <c r="E671" s="82"/>
      <c r="F671" s="82"/>
      <c r="G671" s="82"/>
      <c r="H671" s="82"/>
      <c r="I671" s="82"/>
      <c r="J671" s="82"/>
      <c r="K671" s="82"/>
      <c r="L671" s="74"/>
      <c r="M671" s="74"/>
      <c r="N671" s="74"/>
      <c r="O671" s="74"/>
      <c r="P671" s="74"/>
      <c r="Q671" s="74"/>
      <c r="R671" s="74"/>
      <c r="S671" s="74"/>
      <c r="T671" s="74"/>
      <c r="U671" s="74"/>
      <c r="V671" s="74"/>
      <c r="W671" s="74"/>
      <c r="X671" s="74"/>
      <c r="Y671" s="74"/>
    </row>
    <row r="672" spans="1:25" ht="15.75" thickBot="1" x14ac:dyDescent="0.3">
      <c r="A672" s="83"/>
      <c r="B672" s="83"/>
      <c r="C672" s="88"/>
      <c r="D672" s="88"/>
      <c r="E672" s="83"/>
      <c r="F672" s="83"/>
      <c r="G672" s="83"/>
      <c r="H672" s="83"/>
      <c r="I672" s="83"/>
      <c r="J672" s="83"/>
      <c r="K672" s="83"/>
      <c r="L672" s="74"/>
      <c r="M672" s="74"/>
      <c r="N672" s="74"/>
      <c r="O672" s="74"/>
      <c r="P672" s="74"/>
      <c r="Q672" s="74"/>
      <c r="R672" s="74"/>
      <c r="S672" s="74"/>
      <c r="T672" s="74"/>
      <c r="U672" s="74"/>
      <c r="V672" s="74"/>
      <c r="W672" s="74"/>
      <c r="X672" s="74"/>
      <c r="Y672" s="74"/>
    </row>
    <row r="673" spans="1:25" ht="15.75" thickBot="1" x14ac:dyDescent="0.3">
      <c r="A673" s="82"/>
      <c r="B673" s="82"/>
      <c r="C673" s="87"/>
      <c r="D673" s="87"/>
      <c r="E673" s="82"/>
      <c r="F673" s="82"/>
      <c r="G673" s="82"/>
      <c r="H673" s="82"/>
      <c r="I673" s="82"/>
      <c r="J673" s="82"/>
      <c r="K673" s="82"/>
      <c r="L673" s="74"/>
      <c r="M673" s="74"/>
      <c r="N673" s="74"/>
      <c r="O673" s="74"/>
      <c r="P673" s="74"/>
      <c r="Q673" s="74"/>
      <c r="R673" s="74"/>
      <c r="S673" s="74"/>
      <c r="T673" s="74"/>
      <c r="U673" s="74"/>
      <c r="V673" s="74"/>
      <c r="W673" s="74"/>
      <c r="X673" s="74"/>
      <c r="Y673" s="74"/>
    </row>
    <row r="674" spans="1:25" ht="15.75" thickBot="1" x14ac:dyDescent="0.3">
      <c r="A674" s="83"/>
      <c r="B674" s="83"/>
      <c r="C674" s="88"/>
      <c r="D674" s="88"/>
      <c r="E674" s="83"/>
      <c r="F674" s="83"/>
      <c r="G674" s="83"/>
      <c r="H674" s="83"/>
      <c r="I674" s="83"/>
      <c r="J674" s="83"/>
      <c r="K674" s="83"/>
      <c r="L674" s="74"/>
      <c r="M674" s="74"/>
      <c r="N674" s="74"/>
      <c r="O674" s="74"/>
      <c r="P674" s="74"/>
      <c r="Q674" s="74"/>
      <c r="R674" s="74"/>
      <c r="S674" s="74"/>
      <c r="T674" s="74"/>
      <c r="U674" s="74"/>
      <c r="V674" s="74"/>
      <c r="W674" s="74"/>
      <c r="X674" s="74"/>
      <c r="Y674" s="74"/>
    </row>
    <row r="675" spans="1:25" ht="15.75" thickBot="1" x14ac:dyDescent="0.3">
      <c r="A675" s="82"/>
      <c r="B675" s="82"/>
      <c r="C675" s="87"/>
      <c r="D675" s="87"/>
      <c r="E675" s="82"/>
      <c r="F675" s="82"/>
      <c r="G675" s="82"/>
      <c r="H675" s="82"/>
      <c r="I675" s="82"/>
      <c r="J675" s="82"/>
      <c r="K675" s="82"/>
      <c r="L675" s="74"/>
      <c r="M675" s="74"/>
      <c r="N675" s="74"/>
      <c r="O675" s="74"/>
      <c r="P675" s="74"/>
      <c r="Q675" s="74"/>
      <c r="R675" s="74"/>
      <c r="S675" s="74"/>
      <c r="T675" s="74"/>
      <c r="U675" s="74"/>
      <c r="V675" s="74"/>
      <c r="W675" s="74"/>
      <c r="X675" s="74"/>
      <c r="Y675" s="74"/>
    </row>
    <row r="676" spans="1:25" ht="15.75" thickBot="1" x14ac:dyDescent="0.3">
      <c r="A676" s="83"/>
      <c r="B676" s="83"/>
      <c r="C676" s="88"/>
      <c r="D676" s="88"/>
      <c r="E676" s="83"/>
      <c r="F676" s="83"/>
      <c r="G676" s="83"/>
      <c r="H676" s="83"/>
      <c r="I676" s="83"/>
      <c r="J676" s="83"/>
      <c r="K676" s="83"/>
      <c r="L676" s="74"/>
      <c r="M676" s="74"/>
      <c r="N676" s="74"/>
      <c r="O676" s="74"/>
      <c r="P676" s="74"/>
      <c r="Q676" s="74"/>
      <c r="R676" s="74"/>
      <c r="S676" s="74"/>
      <c r="T676" s="74"/>
      <c r="U676" s="74"/>
      <c r="V676" s="74"/>
      <c r="W676" s="74"/>
      <c r="X676" s="74"/>
      <c r="Y676" s="74"/>
    </row>
    <row r="677" spans="1:25" ht="15.75" thickBot="1" x14ac:dyDescent="0.3">
      <c r="A677" s="82"/>
      <c r="B677" s="82"/>
      <c r="C677" s="87"/>
      <c r="D677" s="87"/>
      <c r="E677" s="82"/>
      <c r="F677" s="82"/>
      <c r="G677" s="82"/>
      <c r="H677" s="82"/>
      <c r="I677" s="82"/>
      <c r="J677" s="82"/>
      <c r="K677" s="82"/>
      <c r="L677" s="74"/>
      <c r="M677" s="74"/>
      <c r="N677" s="74"/>
      <c r="O677" s="74"/>
      <c r="P677" s="74"/>
      <c r="Q677" s="74"/>
      <c r="R677" s="74"/>
      <c r="S677" s="74"/>
      <c r="T677" s="74"/>
      <c r="U677" s="74"/>
      <c r="V677" s="74"/>
      <c r="W677" s="74"/>
      <c r="X677" s="74"/>
      <c r="Y677" s="74"/>
    </row>
    <row r="678" spans="1:25" ht="15.75" thickBot="1" x14ac:dyDescent="0.3">
      <c r="A678" s="83"/>
      <c r="B678" s="83"/>
      <c r="C678" s="88"/>
      <c r="D678" s="88"/>
      <c r="E678" s="83"/>
      <c r="F678" s="83"/>
      <c r="G678" s="83"/>
      <c r="H678" s="83"/>
      <c r="I678" s="83"/>
      <c r="J678" s="83"/>
      <c r="K678" s="83"/>
      <c r="L678" s="74"/>
      <c r="M678" s="74"/>
      <c r="N678" s="74"/>
      <c r="O678" s="74"/>
      <c r="P678" s="74"/>
      <c r="Q678" s="74"/>
      <c r="R678" s="74"/>
      <c r="S678" s="74"/>
      <c r="T678" s="74"/>
      <c r="U678" s="74"/>
      <c r="V678" s="74"/>
      <c r="W678" s="74"/>
      <c r="X678" s="74"/>
      <c r="Y678" s="74"/>
    </row>
    <row r="679" spans="1:25" ht="15.75" thickBot="1" x14ac:dyDescent="0.3">
      <c r="A679" s="82"/>
      <c r="B679" s="82"/>
      <c r="C679" s="87"/>
      <c r="D679" s="87"/>
      <c r="E679" s="82"/>
      <c r="F679" s="82"/>
      <c r="G679" s="82"/>
      <c r="H679" s="82"/>
      <c r="I679" s="82"/>
      <c r="J679" s="82"/>
      <c r="K679" s="82"/>
      <c r="L679" s="74"/>
      <c r="M679" s="74"/>
      <c r="N679" s="74"/>
      <c r="O679" s="74"/>
      <c r="P679" s="74"/>
      <c r="Q679" s="74"/>
      <c r="R679" s="74"/>
      <c r="S679" s="74"/>
      <c r="T679" s="74"/>
      <c r="U679" s="74"/>
      <c r="V679" s="74"/>
      <c r="W679" s="74"/>
      <c r="X679" s="74"/>
      <c r="Y679" s="74"/>
    </row>
    <row r="680" spans="1:25" ht="15.75" thickBot="1" x14ac:dyDescent="0.3">
      <c r="A680" s="83"/>
      <c r="B680" s="83"/>
      <c r="C680" s="88"/>
      <c r="D680" s="88"/>
      <c r="E680" s="83"/>
      <c r="F680" s="83"/>
      <c r="G680" s="83"/>
      <c r="H680" s="83"/>
      <c r="I680" s="83"/>
      <c r="J680" s="83"/>
      <c r="K680" s="83"/>
      <c r="L680" s="74"/>
      <c r="M680" s="74"/>
      <c r="N680" s="74"/>
      <c r="O680" s="74"/>
      <c r="P680" s="74"/>
      <c r="Q680" s="74"/>
      <c r="R680" s="74"/>
      <c r="S680" s="74"/>
      <c r="T680" s="74"/>
      <c r="U680" s="74"/>
      <c r="V680" s="74"/>
      <c r="W680" s="74"/>
      <c r="X680" s="74"/>
      <c r="Y680" s="74"/>
    </row>
    <row r="681" spans="1:25" ht="15.75" thickBot="1" x14ac:dyDescent="0.3">
      <c r="A681" s="82"/>
      <c r="B681" s="82"/>
      <c r="C681" s="87"/>
      <c r="D681" s="87"/>
      <c r="E681" s="82"/>
      <c r="F681" s="82"/>
      <c r="G681" s="82"/>
      <c r="H681" s="82"/>
      <c r="I681" s="82"/>
      <c r="J681" s="82"/>
      <c r="K681" s="82"/>
      <c r="L681" s="74"/>
      <c r="M681" s="74"/>
      <c r="N681" s="74"/>
      <c r="O681" s="74"/>
      <c r="P681" s="74"/>
      <c r="Q681" s="74"/>
      <c r="R681" s="74"/>
      <c r="S681" s="74"/>
      <c r="T681" s="74"/>
      <c r="U681" s="74"/>
      <c r="V681" s="74"/>
      <c r="W681" s="74"/>
      <c r="X681" s="74"/>
      <c r="Y681" s="74"/>
    </row>
    <row r="682" spans="1:25" ht="15.75" thickBot="1" x14ac:dyDescent="0.3">
      <c r="A682" s="83"/>
      <c r="B682" s="83"/>
      <c r="C682" s="88"/>
      <c r="D682" s="88"/>
      <c r="E682" s="83"/>
      <c r="F682" s="83"/>
      <c r="G682" s="83"/>
      <c r="H682" s="83"/>
      <c r="I682" s="83"/>
      <c r="J682" s="83"/>
      <c r="K682" s="83"/>
      <c r="L682" s="74"/>
      <c r="M682" s="74"/>
      <c r="N682" s="74"/>
      <c r="O682" s="74"/>
      <c r="P682" s="74"/>
      <c r="Q682" s="74"/>
      <c r="R682" s="74"/>
      <c r="S682" s="74"/>
      <c r="T682" s="74"/>
      <c r="U682" s="74"/>
      <c r="V682" s="74"/>
      <c r="W682" s="74"/>
      <c r="X682" s="74"/>
      <c r="Y682" s="74"/>
    </row>
    <row r="683" spans="1:25" ht="15.75" thickBot="1" x14ac:dyDescent="0.3">
      <c r="A683" s="82"/>
      <c r="B683" s="82"/>
      <c r="C683" s="87"/>
      <c r="D683" s="87"/>
      <c r="E683" s="82"/>
      <c r="F683" s="82"/>
      <c r="G683" s="82"/>
      <c r="H683" s="82"/>
      <c r="I683" s="82"/>
      <c r="J683" s="82"/>
      <c r="K683" s="82"/>
      <c r="L683" s="74"/>
      <c r="M683" s="74"/>
      <c r="N683" s="74"/>
      <c r="O683" s="74"/>
      <c r="P683" s="74"/>
      <c r="Q683" s="74"/>
      <c r="R683" s="74"/>
      <c r="S683" s="74"/>
      <c r="T683" s="74"/>
      <c r="U683" s="74"/>
      <c r="V683" s="74"/>
      <c r="W683" s="74"/>
      <c r="X683" s="74"/>
      <c r="Y683" s="74"/>
    </row>
    <row r="684" spans="1:25" ht="15.75" thickBot="1" x14ac:dyDescent="0.3">
      <c r="A684" s="83"/>
      <c r="B684" s="83"/>
      <c r="C684" s="88"/>
      <c r="D684" s="88"/>
      <c r="E684" s="83"/>
      <c r="F684" s="83"/>
      <c r="G684" s="83"/>
      <c r="H684" s="83"/>
      <c r="I684" s="83"/>
      <c r="J684" s="83"/>
      <c r="K684" s="83"/>
      <c r="L684" s="74"/>
      <c r="M684" s="74"/>
      <c r="N684" s="74"/>
      <c r="O684" s="74"/>
      <c r="P684" s="74"/>
      <c r="Q684" s="74"/>
      <c r="R684" s="74"/>
      <c r="S684" s="74"/>
      <c r="T684" s="74"/>
      <c r="U684" s="74"/>
      <c r="V684" s="74"/>
      <c r="W684" s="74"/>
      <c r="X684" s="74"/>
      <c r="Y684" s="74"/>
    </row>
    <row r="685" spans="1:25" ht="15.75" thickBot="1" x14ac:dyDescent="0.3">
      <c r="A685" s="82"/>
      <c r="B685" s="82"/>
      <c r="C685" s="87"/>
      <c r="D685" s="87"/>
      <c r="E685" s="82"/>
      <c r="F685" s="82"/>
      <c r="G685" s="82"/>
      <c r="H685" s="82"/>
      <c r="I685" s="82"/>
      <c r="J685" s="82"/>
      <c r="K685" s="82"/>
      <c r="L685" s="74"/>
      <c r="M685" s="74"/>
      <c r="N685" s="74"/>
      <c r="O685" s="74"/>
      <c r="P685" s="74"/>
      <c r="Q685" s="74"/>
      <c r="R685" s="74"/>
      <c r="S685" s="74"/>
      <c r="T685" s="74"/>
      <c r="U685" s="74"/>
      <c r="V685" s="74"/>
      <c r="W685" s="74"/>
      <c r="X685" s="74"/>
      <c r="Y685" s="74"/>
    </row>
    <row r="686" spans="1:25" ht="15.75" thickBot="1" x14ac:dyDescent="0.3">
      <c r="A686" s="83"/>
      <c r="B686" s="83"/>
      <c r="C686" s="88"/>
      <c r="D686" s="88"/>
      <c r="E686" s="83"/>
      <c r="F686" s="83"/>
      <c r="G686" s="83"/>
      <c r="H686" s="83"/>
      <c r="I686" s="83"/>
      <c r="J686" s="83"/>
      <c r="K686" s="83"/>
      <c r="L686" s="74"/>
      <c r="M686" s="74"/>
      <c r="N686" s="74"/>
      <c r="O686" s="74"/>
      <c r="P686" s="74"/>
      <c r="Q686" s="74"/>
      <c r="R686" s="74"/>
      <c r="S686" s="74"/>
      <c r="T686" s="74"/>
      <c r="U686" s="74"/>
      <c r="V686" s="74"/>
      <c r="W686" s="74"/>
      <c r="X686" s="74"/>
      <c r="Y686" s="74"/>
    </row>
    <row r="687" spans="1:25" ht="15.75" thickBot="1" x14ac:dyDescent="0.3">
      <c r="A687" s="82"/>
      <c r="B687" s="82"/>
      <c r="C687" s="87"/>
      <c r="D687" s="87"/>
      <c r="E687" s="82"/>
      <c r="F687" s="82"/>
      <c r="G687" s="82"/>
      <c r="H687" s="82"/>
      <c r="I687" s="82"/>
      <c r="J687" s="82"/>
      <c r="K687" s="82"/>
      <c r="L687" s="74"/>
      <c r="M687" s="74"/>
      <c r="N687" s="74"/>
      <c r="O687" s="74"/>
      <c r="P687" s="74"/>
      <c r="Q687" s="74"/>
      <c r="R687" s="74"/>
      <c r="S687" s="74"/>
      <c r="T687" s="74"/>
      <c r="U687" s="74"/>
      <c r="V687" s="74"/>
      <c r="W687" s="74"/>
      <c r="X687" s="74"/>
      <c r="Y687" s="74"/>
    </row>
    <row r="688" spans="1:25" ht="15.75" thickBot="1" x14ac:dyDescent="0.3">
      <c r="A688" s="83"/>
      <c r="B688" s="83"/>
      <c r="C688" s="88"/>
      <c r="D688" s="88"/>
      <c r="E688" s="83"/>
      <c r="F688" s="83"/>
      <c r="G688" s="83"/>
      <c r="H688" s="83"/>
      <c r="I688" s="83"/>
      <c r="J688" s="83"/>
      <c r="K688" s="83"/>
      <c r="L688" s="74"/>
      <c r="M688" s="74"/>
      <c r="N688" s="74"/>
      <c r="O688" s="74"/>
      <c r="P688" s="74"/>
      <c r="Q688" s="74"/>
      <c r="R688" s="74"/>
      <c r="S688" s="74"/>
      <c r="T688" s="74"/>
      <c r="U688" s="74"/>
      <c r="V688" s="74"/>
      <c r="W688" s="74"/>
      <c r="X688" s="74"/>
      <c r="Y688" s="74"/>
    </row>
    <row r="689" spans="1:25" ht="15.75" thickBot="1" x14ac:dyDescent="0.3">
      <c r="A689" s="82"/>
      <c r="B689" s="82"/>
      <c r="C689" s="87"/>
      <c r="D689" s="87"/>
      <c r="E689" s="82"/>
      <c r="F689" s="82"/>
      <c r="G689" s="82"/>
      <c r="H689" s="82"/>
      <c r="I689" s="82"/>
      <c r="J689" s="82"/>
      <c r="K689" s="82"/>
      <c r="L689" s="74"/>
      <c r="M689" s="74"/>
      <c r="N689" s="74"/>
      <c r="O689" s="74"/>
      <c r="P689" s="74"/>
      <c r="Q689" s="74"/>
      <c r="R689" s="74"/>
      <c r="S689" s="74"/>
      <c r="T689" s="74"/>
      <c r="U689" s="74"/>
      <c r="V689" s="74"/>
      <c r="W689" s="74"/>
      <c r="X689" s="74"/>
      <c r="Y689" s="74"/>
    </row>
    <row r="690" spans="1:25" ht="15.75" thickBot="1" x14ac:dyDescent="0.3">
      <c r="A690" s="83"/>
      <c r="B690" s="83"/>
      <c r="C690" s="88"/>
      <c r="D690" s="88"/>
      <c r="E690" s="83"/>
      <c r="F690" s="83"/>
      <c r="G690" s="83"/>
      <c r="H690" s="83"/>
      <c r="I690" s="83"/>
      <c r="J690" s="83"/>
      <c r="K690" s="83"/>
      <c r="L690" s="74"/>
      <c r="M690" s="74"/>
      <c r="N690" s="74"/>
      <c r="O690" s="74"/>
      <c r="P690" s="74"/>
      <c r="Q690" s="74"/>
      <c r="R690" s="74"/>
      <c r="S690" s="74"/>
      <c r="T690" s="74"/>
      <c r="U690" s="74"/>
      <c r="V690" s="74"/>
      <c r="W690" s="74"/>
      <c r="X690" s="74"/>
      <c r="Y690" s="74"/>
    </row>
    <row r="691" spans="1:25" ht="15.75" thickBot="1" x14ac:dyDescent="0.3">
      <c r="A691" s="82"/>
      <c r="B691" s="82"/>
      <c r="C691" s="87"/>
      <c r="D691" s="87"/>
      <c r="E691" s="82"/>
      <c r="F691" s="82"/>
      <c r="G691" s="82"/>
      <c r="H691" s="82"/>
      <c r="I691" s="82"/>
      <c r="J691" s="82"/>
      <c r="K691" s="82"/>
      <c r="L691" s="74"/>
      <c r="M691" s="74"/>
      <c r="N691" s="74"/>
      <c r="O691" s="74"/>
      <c r="P691" s="74"/>
      <c r="Q691" s="74"/>
      <c r="R691" s="74"/>
      <c r="S691" s="74"/>
      <c r="T691" s="74"/>
      <c r="U691" s="74"/>
      <c r="V691" s="74"/>
      <c r="W691" s="74"/>
      <c r="X691" s="74"/>
      <c r="Y691" s="74"/>
    </row>
    <row r="692" spans="1:25" ht="15.75" thickBot="1" x14ac:dyDescent="0.3">
      <c r="A692" s="83"/>
      <c r="B692" s="83"/>
      <c r="C692" s="88"/>
      <c r="D692" s="88"/>
      <c r="E692" s="83"/>
      <c r="F692" s="83"/>
      <c r="G692" s="83"/>
      <c r="H692" s="83"/>
      <c r="I692" s="83"/>
      <c r="J692" s="83"/>
      <c r="K692" s="83"/>
      <c r="L692" s="74"/>
      <c r="M692" s="74"/>
      <c r="N692" s="74"/>
      <c r="O692" s="74"/>
      <c r="P692" s="74"/>
      <c r="Q692" s="74"/>
      <c r="R692" s="74"/>
      <c r="S692" s="74"/>
      <c r="T692" s="74"/>
      <c r="U692" s="74"/>
      <c r="V692" s="74"/>
      <c r="W692" s="74"/>
      <c r="X692" s="74"/>
      <c r="Y692" s="74"/>
    </row>
    <row r="693" spans="1:25" ht="15.75" thickBot="1" x14ac:dyDescent="0.3">
      <c r="A693" s="82"/>
      <c r="B693" s="82"/>
      <c r="C693" s="87"/>
      <c r="D693" s="87"/>
      <c r="E693" s="82"/>
      <c r="F693" s="82"/>
      <c r="G693" s="82"/>
      <c r="H693" s="82"/>
      <c r="I693" s="82"/>
      <c r="J693" s="82"/>
      <c r="K693" s="82"/>
      <c r="L693" s="74"/>
      <c r="M693" s="74"/>
      <c r="N693" s="74"/>
      <c r="O693" s="74"/>
      <c r="P693" s="74"/>
      <c r="Q693" s="74"/>
      <c r="R693" s="74"/>
      <c r="S693" s="74"/>
      <c r="T693" s="74"/>
      <c r="U693" s="74"/>
      <c r="V693" s="74"/>
      <c r="W693" s="74"/>
      <c r="X693" s="74"/>
      <c r="Y693" s="74"/>
    </row>
    <row r="694" spans="1:25" ht="15.75" thickBot="1" x14ac:dyDescent="0.3">
      <c r="A694" s="83"/>
      <c r="B694" s="83"/>
      <c r="C694" s="88"/>
      <c r="D694" s="88"/>
      <c r="E694" s="83"/>
      <c r="F694" s="83"/>
      <c r="G694" s="83"/>
      <c r="H694" s="83"/>
      <c r="I694" s="83"/>
      <c r="J694" s="83"/>
      <c r="K694" s="83"/>
      <c r="L694" s="74"/>
      <c r="M694" s="74"/>
      <c r="N694" s="74"/>
      <c r="O694" s="74"/>
      <c r="P694" s="74"/>
      <c r="Q694" s="74"/>
      <c r="R694" s="74"/>
      <c r="S694" s="74"/>
      <c r="T694" s="74"/>
      <c r="U694" s="74"/>
      <c r="V694" s="74"/>
      <c r="W694" s="74"/>
      <c r="X694" s="74"/>
      <c r="Y694" s="74"/>
    </row>
    <row r="695" spans="1:25" ht="15.75" thickBot="1" x14ac:dyDescent="0.3">
      <c r="A695" s="82"/>
      <c r="B695" s="82"/>
      <c r="C695" s="87"/>
      <c r="D695" s="87"/>
      <c r="E695" s="82"/>
      <c r="F695" s="82"/>
      <c r="G695" s="82"/>
      <c r="H695" s="82"/>
      <c r="I695" s="82"/>
      <c r="J695" s="82"/>
      <c r="K695" s="82"/>
      <c r="L695" s="74"/>
      <c r="M695" s="74"/>
      <c r="N695" s="74"/>
      <c r="O695" s="74"/>
      <c r="P695" s="74"/>
      <c r="Q695" s="74"/>
      <c r="R695" s="74"/>
      <c r="S695" s="74"/>
      <c r="T695" s="74"/>
      <c r="U695" s="74"/>
      <c r="V695" s="74"/>
      <c r="W695" s="74"/>
      <c r="X695" s="74"/>
      <c r="Y695" s="74"/>
    </row>
    <row r="696" spans="1:25" ht="15.75" thickBot="1" x14ac:dyDescent="0.3">
      <c r="A696" s="83"/>
      <c r="B696" s="83"/>
      <c r="C696" s="88"/>
      <c r="D696" s="88"/>
      <c r="E696" s="83"/>
      <c r="F696" s="83"/>
      <c r="G696" s="83"/>
      <c r="H696" s="83"/>
      <c r="I696" s="83"/>
      <c r="J696" s="83"/>
      <c r="K696" s="83"/>
      <c r="L696" s="74"/>
      <c r="M696" s="74"/>
      <c r="N696" s="74"/>
      <c r="O696" s="74"/>
      <c r="P696" s="74"/>
      <c r="Q696" s="74"/>
      <c r="R696" s="74"/>
      <c r="S696" s="74"/>
      <c r="T696" s="74"/>
      <c r="U696" s="74"/>
      <c r="V696" s="74"/>
      <c r="W696" s="74"/>
      <c r="X696" s="74"/>
      <c r="Y696" s="74"/>
    </row>
    <row r="697" spans="1:25" ht="15.75" thickBot="1" x14ac:dyDescent="0.3">
      <c r="A697" s="82"/>
      <c r="B697" s="82"/>
      <c r="C697" s="87"/>
      <c r="D697" s="87"/>
      <c r="E697" s="82"/>
      <c r="F697" s="82"/>
      <c r="G697" s="82"/>
      <c r="H697" s="82"/>
      <c r="I697" s="82"/>
      <c r="J697" s="82"/>
      <c r="K697" s="82"/>
      <c r="L697" s="74"/>
      <c r="M697" s="74"/>
      <c r="N697" s="74"/>
      <c r="O697" s="74"/>
      <c r="P697" s="74"/>
      <c r="Q697" s="74"/>
      <c r="R697" s="74"/>
      <c r="S697" s="74"/>
      <c r="T697" s="74"/>
      <c r="U697" s="74"/>
      <c r="V697" s="74"/>
      <c r="W697" s="74"/>
      <c r="X697" s="74"/>
      <c r="Y697" s="74"/>
    </row>
    <row r="698" spans="1:25" ht="15.75" thickBot="1" x14ac:dyDescent="0.3">
      <c r="A698" s="83"/>
      <c r="B698" s="83"/>
      <c r="C698" s="88"/>
      <c r="D698" s="88"/>
      <c r="E698" s="83"/>
      <c r="F698" s="83"/>
      <c r="G698" s="83"/>
      <c r="H698" s="83"/>
      <c r="I698" s="83"/>
      <c r="J698" s="83"/>
      <c r="K698" s="83"/>
      <c r="L698" s="74"/>
      <c r="M698" s="74"/>
      <c r="N698" s="74"/>
      <c r="O698" s="74"/>
      <c r="P698" s="74"/>
      <c r="Q698" s="74"/>
      <c r="R698" s="74"/>
      <c r="S698" s="74"/>
      <c r="T698" s="74"/>
      <c r="U698" s="74"/>
      <c r="V698" s="74"/>
      <c r="W698" s="74"/>
      <c r="X698" s="74"/>
      <c r="Y698" s="74"/>
    </row>
    <row r="699" spans="1:25" ht="15.75" thickBot="1" x14ac:dyDescent="0.3">
      <c r="A699" s="82"/>
      <c r="B699" s="82"/>
      <c r="C699" s="87"/>
      <c r="D699" s="87"/>
      <c r="E699" s="82"/>
      <c r="F699" s="82"/>
      <c r="G699" s="82"/>
      <c r="H699" s="82"/>
      <c r="I699" s="82"/>
      <c r="J699" s="82"/>
      <c r="K699" s="82"/>
      <c r="L699" s="74"/>
      <c r="M699" s="74"/>
      <c r="N699" s="74"/>
      <c r="O699" s="74"/>
      <c r="P699" s="74"/>
      <c r="Q699" s="74"/>
      <c r="R699" s="74"/>
      <c r="S699" s="74"/>
      <c r="T699" s="74"/>
      <c r="U699" s="74"/>
      <c r="V699" s="74"/>
      <c r="W699" s="74"/>
      <c r="X699" s="74"/>
      <c r="Y699" s="74"/>
    </row>
    <row r="700" spans="1:25" ht="15.75" thickBot="1" x14ac:dyDescent="0.3">
      <c r="A700" s="83"/>
      <c r="B700" s="83"/>
      <c r="C700" s="88"/>
      <c r="D700" s="88"/>
      <c r="E700" s="83"/>
      <c r="F700" s="83"/>
      <c r="G700" s="83"/>
      <c r="H700" s="83"/>
      <c r="I700" s="83"/>
      <c r="J700" s="83"/>
      <c r="K700" s="83"/>
      <c r="L700" s="74"/>
      <c r="M700" s="74"/>
      <c r="N700" s="74"/>
      <c r="O700" s="74"/>
      <c r="P700" s="74"/>
      <c r="Q700" s="74"/>
      <c r="R700" s="74"/>
      <c r="S700" s="74"/>
      <c r="T700" s="74"/>
      <c r="U700" s="74"/>
      <c r="V700" s="74"/>
      <c r="W700" s="74"/>
      <c r="X700" s="74"/>
      <c r="Y700" s="74"/>
    </row>
    <row r="701" spans="1:25" ht="15.75" thickBot="1" x14ac:dyDescent="0.3">
      <c r="A701" s="82"/>
      <c r="B701" s="82"/>
      <c r="C701" s="87"/>
      <c r="D701" s="87"/>
      <c r="E701" s="82"/>
      <c r="F701" s="82"/>
      <c r="G701" s="82"/>
      <c r="H701" s="82"/>
      <c r="I701" s="82"/>
      <c r="J701" s="82"/>
      <c r="K701" s="82"/>
      <c r="L701" s="74"/>
      <c r="M701" s="74"/>
      <c r="N701" s="74"/>
      <c r="O701" s="74"/>
      <c r="P701" s="74"/>
      <c r="Q701" s="74"/>
      <c r="R701" s="74"/>
      <c r="S701" s="74"/>
      <c r="T701" s="74"/>
      <c r="U701" s="74"/>
      <c r="V701" s="74"/>
      <c r="W701" s="74"/>
      <c r="X701" s="74"/>
      <c r="Y701" s="74"/>
    </row>
    <row r="702" spans="1:25" ht="15.75" thickBot="1" x14ac:dyDescent="0.3">
      <c r="A702" s="83"/>
      <c r="B702" s="83"/>
      <c r="C702" s="88"/>
      <c r="D702" s="88"/>
      <c r="E702" s="83"/>
      <c r="F702" s="83"/>
      <c r="G702" s="83"/>
      <c r="H702" s="83"/>
      <c r="I702" s="83"/>
      <c r="J702" s="83"/>
      <c r="K702" s="83"/>
      <c r="L702" s="74"/>
      <c r="M702" s="74"/>
      <c r="N702" s="74"/>
      <c r="O702" s="74"/>
      <c r="P702" s="74"/>
      <c r="Q702" s="74"/>
      <c r="R702" s="74"/>
      <c r="S702" s="74"/>
      <c r="T702" s="74"/>
      <c r="U702" s="74"/>
      <c r="V702" s="74"/>
      <c r="W702" s="74"/>
      <c r="X702" s="74"/>
      <c r="Y702" s="74"/>
    </row>
    <row r="703" spans="1:25" ht="15.75" thickBot="1" x14ac:dyDescent="0.3">
      <c r="A703" s="82"/>
      <c r="B703" s="82"/>
      <c r="C703" s="87"/>
      <c r="D703" s="87"/>
      <c r="E703" s="82"/>
      <c r="F703" s="82"/>
      <c r="G703" s="82"/>
      <c r="H703" s="82"/>
      <c r="I703" s="82"/>
      <c r="J703" s="82"/>
      <c r="K703" s="82"/>
      <c r="L703" s="74"/>
      <c r="M703" s="74"/>
      <c r="N703" s="74"/>
      <c r="O703" s="74"/>
      <c r="P703" s="74"/>
      <c r="Q703" s="74"/>
      <c r="R703" s="74"/>
      <c r="S703" s="74"/>
      <c r="T703" s="74"/>
      <c r="U703" s="74"/>
      <c r="V703" s="74"/>
      <c r="W703" s="74"/>
      <c r="X703" s="74"/>
      <c r="Y703" s="74"/>
    </row>
    <row r="704" spans="1:25" ht="15.75" thickBot="1" x14ac:dyDescent="0.3">
      <c r="A704" s="83"/>
      <c r="B704" s="83"/>
      <c r="C704" s="88"/>
      <c r="D704" s="88"/>
      <c r="E704" s="83"/>
      <c r="F704" s="83"/>
      <c r="G704" s="83"/>
      <c r="H704" s="83"/>
      <c r="I704" s="83"/>
      <c r="J704" s="83"/>
      <c r="K704" s="83"/>
      <c r="L704" s="74"/>
      <c r="M704" s="74"/>
      <c r="N704" s="74"/>
      <c r="O704" s="74"/>
      <c r="P704" s="74"/>
      <c r="Q704" s="74"/>
      <c r="R704" s="74"/>
      <c r="S704" s="74"/>
      <c r="T704" s="74"/>
      <c r="U704" s="74"/>
      <c r="V704" s="74"/>
      <c r="W704" s="74"/>
      <c r="X704" s="74"/>
      <c r="Y704" s="74"/>
    </row>
    <row r="705" spans="1:25" ht="15.75" thickBot="1" x14ac:dyDescent="0.3">
      <c r="A705" s="82"/>
      <c r="B705" s="82"/>
      <c r="C705" s="87"/>
      <c r="D705" s="87"/>
      <c r="E705" s="82"/>
      <c r="F705" s="82"/>
      <c r="G705" s="82"/>
      <c r="H705" s="82"/>
      <c r="I705" s="82"/>
      <c r="J705" s="82"/>
      <c r="K705" s="82"/>
      <c r="L705" s="74"/>
      <c r="M705" s="74"/>
      <c r="N705" s="74"/>
      <c r="O705" s="74"/>
      <c r="P705" s="74"/>
      <c r="Q705" s="74"/>
      <c r="R705" s="74"/>
      <c r="S705" s="74"/>
      <c r="T705" s="74"/>
      <c r="U705" s="74"/>
      <c r="V705" s="74"/>
      <c r="W705" s="74"/>
      <c r="X705" s="74"/>
      <c r="Y705" s="74"/>
    </row>
    <row r="706" spans="1:25" ht="15.75" thickBot="1" x14ac:dyDescent="0.3">
      <c r="A706" s="83"/>
      <c r="B706" s="83"/>
      <c r="C706" s="88"/>
      <c r="D706" s="88"/>
      <c r="E706" s="83"/>
      <c r="F706" s="83"/>
      <c r="G706" s="83"/>
      <c r="H706" s="83"/>
      <c r="I706" s="83"/>
      <c r="J706" s="83"/>
      <c r="K706" s="83"/>
      <c r="L706" s="74"/>
      <c r="M706" s="74"/>
      <c r="N706" s="74"/>
      <c r="O706" s="74"/>
      <c r="P706" s="74"/>
      <c r="Q706" s="74"/>
      <c r="R706" s="74"/>
      <c r="S706" s="74"/>
      <c r="T706" s="74"/>
      <c r="U706" s="74"/>
      <c r="V706" s="74"/>
      <c r="W706" s="74"/>
      <c r="X706" s="74"/>
      <c r="Y706" s="74"/>
    </row>
    <row r="707" spans="1:25" ht="15.75" thickBot="1" x14ac:dyDescent="0.3">
      <c r="A707" s="82"/>
      <c r="B707" s="82"/>
      <c r="C707" s="87"/>
      <c r="D707" s="87"/>
      <c r="E707" s="82"/>
      <c r="F707" s="82"/>
      <c r="G707" s="82"/>
      <c r="H707" s="82"/>
      <c r="I707" s="82"/>
      <c r="J707" s="82"/>
      <c r="K707" s="82"/>
      <c r="L707" s="74"/>
      <c r="M707" s="74"/>
      <c r="N707" s="74"/>
      <c r="O707" s="74"/>
      <c r="P707" s="74"/>
      <c r="Q707" s="74"/>
      <c r="R707" s="74"/>
      <c r="S707" s="74"/>
      <c r="T707" s="74"/>
      <c r="U707" s="74"/>
      <c r="V707" s="74"/>
      <c r="W707" s="74"/>
      <c r="X707" s="74"/>
      <c r="Y707" s="74"/>
    </row>
    <row r="708" spans="1:25" ht="15.75" thickBot="1" x14ac:dyDescent="0.3">
      <c r="A708" s="83"/>
      <c r="B708" s="83"/>
      <c r="C708" s="88"/>
      <c r="D708" s="88"/>
      <c r="E708" s="83"/>
      <c r="F708" s="83"/>
      <c r="G708" s="83"/>
      <c r="H708" s="83"/>
      <c r="I708" s="83"/>
      <c r="J708" s="83"/>
      <c r="K708" s="83"/>
      <c r="L708" s="74"/>
      <c r="M708" s="74"/>
      <c r="N708" s="74"/>
      <c r="O708" s="74"/>
      <c r="P708" s="74"/>
      <c r="Q708" s="74"/>
      <c r="R708" s="74"/>
      <c r="S708" s="74"/>
      <c r="T708" s="74"/>
      <c r="U708" s="74"/>
      <c r="V708" s="74"/>
      <c r="W708" s="74"/>
      <c r="X708" s="74"/>
      <c r="Y708" s="74"/>
    </row>
    <row r="709" spans="1:25" ht="15.75" thickBot="1" x14ac:dyDescent="0.3">
      <c r="A709" s="82"/>
      <c r="B709" s="82"/>
      <c r="C709" s="87"/>
      <c r="D709" s="87"/>
      <c r="E709" s="82"/>
      <c r="F709" s="82"/>
      <c r="G709" s="82"/>
      <c r="H709" s="82"/>
      <c r="I709" s="82"/>
      <c r="J709" s="82"/>
      <c r="K709" s="82"/>
      <c r="L709" s="74"/>
      <c r="M709" s="74"/>
      <c r="N709" s="74"/>
      <c r="O709" s="74"/>
      <c r="P709" s="74"/>
      <c r="Q709" s="74"/>
      <c r="R709" s="74"/>
      <c r="S709" s="74"/>
      <c r="T709" s="74"/>
      <c r="U709" s="74"/>
      <c r="V709" s="74"/>
      <c r="W709" s="74"/>
      <c r="X709" s="74"/>
      <c r="Y709" s="74"/>
    </row>
    <row r="710" spans="1:25" ht="15.75" thickBot="1" x14ac:dyDescent="0.3">
      <c r="A710" s="83"/>
      <c r="B710" s="83"/>
      <c r="C710" s="88"/>
      <c r="D710" s="88"/>
      <c r="E710" s="83"/>
      <c r="F710" s="83"/>
      <c r="G710" s="83"/>
      <c r="H710" s="83"/>
      <c r="I710" s="83"/>
      <c r="J710" s="83"/>
      <c r="K710" s="83"/>
      <c r="L710" s="74"/>
      <c r="M710" s="74"/>
      <c r="N710" s="74"/>
      <c r="O710" s="74"/>
      <c r="P710" s="74"/>
      <c r="Q710" s="74"/>
      <c r="R710" s="74"/>
      <c r="S710" s="74"/>
      <c r="T710" s="74"/>
      <c r="U710" s="74"/>
      <c r="V710" s="74"/>
      <c r="W710" s="74"/>
      <c r="X710" s="74"/>
      <c r="Y710" s="74"/>
    </row>
    <row r="711" spans="1:25" ht="15.75" thickBot="1" x14ac:dyDescent="0.3">
      <c r="A711" s="82"/>
      <c r="B711" s="82"/>
      <c r="C711" s="87"/>
      <c r="D711" s="87"/>
      <c r="E711" s="82"/>
      <c r="F711" s="82"/>
      <c r="G711" s="82"/>
      <c r="H711" s="82"/>
      <c r="I711" s="82"/>
      <c r="J711" s="82"/>
      <c r="K711" s="82"/>
      <c r="L711" s="74"/>
      <c r="M711" s="74"/>
      <c r="N711" s="74"/>
      <c r="O711" s="74"/>
      <c r="P711" s="74"/>
      <c r="Q711" s="74"/>
      <c r="R711" s="74"/>
      <c r="S711" s="74"/>
      <c r="T711" s="74"/>
      <c r="U711" s="74"/>
      <c r="V711" s="74"/>
      <c r="W711" s="74"/>
      <c r="X711" s="74"/>
      <c r="Y711" s="74"/>
    </row>
    <row r="712" spans="1:25" ht="15.75" thickBot="1" x14ac:dyDescent="0.3">
      <c r="A712" s="83"/>
      <c r="B712" s="83"/>
      <c r="C712" s="88"/>
      <c r="D712" s="88"/>
      <c r="E712" s="83"/>
      <c r="F712" s="83"/>
      <c r="G712" s="83"/>
      <c r="H712" s="83"/>
      <c r="I712" s="83"/>
      <c r="J712" s="83"/>
      <c r="K712" s="83"/>
      <c r="L712" s="74"/>
      <c r="M712" s="74"/>
      <c r="N712" s="74"/>
      <c r="O712" s="74"/>
      <c r="P712" s="74"/>
      <c r="Q712" s="74"/>
      <c r="R712" s="74"/>
      <c r="S712" s="74"/>
      <c r="T712" s="74"/>
      <c r="U712" s="74"/>
      <c r="V712" s="74"/>
      <c r="W712" s="74"/>
      <c r="X712" s="74"/>
      <c r="Y712" s="74"/>
    </row>
    <row r="713" spans="1:25" ht="15.75" thickBot="1" x14ac:dyDescent="0.3">
      <c r="A713" s="82"/>
      <c r="B713" s="82"/>
      <c r="C713" s="87"/>
      <c r="D713" s="87"/>
      <c r="E713" s="82"/>
      <c r="F713" s="82"/>
      <c r="G713" s="82"/>
      <c r="H713" s="82"/>
      <c r="I713" s="82"/>
      <c r="J713" s="82"/>
      <c r="K713" s="82"/>
      <c r="L713" s="74"/>
      <c r="M713" s="74"/>
      <c r="N713" s="74"/>
      <c r="O713" s="74"/>
      <c r="P713" s="74"/>
      <c r="Q713" s="74"/>
      <c r="R713" s="74"/>
      <c r="S713" s="74"/>
      <c r="T713" s="74"/>
      <c r="U713" s="74"/>
      <c r="V713" s="74"/>
      <c r="W713" s="74"/>
      <c r="X713" s="74"/>
      <c r="Y713" s="74"/>
    </row>
    <row r="714" spans="1:25" ht="15.75" thickBot="1" x14ac:dyDescent="0.3">
      <c r="A714" s="83"/>
      <c r="B714" s="83"/>
      <c r="C714" s="88"/>
      <c r="D714" s="88"/>
      <c r="E714" s="83"/>
      <c r="F714" s="83"/>
      <c r="G714" s="83"/>
      <c r="H714" s="83"/>
      <c r="I714" s="83"/>
      <c r="J714" s="83"/>
      <c r="K714" s="83"/>
      <c r="L714" s="74"/>
      <c r="M714" s="74"/>
      <c r="N714" s="74"/>
      <c r="O714" s="74"/>
      <c r="P714" s="74"/>
      <c r="Q714" s="74"/>
      <c r="R714" s="74"/>
      <c r="S714" s="74"/>
      <c r="T714" s="74"/>
      <c r="U714" s="74"/>
      <c r="V714" s="74"/>
      <c r="W714" s="74"/>
      <c r="X714" s="74"/>
      <c r="Y714" s="74"/>
    </row>
    <row r="715" spans="1:25" ht="15.75" thickBot="1" x14ac:dyDescent="0.3">
      <c r="A715" s="82"/>
      <c r="B715" s="82"/>
      <c r="C715" s="87"/>
      <c r="D715" s="87"/>
      <c r="E715" s="82"/>
      <c r="F715" s="82"/>
      <c r="G715" s="82"/>
      <c r="H715" s="82"/>
      <c r="I715" s="82"/>
      <c r="J715" s="82"/>
      <c r="K715" s="82"/>
      <c r="L715" s="74"/>
      <c r="M715" s="74"/>
      <c r="N715" s="74"/>
      <c r="O715" s="74"/>
      <c r="P715" s="74"/>
      <c r="Q715" s="74"/>
      <c r="R715" s="74"/>
      <c r="S715" s="74"/>
      <c r="T715" s="74"/>
      <c r="U715" s="74"/>
      <c r="V715" s="74"/>
      <c r="W715" s="74"/>
      <c r="X715" s="74"/>
      <c r="Y715" s="74"/>
    </row>
    <row r="716" spans="1:25" ht="15.75" thickBot="1" x14ac:dyDescent="0.3">
      <c r="A716" s="83"/>
      <c r="B716" s="83"/>
      <c r="C716" s="88"/>
      <c r="D716" s="88"/>
      <c r="E716" s="83"/>
      <c r="F716" s="83"/>
      <c r="G716" s="83"/>
      <c r="H716" s="83"/>
      <c r="I716" s="83"/>
      <c r="J716" s="83"/>
      <c r="K716" s="83"/>
      <c r="L716" s="74"/>
      <c r="M716" s="74"/>
      <c r="N716" s="74"/>
      <c r="O716" s="74"/>
      <c r="P716" s="74"/>
      <c r="Q716" s="74"/>
      <c r="R716" s="74"/>
      <c r="S716" s="74"/>
      <c r="T716" s="74"/>
      <c r="U716" s="74"/>
      <c r="V716" s="74"/>
      <c r="W716" s="74"/>
      <c r="X716" s="74"/>
      <c r="Y716" s="74"/>
    </row>
    <row r="717" spans="1:25" ht="15.75" thickBot="1" x14ac:dyDescent="0.3">
      <c r="A717" s="82"/>
      <c r="B717" s="82"/>
      <c r="C717" s="87"/>
      <c r="D717" s="87"/>
      <c r="E717" s="82"/>
      <c r="F717" s="82"/>
      <c r="G717" s="82"/>
      <c r="H717" s="82"/>
      <c r="I717" s="82"/>
      <c r="J717" s="82"/>
      <c r="K717" s="82"/>
      <c r="L717" s="74"/>
      <c r="M717" s="74"/>
      <c r="N717" s="74"/>
      <c r="O717" s="74"/>
      <c r="P717" s="74"/>
      <c r="Q717" s="74"/>
      <c r="R717" s="74"/>
      <c r="S717" s="74"/>
      <c r="T717" s="74"/>
      <c r="U717" s="74"/>
      <c r="V717" s="74"/>
      <c r="W717" s="74"/>
      <c r="X717" s="74"/>
      <c r="Y717" s="74"/>
    </row>
    <row r="718" spans="1:25" ht="15.75" thickBot="1" x14ac:dyDescent="0.3">
      <c r="A718" s="83"/>
      <c r="B718" s="83"/>
      <c r="C718" s="88"/>
      <c r="D718" s="88"/>
      <c r="E718" s="83"/>
      <c r="F718" s="83"/>
      <c r="G718" s="83"/>
      <c r="H718" s="83"/>
      <c r="I718" s="83"/>
      <c r="J718" s="83"/>
      <c r="K718" s="83"/>
      <c r="L718" s="74"/>
      <c r="M718" s="74"/>
      <c r="N718" s="74"/>
      <c r="O718" s="74"/>
      <c r="P718" s="74"/>
      <c r="Q718" s="74"/>
      <c r="R718" s="74"/>
      <c r="S718" s="74"/>
      <c r="T718" s="74"/>
      <c r="U718" s="74"/>
      <c r="V718" s="74"/>
      <c r="W718" s="74"/>
      <c r="X718" s="74"/>
      <c r="Y718" s="74"/>
    </row>
    <row r="719" spans="1:25" ht="15.75" thickBot="1" x14ac:dyDescent="0.3">
      <c r="A719" s="82"/>
      <c r="B719" s="82"/>
      <c r="C719" s="87"/>
      <c r="D719" s="87"/>
      <c r="E719" s="82"/>
      <c r="F719" s="82"/>
      <c r="G719" s="82"/>
      <c r="H719" s="82"/>
      <c r="I719" s="82"/>
      <c r="J719" s="82"/>
      <c r="K719" s="82"/>
      <c r="L719" s="74"/>
      <c r="M719" s="74"/>
      <c r="N719" s="74"/>
      <c r="O719" s="74"/>
      <c r="P719" s="74"/>
      <c r="Q719" s="74"/>
      <c r="R719" s="74"/>
      <c r="S719" s="74"/>
      <c r="T719" s="74"/>
      <c r="U719" s="74"/>
      <c r="V719" s="74"/>
      <c r="W719" s="74"/>
      <c r="X719" s="74"/>
      <c r="Y719" s="74"/>
    </row>
    <row r="720" spans="1:25" ht="15.75" thickBot="1" x14ac:dyDescent="0.3">
      <c r="A720" s="83"/>
      <c r="B720" s="83"/>
      <c r="C720" s="88"/>
      <c r="D720" s="88"/>
      <c r="E720" s="83"/>
      <c r="F720" s="83"/>
      <c r="G720" s="83"/>
      <c r="H720" s="83"/>
      <c r="I720" s="83"/>
      <c r="J720" s="83"/>
      <c r="K720" s="83"/>
      <c r="L720" s="74"/>
      <c r="M720" s="74"/>
      <c r="N720" s="74"/>
      <c r="O720" s="74"/>
      <c r="P720" s="74"/>
      <c r="Q720" s="74"/>
      <c r="R720" s="74"/>
      <c r="S720" s="74"/>
      <c r="T720" s="74"/>
      <c r="U720" s="74"/>
      <c r="V720" s="74"/>
      <c r="W720" s="74"/>
      <c r="X720" s="74"/>
      <c r="Y720" s="74"/>
    </row>
    <row r="721" spans="1:25" ht="15.75" thickBot="1" x14ac:dyDescent="0.3">
      <c r="A721" s="82"/>
      <c r="B721" s="82"/>
      <c r="C721" s="87"/>
      <c r="D721" s="87"/>
      <c r="E721" s="82"/>
      <c r="F721" s="82"/>
      <c r="G721" s="82"/>
      <c r="H721" s="82"/>
      <c r="I721" s="82"/>
      <c r="J721" s="82"/>
      <c r="K721" s="82"/>
      <c r="L721" s="74"/>
      <c r="M721" s="74"/>
      <c r="N721" s="74"/>
      <c r="O721" s="74"/>
      <c r="P721" s="74"/>
      <c r="Q721" s="74"/>
      <c r="R721" s="74"/>
      <c r="S721" s="74"/>
      <c r="T721" s="74"/>
      <c r="U721" s="74"/>
      <c r="V721" s="74"/>
      <c r="W721" s="74"/>
      <c r="X721" s="74"/>
      <c r="Y721" s="74"/>
    </row>
    <row r="722" spans="1:25" ht="15.75" thickBot="1" x14ac:dyDescent="0.3">
      <c r="A722" s="83"/>
      <c r="B722" s="83"/>
      <c r="C722" s="88"/>
      <c r="D722" s="88"/>
      <c r="E722" s="83"/>
      <c r="F722" s="83"/>
      <c r="G722" s="83"/>
      <c r="H722" s="83"/>
      <c r="I722" s="83"/>
      <c r="J722" s="83"/>
      <c r="K722" s="83"/>
      <c r="L722" s="74"/>
      <c r="M722" s="74"/>
      <c r="N722" s="74"/>
      <c r="O722" s="74"/>
      <c r="P722" s="74"/>
      <c r="Q722" s="74"/>
      <c r="R722" s="74"/>
      <c r="S722" s="74"/>
      <c r="T722" s="74"/>
      <c r="U722" s="74"/>
      <c r="V722" s="74"/>
      <c r="W722" s="74"/>
      <c r="X722" s="74"/>
      <c r="Y722" s="74"/>
    </row>
    <row r="723" spans="1:25" ht="15.75" thickBot="1" x14ac:dyDescent="0.3">
      <c r="A723" s="82"/>
      <c r="B723" s="82"/>
      <c r="C723" s="87"/>
      <c r="D723" s="87"/>
      <c r="E723" s="82"/>
      <c r="F723" s="82"/>
      <c r="G723" s="82"/>
      <c r="H723" s="82"/>
      <c r="I723" s="82"/>
      <c r="J723" s="82"/>
      <c r="K723" s="82"/>
      <c r="L723" s="74"/>
      <c r="M723" s="74"/>
      <c r="N723" s="74"/>
      <c r="O723" s="74"/>
      <c r="P723" s="74"/>
      <c r="Q723" s="74"/>
      <c r="R723" s="74"/>
      <c r="S723" s="74"/>
      <c r="T723" s="74"/>
      <c r="U723" s="74"/>
      <c r="V723" s="74"/>
      <c r="W723" s="74"/>
      <c r="X723" s="74"/>
      <c r="Y723" s="74"/>
    </row>
    <row r="724" spans="1:25" ht="15.75" thickBot="1" x14ac:dyDescent="0.3">
      <c r="A724" s="83"/>
      <c r="B724" s="83"/>
      <c r="C724" s="88"/>
      <c r="D724" s="88"/>
      <c r="E724" s="83"/>
      <c r="F724" s="83"/>
      <c r="G724" s="83"/>
      <c r="H724" s="83"/>
      <c r="I724" s="83"/>
      <c r="J724" s="83"/>
      <c r="K724" s="83"/>
      <c r="L724" s="74"/>
      <c r="M724" s="74"/>
      <c r="N724" s="74"/>
      <c r="O724" s="74"/>
      <c r="P724" s="74"/>
      <c r="Q724" s="74"/>
      <c r="R724" s="74"/>
      <c r="S724" s="74"/>
      <c r="T724" s="74"/>
      <c r="U724" s="74"/>
      <c r="V724" s="74"/>
      <c r="W724" s="74"/>
      <c r="X724" s="74"/>
      <c r="Y724" s="74"/>
    </row>
    <row r="725" spans="1:25" ht="15.75" thickBot="1" x14ac:dyDescent="0.3">
      <c r="A725" s="82"/>
      <c r="B725" s="82"/>
      <c r="C725" s="87"/>
      <c r="D725" s="87"/>
      <c r="E725" s="82"/>
      <c r="F725" s="82"/>
      <c r="G725" s="82"/>
      <c r="H725" s="82"/>
      <c r="I725" s="82"/>
      <c r="J725" s="82"/>
      <c r="K725" s="82"/>
      <c r="L725" s="74"/>
      <c r="M725" s="74"/>
      <c r="N725" s="74"/>
      <c r="O725" s="74"/>
      <c r="P725" s="74"/>
      <c r="Q725" s="74"/>
      <c r="R725" s="74"/>
      <c r="S725" s="74"/>
      <c r="T725" s="74"/>
      <c r="U725" s="74"/>
      <c r="V725" s="74"/>
      <c r="W725" s="74"/>
      <c r="X725" s="74"/>
      <c r="Y725" s="74"/>
    </row>
    <row r="726" spans="1:25" ht="15.75" thickBot="1" x14ac:dyDescent="0.3">
      <c r="A726" s="83"/>
      <c r="B726" s="83"/>
      <c r="C726" s="88"/>
      <c r="D726" s="88"/>
      <c r="E726" s="83"/>
      <c r="F726" s="83"/>
      <c r="G726" s="83"/>
      <c r="H726" s="83"/>
      <c r="I726" s="83"/>
      <c r="J726" s="83"/>
      <c r="K726" s="83"/>
      <c r="L726" s="74"/>
      <c r="M726" s="74"/>
      <c r="N726" s="74"/>
      <c r="O726" s="74"/>
      <c r="P726" s="74"/>
      <c r="Q726" s="74"/>
      <c r="R726" s="74"/>
      <c r="S726" s="74"/>
      <c r="T726" s="74"/>
      <c r="U726" s="74"/>
      <c r="V726" s="74"/>
      <c r="W726" s="74"/>
      <c r="X726" s="74"/>
      <c r="Y726" s="74"/>
    </row>
    <row r="727" spans="1:25" ht="15.75" thickBot="1" x14ac:dyDescent="0.3">
      <c r="A727" s="82"/>
      <c r="B727" s="82"/>
      <c r="C727" s="87"/>
      <c r="D727" s="87"/>
      <c r="E727" s="82"/>
      <c r="F727" s="82"/>
      <c r="G727" s="82"/>
      <c r="H727" s="82"/>
      <c r="I727" s="82"/>
      <c r="J727" s="82"/>
      <c r="K727" s="82"/>
      <c r="L727" s="74"/>
      <c r="M727" s="74"/>
      <c r="N727" s="74"/>
      <c r="O727" s="74"/>
      <c r="P727" s="74"/>
      <c r="Q727" s="74"/>
      <c r="R727" s="74"/>
      <c r="S727" s="74"/>
      <c r="T727" s="74"/>
      <c r="U727" s="74"/>
      <c r="V727" s="74"/>
      <c r="W727" s="74"/>
      <c r="X727" s="74"/>
      <c r="Y727" s="74"/>
    </row>
    <row r="728" spans="1:25" ht="15.75" thickBot="1" x14ac:dyDescent="0.3">
      <c r="A728" s="83"/>
      <c r="B728" s="83"/>
      <c r="C728" s="88"/>
      <c r="D728" s="88"/>
      <c r="E728" s="83"/>
      <c r="F728" s="83"/>
      <c r="G728" s="83"/>
      <c r="H728" s="83"/>
      <c r="I728" s="83"/>
      <c r="J728" s="83"/>
      <c r="K728" s="83"/>
      <c r="L728" s="74"/>
      <c r="M728" s="74"/>
      <c r="N728" s="74"/>
      <c r="O728" s="74"/>
      <c r="P728" s="74"/>
      <c r="Q728" s="74"/>
      <c r="R728" s="74"/>
      <c r="S728" s="74"/>
      <c r="T728" s="74"/>
      <c r="U728" s="74"/>
      <c r="V728" s="74"/>
      <c r="W728" s="74"/>
      <c r="X728" s="74"/>
      <c r="Y728" s="74"/>
    </row>
    <row r="729" spans="1:25" ht="15.75" thickBot="1" x14ac:dyDescent="0.3">
      <c r="A729" s="82"/>
      <c r="B729" s="82"/>
      <c r="C729" s="87"/>
      <c r="D729" s="87"/>
      <c r="E729" s="82"/>
      <c r="F729" s="82"/>
      <c r="G729" s="82"/>
      <c r="H729" s="82"/>
      <c r="I729" s="82"/>
      <c r="J729" s="82"/>
      <c r="K729" s="82"/>
      <c r="L729" s="74"/>
      <c r="M729" s="74"/>
      <c r="N729" s="74"/>
      <c r="O729" s="74"/>
      <c r="P729" s="74"/>
      <c r="Q729" s="74"/>
      <c r="R729" s="74"/>
      <c r="S729" s="74"/>
      <c r="T729" s="74"/>
      <c r="U729" s="74"/>
      <c r="V729" s="74"/>
      <c r="W729" s="74"/>
      <c r="X729" s="74"/>
      <c r="Y729" s="74"/>
    </row>
    <row r="730" spans="1:25" ht="15.75" thickBot="1" x14ac:dyDescent="0.3">
      <c r="A730" s="83"/>
      <c r="B730" s="83"/>
      <c r="C730" s="88"/>
      <c r="D730" s="88"/>
      <c r="E730" s="83"/>
      <c r="F730" s="83"/>
      <c r="G730" s="83"/>
      <c r="H730" s="83"/>
      <c r="I730" s="83"/>
      <c r="J730" s="83"/>
      <c r="K730" s="83"/>
      <c r="L730" s="74"/>
      <c r="M730" s="74"/>
      <c r="N730" s="74"/>
      <c r="O730" s="74"/>
      <c r="P730" s="74"/>
      <c r="Q730" s="74"/>
      <c r="R730" s="74"/>
      <c r="S730" s="74"/>
      <c r="T730" s="74"/>
      <c r="U730" s="74"/>
      <c r="V730" s="74"/>
      <c r="W730" s="74"/>
      <c r="X730" s="74"/>
      <c r="Y730" s="74"/>
    </row>
    <row r="731" spans="1:25" ht="15.75" thickBot="1" x14ac:dyDescent="0.3">
      <c r="A731" s="82"/>
      <c r="B731" s="82"/>
      <c r="C731" s="87"/>
      <c r="D731" s="87"/>
      <c r="E731" s="82"/>
      <c r="F731" s="82"/>
      <c r="G731" s="82"/>
      <c r="H731" s="82"/>
      <c r="I731" s="82"/>
      <c r="J731" s="82"/>
      <c r="K731" s="82"/>
      <c r="L731" s="74"/>
      <c r="M731" s="74"/>
      <c r="N731" s="74"/>
      <c r="O731" s="74"/>
      <c r="P731" s="74"/>
      <c r="Q731" s="74"/>
      <c r="R731" s="74"/>
      <c r="S731" s="74"/>
      <c r="T731" s="74"/>
      <c r="U731" s="74"/>
      <c r="V731" s="74"/>
      <c r="W731" s="74"/>
      <c r="X731" s="74"/>
      <c r="Y731" s="74"/>
    </row>
    <row r="732" spans="1:25" ht="15.75" thickBot="1" x14ac:dyDescent="0.3">
      <c r="A732" s="83"/>
      <c r="B732" s="83"/>
      <c r="C732" s="88"/>
      <c r="D732" s="88"/>
      <c r="E732" s="83"/>
      <c r="F732" s="83"/>
      <c r="G732" s="83"/>
      <c r="H732" s="83"/>
      <c r="I732" s="83"/>
      <c r="J732" s="83"/>
      <c r="K732" s="83"/>
      <c r="L732" s="74"/>
      <c r="M732" s="74"/>
      <c r="N732" s="74"/>
      <c r="O732" s="74"/>
      <c r="P732" s="74"/>
      <c r="Q732" s="74"/>
      <c r="R732" s="74"/>
      <c r="S732" s="74"/>
      <c r="T732" s="74"/>
      <c r="U732" s="74"/>
      <c r="V732" s="74"/>
      <c r="W732" s="74"/>
      <c r="X732" s="74"/>
      <c r="Y732" s="74"/>
    </row>
    <row r="733" spans="1:25" ht="15.75" thickBot="1" x14ac:dyDescent="0.3">
      <c r="A733" s="82"/>
      <c r="B733" s="82"/>
      <c r="C733" s="87"/>
      <c r="D733" s="87"/>
      <c r="E733" s="82"/>
      <c r="F733" s="82"/>
      <c r="G733" s="82"/>
      <c r="H733" s="82"/>
      <c r="I733" s="82"/>
      <c r="J733" s="82"/>
      <c r="K733" s="82"/>
      <c r="L733" s="74"/>
      <c r="M733" s="74"/>
      <c r="N733" s="74"/>
      <c r="O733" s="74"/>
      <c r="P733" s="74"/>
      <c r="Q733" s="74"/>
      <c r="R733" s="74"/>
      <c r="S733" s="74"/>
      <c r="T733" s="74"/>
      <c r="U733" s="74"/>
      <c r="V733" s="74"/>
      <c r="W733" s="74"/>
      <c r="X733" s="74"/>
      <c r="Y733" s="74"/>
    </row>
    <row r="734" spans="1:25" ht="15.75" thickBot="1" x14ac:dyDescent="0.3">
      <c r="A734" s="83"/>
      <c r="B734" s="83"/>
      <c r="C734" s="88"/>
      <c r="D734" s="88"/>
      <c r="E734" s="83"/>
      <c r="F734" s="83"/>
      <c r="G734" s="83"/>
      <c r="H734" s="83"/>
      <c r="I734" s="83"/>
      <c r="J734" s="83"/>
      <c r="K734" s="83"/>
      <c r="L734" s="74"/>
      <c r="M734" s="74"/>
      <c r="N734" s="74"/>
      <c r="O734" s="74"/>
      <c r="P734" s="74"/>
      <c r="Q734" s="74"/>
      <c r="R734" s="74"/>
      <c r="S734" s="74"/>
      <c r="T734" s="74"/>
      <c r="U734" s="74"/>
      <c r="V734" s="74"/>
      <c r="W734" s="74"/>
      <c r="X734" s="74"/>
      <c r="Y734" s="74"/>
    </row>
    <row r="735" spans="1:25" ht="15.75" thickBot="1" x14ac:dyDescent="0.3">
      <c r="A735" s="82"/>
      <c r="B735" s="82"/>
      <c r="C735" s="87"/>
      <c r="D735" s="87"/>
      <c r="E735" s="82"/>
      <c r="F735" s="82"/>
      <c r="G735" s="82"/>
      <c r="H735" s="82"/>
      <c r="I735" s="82"/>
      <c r="J735" s="82"/>
      <c r="K735" s="82"/>
      <c r="L735" s="74"/>
      <c r="M735" s="74"/>
      <c r="N735" s="74"/>
      <c r="O735" s="74"/>
      <c r="P735" s="74"/>
      <c r="Q735" s="74"/>
      <c r="R735" s="74"/>
      <c r="S735" s="74"/>
      <c r="T735" s="74"/>
      <c r="U735" s="74"/>
      <c r="V735" s="74"/>
      <c r="W735" s="74"/>
      <c r="X735" s="74"/>
      <c r="Y735" s="74"/>
    </row>
    <row r="736" spans="1:25" ht="15.75" thickBot="1" x14ac:dyDescent="0.3">
      <c r="A736" s="83"/>
      <c r="B736" s="83"/>
      <c r="C736" s="88"/>
      <c r="D736" s="88"/>
      <c r="E736" s="83"/>
      <c r="F736" s="83"/>
      <c r="G736" s="83"/>
      <c r="H736" s="83"/>
      <c r="I736" s="83"/>
      <c r="J736" s="83"/>
      <c r="K736" s="83"/>
      <c r="L736" s="74"/>
      <c r="M736" s="74"/>
      <c r="N736" s="74"/>
      <c r="O736" s="74"/>
      <c r="P736" s="74"/>
      <c r="Q736" s="74"/>
      <c r="R736" s="74"/>
      <c r="S736" s="74"/>
      <c r="T736" s="74"/>
      <c r="U736" s="74"/>
      <c r="V736" s="74"/>
      <c r="W736" s="74"/>
      <c r="X736" s="74"/>
      <c r="Y736" s="74"/>
    </row>
    <row r="737" spans="1:25" ht="15.75" thickBot="1" x14ac:dyDescent="0.3">
      <c r="A737" s="82"/>
      <c r="B737" s="82"/>
      <c r="C737" s="87"/>
      <c r="D737" s="87"/>
      <c r="E737" s="82"/>
      <c r="F737" s="82"/>
      <c r="G737" s="82"/>
      <c r="H737" s="82"/>
      <c r="I737" s="82"/>
      <c r="J737" s="82"/>
      <c r="K737" s="82"/>
      <c r="L737" s="74"/>
      <c r="M737" s="74"/>
      <c r="N737" s="74"/>
      <c r="O737" s="74"/>
      <c r="P737" s="74"/>
      <c r="Q737" s="74"/>
      <c r="R737" s="74"/>
      <c r="S737" s="74"/>
      <c r="T737" s="74"/>
      <c r="U737" s="74"/>
      <c r="V737" s="74"/>
      <c r="W737" s="74"/>
      <c r="X737" s="74"/>
      <c r="Y737" s="74"/>
    </row>
    <row r="738" spans="1:25" ht="15.75" thickBot="1" x14ac:dyDescent="0.3">
      <c r="A738" s="83"/>
      <c r="B738" s="83"/>
      <c r="C738" s="88"/>
      <c r="D738" s="88"/>
      <c r="E738" s="83"/>
      <c r="F738" s="83"/>
      <c r="G738" s="83"/>
      <c r="H738" s="83"/>
      <c r="I738" s="83"/>
      <c r="J738" s="83"/>
      <c r="K738" s="83"/>
      <c r="L738" s="74"/>
      <c r="M738" s="74"/>
      <c r="N738" s="74"/>
      <c r="O738" s="74"/>
      <c r="P738" s="74"/>
      <c r="Q738" s="74"/>
      <c r="R738" s="74"/>
      <c r="S738" s="74"/>
      <c r="T738" s="74"/>
      <c r="U738" s="74"/>
      <c r="V738" s="74"/>
      <c r="W738" s="74"/>
      <c r="X738" s="74"/>
      <c r="Y738" s="74"/>
    </row>
    <row r="739" spans="1:25" ht="15.75" thickBot="1" x14ac:dyDescent="0.3">
      <c r="A739" s="82"/>
      <c r="B739" s="82"/>
      <c r="C739" s="87"/>
      <c r="D739" s="87"/>
      <c r="E739" s="82"/>
      <c r="F739" s="82"/>
      <c r="G739" s="82"/>
      <c r="H739" s="82"/>
      <c r="I739" s="82"/>
      <c r="J739" s="82"/>
      <c r="K739" s="82"/>
      <c r="L739" s="74"/>
      <c r="M739" s="74"/>
      <c r="N739" s="74"/>
      <c r="O739" s="74"/>
      <c r="P739" s="74"/>
      <c r="Q739" s="74"/>
      <c r="R739" s="74"/>
      <c r="S739" s="74"/>
      <c r="T739" s="74"/>
      <c r="U739" s="74"/>
      <c r="V739" s="74"/>
      <c r="W739" s="74"/>
      <c r="X739" s="74"/>
      <c r="Y739" s="74"/>
    </row>
    <row r="740" spans="1:25" ht="15.75" thickBot="1" x14ac:dyDescent="0.3">
      <c r="A740" s="83"/>
      <c r="B740" s="83"/>
      <c r="C740" s="88"/>
      <c r="D740" s="88"/>
      <c r="E740" s="83"/>
      <c r="F740" s="83"/>
      <c r="G740" s="83"/>
      <c r="H740" s="83"/>
      <c r="I740" s="83"/>
      <c r="J740" s="83"/>
      <c r="K740" s="83"/>
      <c r="L740" s="74"/>
      <c r="M740" s="74"/>
      <c r="N740" s="74"/>
      <c r="O740" s="74"/>
      <c r="P740" s="74"/>
      <c r="Q740" s="74"/>
      <c r="R740" s="74"/>
      <c r="S740" s="74"/>
      <c r="T740" s="74"/>
      <c r="U740" s="74"/>
      <c r="V740" s="74"/>
      <c r="W740" s="74"/>
      <c r="X740" s="74"/>
      <c r="Y740" s="74"/>
    </row>
    <row r="741" spans="1:25" ht="15.75" thickBot="1" x14ac:dyDescent="0.3">
      <c r="A741" s="82"/>
      <c r="B741" s="82"/>
      <c r="C741" s="87"/>
      <c r="D741" s="87"/>
      <c r="E741" s="82"/>
      <c r="F741" s="82"/>
      <c r="G741" s="82"/>
      <c r="H741" s="82"/>
      <c r="I741" s="82"/>
      <c r="J741" s="82"/>
      <c r="K741" s="82"/>
      <c r="L741" s="74"/>
      <c r="M741" s="74"/>
      <c r="N741" s="74"/>
      <c r="O741" s="74"/>
      <c r="P741" s="74"/>
      <c r="Q741" s="74"/>
      <c r="R741" s="74"/>
      <c r="S741" s="74"/>
      <c r="T741" s="74"/>
      <c r="U741" s="74"/>
      <c r="V741" s="74"/>
      <c r="W741" s="74"/>
      <c r="X741" s="74"/>
      <c r="Y741" s="74"/>
    </row>
    <row r="742" spans="1:25" ht="15.75" thickBot="1" x14ac:dyDescent="0.3">
      <c r="A742" s="83"/>
      <c r="B742" s="83"/>
      <c r="C742" s="88"/>
      <c r="D742" s="88"/>
      <c r="E742" s="83"/>
      <c r="F742" s="83"/>
      <c r="G742" s="83"/>
      <c r="H742" s="83"/>
      <c r="I742" s="83"/>
      <c r="J742" s="83"/>
      <c r="K742" s="83"/>
      <c r="L742" s="74"/>
      <c r="M742" s="74"/>
      <c r="N742" s="74"/>
      <c r="O742" s="74"/>
      <c r="P742" s="74"/>
      <c r="Q742" s="74"/>
      <c r="R742" s="74"/>
      <c r="S742" s="74"/>
      <c r="T742" s="74"/>
      <c r="U742" s="74"/>
      <c r="V742" s="74"/>
      <c r="W742" s="74"/>
      <c r="X742" s="74"/>
      <c r="Y742" s="74"/>
    </row>
    <row r="743" spans="1:25" ht="15.75" thickBot="1" x14ac:dyDescent="0.3">
      <c r="A743" s="82"/>
      <c r="B743" s="82"/>
      <c r="C743" s="87"/>
      <c r="D743" s="87"/>
      <c r="E743" s="82"/>
      <c r="F743" s="82"/>
      <c r="G743" s="82"/>
      <c r="H743" s="82"/>
      <c r="I743" s="82"/>
      <c r="J743" s="82"/>
      <c r="K743" s="82"/>
      <c r="L743" s="74"/>
      <c r="M743" s="74"/>
      <c r="N743" s="74"/>
      <c r="O743" s="74"/>
      <c r="P743" s="74"/>
      <c r="Q743" s="74"/>
      <c r="R743" s="74"/>
      <c r="S743" s="74"/>
      <c r="T743" s="74"/>
      <c r="U743" s="74"/>
      <c r="V743" s="74"/>
      <c r="W743" s="74"/>
      <c r="X743" s="74"/>
      <c r="Y743" s="74"/>
    </row>
    <row r="744" spans="1:25" ht="15.75" thickBot="1" x14ac:dyDescent="0.3">
      <c r="A744" s="83"/>
      <c r="B744" s="83"/>
      <c r="C744" s="88"/>
      <c r="D744" s="88"/>
      <c r="E744" s="83"/>
      <c r="F744" s="83"/>
      <c r="G744" s="83"/>
      <c r="H744" s="83"/>
      <c r="I744" s="83"/>
      <c r="J744" s="83"/>
      <c r="K744" s="83"/>
      <c r="L744" s="74"/>
      <c r="M744" s="74"/>
      <c r="N744" s="74"/>
      <c r="O744" s="74"/>
      <c r="P744" s="74"/>
      <c r="Q744" s="74"/>
      <c r="R744" s="74"/>
      <c r="S744" s="74"/>
      <c r="T744" s="74"/>
      <c r="U744" s="74"/>
      <c r="V744" s="74"/>
      <c r="W744" s="74"/>
      <c r="X744" s="74"/>
      <c r="Y744" s="74"/>
    </row>
    <row r="745" spans="1:25" ht="15.75" thickBot="1" x14ac:dyDescent="0.3">
      <c r="A745" s="82"/>
      <c r="B745" s="82"/>
      <c r="C745" s="87"/>
      <c r="D745" s="87"/>
      <c r="E745" s="82"/>
      <c r="F745" s="82"/>
      <c r="G745" s="82"/>
      <c r="H745" s="82"/>
      <c r="I745" s="82"/>
      <c r="J745" s="82"/>
      <c r="K745" s="82"/>
      <c r="L745" s="74"/>
      <c r="M745" s="74"/>
      <c r="N745" s="74"/>
      <c r="O745" s="74"/>
      <c r="P745" s="74"/>
      <c r="Q745" s="74"/>
      <c r="R745" s="74"/>
      <c r="S745" s="74"/>
      <c r="T745" s="74"/>
      <c r="U745" s="74"/>
      <c r="V745" s="74"/>
      <c r="W745" s="74"/>
      <c r="X745" s="74"/>
      <c r="Y745" s="74"/>
    </row>
    <row r="746" spans="1:25" ht="15.75" thickBot="1" x14ac:dyDescent="0.3">
      <c r="A746" s="83"/>
      <c r="B746" s="83"/>
      <c r="C746" s="88"/>
      <c r="D746" s="88"/>
      <c r="E746" s="83"/>
      <c r="F746" s="83"/>
      <c r="G746" s="83"/>
      <c r="H746" s="83"/>
      <c r="I746" s="83"/>
      <c r="J746" s="83"/>
      <c r="K746" s="83"/>
      <c r="L746" s="74"/>
      <c r="M746" s="74"/>
      <c r="N746" s="74"/>
      <c r="O746" s="74"/>
      <c r="P746" s="74"/>
      <c r="Q746" s="74"/>
      <c r="R746" s="74"/>
      <c r="S746" s="74"/>
      <c r="T746" s="74"/>
      <c r="U746" s="74"/>
      <c r="V746" s="74"/>
      <c r="W746" s="74"/>
      <c r="X746" s="74"/>
      <c r="Y746" s="74"/>
    </row>
    <row r="747" spans="1:25" ht="15.75" thickBot="1" x14ac:dyDescent="0.3">
      <c r="A747" s="82"/>
      <c r="B747" s="82"/>
      <c r="C747" s="87"/>
      <c r="D747" s="87"/>
      <c r="E747" s="82"/>
      <c r="F747" s="82"/>
      <c r="G747" s="82"/>
      <c r="H747" s="82"/>
      <c r="I747" s="82"/>
      <c r="J747" s="82"/>
      <c r="K747" s="82"/>
      <c r="L747" s="74"/>
      <c r="M747" s="74"/>
      <c r="N747" s="74"/>
      <c r="O747" s="74"/>
      <c r="P747" s="74"/>
      <c r="Q747" s="74"/>
      <c r="R747" s="74"/>
      <c r="S747" s="74"/>
      <c r="T747" s="74"/>
      <c r="U747" s="74"/>
      <c r="V747" s="74"/>
      <c r="W747" s="74"/>
      <c r="X747" s="74"/>
      <c r="Y747" s="74"/>
    </row>
    <row r="748" spans="1:25" ht="15.75" thickBot="1" x14ac:dyDescent="0.3">
      <c r="A748" s="83"/>
      <c r="B748" s="83"/>
      <c r="C748" s="88"/>
      <c r="D748" s="88"/>
      <c r="E748" s="83"/>
      <c r="F748" s="83"/>
      <c r="G748" s="83"/>
      <c r="H748" s="83"/>
      <c r="I748" s="83"/>
      <c r="J748" s="83"/>
      <c r="K748" s="83"/>
      <c r="L748" s="74"/>
      <c r="M748" s="74"/>
      <c r="N748" s="74"/>
      <c r="O748" s="74"/>
      <c r="P748" s="74"/>
      <c r="Q748" s="74"/>
      <c r="R748" s="74"/>
      <c r="S748" s="74"/>
      <c r="T748" s="74"/>
      <c r="U748" s="74"/>
      <c r="V748" s="74"/>
      <c r="W748" s="74"/>
      <c r="X748" s="74"/>
      <c r="Y748" s="74"/>
    </row>
    <row r="749" spans="1:25" ht="15.75" thickBot="1" x14ac:dyDescent="0.3">
      <c r="A749" s="82"/>
      <c r="B749" s="82"/>
      <c r="C749" s="87"/>
      <c r="D749" s="87"/>
      <c r="E749" s="82"/>
      <c r="F749" s="82"/>
      <c r="G749" s="82"/>
      <c r="H749" s="82"/>
      <c r="I749" s="82"/>
      <c r="J749" s="82"/>
      <c r="K749" s="82"/>
      <c r="L749" s="74"/>
      <c r="M749" s="74"/>
      <c r="N749" s="74"/>
      <c r="O749" s="74"/>
      <c r="P749" s="74"/>
      <c r="Q749" s="74"/>
      <c r="R749" s="74"/>
      <c r="S749" s="74"/>
      <c r="T749" s="74"/>
      <c r="U749" s="74"/>
      <c r="V749" s="74"/>
      <c r="W749" s="74"/>
      <c r="X749" s="74"/>
      <c r="Y749" s="74"/>
    </row>
    <row r="750" spans="1:25" ht="15.75" thickBot="1" x14ac:dyDescent="0.3">
      <c r="A750" s="83"/>
      <c r="B750" s="83"/>
      <c r="C750" s="88"/>
      <c r="D750" s="88"/>
      <c r="E750" s="83"/>
      <c r="F750" s="83"/>
      <c r="G750" s="83"/>
      <c r="H750" s="83"/>
      <c r="I750" s="83"/>
      <c r="J750" s="83"/>
      <c r="K750" s="83"/>
      <c r="L750" s="74"/>
      <c r="M750" s="74"/>
      <c r="N750" s="74"/>
      <c r="O750" s="74"/>
      <c r="P750" s="74"/>
      <c r="Q750" s="74"/>
      <c r="R750" s="74"/>
      <c r="S750" s="74"/>
      <c r="T750" s="74"/>
      <c r="U750" s="74"/>
      <c r="V750" s="74"/>
      <c r="W750" s="74"/>
      <c r="X750" s="74"/>
      <c r="Y750" s="74"/>
    </row>
    <row r="751" spans="1:25" ht="15.75" thickBot="1" x14ac:dyDescent="0.3">
      <c r="A751" s="82"/>
      <c r="B751" s="82"/>
      <c r="C751" s="87"/>
      <c r="D751" s="87"/>
      <c r="E751" s="82"/>
      <c r="F751" s="82"/>
      <c r="G751" s="82"/>
      <c r="H751" s="82"/>
      <c r="I751" s="82"/>
      <c r="J751" s="82"/>
      <c r="K751" s="82"/>
      <c r="L751" s="74"/>
      <c r="M751" s="74"/>
      <c r="N751" s="74"/>
      <c r="O751" s="74"/>
      <c r="P751" s="74"/>
      <c r="Q751" s="74"/>
      <c r="R751" s="74"/>
      <c r="S751" s="74"/>
      <c r="T751" s="74"/>
      <c r="U751" s="74"/>
      <c r="V751" s="74"/>
      <c r="W751" s="74"/>
      <c r="X751" s="74"/>
      <c r="Y751" s="74"/>
    </row>
    <row r="752" spans="1:25" ht="15.75" thickBot="1" x14ac:dyDescent="0.3">
      <c r="A752" s="83"/>
      <c r="B752" s="83"/>
      <c r="C752" s="88"/>
      <c r="D752" s="88"/>
      <c r="E752" s="83"/>
      <c r="F752" s="83"/>
      <c r="G752" s="83"/>
      <c r="H752" s="83"/>
      <c r="I752" s="83"/>
      <c r="J752" s="83"/>
      <c r="K752" s="83"/>
      <c r="L752" s="74"/>
      <c r="M752" s="74"/>
      <c r="N752" s="74"/>
      <c r="O752" s="74"/>
      <c r="P752" s="74"/>
      <c r="Q752" s="74"/>
      <c r="R752" s="74"/>
      <c r="S752" s="74"/>
      <c r="T752" s="74"/>
      <c r="U752" s="74"/>
      <c r="V752" s="74"/>
      <c r="W752" s="74"/>
      <c r="X752" s="74"/>
      <c r="Y752" s="74"/>
    </row>
    <row r="753" spans="1:25" ht="15.75" thickBot="1" x14ac:dyDescent="0.3">
      <c r="A753" s="82"/>
      <c r="B753" s="82"/>
      <c r="C753" s="87"/>
      <c r="D753" s="87"/>
      <c r="E753" s="82"/>
      <c r="F753" s="82"/>
      <c r="G753" s="82"/>
      <c r="H753" s="82"/>
      <c r="I753" s="82"/>
      <c r="J753" s="82"/>
      <c r="K753" s="82"/>
      <c r="L753" s="74"/>
      <c r="M753" s="74"/>
      <c r="N753" s="74"/>
      <c r="O753" s="74"/>
      <c r="P753" s="74"/>
      <c r="Q753" s="74"/>
      <c r="R753" s="74"/>
      <c r="S753" s="74"/>
      <c r="T753" s="74"/>
      <c r="U753" s="74"/>
      <c r="V753" s="74"/>
      <c r="W753" s="74"/>
      <c r="X753" s="74"/>
      <c r="Y753" s="74"/>
    </row>
    <row r="754" spans="1:25" ht="15.75" thickBot="1" x14ac:dyDescent="0.3">
      <c r="A754" s="83"/>
      <c r="B754" s="83"/>
      <c r="C754" s="88"/>
      <c r="D754" s="88"/>
      <c r="E754" s="83"/>
      <c r="F754" s="83"/>
      <c r="G754" s="83"/>
      <c r="H754" s="83"/>
      <c r="I754" s="83"/>
      <c r="J754" s="83"/>
      <c r="K754" s="83"/>
      <c r="L754" s="74"/>
      <c r="M754" s="74"/>
      <c r="N754" s="74"/>
      <c r="O754" s="74"/>
      <c r="P754" s="74"/>
      <c r="Q754" s="74"/>
      <c r="R754" s="74"/>
      <c r="S754" s="74"/>
      <c r="T754" s="74"/>
      <c r="U754" s="74"/>
      <c r="V754" s="74"/>
      <c r="W754" s="74"/>
      <c r="X754" s="74"/>
      <c r="Y754" s="74"/>
    </row>
    <row r="755" spans="1:25" ht="15.75" thickBot="1" x14ac:dyDescent="0.3">
      <c r="A755" s="82"/>
      <c r="B755" s="82"/>
      <c r="C755" s="87"/>
      <c r="D755" s="87"/>
      <c r="E755" s="82"/>
      <c r="F755" s="82"/>
      <c r="G755" s="82"/>
      <c r="H755" s="82"/>
      <c r="I755" s="82"/>
      <c r="J755" s="82"/>
      <c r="K755" s="82"/>
      <c r="L755" s="74"/>
      <c r="M755" s="74"/>
      <c r="N755" s="74"/>
      <c r="O755" s="74"/>
      <c r="P755" s="74"/>
      <c r="Q755" s="74"/>
      <c r="R755" s="74"/>
      <c r="S755" s="74"/>
      <c r="T755" s="74"/>
      <c r="U755" s="74"/>
      <c r="V755" s="74"/>
      <c r="W755" s="74"/>
      <c r="X755" s="74"/>
      <c r="Y755" s="74"/>
    </row>
    <row r="756" spans="1:25" ht="15.75" thickBot="1" x14ac:dyDescent="0.3">
      <c r="A756" s="83"/>
      <c r="B756" s="83"/>
      <c r="C756" s="88"/>
      <c r="D756" s="88"/>
      <c r="E756" s="83"/>
      <c r="F756" s="83"/>
      <c r="G756" s="83"/>
      <c r="H756" s="83"/>
      <c r="I756" s="83"/>
      <c r="J756" s="83"/>
      <c r="K756" s="83"/>
      <c r="L756" s="74"/>
      <c r="M756" s="74"/>
      <c r="N756" s="74"/>
      <c r="O756" s="74"/>
      <c r="P756" s="74"/>
      <c r="Q756" s="74"/>
      <c r="R756" s="74"/>
      <c r="S756" s="74"/>
      <c r="T756" s="74"/>
      <c r="U756" s="74"/>
      <c r="V756" s="74"/>
      <c r="W756" s="74"/>
      <c r="X756" s="74"/>
      <c r="Y756" s="74"/>
    </row>
    <row r="757" spans="1:25" ht="15.75" thickBot="1" x14ac:dyDescent="0.3">
      <c r="A757" s="82"/>
      <c r="B757" s="82"/>
      <c r="C757" s="87"/>
      <c r="D757" s="87"/>
      <c r="E757" s="82"/>
      <c r="F757" s="82"/>
      <c r="G757" s="82"/>
      <c r="H757" s="82"/>
      <c r="I757" s="82"/>
      <c r="J757" s="82"/>
      <c r="K757" s="82"/>
      <c r="L757" s="74"/>
      <c r="M757" s="74"/>
      <c r="N757" s="74"/>
      <c r="O757" s="74"/>
      <c r="P757" s="74"/>
      <c r="Q757" s="74"/>
      <c r="R757" s="74"/>
      <c r="S757" s="74"/>
      <c r="T757" s="74"/>
      <c r="U757" s="74"/>
      <c r="V757" s="74"/>
      <c r="W757" s="74"/>
      <c r="X757" s="74"/>
      <c r="Y757" s="74"/>
    </row>
    <row r="758" spans="1:25" ht="15.75" thickBot="1" x14ac:dyDescent="0.3">
      <c r="A758" s="83"/>
      <c r="B758" s="83"/>
      <c r="C758" s="88"/>
      <c r="D758" s="88"/>
      <c r="E758" s="83"/>
      <c r="F758" s="83"/>
      <c r="G758" s="83"/>
      <c r="H758" s="83"/>
      <c r="I758" s="83"/>
      <c r="J758" s="83"/>
      <c r="K758" s="83"/>
      <c r="L758" s="74"/>
      <c r="M758" s="74"/>
      <c r="N758" s="74"/>
      <c r="O758" s="74"/>
      <c r="P758" s="74"/>
      <c r="Q758" s="74"/>
      <c r="R758" s="74"/>
      <c r="S758" s="74"/>
      <c r="T758" s="74"/>
      <c r="U758" s="74"/>
      <c r="V758" s="74"/>
      <c r="W758" s="74"/>
      <c r="X758" s="74"/>
      <c r="Y758" s="74"/>
    </row>
    <row r="759" spans="1:25" ht="15.75" thickBot="1" x14ac:dyDescent="0.3">
      <c r="A759" s="82"/>
      <c r="B759" s="82"/>
      <c r="C759" s="87"/>
      <c r="D759" s="87"/>
      <c r="E759" s="82"/>
      <c r="F759" s="82"/>
      <c r="G759" s="82"/>
      <c r="H759" s="82"/>
      <c r="I759" s="82"/>
      <c r="J759" s="82"/>
      <c r="K759" s="82"/>
      <c r="L759" s="74"/>
      <c r="M759" s="74"/>
      <c r="N759" s="74"/>
      <c r="O759" s="74"/>
      <c r="P759" s="74"/>
      <c r="Q759" s="74"/>
      <c r="R759" s="74"/>
      <c r="S759" s="74"/>
      <c r="T759" s="74"/>
      <c r="U759" s="74"/>
      <c r="V759" s="74"/>
      <c r="W759" s="74"/>
      <c r="X759" s="74"/>
      <c r="Y759" s="74"/>
    </row>
    <row r="760" spans="1:25" ht="15.75" thickBot="1" x14ac:dyDescent="0.3">
      <c r="A760" s="83"/>
      <c r="B760" s="83"/>
      <c r="C760" s="88"/>
      <c r="D760" s="88"/>
      <c r="E760" s="83"/>
      <c r="F760" s="83"/>
      <c r="G760" s="83"/>
      <c r="H760" s="83"/>
      <c r="I760" s="83"/>
      <c r="J760" s="83"/>
      <c r="K760" s="83"/>
      <c r="L760" s="74"/>
      <c r="M760" s="74"/>
      <c r="N760" s="74"/>
      <c r="O760" s="74"/>
      <c r="P760" s="74"/>
      <c r="Q760" s="74"/>
      <c r="R760" s="74"/>
      <c r="S760" s="74"/>
      <c r="T760" s="74"/>
      <c r="U760" s="74"/>
      <c r="V760" s="74"/>
      <c r="W760" s="74"/>
      <c r="X760" s="74"/>
      <c r="Y760" s="74"/>
    </row>
    <row r="761" spans="1:25" ht="15.75" thickBot="1" x14ac:dyDescent="0.3">
      <c r="A761" s="82"/>
      <c r="B761" s="82"/>
      <c r="C761" s="87"/>
      <c r="D761" s="87"/>
      <c r="E761" s="82"/>
      <c r="F761" s="82"/>
      <c r="G761" s="82"/>
      <c r="H761" s="82"/>
      <c r="I761" s="82"/>
      <c r="J761" s="82"/>
      <c r="K761" s="82"/>
      <c r="L761" s="74"/>
      <c r="M761" s="74"/>
      <c r="N761" s="74"/>
      <c r="O761" s="74"/>
      <c r="P761" s="74"/>
      <c r="Q761" s="74"/>
      <c r="R761" s="74"/>
      <c r="S761" s="74"/>
      <c r="T761" s="74"/>
      <c r="U761" s="74"/>
      <c r="V761" s="74"/>
      <c r="W761" s="74"/>
      <c r="X761" s="74"/>
      <c r="Y761" s="74"/>
    </row>
    <row r="762" spans="1:25" ht="15.75" thickBot="1" x14ac:dyDescent="0.3">
      <c r="A762" s="83"/>
      <c r="B762" s="83"/>
      <c r="C762" s="88"/>
      <c r="D762" s="88"/>
      <c r="E762" s="83"/>
      <c r="F762" s="83"/>
      <c r="G762" s="83"/>
      <c r="H762" s="83"/>
      <c r="I762" s="83"/>
      <c r="J762" s="83"/>
      <c r="K762" s="83"/>
      <c r="L762" s="74"/>
      <c r="M762" s="74"/>
      <c r="N762" s="74"/>
      <c r="O762" s="74"/>
      <c r="P762" s="74"/>
      <c r="Q762" s="74"/>
      <c r="R762" s="74"/>
      <c r="S762" s="74"/>
      <c r="T762" s="74"/>
      <c r="U762" s="74"/>
      <c r="V762" s="74"/>
      <c r="W762" s="74"/>
      <c r="X762" s="74"/>
      <c r="Y762" s="74"/>
    </row>
    <row r="763" spans="1:25" ht="15.75" thickBot="1" x14ac:dyDescent="0.3">
      <c r="A763" s="82"/>
      <c r="B763" s="82"/>
      <c r="C763" s="87"/>
      <c r="D763" s="87"/>
      <c r="E763" s="82"/>
      <c r="F763" s="82"/>
      <c r="G763" s="82"/>
      <c r="H763" s="82"/>
      <c r="I763" s="82"/>
      <c r="J763" s="82"/>
      <c r="K763" s="82"/>
      <c r="L763" s="74"/>
      <c r="M763" s="74"/>
      <c r="N763" s="74"/>
      <c r="O763" s="74"/>
      <c r="P763" s="74"/>
      <c r="Q763" s="74"/>
      <c r="R763" s="74"/>
      <c r="S763" s="74"/>
      <c r="T763" s="74"/>
      <c r="U763" s="74"/>
      <c r="V763" s="74"/>
      <c r="W763" s="74"/>
      <c r="X763" s="74"/>
      <c r="Y763" s="74"/>
    </row>
    <row r="764" spans="1:25" ht="15.75" thickBot="1" x14ac:dyDescent="0.3">
      <c r="A764" s="83"/>
      <c r="B764" s="83"/>
      <c r="C764" s="88"/>
      <c r="D764" s="88"/>
      <c r="E764" s="83"/>
      <c r="F764" s="83"/>
      <c r="G764" s="83"/>
      <c r="H764" s="83"/>
      <c r="I764" s="83"/>
      <c r="J764" s="83"/>
      <c r="K764" s="83"/>
      <c r="L764" s="74"/>
      <c r="M764" s="74"/>
      <c r="N764" s="74"/>
      <c r="O764" s="74"/>
      <c r="P764" s="74"/>
      <c r="Q764" s="74"/>
      <c r="R764" s="74"/>
      <c r="S764" s="74"/>
      <c r="T764" s="74"/>
      <c r="U764" s="74"/>
      <c r="V764" s="74"/>
      <c r="W764" s="74"/>
      <c r="X764" s="74"/>
      <c r="Y764" s="74"/>
    </row>
    <row r="765" spans="1:25" ht="15.75" thickBot="1" x14ac:dyDescent="0.3">
      <c r="A765" s="82"/>
      <c r="B765" s="82"/>
      <c r="C765" s="87"/>
      <c r="D765" s="87"/>
      <c r="E765" s="82"/>
      <c r="F765" s="82"/>
      <c r="G765" s="82"/>
      <c r="H765" s="82"/>
      <c r="I765" s="82"/>
      <c r="J765" s="82"/>
      <c r="K765" s="82"/>
      <c r="L765" s="74"/>
      <c r="M765" s="74"/>
      <c r="N765" s="74"/>
      <c r="O765" s="74"/>
      <c r="P765" s="74"/>
      <c r="Q765" s="74"/>
      <c r="R765" s="74"/>
      <c r="S765" s="74"/>
      <c r="T765" s="74"/>
      <c r="U765" s="74"/>
      <c r="V765" s="74"/>
      <c r="W765" s="74"/>
      <c r="X765" s="74"/>
      <c r="Y765" s="74"/>
    </row>
    <row r="766" spans="1:25" ht="15.75" thickBot="1" x14ac:dyDescent="0.3">
      <c r="A766" s="83"/>
      <c r="B766" s="83"/>
      <c r="C766" s="88"/>
      <c r="D766" s="88"/>
      <c r="E766" s="83"/>
      <c r="F766" s="83"/>
      <c r="G766" s="83"/>
      <c r="H766" s="83"/>
      <c r="I766" s="83"/>
      <c r="J766" s="83"/>
      <c r="K766" s="83"/>
      <c r="L766" s="74"/>
      <c r="M766" s="74"/>
      <c r="N766" s="74"/>
      <c r="O766" s="74"/>
      <c r="P766" s="74"/>
      <c r="Q766" s="74"/>
      <c r="R766" s="74"/>
      <c r="S766" s="74"/>
      <c r="T766" s="74"/>
      <c r="U766" s="74"/>
      <c r="V766" s="74"/>
      <c r="W766" s="74"/>
      <c r="X766" s="74"/>
      <c r="Y766" s="74"/>
    </row>
    <row r="767" spans="1:25" ht="15.75" thickBot="1" x14ac:dyDescent="0.3">
      <c r="A767" s="82"/>
      <c r="B767" s="82"/>
      <c r="C767" s="87"/>
      <c r="D767" s="87"/>
      <c r="E767" s="82"/>
      <c r="F767" s="82"/>
      <c r="G767" s="82"/>
      <c r="H767" s="82"/>
      <c r="I767" s="82"/>
      <c r="J767" s="82"/>
      <c r="K767" s="82"/>
      <c r="L767" s="74"/>
      <c r="M767" s="74"/>
      <c r="N767" s="74"/>
      <c r="O767" s="74"/>
      <c r="P767" s="74"/>
      <c r="Q767" s="74"/>
      <c r="R767" s="74"/>
      <c r="S767" s="74"/>
      <c r="T767" s="74"/>
      <c r="U767" s="74"/>
      <c r="V767" s="74"/>
      <c r="W767" s="74"/>
      <c r="X767" s="74"/>
      <c r="Y767" s="74"/>
    </row>
    <row r="768" spans="1:25" ht="15.75" thickBot="1" x14ac:dyDescent="0.3">
      <c r="A768" s="83"/>
      <c r="B768" s="83"/>
      <c r="C768" s="88"/>
      <c r="D768" s="88"/>
      <c r="E768" s="83"/>
      <c r="F768" s="83"/>
      <c r="G768" s="83"/>
      <c r="H768" s="83"/>
      <c r="I768" s="83"/>
      <c r="J768" s="83"/>
      <c r="K768" s="83"/>
      <c r="L768" s="74"/>
      <c r="M768" s="74"/>
      <c r="N768" s="74"/>
      <c r="O768" s="74"/>
      <c r="P768" s="74"/>
      <c r="Q768" s="74"/>
      <c r="R768" s="74"/>
      <c r="S768" s="74"/>
      <c r="T768" s="74"/>
      <c r="U768" s="74"/>
      <c r="V768" s="74"/>
      <c r="W768" s="74"/>
      <c r="X768" s="74"/>
      <c r="Y768" s="74"/>
    </row>
    <row r="769" spans="1:25" ht="15.75" thickBot="1" x14ac:dyDescent="0.3">
      <c r="A769" s="82"/>
      <c r="B769" s="82"/>
      <c r="C769" s="87"/>
      <c r="D769" s="87"/>
      <c r="E769" s="82"/>
      <c r="F769" s="82"/>
      <c r="G769" s="82"/>
      <c r="H769" s="82"/>
      <c r="I769" s="82"/>
      <c r="J769" s="82"/>
      <c r="K769" s="82"/>
      <c r="L769" s="74"/>
      <c r="M769" s="74"/>
      <c r="N769" s="74"/>
      <c r="O769" s="74"/>
      <c r="P769" s="74"/>
      <c r="Q769" s="74"/>
      <c r="R769" s="74"/>
      <c r="S769" s="74"/>
      <c r="T769" s="74"/>
      <c r="U769" s="74"/>
      <c r="V769" s="74"/>
      <c r="W769" s="74"/>
      <c r="X769" s="74"/>
      <c r="Y769" s="74"/>
    </row>
    <row r="770" spans="1:25" ht="15.75" thickBot="1" x14ac:dyDescent="0.3">
      <c r="A770" s="83"/>
      <c r="B770" s="83"/>
      <c r="C770" s="88"/>
      <c r="D770" s="88"/>
      <c r="E770" s="83"/>
      <c r="F770" s="83"/>
      <c r="G770" s="83"/>
      <c r="H770" s="83"/>
      <c r="I770" s="83"/>
      <c r="J770" s="83"/>
      <c r="K770" s="83"/>
      <c r="L770" s="74"/>
      <c r="M770" s="74"/>
      <c r="N770" s="74"/>
      <c r="O770" s="74"/>
      <c r="P770" s="74"/>
      <c r="Q770" s="74"/>
      <c r="R770" s="74"/>
      <c r="S770" s="74"/>
      <c r="T770" s="74"/>
      <c r="U770" s="74"/>
      <c r="V770" s="74"/>
      <c r="W770" s="74"/>
      <c r="X770" s="74"/>
      <c r="Y770" s="74"/>
    </row>
    <row r="771" spans="1:25" ht="15.75" thickBot="1" x14ac:dyDescent="0.3">
      <c r="A771" s="82"/>
      <c r="B771" s="82"/>
      <c r="C771" s="87"/>
      <c r="D771" s="87"/>
      <c r="E771" s="82"/>
      <c r="F771" s="82"/>
      <c r="G771" s="82"/>
      <c r="H771" s="82"/>
      <c r="I771" s="82"/>
      <c r="J771" s="82"/>
      <c r="K771" s="82"/>
      <c r="L771" s="74"/>
      <c r="M771" s="74"/>
      <c r="N771" s="74"/>
      <c r="O771" s="74"/>
      <c r="P771" s="74"/>
      <c r="Q771" s="74"/>
      <c r="R771" s="74"/>
      <c r="S771" s="74"/>
      <c r="T771" s="74"/>
      <c r="U771" s="74"/>
      <c r="V771" s="74"/>
      <c r="W771" s="74"/>
      <c r="X771" s="74"/>
      <c r="Y771" s="74"/>
    </row>
    <row r="772" spans="1:25" ht="15.75" thickBot="1" x14ac:dyDescent="0.3">
      <c r="A772" s="83"/>
      <c r="B772" s="83"/>
      <c r="C772" s="88"/>
      <c r="D772" s="88"/>
      <c r="E772" s="83"/>
      <c r="F772" s="83"/>
      <c r="G772" s="83"/>
      <c r="H772" s="83"/>
      <c r="I772" s="83"/>
      <c r="J772" s="83"/>
      <c r="K772" s="83"/>
      <c r="L772" s="74"/>
      <c r="M772" s="74"/>
      <c r="N772" s="74"/>
      <c r="O772" s="74"/>
      <c r="P772" s="74"/>
      <c r="Q772" s="74"/>
      <c r="R772" s="74"/>
      <c r="S772" s="74"/>
      <c r="T772" s="74"/>
      <c r="U772" s="74"/>
      <c r="V772" s="74"/>
      <c r="W772" s="74"/>
      <c r="X772" s="74"/>
      <c r="Y772" s="74"/>
    </row>
    <row r="773" spans="1:25" ht="15.75" thickBot="1" x14ac:dyDescent="0.3">
      <c r="A773" s="82"/>
      <c r="B773" s="82"/>
      <c r="C773" s="87"/>
      <c r="D773" s="87"/>
      <c r="E773" s="82"/>
      <c r="F773" s="82"/>
      <c r="G773" s="82"/>
      <c r="H773" s="82"/>
      <c r="I773" s="82"/>
      <c r="J773" s="82"/>
      <c r="K773" s="82"/>
      <c r="L773" s="74"/>
      <c r="M773" s="74"/>
      <c r="N773" s="74"/>
      <c r="O773" s="74"/>
      <c r="P773" s="74"/>
      <c r="Q773" s="74"/>
      <c r="R773" s="74"/>
      <c r="S773" s="74"/>
      <c r="T773" s="74"/>
      <c r="U773" s="74"/>
      <c r="V773" s="74"/>
      <c r="W773" s="74"/>
      <c r="X773" s="74"/>
      <c r="Y773" s="74"/>
    </row>
    <row r="774" spans="1:25" ht="15.75" thickBot="1" x14ac:dyDescent="0.3">
      <c r="A774" s="83"/>
      <c r="B774" s="83"/>
      <c r="C774" s="88"/>
      <c r="D774" s="88"/>
      <c r="E774" s="83"/>
      <c r="F774" s="83"/>
      <c r="G774" s="83"/>
      <c r="H774" s="83"/>
      <c r="I774" s="83"/>
      <c r="J774" s="83"/>
      <c r="K774" s="83"/>
      <c r="L774" s="74"/>
      <c r="M774" s="74"/>
      <c r="N774" s="74"/>
      <c r="O774" s="74"/>
      <c r="P774" s="74"/>
      <c r="Q774" s="74"/>
      <c r="R774" s="74"/>
      <c r="S774" s="74"/>
      <c r="T774" s="74"/>
      <c r="U774" s="74"/>
      <c r="V774" s="74"/>
      <c r="W774" s="74"/>
      <c r="X774" s="74"/>
      <c r="Y774" s="74"/>
    </row>
    <row r="775" spans="1:25" ht="15.75" thickBot="1" x14ac:dyDescent="0.3">
      <c r="A775" s="82"/>
      <c r="B775" s="82"/>
      <c r="C775" s="87"/>
      <c r="D775" s="87"/>
      <c r="E775" s="82"/>
      <c r="F775" s="82"/>
      <c r="G775" s="82"/>
      <c r="H775" s="82"/>
      <c r="I775" s="82"/>
      <c r="J775" s="82"/>
      <c r="K775" s="82"/>
      <c r="L775" s="74"/>
      <c r="M775" s="74"/>
      <c r="N775" s="74"/>
      <c r="O775" s="74"/>
      <c r="P775" s="74"/>
      <c r="Q775" s="74"/>
      <c r="R775" s="74"/>
      <c r="S775" s="74"/>
      <c r="T775" s="74"/>
      <c r="U775" s="74"/>
      <c r="V775" s="74"/>
      <c r="W775" s="74"/>
      <c r="X775" s="74"/>
      <c r="Y775" s="74"/>
    </row>
    <row r="776" spans="1:25" ht="15.75" thickBot="1" x14ac:dyDescent="0.3">
      <c r="A776" s="83"/>
      <c r="B776" s="83"/>
      <c r="C776" s="88"/>
      <c r="D776" s="88"/>
      <c r="E776" s="83"/>
      <c r="F776" s="83"/>
      <c r="G776" s="83"/>
      <c r="H776" s="83"/>
      <c r="I776" s="83"/>
      <c r="J776" s="83"/>
      <c r="K776" s="83"/>
      <c r="L776" s="74"/>
      <c r="M776" s="74"/>
      <c r="N776" s="74"/>
      <c r="O776" s="74"/>
      <c r="P776" s="74"/>
      <c r="Q776" s="74"/>
      <c r="R776" s="74"/>
      <c r="S776" s="74"/>
      <c r="T776" s="74"/>
      <c r="U776" s="74"/>
      <c r="V776" s="74"/>
      <c r="W776" s="74"/>
      <c r="X776" s="74"/>
      <c r="Y776" s="74"/>
    </row>
    <row r="777" spans="1:25" ht="15.75" thickBot="1" x14ac:dyDescent="0.3">
      <c r="A777" s="82"/>
      <c r="B777" s="82"/>
      <c r="C777" s="87"/>
      <c r="D777" s="87"/>
      <c r="E777" s="82"/>
      <c r="F777" s="82"/>
      <c r="G777" s="82"/>
      <c r="H777" s="82"/>
      <c r="I777" s="82"/>
      <c r="J777" s="82"/>
      <c r="K777" s="82"/>
      <c r="L777" s="74"/>
      <c r="M777" s="74"/>
      <c r="N777" s="74"/>
      <c r="O777" s="74"/>
      <c r="P777" s="74"/>
      <c r="Q777" s="74"/>
      <c r="R777" s="74"/>
      <c r="S777" s="74"/>
      <c r="T777" s="74"/>
      <c r="U777" s="74"/>
      <c r="V777" s="74"/>
      <c r="W777" s="74"/>
      <c r="X777" s="74"/>
      <c r="Y777" s="74"/>
    </row>
    <row r="778" spans="1:25" ht="15.75" thickBot="1" x14ac:dyDescent="0.3">
      <c r="A778" s="83"/>
      <c r="B778" s="83"/>
      <c r="C778" s="88"/>
      <c r="D778" s="88"/>
      <c r="E778" s="83"/>
      <c r="F778" s="83"/>
      <c r="G778" s="83"/>
      <c r="H778" s="83"/>
      <c r="I778" s="83"/>
      <c r="J778" s="83"/>
      <c r="K778" s="83"/>
      <c r="L778" s="74"/>
      <c r="M778" s="74"/>
      <c r="N778" s="74"/>
      <c r="O778" s="74"/>
      <c r="P778" s="74"/>
      <c r="Q778" s="74"/>
      <c r="R778" s="74"/>
      <c r="S778" s="74"/>
      <c r="T778" s="74"/>
      <c r="U778" s="74"/>
      <c r="V778" s="74"/>
      <c r="W778" s="74"/>
      <c r="X778" s="74"/>
      <c r="Y778" s="74"/>
    </row>
    <row r="779" spans="1:25" ht="15.75" thickBot="1" x14ac:dyDescent="0.3">
      <c r="A779" s="82"/>
      <c r="B779" s="82"/>
      <c r="C779" s="87"/>
      <c r="D779" s="87"/>
      <c r="E779" s="82"/>
      <c r="F779" s="82"/>
      <c r="G779" s="82"/>
      <c r="H779" s="82"/>
      <c r="I779" s="82"/>
      <c r="J779" s="82"/>
      <c r="K779" s="82"/>
      <c r="L779" s="74"/>
      <c r="M779" s="74"/>
      <c r="N779" s="74"/>
      <c r="O779" s="74"/>
      <c r="P779" s="74"/>
      <c r="Q779" s="74"/>
      <c r="R779" s="74"/>
      <c r="S779" s="74"/>
      <c r="T779" s="74"/>
      <c r="U779" s="74"/>
      <c r="V779" s="74"/>
      <c r="W779" s="74"/>
      <c r="X779" s="74"/>
      <c r="Y779" s="74"/>
    </row>
    <row r="780" spans="1:25" ht="15.75" thickBot="1" x14ac:dyDescent="0.3">
      <c r="A780" s="83"/>
      <c r="B780" s="83"/>
      <c r="C780" s="88"/>
      <c r="D780" s="88"/>
      <c r="E780" s="83"/>
      <c r="F780" s="83"/>
      <c r="G780" s="83"/>
      <c r="H780" s="83"/>
      <c r="I780" s="83"/>
      <c r="J780" s="83"/>
      <c r="K780" s="83"/>
      <c r="L780" s="74"/>
      <c r="M780" s="74"/>
      <c r="N780" s="74"/>
      <c r="O780" s="74"/>
      <c r="P780" s="74"/>
      <c r="Q780" s="74"/>
      <c r="R780" s="74"/>
      <c r="S780" s="74"/>
      <c r="T780" s="74"/>
      <c r="U780" s="74"/>
      <c r="V780" s="74"/>
      <c r="W780" s="74"/>
      <c r="X780" s="74"/>
      <c r="Y780" s="74"/>
    </row>
    <row r="781" spans="1:25" ht="15.75" thickBot="1" x14ac:dyDescent="0.3">
      <c r="A781" s="82"/>
      <c r="B781" s="82"/>
      <c r="C781" s="87"/>
      <c r="D781" s="87"/>
      <c r="E781" s="82"/>
      <c r="F781" s="82"/>
      <c r="G781" s="82"/>
      <c r="H781" s="82"/>
      <c r="I781" s="82"/>
      <c r="J781" s="82"/>
      <c r="K781" s="82"/>
      <c r="L781" s="74"/>
      <c r="M781" s="74"/>
      <c r="N781" s="74"/>
      <c r="O781" s="74"/>
      <c r="P781" s="74"/>
      <c r="Q781" s="74"/>
      <c r="R781" s="74"/>
      <c r="S781" s="74"/>
      <c r="T781" s="74"/>
      <c r="U781" s="74"/>
      <c r="V781" s="74"/>
      <c r="W781" s="74"/>
      <c r="X781" s="74"/>
      <c r="Y781" s="74"/>
    </row>
    <row r="782" spans="1:25" ht="15.75" thickBot="1" x14ac:dyDescent="0.3">
      <c r="A782" s="83"/>
      <c r="B782" s="83"/>
      <c r="C782" s="88"/>
      <c r="D782" s="88"/>
      <c r="E782" s="83"/>
      <c r="F782" s="83"/>
      <c r="G782" s="83"/>
      <c r="H782" s="83"/>
      <c r="I782" s="83"/>
      <c r="J782" s="83"/>
      <c r="K782" s="83"/>
      <c r="L782" s="74"/>
      <c r="M782" s="74"/>
      <c r="N782" s="74"/>
      <c r="O782" s="74"/>
      <c r="P782" s="74"/>
      <c r="Q782" s="74"/>
      <c r="R782" s="74"/>
      <c r="S782" s="74"/>
      <c r="T782" s="74"/>
      <c r="U782" s="74"/>
      <c r="V782" s="74"/>
      <c r="W782" s="74"/>
      <c r="X782" s="74"/>
      <c r="Y782" s="74"/>
    </row>
    <row r="783" spans="1:25" ht="15.75" thickBot="1" x14ac:dyDescent="0.3">
      <c r="A783" s="82"/>
      <c r="B783" s="82"/>
      <c r="C783" s="87"/>
      <c r="D783" s="87"/>
      <c r="E783" s="82"/>
      <c r="F783" s="82"/>
      <c r="G783" s="82"/>
      <c r="H783" s="82"/>
      <c r="I783" s="82"/>
      <c r="J783" s="82"/>
      <c r="K783" s="82"/>
      <c r="L783" s="74"/>
      <c r="M783" s="74"/>
      <c r="N783" s="74"/>
      <c r="O783" s="74"/>
      <c r="P783" s="74"/>
      <c r="Q783" s="74"/>
      <c r="R783" s="74"/>
      <c r="S783" s="74"/>
      <c r="T783" s="74"/>
      <c r="U783" s="74"/>
      <c r="V783" s="74"/>
      <c r="W783" s="74"/>
      <c r="X783" s="74"/>
      <c r="Y783" s="74"/>
    </row>
    <row r="784" spans="1:25" ht="15.75" thickBot="1" x14ac:dyDescent="0.3">
      <c r="A784" s="83"/>
      <c r="B784" s="83"/>
      <c r="C784" s="88"/>
      <c r="D784" s="88"/>
      <c r="E784" s="83"/>
      <c r="F784" s="83"/>
      <c r="G784" s="83"/>
      <c r="H784" s="83"/>
      <c r="I784" s="83"/>
      <c r="J784" s="83"/>
      <c r="K784" s="83"/>
      <c r="L784" s="74"/>
      <c r="M784" s="74"/>
      <c r="N784" s="74"/>
      <c r="O784" s="74"/>
      <c r="P784" s="74"/>
      <c r="Q784" s="74"/>
      <c r="R784" s="74"/>
      <c r="S784" s="74"/>
      <c r="T784" s="74"/>
      <c r="U784" s="74"/>
      <c r="V784" s="74"/>
      <c r="W784" s="74"/>
      <c r="X784" s="74"/>
      <c r="Y784" s="74"/>
    </row>
    <row r="785" spans="1:25" ht="15.75" thickBot="1" x14ac:dyDescent="0.3">
      <c r="A785" s="82"/>
      <c r="B785" s="82"/>
      <c r="C785" s="87"/>
      <c r="D785" s="87"/>
      <c r="E785" s="82"/>
      <c r="F785" s="82"/>
      <c r="G785" s="82"/>
      <c r="H785" s="82"/>
      <c r="I785" s="82"/>
      <c r="J785" s="82"/>
      <c r="K785" s="82"/>
      <c r="L785" s="74"/>
      <c r="M785" s="74"/>
      <c r="N785" s="74"/>
      <c r="O785" s="74"/>
      <c r="P785" s="74"/>
      <c r="Q785" s="74"/>
      <c r="R785" s="74"/>
      <c r="S785" s="74"/>
      <c r="T785" s="74"/>
      <c r="U785" s="74"/>
      <c r="V785" s="74"/>
      <c r="W785" s="74"/>
      <c r="X785" s="74"/>
      <c r="Y785" s="74"/>
    </row>
    <row r="786" spans="1:25" ht="15.75" thickBot="1" x14ac:dyDescent="0.3">
      <c r="A786" s="83"/>
      <c r="B786" s="83"/>
      <c r="C786" s="88"/>
      <c r="D786" s="88"/>
      <c r="E786" s="83"/>
      <c r="F786" s="83"/>
      <c r="G786" s="83"/>
      <c r="H786" s="83"/>
      <c r="I786" s="83"/>
      <c r="J786" s="83"/>
      <c r="K786" s="83"/>
      <c r="L786" s="74"/>
      <c r="M786" s="74"/>
      <c r="N786" s="74"/>
      <c r="O786" s="74"/>
      <c r="P786" s="74"/>
      <c r="Q786" s="74"/>
      <c r="R786" s="74"/>
      <c r="S786" s="74"/>
      <c r="T786" s="74"/>
      <c r="U786" s="74"/>
      <c r="V786" s="74"/>
      <c r="W786" s="74"/>
      <c r="X786" s="74"/>
      <c r="Y786" s="74"/>
    </row>
    <row r="787" spans="1:25" ht="15.75" thickBot="1" x14ac:dyDescent="0.3">
      <c r="A787" s="82"/>
      <c r="B787" s="82"/>
      <c r="C787" s="87"/>
      <c r="D787" s="87"/>
      <c r="E787" s="82"/>
      <c r="F787" s="82"/>
      <c r="G787" s="82"/>
      <c r="H787" s="82"/>
      <c r="I787" s="82"/>
      <c r="J787" s="82"/>
      <c r="K787" s="82"/>
      <c r="L787" s="74"/>
      <c r="M787" s="74"/>
      <c r="N787" s="74"/>
      <c r="O787" s="74"/>
      <c r="P787" s="74"/>
      <c r="Q787" s="74"/>
      <c r="R787" s="74"/>
      <c r="S787" s="74"/>
      <c r="T787" s="74"/>
      <c r="U787" s="74"/>
      <c r="V787" s="74"/>
      <c r="W787" s="74"/>
      <c r="X787" s="74"/>
      <c r="Y787" s="74"/>
    </row>
    <row r="788" spans="1:25" ht="15.75" thickBot="1" x14ac:dyDescent="0.3">
      <c r="A788" s="83"/>
      <c r="B788" s="83"/>
      <c r="C788" s="88"/>
      <c r="D788" s="88"/>
      <c r="E788" s="83"/>
      <c r="F788" s="83"/>
      <c r="G788" s="83"/>
      <c r="H788" s="83"/>
      <c r="I788" s="83"/>
      <c r="J788" s="83"/>
      <c r="K788" s="83"/>
      <c r="L788" s="74"/>
      <c r="M788" s="74"/>
      <c r="N788" s="74"/>
      <c r="O788" s="74"/>
      <c r="P788" s="74"/>
      <c r="Q788" s="74"/>
      <c r="R788" s="74"/>
      <c r="S788" s="74"/>
      <c r="T788" s="74"/>
      <c r="U788" s="74"/>
      <c r="V788" s="74"/>
      <c r="W788" s="74"/>
      <c r="X788" s="74"/>
      <c r="Y788" s="74"/>
    </row>
    <row r="789" spans="1:25" ht="15.75" thickBot="1" x14ac:dyDescent="0.3">
      <c r="A789" s="82"/>
      <c r="B789" s="82"/>
      <c r="C789" s="87"/>
      <c r="D789" s="87"/>
      <c r="E789" s="82"/>
      <c r="F789" s="82"/>
      <c r="G789" s="82"/>
      <c r="H789" s="82"/>
      <c r="I789" s="82"/>
      <c r="J789" s="82"/>
      <c r="K789" s="82"/>
      <c r="L789" s="74"/>
      <c r="M789" s="74"/>
      <c r="N789" s="74"/>
      <c r="O789" s="74"/>
      <c r="P789" s="74"/>
      <c r="Q789" s="74"/>
      <c r="R789" s="74"/>
      <c r="S789" s="74"/>
      <c r="T789" s="74"/>
      <c r="U789" s="74"/>
      <c r="V789" s="74"/>
      <c r="W789" s="74"/>
      <c r="X789" s="74"/>
      <c r="Y789" s="74"/>
    </row>
    <row r="790" spans="1:25" ht="15.75" thickBot="1" x14ac:dyDescent="0.3">
      <c r="A790" s="83"/>
      <c r="B790" s="83"/>
      <c r="C790" s="88"/>
      <c r="D790" s="88"/>
      <c r="E790" s="83"/>
      <c r="F790" s="83"/>
      <c r="G790" s="83"/>
      <c r="H790" s="83"/>
      <c r="I790" s="83"/>
      <c r="J790" s="83"/>
      <c r="K790" s="83"/>
      <c r="L790" s="74"/>
      <c r="M790" s="74"/>
      <c r="N790" s="74"/>
      <c r="O790" s="74"/>
      <c r="P790" s="74"/>
      <c r="Q790" s="74"/>
      <c r="R790" s="74"/>
      <c r="S790" s="74"/>
      <c r="T790" s="74"/>
      <c r="U790" s="74"/>
      <c r="V790" s="74"/>
      <c r="W790" s="74"/>
      <c r="X790" s="74"/>
      <c r="Y790" s="74"/>
    </row>
    <row r="791" spans="1:25" ht="15.75" thickBot="1" x14ac:dyDescent="0.3">
      <c r="A791" s="82"/>
      <c r="B791" s="82"/>
      <c r="C791" s="87"/>
      <c r="D791" s="87"/>
      <c r="E791" s="82"/>
      <c r="F791" s="82"/>
      <c r="G791" s="82"/>
      <c r="H791" s="82"/>
      <c r="I791" s="82"/>
      <c r="J791" s="82"/>
      <c r="K791" s="82"/>
      <c r="L791" s="74"/>
      <c r="M791" s="74"/>
      <c r="N791" s="74"/>
      <c r="O791" s="74"/>
      <c r="P791" s="74"/>
      <c r="Q791" s="74"/>
      <c r="R791" s="74"/>
      <c r="S791" s="74"/>
      <c r="T791" s="74"/>
      <c r="U791" s="74"/>
      <c r="V791" s="74"/>
      <c r="W791" s="74"/>
      <c r="X791" s="74"/>
      <c r="Y791" s="74"/>
    </row>
    <row r="792" spans="1:25" ht="15.75" thickBot="1" x14ac:dyDescent="0.3">
      <c r="A792" s="83"/>
      <c r="B792" s="83"/>
      <c r="C792" s="88"/>
      <c r="D792" s="88"/>
      <c r="E792" s="83"/>
      <c r="F792" s="83"/>
      <c r="G792" s="83"/>
      <c r="H792" s="83"/>
      <c r="I792" s="83"/>
      <c r="J792" s="83"/>
      <c r="K792" s="83"/>
      <c r="L792" s="74"/>
      <c r="M792" s="74"/>
      <c r="N792" s="74"/>
      <c r="O792" s="74"/>
      <c r="P792" s="74"/>
      <c r="Q792" s="74"/>
      <c r="R792" s="74"/>
      <c r="S792" s="74"/>
      <c r="T792" s="74"/>
      <c r="U792" s="74"/>
      <c r="V792" s="74"/>
      <c r="W792" s="74"/>
      <c r="X792" s="74"/>
      <c r="Y792" s="74"/>
    </row>
    <row r="793" spans="1:25" ht="15.75" thickBot="1" x14ac:dyDescent="0.3">
      <c r="A793" s="82"/>
      <c r="B793" s="82"/>
      <c r="C793" s="87"/>
      <c r="D793" s="87"/>
      <c r="E793" s="82"/>
      <c r="F793" s="82"/>
      <c r="G793" s="82"/>
      <c r="H793" s="82"/>
      <c r="I793" s="82"/>
      <c r="J793" s="82"/>
      <c r="K793" s="82"/>
      <c r="L793" s="74"/>
      <c r="M793" s="74"/>
      <c r="N793" s="74"/>
      <c r="O793" s="74"/>
      <c r="P793" s="74"/>
      <c r="Q793" s="74"/>
      <c r="R793" s="74"/>
      <c r="S793" s="74"/>
      <c r="T793" s="74"/>
      <c r="U793" s="74"/>
      <c r="V793" s="74"/>
      <c r="W793" s="74"/>
      <c r="X793" s="74"/>
      <c r="Y793" s="74"/>
    </row>
    <row r="794" spans="1:25" ht="15.75" thickBot="1" x14ac:dyDescent="0.3">
      <c r="A794" s="83"/>
      <c r="B794" s="83"/>
      <c r="C794" s="88"/>
      <c r="D794" s="88"/>
      <c r="E794" s="83"/>
      <c r="F794" s="83"/>
      <c r="G794" s="83"/>
      <c r="H794" s="83"/>
      <c r="I794" s="83"/>
      <c r="J794" s="83"/>
      <c r="K794" s="83"/>
      <c r="L794" s="74"/>
      <c r="M794" s="74"/>
      <c r="N794" s="74"/>
      <c r="O794" s="74"/>
      <c r="P794" s="74"/>
      <c r="Q794" s="74"/>
      <c r="R794" s="74"/>
      <c r="S794" s="74"/>
      <c r="T794" s="74"/>
      <c r="U794" s="74"/>
      <c r="V794" s="74"/>
      <c r="W794" s="74"/>
      <c r="X794" s="74"/>
      <c r="Y794" s="74"/>
    </row>
    <row r="795" spans="1:25" ht="15.75" thickBot="1" x14ac:dyDescent="0.3">
      <c r="A795" s="82"/>
      <c r="B795" s="82"/>
      <c r="C795" s="87"/>
      <c r="D795" s="87"/>
      <c r="E795" s="82"/>
      <c r="F795" s="82"/>
      <c r="G795" s="82"/>
      <c r="H795" s="82"/>
      <c r="I795" s="82"/>
      <c r="J795" s="82"/>
      <c r="K795" s="82"/>
      <c r="L795" s="74"/>
      <c r="M795" s="74"/>
      <c r="N795" s="74"/>
      <c r="O795" s="74"/>
      <c r="P795" s="74"/>
      <c r="Q795" s="74"/>
      <c r="R795" s="74"/>
      <c r="S795" s="74"/>
      <c r="T795" s="74"/>
      <c r="U795" s="74"/>
      <c r="V795" s="74"/>
      <c r="W795" s="74"/>
      <c r="X795" s="74"/>
      <c r="Y795" s="74"/>
    </row>
    <row r="796" spans="1:25" ht="15.75" thickBot="1" x14ac:dyDescent="0.3">
      <c r="A796" s="83"/>
      <c r="B796" s="83"/>
      <c r="C796" s="88"/>
      <c r="D796" s="88"/>
      <c r="E796" s="83"/>
      <c r="F796" s="83"/>
      <c r="G796" s="83"/>
      <c r="H796" s="83"/>
      <c r="I796" s="83"/>
      <c r="J796" s="83"/>
      <c r="K796" s="83"/>
      <c r="L796" s="74"/>
      <c r="M796" s="74"/>
      <c r="N796" s="74"/>
      <c r="O796" s="74"/>
      <c r="P796" s="74"/>
      <c r="Q796" s="74"/>
      <c r="R796" s="74"/>
      <c r="S796" s="74"/>
      <c r="T796" s="74"/>
      <c r="U796" s="74"/>
      <c r="V796" s="74"/>
      <c r="W796" s="74"/>
      <c r="X796" s="74"/>
      <c r="Y796" s="74"/>
    </row>
    <row r="797" spans="1:25" ht="15.75" thickBot="1" x14ac:dyDescent="0.3">
      <c r="A797" s="82"/>
      <c r="B797" s="82"/>
      <c r="C797" s="87"/>
      <c r="D797" s="87"/>
      <c r="E797" s="82"/>
      <c r="F797" s="82"/>
      <c r="G797" s="82"/>
      <c r="H797" s="82"/>
      <c r="I797" s="82"/>
      <c r="J797" s="82"/>
      <c r="K797" s="82"/>
      <c r="L797" s="74"/>
      <c r="M797" s="74"/>
      <c r="N797" s="74"/>
      <c r="O797" s="74"/>
      <c r="P797" s="74"/>
      <c r="Q797" s="74"/>
      <c r="R797" s="74"/>
      <c r="S797" s="74"/>
      <c r="T797" s="74"/>
      <c r="U797" s="74"/>
      <c r="V797" s="74"/>
      <c r="W797" s="74"/>
      <c r="X797" s="74"/>
      <c r="Y797" s="74"/>
    </row>
    <row r="798" spans="1:25" ht="15.75" thickBot="1" x14ac:dyDescent="0.3">
      <c r="A798" s="83"/>
      <c r="B798" s="83"/>
      <c r="C798" s="88"/>
      <c r="D798" s="88"/>
      <c r="E798" s="83"/>
      <c r="F798" s="83"/>
      <c r="G798" s="83"/>
      <c r="H798" s="83"/>
      <c r="I798" s="83"/>
      <c r="J798" s="83"/>
      <c r="K798" s="83"/>
      <c r="L798" s="74"/>
      <c r="M798" s="74"/>
      <c r="N798" s="74"/>
      <c r="O798" s="74"/>
      <c r="P798" s="74"/>
      <c r="Q798" s="74"/>
      <c r="R798" s="74"/>
      <c r="S798" s="74"/>
      <c r="T798" s="74"/>
      <c r="U798" s="74"/>
      <c r="V798" s="74"/>
      <c r="W798" s="74"/>
      <c r="X798" s="74"/>
      <c r="Y798" s="74"/>
    </row>
    <row r="799" spans="1:25" ht="15.75" thickBot="1" x14ac:dyDescent="0.3">
      <c r="A799" s="82"/>
      <c r="B799" s="82"/>
      <c r="C799" s="87"/>
      <c r="D799" s="87"/>
      <c r="E799" s="82"/>
      <c r="F799" s="82"/>
      <c r="G799" s="82"/>
      <c r="H799" s="82"/>
      <c r="I799" s="82"/>
      <c r="J799" s="82"/>
      <c r="K799" s="82"/>
      <c r="L799" s="74"/>
      <c r="M799" s="74"/>
      <c r="N799" s="74"/>
      <c r="O799" s="74"/>
      <c r="P799" s="74"/>
      <c r="Q799" s="74"/>
      <c r="R799" s="74"/>
      <c r="S799" s="74"/>
      <c r="T799" s="74"/>
      <c r="U799" s="74"/>
      <c r="V799" s="74"/>
      <c r="W799" s="74"/>
      <c r="X799" s="74"/>
      <c r="Y799" s="74"/>
    </row>
    <row r="800" spans="1:25" ht="15.75" thickBot="1" x14ac:dyDescent="0.3">
      <c r="A800" s="83"/>
      <c r="B800" s="83"/>
      <c r="C800" s="88"/>
      <c r="D800" s="88"/>
      <c r="E800" s="83"/>
      <c r="F800" s="83"/>
      <c r="G800" s="83"/>
      <c r="H800" s="83"/>
      <c r="I800" s="83"/>
      <c r="J800" s="83"/>
      <c r="K800" s="83"/>
      <c r="L800" s="74"/>
      <c r="M800" s="74"/>
      <c r="N800" s="74"/>
      <c r="O800" s="74"/>
      <c r="P800" s="74"/>
      <c r="Q800" s="74"/>
      <c r="R800" s="74"/>
      <c r="S800" s="74"/>
      <c r="T800" s="74"/>
      <c r="U800" s="74"/>
      <c r="V800" s="74"/>
      <c r="W800" s="74"/>
      <c r="X800" s="74"/>
      <c r="Y800" s="74"/>
    </row>
    <row r="801" spans="1:25" ht="15.75" thickBot="1" x14ac:dyDescent="0.3">
      <c r="A801" s="82"/>
      <c r="B801" s="82"/>
      <c r="C801" s="87"/>
      <c r="D801" s="87"/>
      <c r="E801" s="82"/>
      <c r="F801" s="82"/>
      <c r="G801" s="82"/>
      <c r="H801" s="82"/>
      <c r="I801" s="82"/>
      <c r="J801" s="82"/>
      <c r="K801" s="82"/>
      <c r="L801" s="74"/>
      <c r="M801" s="74"/>
      <c r="N801" s="74"/>
      <c r="O801" s="74"/>
      <c r="P801" s="74"/>
      <c r="Q801" s="74"/>
      <c r="R801" s="74"/>
      <c r="S801" s="74"/>
      <c r="T801" s="74"/>
      <c r="U801" s="74"/>
      <c r="V801" s="74"/>
      <c r="W801" s="74"/>
      <c r="X801" s="74"/>
      <c r="Y801" s="74"/>
    </row>
    <row r="802" spans="1:25" ht="15.75" thickBot="1" x14ac:dyDescent="0.3">
      <c r="A802" s="83"/>
      <c r="B802" s="83"/>
      <c r="C802" s="88"/>
      <c r="D802" s="88"/>
      <c r="E802" s="83"/>
      <c r="F802" s="83"/>
      <c r="G802" s="83"/>
      <c r="H802" s="83"/>
      <c r="I802" s="83"/>
      <c r="J802" s="83"/>
      <c r="K802" s="83"/>
      <c r="L802" s="74"/>
      <c r="M802" s="74"/>
      <c r="N802" s="74"/>
      <c r="O802" s="74"/>
      <c r="P802" s="74"/>
      <c r="Q802" s="74"/>
      <c r="R802" s="74"/>
      <c r="S802" s="74"/>
      <c r="T802" s="74"/>
      <c r="U802" s="74"/>
      <c r="V802" s="74"/>
      <c r="W802" s="74"/>
      <c r="X802" s="74"/>
      <c r="Y802" s="74"/>
    </row>
    <row r="803" spans="1:25" ht="15.75" thickBot="1" x14ac:dyDescent="0.3">
      <c r="A803" s="82"/>
      <c r="B803" s="82"/>
      <c r="C803" s="87"/>
      <c r="D803" s="87"/>
      <c r="E803" s="82"/>
      <c r="F803" s="82"/>
      <c r="G803" s="82"/>
      <c r="H803" s="82"/>
      <c r="I803" s="82"/>
      <c r="J803" s="82"/>
      <c r="K803" s="82"/>
      <c r="L803" s="74"/>
      <c r="M803" s="74"/>
      <c r="N803" s="74"/>
      <c r="O803" s="74"/>
      <c r="P803" s="74"/>
      <c r="Q803" s="74"/>
      <c r="R803" s="74"/>
      <c r="S803" s="74"/>
      <c r="T803" s="74"/>
      <c r="U803" s="74"/>
      <c r="V803" s="74"/>
      <c r="W803" s="74"/>
      <c r="X803" s="74"/>
      <c r="Y803" s="74"/>
    </row>
    <row r="804" spans="1:25" ht="15.75" thickBot="1" x14ac:dyDescent="0.3">
      <c r="A804" s="83"/>
      <c r="B804" s="83"/>
      <c r="C804" s="88"/>
      <c r="D804" s="88"/>
      <c r="E804" s="83"/>
      <c r="F804" s="83"/>
      <c r="G804" s="83"/>
      <c r="H804" s="83"/>
      <c r="I804" s="83"/>
      <c r="J804" s="83"/>
      <c r="K804" s="83"/>
      <c r="L804" s="74"/>
      <c r="M804" s="74"/>
      <c r="N804" s="74"/>
      <c r="O804" s="74"/>
      <c r="P804" s="74"/>
      <c r="Q804" s="74"/>
      <c r="R804" s="74"/>
      <c r="S804" s="74"/>
      <c r="T804" s="74"/>
      <c r="U804" s="74"/>
      <c r="V804" s="74"/>
      <c r="W804" s="74"/>
      <c r="X804" s="74"/>
      <c r="Y804" s="74"/>
    </row>
    <row r="805" spans="1:25" ht="15.75" thickBot="1" x14ac:dyDescent="0.3">
      <c r="A805" s="82"/>
      <c r="B805" s="82"/>
      <c r="C805" s="87"/>
      <c r="D805" s="87"/>
      <c r="E805" s="82"/>
      <c r="F805" s="82"/>
      <c r="G805" s="82"/>
      <c r="H805" s="82"/>
      <c r="I805" s="82"/>
      <c r="J805" s="82"/>
      <c r="K805" s="82"/>
      <c r="L805" s="74"/>
      <c r="M805" s="74"/>
      <c r="N805" s="74"/>
      <c r="O805" s="74"/>
      <c r="P805" s="74"/>
      <c r="Q805" s="74"/>
      <c r="R805" s="74"/>
      <c r="S805" s="74"/>
      <c r="T805" s="74"/>
      <c r="U805" s="74"/>
      <c r="V805" s="74"/>
      <c r="W805" s="74"/>
      <c r="X805" s="74"/>
      <c r="Y805" s="74"/>
    </row>
    <row r="806" spans="1:25" ht="15.75" thickBot="1" x14ac:dyDescent="0.3">
      <c r="A806" s="83"/>
      <c r="B806" s="83"/>
      <c r="C806" s="88"/>
      <c r="D806" s="88"/>
      <c r="E806" s="83"/>
      <c r="F806" s="83"/>
      <c r="G806" s="83"/>
      <c r="H806" s="83"/>
      <c r="I806" s="83"/>
      <c r="J806" s="83"/>
      <c r="K806" s="83"/>
      <c r="L806" s="74"/>
      <c r="M806" s="74"/>
      <c r="N806" s="74"/>
      <c r="O806" s="74"/>
      <c r="P806" s="74"/>
      <c r="Q806" s="74"/>
      <c r="R806" s="74"/>
      <c r="S806" s="74"/>
      <c r="T806" s="74"/>
      <c r="U806" s="74"/>
      <c r="V806" s="74"/>
      <c r="W806" s="74"/>
      <c r="X806" s="74"/>
      <c r="Y806" s="74"/>
    </row>
    <row r="807" spans="1:25" ht="15.75" thickBot="1" x14ac:dyDescent="0.3">
      <c r="A807" s="82"/>
      <c r="B807" s="82"/>
      <c r="C807" s="87"/>
      <c r="D807" s="87"/>
      <c r="E807" s="82"/>
      <c r="F807" s="82"/>
      <c r="G807" s="82"/>
      <c r="H807" s="82"/>
      <c r="I807" s="82"/>
      <c r="J807" s="82"/>
      <c r="K807" s="82"/>
      <c r="L807" s="74"/>
      <c r="M807" s="74"/>
      <c r="N807" s="74"/>
      <c r="O807" s="74"/>
      <c r="P807" s="74"/>
      <c r="Q807" s="74"/>
      <c r="R807" s="74"/>
      <c r="S807" s="74"/>
      <c r="T807" s="74"/>
      <c r="U807" s="74"/>
      <c r="V807" s="74"/>
      <c r="W807" s="74"/>
      <c r="X807" s="74"/>
      <c r="Y807" s="74"/>
    </row>
    <row r="808" spans="1:25" ht="15.75" thickBot="1" x14ac:dyDescent="0.3">
      <c r="A808" s="83"/>
      <c r="B808" s="83"/>
      <c r="C808" s="88"/>
      <c r="D808" s="88"/>
      <c r="E808" s="83"/>
      <c r="F808" s="83"/>
      <c r="G808" s="83"/>
      <c r="H808" s="83"/>
      <c r="I808" s="83"/>
      <c r="J808" s="83"/>
      <c r="K808" s="83"/>
      <c r="L808" s="74"/>
      <c r="M808" s="74"/>
      <c r="N808" s="74"/>
      <c r="O808" s="74"/>
      <c r="P808" s="74"/>
      <c r="Q808" s="74"/>
      <c r="R808" s="74"/>
      <c r="S808" s="74"/>
      <c r="T808" s="74"/>
      <c r="U808" s="74"/>
      <c r="V808" s="74"/>
      <c r="W808" s="74"/>
      <c r="X808" s="74"/>
      <c r="Y808" s="74"/>
    </row>
    <row r="809" spans="1:25" ht="15.75" thickBot="1" x14ac:dyDescent="0.3">
      <c r="A809" s="82"/>
      <c r="B809" s="82"/>
      <c r="C809" s="87"/>
      <c r="D809" s="87"/>
      <c r="E809" s="82"/>
      <c r="F809" s="82"/>
      <c r="G809" s="82"/>
      <c r="H809" s="82"/>
      <c r="I809" s="82"/>
      <c r="J809" s="82"/>
      <c r="K809" s="82"/>
      <c r="L809" s="74"/>
      <c r="M809" s="74"/>
      <c r="N809" s="74"/>
      <c r="O809" s="74"/>
      <c r="P809" s="74"/>
      <c r="Q809" s="74"/>
      <c r="R809" s="74"/>
      <c r="S809" s="74"/>
      <c r="T809" s="74"/>
      <c r="U809" s="74"/>
      <c r="V809" s="74"/>
      <c r="W809" s="74"/>
      <c r="X809" s="74"/>
      <c r="Y809" s="74"/>
    </row>
    <row r="810" spans="1:25" ht="15.75" thickBot="1" x14ac:dyDescent="0.3">
      <c r="A810" s="83"/>
      <c r="B810" s="83"/>
      <c r="C810" s="88"/>
      <c r="D810" s="88"/>
      <c r="E810" s="83"/>
      <c r="F810" s="83"/>
      <c r="G810" s="83"/>
      <c r="H810" s="83"/>
      <c r="I810" s="83"/>
      <c r="J810" s="83"/>
      <c r="K810" s="83"/>
      <c r="L810" s="74"/>
      <c r="M810" s="74"/>
      <c r="N810" s="74"/>
      <c r="O810" s="74"/>
      <c r="P810" s="74"/>
      <c r="Q810" s="74"/>
      <c r="R810" s="74"/>
      <c r="S810" s="74"/>
      <c r="T810" s="74"/>
      <c r="U810" s="74"/>
      <c r="V810" s="74"/>
      <c r="W810" s="74"/>
      <c r="X810" s="74"/>
      <c r="Y810" s="74"/>
    </row>
    <row r="811" spans="1:25" ht="15.75" thickBot="1" x14ac:dyDescent="0.3">
      <c r="A811" s="82"/>
      <c r="B811" s="82"/>
      <c r="C811" s="87"/>
      <c r="D811" s="87"/>
      <c r="E811" s="82"/>
      <c r="F811" s="82"/>
      <c r="G811" s="82"/>
      <c r="H811" s="82"/>
      <c r="I811" s="82"/>
      <c r="J811" s="82"/>
      <c r="K811" s="82"/>
      <c r="L811" s="74"/>
      <c r="M811" s="74"/>
      <c r="N811" s="74"/>
      <c r="O811" s="74"/>
      <c r="P811" s="74"/>
      <c r="Q811" s="74"/>
      <c r="R811" s="74"/>
      <c r="S811" s="74"/>
      <c r="T811" s="74"/>
      <c r="U811" s="74"/>
      <c r="V811" s="74"/>
      <c r="W811" s="74"/>
      <c r="X811" s="74"/>
      <c r="Y811" s="74"/>
    </row>
    <row r="812" spans="1:25" ht="15.75" thickBot="1" x14ac:dyDescent="0.3">
      <c r="A812" s="83"/>
      <c r="B812" s="83"/>
      <c r="C812" s="88"/>
      <c r="D812" s="88"/>
      <c r="E812" s="83"/>
      <c r="F812" s="83"/>
      <c r="G812" s="83"/>
      <c r="H812" s="83"/>
      <c r="I812" s="83"/>
      <c r="J812" s="83"/>
      <c r="K812" s="83"/>
      <c r="L812" s="74"/>
      <c r="M812" s="74"/>
      <c r="N812" s="74"/>
      <c r="O812" s="74"/>
      <c r="P812" s="74"/>
      <c r="Q812" s="74"/>
      <c r="R812" s="74"/>
      <c r="S812" s="74"/>
      <c r="T812" s="74"/>
      <c r="U812" s="74"/>
      <c r="V812" s="74"/>
      <c r="W812" s="74"/>
      <c r="X812" s="74"/>
      <c r="Y812" s="74"/>
    </row>
    <row r="813" spans="1:25" ht="15.75" thickBot="1" x14ac:dyDescent="0.3">
      <c r="A813" s="82"/>
      <c r="B813" s="82"/>
      <c r="C813" s="87"/>
      <c r="D813" s="87"/>
      <c r="E813" s="82"/>
      <c r="F813" s="82"/>
      <c r="G813" s="82"/>
      <c r="H813" s="82"/>
      <c r="I813" s="82"/>
      <c r="J813" s="82"/>
      <c r="K813" s="82"/>
      <c r="L813" s="74"/>
      <c r="M813" s="74"/>
      <c r="N813" s="74"/>
      <c r="O813" s="74"/>
      <c r="P813" s="74"/>
      <c r="Q813" s="74"/>
      <c r="R813" s="74"/>
      <c r="S813" s="74"/>
      <c r="T813" s="74"/>
      <c r="U813" s="74"/>
      <c r="V813" s="74"/>
      <c r="W813" s="74"/>
      <c r="X813" s="74"/>
      <c r="Y813" s="74"/>
    </row>
    <row r="814" spans="1:25" ht="15.75" thickBot="1" x14ac:dyDescent="0.3">
      <c r="A814" s="83"/>
      <c r="B814" s="83"/>
      <c r="C814" s="88"/>
      <c r="D814" s="88"/>
      <c r="E814" s="83"/>
      <c r="F814" s="83"/>
      <c r="G814" s="83"/>
      <c r="H814" s="83"/>
      <c r="I814" s="83"/>
      <c r="J814" s="83"/>
      <c r="K814" s="83"/>
      <c r="L814" s="74"/>
      <c r="M814" s="74"/>
      <c r="N814" s="74"/>
      <c r="O814" s="74"/>
      <c r="P814" s="74"/>
      <c r="Q814" s="74"/>
      <c r="R814" s="74"/>
      <c r="S814" s="74"/>
      <c r="T814" s="74"/>
      <c r="U814" s="74"/>
      <c r="V814" s="74"/>
      <c r="W814" s="74"/>
      <c r="X814" s="74"/>
      <c r="Y814" s="74"/>
    </row>
    <row r="815" spans="1:25" ht="15.75" thickBot="1" x14ac:dyDescent="0.3">
      <c r="A815" s="82"/>
      <c r="B815" s="82"/>
      <c r="C815" s="87"/>
      <c r="D815" s="87"/>
      <c r="E815" s="82"/>
      <c r="F815" s="82"/>
      <c r="G815" s="82"/>
      <c r="H815" s="82"/>
      <c r="I815" s="82"/>
      <c r="J815" s="82"/>
      <c r="K815" s="82"/>
      <c r="L815" s="74"/>
      <c r="M815" s="74"/>
      <c r="N815" s="74"/>
      <c r="O815" s="74"/>
      <c r="P815" s="74"/>
      <c r="Q815" s="74"/>
      <c r="R815" s="74"/>
      <c r="S815" s="74"/>
      <c r="T815" s="74"/>
      <c r="U815" s="74"/>
      <c r="V815" s="74"/>
      <c r="W815" s="74"/>
      <c r="X815" s="74"/>
      <c r="Y815" s="74"/>
    </row>
    <row r="816" spans="1:25" ht="15.75" thickBot="1" x14ac:dyDescent="0.3">
      <c r="A816" s="83"/>
      <c r="B816" s="83"/>
      <c r="C816" s="88"/>
      <c r="D816" s="88"/>
      <c r="E816" s="83"/>
      <c r="F816" s="83"/>
      <c r="G816" s="83"/>
      <c r="H816" s="83"/>
      <c r="I816" s="83"/>
      <c r="J816" s="83"/>
      <c r="K816" s="83"/>
      <c r="L816" s="74"/>
      <c r="M816" s="74"/>
      <c r="N816" s="74"/>
      <c r="O816" s="74"/>
      <c r="P816" s="74"/>
      <c r="Q816" s="74"/>
      <c r="R816" s="74"/>
      <c r="S816" s="74"/>
      <c r="T816" s="74"/>
      <c r="U816" s="74"/>
      <c r="V816" s="74"/>
      <c r="W816" s="74"/>
      <c r="X816" s="74"/>
      <c r="Y816" s="74"/>
    </row>
    <row r="817" spans="1:25" ht="15.75" thickBot="1" x14ac:dyDescent="0.3">
      <c r="A817" s="82"/>
      <c r="B817" s="82"/>
      <c r="C817" s="87"/>
      <c r="D817" s="87"/>
      <c r="E817" s="82"/>
      <c r="F817" s="82"/>
      <c r="G817" s="82"/>
      <c r="H817" s="82"/>
      <c r="I817" s="82"/>
      <c r="J817" s="82"/>
      <c r="K817" s="82"/>
      <c r="L817" s="74"/>
      <c r="M817" s="74"/>
      <c r="N817" s="74"/>
      <c r="O817" s="74"/>
      <c r="P817" s="74"/>
      <c r="Q817" s="74"/>
      <c r="R817" s="74"/>
      <c r="S817" s="74"/>
      <c r="T817" s="74"/>
      <c r="U817" s="74"/>
      <c r="V817" s="74"/>
      <c r="W817" s="74"/>
      <c r="X817" s="74"/>
      <c r="Y817" s="74"/>
    </row>
    <row r="818" spans="1:25" ht="15.75" thickBot="1" x14ac:dyDescent="0.3">
      <c r="A818" s="83"/>
      <c r="B818" s="83"/>
      <c r="C818" s="88"/>
      <c r="D818" s="88"/>
      <c r="E818" s="83"/>
      <c r="F818" s="83"/>
      <c r="G818" s="83"/>
      <c r="H818" s="83"/>
      <c r="I818" s="83"/>
      <c r="J818" s="83"/>
      <c r="K818" s="83"/>
      <c r="L818" s="74"/>
      <c r="M818" s="74"/>
      <c r="N818" s="74"/>
      <c r="O818" s="74"/>
      <c r="P818" s="74"/>
      <c r="Q818" s="74"/>
      <c r="R818" s="74"/>
      <c r="S818" s="74"/>
      <c r="T818" s="74"/>
      <c r="U818" s="74"/>
      <c r="V818" s="74"/>
      <c r="W818" s="74"/>
      <c r="X818" s="74"/>
      <c r="Y818" s="74"/>
    </row>
    <row r="819" spans="1:25" ht="15.75" thickBot="1" x14ac:dyDescent="0.3">
      <c r="A819" s="82"/>
      <c r="B819" s="82"/>
      <c r="C819" s="87"/>
      <c r="D819" s="87"/>
      <c r="E819" s="82"/>
      <c r="F819" s="82"/>
      <c r="G819" s="82"/>
      <c r="H819" s="82"/>
      <c r="I819" s="82"/>
      <c r="J819" s="82"/>
      <c r="K819" s="82"/>
      <c r="L819" s="74"/>
      <c r="M819" s="74"/>
      <c r="N819" s="74"/>
      <c r="O819" s="74"/>
      <c r="P819" s="74"/>
      <c r="Q819" s="74"/>
      <c r="R819" s="74"/>
      <c r="S819" s="74"/>
      <c r="T819" s="74"/>
      <c r="U819" s="74"/>
      <c r="V819" s="74"/>
      <c r="W819" s="74"/>
      <c r="X819" s="74"/>
      <c r="Y819" s="74"/>
    </row>
    <row r="820" spans="1:25" ht="15.75" thickBot="1" x14ac:dyDescent="0.3">
      <c r="A820" s="83"/>
      <c r="B820" s="83"/>
      <c r="C820" s="88"/>
      <c r="D820" s="88"/>
      <c r="E820" s="83"/>
      <c r="F820" s="83"/>
      <c r="G820" s="83"/>
      <c r="H820" s="83"/>
      <c r="I820" s="83"/>
      <c r="J820" s="83"/>
      <c r="K820" s="83"/>
      <c r="L820" s="74"/>
      <c r="M820" s="74"/>
      <c r="N820" s="74"/>
      <c r="O820" s="74"/>
      <c r="P820" s="74"/>
      <c r="Q820" s="74"/>
      <c r="R820" s="74"/>
      <c r="S820" s="74"/>
      <c r="T820" s="74"/>
      <c r="U820" s="74"/>
      <c r="V820" s="74"/>
      <c r="W820" s="74"/>
      <c r="X820" s="74"/>
      <c r="Y820" s="74"/>
    </row>
    <row r="821" spans="1:25" ht="15.75" thickBot="1" x14ac:dyDescent="0.3">
      <c r="A821" s="82"/>
      <c r="B821" s="82"/>
      <c r="C821" s="87"/>
      <c r="D821" s="87"/>
      <c r="E821" s="82"/>
      <c r="F821" s="82"/>
      <c r="G821" s="82"/>
      <c r="H821" s="82"/>
      <c r="I821" s="82"/>
      <c r="J821" s="82"/>
      <c r="K821" s="82"/>
      <c r="L821" s="74"/>
      <c r="M821" s="74"/>
      <c r="N821" s="74"/>
      <c r="O821" s="74"/>
      <c r="P821" s="74"/>
      <c r="Q821" s="74"/>
      <c r="R821" s="74"/>
      <c r="S821" s="74"/>
      <c r="T821" s="74"/>
      <c r="U821" s="74"/>
      <c r="V821" s="74"/>
      <c r="W821" s="74"/>
      <c r="X821" s="74"/>
      <c r="Y821" s="74"/>
    </row>
    <row r="822" spans="1:25" ht="15.75" thickBot="1" x14ac:dyDescent="0.3">
      <c r="A822" s="83"/>
      <c r="B822" s="83"/>
      <c r="C822" s="88"/>
      <c r="D822" s="88"/>
      <c r="E822" s="83"/>
      <c r="F822" s="83"/>
      <c r="G822" s="83"/>
      <c r="H822" s="83"/>
      <c r="I822" s="83"/>
      <c r="J822" s="83"/>
      <c r="K822" s="83"/>
      <c r="L822" s="74"/>
      <c r="M822" s="74"/>
      <c r="N822" s="74"/>
      <c r="O822" s="74"/>
      <c r="P822" s="74"/>
      <c r="Q822" s="74"/>
      <c r="R822" s="74"/>
      <c r="S822" s="74"/>
      <c r="T822" s="74"/>
      <c r="U822" s="74"/>
      <c r="V822" s="74"/>
      <c r="W822" s="74"/>
      <c r="X822" s="74"/>
      <c r="Y822" s="74"/>
    </row>
    <row r="823" spans="1:25" ht="15.75" thickBot="1" x14ac:dyDescent="0.3">
      <c r="A823" s="82"/>
      <c r="B823" s="82"/>
      <c r="C823" s="87"/>
      <c r="D823" s="87"/>
      <c r="E823" s="82"/>
      <c r="F823" s="82"/>
      <c r="G823" s="82"/>
      <c r="H823" s="82"/>
      <c r="I823" s="82"/>
      <c r="J823" s="82"/>
      <c r="K823" s="82"/>
      <c r="L823" s="74"/>
      <c r="M823" s="74"/>
      <c r="N823" s="74"/>
      <c r="O823" s="74"/>
      <c r="P823" s="74"/>
      <c r="Q823" s="74"/>
      <c r="R823" s="74"/>
      <c r="S823" s="74"/>
      <c r="T823" s="74"/>
      <c r="U823" s="74"/>
      <c r="V823" s="74"/>
      <c r="W823" s="74"/>
      <c r="X823" s="74"/>
      <c r="Y823" s="74"/>
    </row>
    <row r="824" spans="1:25" ht="15.75" thickBot="1" x14ac:dyDescent="0.3">
      <c r="A824" s="83"/>
      <c r="B824" s="83"/>
      <c r="C824" s="88"/>
      <c r="D824" s="88"/>
      <c r="E824" s="83"/>
      <c r="F824" s="83"/>
      <c r="G824" s="83"/>
      <c r="H824" s="83"/>
      <c r="I824" s="83"/>
      <c r="J824" s="83"/>
      <c r="K824" s="83"/>
      <c r="L824" s="74"/>
      <c r="M824" s="74"/>
      <c r="N824" s="74"/>
      <c r="O824" s="74"/>
      <c r="P824" s="74"/>
      <c r="Q824" s="74"/>
      <c r="R824" s="74"/>
      <c r="S824" s="74"/>
      <c r="T824" s="74"/>
      <c r="U824" s="74"/>
      <c r="V824" s="74"/>
      <c r="W824" s="74"/>
      <c r="X824" s="74"/>
      <c r="Y824" s="74"/>
    </row>
    <row r="825" spans="1:25" ht="15.75" thickBot="1" x14ac:dyDescent="0.3">
      <c r="A825" s="82"/>
      <c r="B825" s="82"/>
      <c r="C825" s="87"/>
      <c r="D825" s="87"/>
      <c r="E825" s="82"/>
      <c r="F825" s="82"/>
      <c r="G825" s="82"/>
      <c r="H825" s="82"/>
      <c r="I825" s="82"/>
      <c r="J825" s="82"/>
      <c r="K825" s="82"/>
      <c r="L825" s="74"/>
      <c r="M825" s="74"/>
      <c r="N825" s="74"/>
      <c r="O825" s="74"/>
      <c r="P825" s="74"/>
      <c r="Q825" s="74"/>
      <c r="R825" s="74"/>
      <c r="S825" s="74"/>
      <c r="T825" s="74"/>
      <c r="U825" s="74"/>
      <c r="V825" s="74"/>
      <c r="W825" s="74"/>
      <c r="X825" s="74"/>
      <c r="Y825" s="74"/>
    </row>
    <row r="826" spans="1:25" ht="15.75" thickBot="1" x14ac:dyDescent="0.3">
      <c r="A826" s="83"/>
      <c r="B826" s="83"/>
      <c r="C826" s="88"/>
      <c r="D826" s="88"/>
      <c r="E826" s="83"/>
      <c r="F826" s="83"/>
      <c r="G826" s="83"/>
      <c r="H826" s="83"/>
      <c r="I826" s="83"/>
      <c r="J826" s="83"/>
      <c r="K826" s="83"/>
      <c r="L826" s="74"/>
      <c r="M826" s="74"/>
      <c r="N826" s="74"/>
      <c r="O826" s="74"/>
      <c r="P826" s="74"/>
      <c r="Q826" s="74"/>
      <c r="R826" s="74"/>
      <c r="S826" s="74"/>
      <c r="T826" s="74"/>
      <c r="U826" s="74"/>
      <c r="V826" s="74"/>
      <c r="W826" s="74"/>
      <c r="X826" s="74"/>
      <c r="Y826" s="74"/>
    </row>
    <row r="827" spans="1:25" ht="15.75" thickBot="1" x14ac:dyDescent="0.3">
      <c r="A827" s="82"/>
      <c r="B827" s="82"/>
      <c r="C827" s="87"/>
      <c r="D827" s="87"/>
      <c r="E827" s="82"/>
      <c r="F827" s="82"/>
      <c r="G827" s="82"/>
      <c r="H827" s="82"/>
      <c r="I827" s="82"/>
      <c r="J827" s="82"/>
      <c r="K827" s="82"/>
      <c r="L827" s="74"/>
      <c r="M827" s="74"/>
      <c r="N827" s="74"/>
      <c r="O827" s="74"/>
      <c r="P827" s="74"/>
      <c r="Q827" s="74"/>
      <c r="R827" s="74"/>
      <c r="S827" s="74"/>
      <c r="T827" s="74"/>
      <c r="U827" s="74"/>
      <c r="V827" s="74"/>
      <c r="W827" s="74"/>
      <c r="X827" s="74"/>
      <c r="Y827" s="74"/>
    </row>
    <row r="828" spans="1:25" ht="15.75" thickBot="1" x14ac:dyDescent="0.3">
      <c r="A828" s="83"/>
      <c r="B828" s="83"/>
      <c r="C828" s="88"/>
      <c r="D828" s="88"/>
      <c r="E828" s="83"/>
      <c r="F828" s="83"/>
      <c r="G828" s="83"/>
      <c r="H828" s="83"/>
      <c r="I828" s="83"/>
      <c r="J828" s="83"/>
      <c r="K828" s="83"/>
      <c r="L828" s="74"/>
      <c r="M828" s="74"/>
      <c r="N828" s="74"/>
      <c r="O828" s="74"/>
      <c r="P828" s="74"/>
      <c r="Q828" s="74"/>
      <c r="R828" s="74"/>
      <c r="S828" s="74"/>
      <c r="T828" s="74"/>
      <c r="U828" s="74"/>
      <c r="V828" s="74"/>
      <c r="W828" s="74"/>
      <c r="X828" s="74"/>
      <c r="Y828" s="74"/>
    </row>
    <row r="829" spans="1:25" ht="15.75" thickBot="1" x14ac:dyDescent="0.3">
      <c r="A829" s="82"/>
      <c r="B829" s="82"/>
      <c r="C829" s="87"/>
      <c r="D829" s="87"/>
      <c r="E829" s="82"/>
      <c r="F829" s="82"/>
      <c r="G829" s="82"/>
      <c r="H829" s="82"/>
      <c r="I829" s="82"/>
      <c r="J829" s="82"/>
      <c r="K829" s="82"/>
      <c r="L829" s="74"/>
      <c r="M829" s="74"/>
      <c r="N829" s="74"/>
      <c r="O829" s="74"/>
      <c r="P829" s="74"/>
      <c r="Q829" s="74"/>
      <c r="R829" s="74"/>
      <c r="S829" s="74"/>
      <c r="T829" s="74"/>
      <c r="U829" s="74"/>
      <c r="V829" s="74"/>
      <c r="W829" s="74"/>
      <c r="X829" s="74"/>
      <c r="Y829" s="74"/>
    </row>
    <row r="830" spans="1:25" ht="15.75" thickBot="1" x14ac:dyDescent="0.3">
      <c r="A830" s="83"/>
      <c r="B830" s="83"/>
      <c r="C830" s="88"/>
      <c r="D830" s="88"/>
      <c r="E830" s="83"/>
      <c r="F830" s="83"/>
      <c r="G830" s="83"/>
      <c r="H830" s="83"/>
      <c r="I830" s="83"/>
      <c r="J830" s="83"/>
      <c r="K830" s="83"/>
      <c r="L830" s="74"/>
      <c r="M830" s="74"/>
      <c r="N830" s="74"/>
      <c r="O830" s="74"/>
      <c r="P830" s="74"/>
      <c r="Q830" s="74"/>
      <c r="R830" s="74"/>
      <c r="S830" s="74"/>
      <c r="T830" s="74"/>
      <c r="U830" s="74"/>
      <c r="V830" s="74"/>
      <c r="W830" s="74"/>
      <c r="X830" s="74"/>
      <c r="Y830" s="74"/>
    </row>
    <row r="831" spans="1:25" ht="15.75" thickBot="1" x14ac:dyDescent="0.3">
      <c r="A831" s="82"/>
      <c r="B831" s="82"/>
      <c r="C831" s="87"/>
      <c r="D831" s="87"/>
      <c r="E831" s="82"/>
      <c r="F831" s="82"/>
      <c r="G831" s="82"/>
      <c r="H831" s="82"/>
      <c r="I831" s="82"/>
      <c r="J831" s="82"/>
      <c r="K831" s="82"/>
      <c r="L831" s="74"/>
      <c r="M831" s="74"/>
      <c r="N831" s="74"/>
      <c r="O831" s="74"/>
      <c r="P831" s="74"/>
      <c r="Q831" s="74"/>
      <c r="R831" s="74"/>
      <c r="S831" s="74"/>
      <c r="T831" s="74"/>
      <c r="U831" s="74"/>
      <c r="V831" s="74"/>
      <c r="W831" s="74"/>
      <c r="X831" s="74"/>
      <c r="Y831" s="74"/>
    </row>
    <row r="832" spans="1:25" ht="15.75" thickBot="1" x14ac:dyDescent="0.3">
      <c r="A832" s="83"/>
      <c r="B832" s="83"/>
      <c r="C832" s="88"/>
      <c r="D832" s="88"/>
      <c r="E832" s="83"/>
      <c r="F832" s="83"/>
      <c r="G832" s="83"/>
      <c r="H832" s="83"/>
      <c r="I832" s="83"/>
      <c r="J832" s="83"/>
      <c r="K832" s="83"/>
      <c r="L832" s="74"/>
      <c r="M832" s="74"/>
      <c r="N832" s="74"/>
      <c r="O832" s="74"/>
      <c r="P832" s="74"/>
      <c r="Q832" s="74"/>
      <c r="R832" s="74"/>
      <c r="S832" s="74"/>
      <c r="T832" s="74"/>
      <c r="U832" s="74"/>
      <c r="V832" s="74"/>
      <c r="W832" s="74"/>
      <c r="X832" s="74"/>
      <c r="Y832" s="74"/>
    </row>
    <row r="833" spans="1:25" ht="15.75" thickBot="1" x14ac:dyDescent="0.3">
      <c r="A833" s="82"/>
      <c r="B833" s="82"/>
      <c r="C833" s="87"/>
      <c r="D833" s="87"/>
      <c r="E833" s="82"/>
      <c r="F833" s="82"/>
      <c r="G833" s="82"/>
      <c r="H833" s="82"/>
      <c r="I833" s="82"/>
      <c r="J833" s="82"/>
      <c r="K833" s="82"/>
      <c r="L833" s="74"/>
      <c r="M833" s="74"/>
      <c r="N833" s="74"/>
      <c r="O833" s="74"/>
      <c r="P833" s="74"/>
      <c r="Q833" s="74"/>
      <c r="R833" s="74"/>
      <c r="S833" s="74"/>
      <c r="T833" s="74"/>
      <c r="U833" s="74"/>
      <c r="V833" s="74"/>
      <c r="W833" s="74"/>
      <c r="X833" s="74"/>
      <c r="Y833" s="74"/>
    </row>
    <row r="834" spans="1:25" ht="15.75" thickBot="1" x14ac:dyDescent="0.3">
      <c r="A834" s="83"/>
      <c r="B834" s="83"/>
      <c r="C834" s="88"/>
      <c r="D834" s="88"/>
      <c r="E834" s="83"/>
      <c r="F834" s="83"/>
      <c r="G834" s="83"/>
      <c r="H834" s="83"/>
      <c r="I834" s="83"/>
      <c r="J834" s="83"/>
      <c r="K834" s="83"/>
      <c r="L834" s="74"/>
      <c r="M834" s="74"/>
      <c r="N834" s="74"/>
      <c r="O834" s="74"/>
      <c r="P834" s="74"/>
      <c r="Q834" s="74"/>
      <c r="R834" s="74"/>
      <c r="S834" s="74"/>
      <c r="T834" s="74"/>
      <c r="U834" s="74"/>
      <c r="V834" s="74"/>
      <c r="W834" s="74"/>
      <c r="X834" s="74"/>
      <c r="Y834" s="74"/>
    </row>
    <row r="835" spans="1:25" ht="15.75" thickBot="1" x14ac:dyDescent="0.3">
      <c r="A835" s="82"/>
      <c r="B835" s="82"/>
      <c r="C835" s="87"/>
      <c r="D835" s="87"/>
      <c r="E835" s="82"/>
      <c r="F835" s="82"/>
      <c r="G835" s="82"/>
      <c r="H835" s="82"/>
      <c r="I835" s="82"/>
      <c r="J835" s="82"/>
      <c r="K835" s="82"/>
      <c r="L835" s="74"/>
      <c r="M835" s="74"/>
      <c r="N835" s="74"/>
      <c r="O835" s="74"/>
      <c r="P835" s="74"/>
      <c r="Q835" s="74"/>
      <c r="R835" s="74"/>
      <c r="S835" s="74"/>
      <c r="T835" s="74"/>
      <c r="U835" s="74"/>
      <c r="V835" s="74"/>
      <c r="W835" s="74"/>
      <c r="X835" s="74"/>
      <c r="Y835" s="74"/>
    </row>
    <row r="836" spans="1:25" ht="15.75" thickBot="1" x14ac:dyDescent="0.3">
      <c r="A836" s="83"/>
      <c r="B836" s="83"/>
      <c r="C836" s="88"/>
      <c r="D836" s="88"/>
      <c r="E836" s="83"/>
      <c r="F836" s="83"/>
      <c r="G836" s="83"/>
      <c r="H836" s="83"/>
      <c r="I836" s="83"/>
      <c r="J836" s="83"/>
      <c r="K836" s="83"/>
      <c r="L836" s="74"/>
      <c r="M836" s="74"/>
      <c r="N836" s="74"/>
      <c r="O836" s="74"/>
      <c r="P836" s="74"/>
      <c r="Q836" s="74"/>
      <c r="R836" s="74"/>
      <c r="S836" s="74"/>
      <c r="T836" s="74"/>
      <c r="U836" s="74"/>
      <c r="V836" s="74"/>
      <c r="W836" s="74"/>
      <c r="X836" s="74"/>
      <c r="Y836" s="74"/>
    </row>
    <row r="837" spans="1:25" ht="15.75" thickBot="1" x14ac:dyDescent="0.3">
      <c r="A837" s="82"/>
      <c r="B837" s="82"/>
      <c r="C837" s="87"/>
      <c r="D837" s="87"/>
      <c r="E837" s="82"/>
      <c r="F837" s="82"/>
      <c r="G837" s="82"/>
      <c r="H837" s="82"/>
      <c r="I837" s="82"/>
      <c r="J837" s="82"/>
      <c r="K837" s="82"/>
      <c r="L837" s="74"/>
      <c r="M837" s="74"/>
      <c r="N837" s="74"/>
      <c r="O837" s="74"/>
      <c r="P837" s="74"/>
      <c r="Q837" s="74"/>
      <c r="R837" s="74"/>
      <c r="S837" s="74"/>
      <c r="T837" s="74"/>
      <c r="U837" s="74"/>
      <c r="V837" s="74"/>
      <c r="W837" s="74"/>
      <c r="X837" s="74"/>
      <c r="Y837" s="74"/>
    </row>
    <row r="838" spans="1:25" ht="15.75" thickBot="1" x14ac:dyDescent="0.3">
      <c r="A838" s="83"/>
      <c r="B838" s="83"/>
      <c r="C838" s="88"/>
      <c r="D838" s="88"/>
      <c r="E838" s="83"/>
      <c r="F838" s="83"/>
      <c r="G838" s="83"/>
      <c r="H838" s="83"/>
      <c r="I838" s="83"/>
      <c r="J838" s="83"/>
      <c r="K838" s="83"/>
      <c r="L838" s="74"/>
      <c r="M838" s="74"/>
      <c r="N838" s="74"/>
      <c r="O838" s="74"/>
      <c r="P838" s="74"/>
      <c r="Q838" s="74"/>
      <c r="R838" s="74"/>
      <c r="S838" s="74"/>
      <c r="T838" s="74"/>
      <c r="U838" s="74"/>
      <c r="V838" s="74"/>
      <c r="W838" s="74"/>
      <c r="X838" s="74"/>
      <c r="Y838" s="74"/>
    </row>
    <row r="839" spans="1:25" ht="15.75" thickBot="1" x14ac:dyDescent="0.3">
      <c r="A839" s="82"/>
      <c r="B839" s="82"/>
      <c r="C839" s="87"/>
      <c r="D839" s="87"/>
      <c r="E839" s="82"/>
      <c r="F839" s="82"/>
      <c r="G839" s="82"/>
      <c r="H839" s="82"/>
      <c r="I839" s="82"/>
      <c r="J839" s="82"/>
      <c r="K839" s="82"/>
      <c r="L839" s="74"/>
      <c r="M839" s="74"/>
      <c r="N839" s="74"/>
      <c r="O839" s="74"/>
      <c r="P839" s="74"/>
      <c r="Q839" s="74"/>
      <c r="R839" s="74"/>
      <c r="S839" s="74"/>
      <c r="T839" s="74"/>
      <c r="U839" s="74"/>
      <c r="V839" s="74"/>
      <c r="W839" s="74"/>
      <c r="X839" s="74"/>
      <c r="Y839" s="74"/>
    </row>
    <row r="840" spans="1:25" ht="15.75" thickBot="1" x14ac:dyDescent="0.3">
      <c r="A840" s="83"/>
      <c r="B840" s="83"/>
      <c r="C840" s="88"/>
      <c r="D840" s="88"/>
      <c r="E840" s="83"/>
      <c r="F840" s="83"/>
      <c r="G840" s="83"/>
      <c r="H840" s="83"/>
      <c r="I840" s="83"/>
      <c r="J840" s="83"/>
      <c r="K840" s="83"/>
      <c r="L840" s="74"/>
      <c r="M840" s="74"/>
      <c r="N840" s="74"/>
      <c r="O840" s="74"/>
      <c r="P840" s="74"/>
      <c r="Q840" s="74"/>
      <c r="R840" s="74"/>
      <c r="S840" s="74"/>
      <c r="T840" s="74"/>
      <c r="U840" s="74"/>
      <c r="V840" s="74"/>
      <c r="W840" s="74"/>
      <c r="X840" s="74"/>
      <c r="Y840" s="74"/>
    </row>
    <row r="841" spans="1:25" ht="15.75" thickBot="1" x14ac:dyDescent="0.3">
      <c r="A841" s="82"/>
      <c r="B841" s="82"/>
      <c r="C841" s="87"/>
      <c r="D841" s="87"/>
      <c r="E841" s="82"/>
      <c r="F841" s="82"/>
      <c r="G841" s="82"/>
      <c r="H841" s="82"/>
      <c r="I841" s="82"/>
      <c r="J841" s="82"/>
      <c r="K841" s="82"/>
      <c r="L841" s="74"/>
      <c r="M841" s="74"/>
      <c r="N841" s="74"/>
      <c r="O841" s="74"/>
      <c r="P841" s="74"/>
      <c r="Q841" s="74"/>
      <c r="R841" s="74"/>
      <c r="S841" s="74"/>
      <c r="T841" s="74"/>
      <c r="U841" s="74"/>
      <c r="V841" s="74"/>
      <c r="W841" s="74"/>
      <c r="X841" s="74"/>
      <c r="Y841" s="74"/>
    </row>
    <row r="842" spans="1:25" ht="15.75" thickBot="1" x14ac:dyDescent="0.3">
      <c r="A842" s="83"/>
      <c r="B842" s="83"/>
      <c r="C842" s="88"/>
      <c r="D842" s="88"/>
      <c r="E842" s="83"/>
      <c r="F842" s="83"/>
      <c r="G842" s="83"/>
      <c r="H842" s="83"/>
      <c r="I842" s="83"/>
      <c r="J842" s="83"/>
      <c r="K842" s="83"/>
      <c r="L842" s="74"/>
      <c r="M842" s="74"/>
      <c r="N842" s="74"/>
      <c r="O842" s="74"/>
      <c r="P842" s="74"/>
      <c r="Q842" s="74"/>
      <c r="R842" s="74"/>
      <c r="S842" s="74"/>
      <c r="T842" s="74"/>
      <c r="U842" s="74"/>
      <c r="V842" s="74"/>
      <c r="W842" s="74"/>
      <c r="X842" s="74"/>
      <c r="Y842" s="74"/>
    </row>
    <row r="843" spans="1:25" ht="15.75" thickBot="1" x14ac:dyDescent="0.3">
      <c r="A843" s="82"/>
      <c r="B843" s="82"/>
      <c r="C843" s="87"/>
      <c r="D843" s="87"/>
      <c r="E843" s="82"/>
      <c r="F843" s="82"/>
      <c r="G843" s="82"/>
      <c r="H843" s="82"/>
      <c r="I843" s="82"/>
      <c r="J843" s="82"/>
      <c r="K843" s="82"/>
      <c r="L843" s="74"/>
      <c r="M843" s="74"/>
      <c r="N843" s="74"/>
      <c r="O843" s="74"/>
      <c r="P843" s="74"/>
      <c r="Q843" s="74"/>
      <c r="R843" s="74"/>
      <c r="S843" s="74"/>
      <c r="T843" s="74"/>
      <c r="U843" s="74"/>
      <c r="V843" s="74"/>
      <c r="W843" s="74"/>
      <c r="X843" s="74"/>
      <c r="Y843" s="74"/>
    </row>
    <row r="844" spans="1:25" ht="15.75" thickBot="1" x14ac:dyDescent="0.3">
      <c r="A844" s="83"/>
      <c r="B844" s="83"/>
      <c r="C844" s="88"/>
      <c r="D844" s="88"/>
      <c r="E844" s="83"/>
      <c r="F844" s="83"/>
      <c r="G844" s="83"/>
      <c r="H844" s="83"/>
      <c r="I844" s="83"/>
      <c r="J844" s="83"/>
      <c r="K844" s="83"/>
      <c r="L844" s="74"/>
      <c r="M844" s="74"/>
      <c r="N844" s="74"/>
      <c r="O844" s="74"/>
      <c r="P844" s="74"/>
      <c r="Q844" s="74"/>
      <c r="R844" s="74"/>
      <c r="S844" s="74"/>
      <c r="T844" s="74"/>
      <c r="U844" s="74"/>
      <c r="V844" s="74"/>
      <c r="W844" s="74"/>
      <c r="X844" s="74"/>
      <c r="Y844" s="74"/>
    </row>
    <row r="845" spans="1:25" ht="15.75" thickBot="1" x14ac:dyDescent="0.3">
      <c r="A845" s="82"/>
      <c r="B845" s="82"/>
      <c r="C845" s="87"/>
      <c r="D845" s="87"/>
      <c r="E845" s="82"/>
      <c r="F845" s="82"/>
      <c r="G845" s="82"/>
      <c r="H845" s="82"/>
      <c r="I845" s="82"/>
      <c r="J845" s="82"/>
      <c r="K845" s="82"/>
      <c r="L845" s="74"/>
      <c r="M845" s="74"/>
      <c r="N845" s="74"/>
      <c r="O845" s="74"/>
      <c r="P845" s="74"/>
      <c r="Q845" s="74"/>
      <c r="R845" s="74"/>
      <c r="S845" s="74"/>
      <c r="T845" s="74"/>
      <c r="U845" s="74"/>
      <c r="V845" s="74"/>
      <c r="W845" s="74"/>
      <c r="X845" s="74"/>
      <c r="Y845" s="74"/>
    </row>
    <row r="846" spans="1:25" ht="15.75" thickBot="1" x14ac:dyDescent="0.3">
      <c r="A846" s="83"/>
      <c r="B846" s="83"/>
      <c r="C846" s="88"/>
      <c r="D846" s="88"/>
      <c r="E846" s="83"/>
      <c r="F846" s="83"/>
      <c r="G846" s="83"/>
      <c r="H846" s="83"/>
      <c r="I846" s="83"/>
      <c r="J846" s="83"/>
      <c r="K846" s="83"/>
      <c r="L846" s="74"/>
      <c r="M846" s="74"/>
      <c r="N846" s="74"/>
      <c r="O846" s="74"/>
      <c r="P846" s="74"/>
      <c r="Q846" s="74"/>
      <c r="R846" s="74"/>
      <c r="S846" s="74"/>
      <c r="T846" s="74"/>
      <c r="U846" s="74"/>
      <c r="V846" s="74"/>
      <c r="W846" s="74"/>
      <c r="X846" s="74"/>
      <c r="Y846" s="74"/>
    </row>
    <row r="847" spans="1:25" ht="15.75" thickBot="1" x14ac:dyDescent="0.3">
      <c r="A847" s="82"/>
      <c r="B847" s="82"/>
      <c r="C847" s="87"/>
      <c r="D847" s="87"/>
      <c r="E847" s="82"/>
      <c r="F847" s="82"/>
      <c r="G847" s="82"/>
      <c r="H847" s="82"/>
      <c r="I847" s="82"/>
      <c r="J847" s="82"/>
      <c r="K847" s="82"/>
      <c r="L847" s="74"/>
      <c r="M847" s="74"/>
      <c r="N847" s="74"/>
      <c r="O847" s="74"/>
      <c r="P847" s="74"/>
      <c r="Q847" s="74"/>
      <c r="R847" s="74"/>
      <c r="S847" s="74"/>
      <c r="T847" s="74"/>
      <c r="U847" s="74"/>
      <c r="V847" s="74"/>
      <c r="W847" s="74"/>
      <c r="X847" s="74"/>
      <c r="Y847" s="74"/>
    </row>
    <row r="848" spans="1:25" ht="15.75" thickBot="1" x14ac:dyDescent="0.3">
      <c r="A848" s="83"/>
      <c r="B848" s="83"/>
      <c r="C848" s="88"/>
      <c r="D848" s="88"/>
      <c r="E848" s="83"/>
      <c r="F848" s="83"/>
      <c r="G848" s="83"/>
      <c r="H848" s="83"/>
      <c r="I848" s="83"/>
      <c r="J848" s="83"/>
      <c r="K848" s="83"/>
      <c r="L848" s="74"/>
      <c r="M848" s="74"/>
      <c r="N848" s="74"/>
      <c r="O848" s="74"/>
      <c r="P848" s="74"/>
      <c r="Q848" s="74"/>
      <c r="R848" s="74"/>
      <c r="S848" s="74"/>
      <c r="T848" s="74"/>
      <c r="U848" s="74"/>
      <c r="V848" s="74"/>
      <c r="W848" s="74"/>
      <c r="X848" s="74"/>
      <c r="Y848" s="74"/>
    </row>
    <row r="849" spans="1:25" ht="15.75" thickBot="1" x14ac:dyDescent="0.3">
      <c r="A849" s="82"/>
      <c r="B849" s="82"/>
      <c r="C849" s="87"/>
      <c r="D849" s="87"/>
      <c r="E849" s="82"/>
      <c r="F849" s="82"/>
      <c r="G849" s="82"/>
      <c r="H849" s="82"/>
      <c r="I849" s="82"/>
      <c r="J849" s="82"/>
      <c r="K849" s="82"/>
      <c r="L849" s="74"/>
      <c r="M849" s="74"/>
      <c r="N849" s="74"/>
      <c r="O849" s="74"/>
      <c r="P849" s="74"/>
      <c r="Q849" s="74"/>
      <c r="R849" s="74"/>
      <c r="S849" s="74"/>
      <c r="T849" s="74"/>
      <c r="U849" s="74"/>
      <c r="V849" s="74"/>
      <c r="W849" s="74"/>
      <c r="X849" s="74"/>
      <c r="Y849" s="74"/>
    </row>
    <row r="850" spans="1:25" ht="15.75" thickBot="1" x14ac:dyDescent="0.3">
      <c r="A850" s="83"/>
      <c r="B850" s="83"/>
      <c r="C850" s="88"/>
      <c r="D850" s="88"/>
      <c r="E850" s="83"/>
      <c r="F850" s="83"/>
      <c r="G850" s="83"/>
      <c r="H850" s="83"/>
      <c r="I850" s="83"/>
      <c r="J850" s="83"/>
      <c r="K850" s="83"/>
      <c r="L850" s="74"/>
      <c r="M850" s="74"/>
      <c r="N850" s="74"/>
      <c r="O850" s="74"/>
      <c r="P850" s="74"/>
      <c r="Q850" s="74"/>
      <c r="R850" s="74"/>
      <c r="S850" s="74"/>
      <c r="T850" s="74"/>
      <c r="U850" s="74"/>
      <c r="V850" s="74"/>
      <c r="W850" s="74"/>
      <c r="X850" s="74"/>
      <c r="Y850" s="74"/>
    </row>
    <row r="851" spans="1:25" ht="15.75" thickBot="1" x14ac:dyDescent="0.3">
      <c r="A851" s="82"/>
      <c r="B851" s="82"/>
      <c r="C851" s="87"/>
      <c r="D851" s="87"/>
      <c r="E851" s="82"/>
      <c r="F851" s="82"/>
      <c r="G851" s="82"/>
      <c r="H851" s="82"/>
      <c r="I851" s="82"/>
      <c r="J851" s="82"/>
      <c r="K851" s="82"/>
      <c r="L851" s="74"/>
      <c r="M851" s="74"/>
      <c r="N851" s="74"/>
      <c r="O851" s="74"/>
      <c r="P851" s="74"/>
      <c r="Q851" s="74"/>
      <c r="R851" s="74"/>
      <c r="S851" s="74"/>
      <c r="T851" s="74"/>
      <c r="U851" s="74"/>
      <c r="V851" s="74"/>
      <c r="W851" s="74"/>
      <c r="X851" s="74"/>
      <c r="Y851" s="74"/>
    </row>
    <row r="852" spans="1:25" ht="15.75" thickBot="1" x14ac:dyDescent="0.3">
      <c r="A852" s="83"/>
      <c r="B852" s="83"/>
      <c r="C852" s="88"/>
      <c r="D852" s="88"/>
      <c r="E852" s="83"/>
      <c r="F852" s="83"/>
      <c r="G852" s="83"/>
      <c r="H852" s="83"/>
      <c r="I852" s="83"/>
      <c r="J852" s="83"/>
      <c r="K852" s="83"/>
      <c r="L852" s="74"/>
      <c r="M852" s="74"/>
      <c r="N852" s="74"/>
      <c r="O852" s="74"/>
      <c r="P852" s="74"/>
      <c r="Q852" s="74"/>
      <c r="R852" s="74"/>
      <c r="S852" s="74"/>
      <c r="T852" s="74"/>
      <c r="U852" s="74"/>
      <c r="V852" s="74"/>
      <c r="W852" s="74"/>
      <c r="X852" s="74"/>
      <c r="Y852" s="74"/>
    </row>
    <row r="853" spans="1:25" ht="15.75" thickBot="1" x14ac:dyDescent="0.3">
      <c r="A853" s="82"/>
      <c r="B853" s="82"/>
      <c r="C853" s="87"/>
      <c r="D853" s="87"/>
      <c r="E853" s="82"/>
      <c r="F853" s="82"/>
      <c r="G853" s="82"/>
      <c r="H853" s="82"/>
      <c r="I853" s="82"/>
      <c r="J853" s="82"/>
      <c r="K853" s="82"/>
      <c r="L853" s="74"/>
      <c r="M853" s="74"/>
      <c r="N853" s="74"/>
      <c r="O853" s="74"/>
      <c r="P853" s="74"/>
      <c r="Q853" s="74"/>
      <c r="R853" s="74"/>
      <c r="S853" s="74"/>
      <c r="T853" s="74"/>
      <c r="U853" s="74"/>
      <c r="V853" s="74"/>
      <c r="W853" s="74"/>
      <c r="X853" s="74"/>
      <c r="Y853" s="74"/>
    </row>
    <row r="854" spans="1:25" ht="15.75" thickBot="1" x14ac:dyDescent="0.3">
      <c r="A854" s="83"/>
      <c r="B854" s="83"/>
      <c r="C854" s="88"/>
      <c r="D854" s="88"/>
      <c r="E854" s="83"/>
      <c r="F854" s="83"/>
      <c r="G854" s="83"/>
      <c r="H854" s="83"/>
      <c r="I854" s="83"/>
      <c r="J854" s="83"/>
      <c r="K854" s="83"/>
      <c r="L854" s="74"/>
      <c r="M854" s="74"/>
      <c r="N854" s="74"/>
      <c r="O854" s="74"/>
      <c r="P854" s="74"/>
      <c r="Q854" s="74"/>
      <c r="R854" s="74"/>
      <c r="S854" s="74"/>
      <c r="T854" s="74"/>
      <c r="U854" s="74"/>
      <c r="V854" s="74"/>
      <c r="W854" s="74"/>
      <c r="X854" s="74"/>
      <c r="Y854" s="74"/>
    </row>
    <row r="855" spans="1:25" ht="15.75" thickBot="1" x14ac:dyDescent="0.3">
      <c r="A855" s="82"/>
      <c r="B855" s="82"/>
      <c r="C855" s="87"/>
      <c r="D855" s="87"/>
      <c r="E855" s="82"/>
      <c r="F855" s="82"/>
      <c r="G855" s="82"/>
      <c r="H855" s="82"/>
      <c r="I855" s="82"/>
      <c r="J855" s="82"/>
      <c r="K855" s="82"/>
      <c r="L855" s="74"/>
      <c r="M855" s="74"/>
      <c r="N855" s="74"/>
      <c r="O855" s="74"/>
      <c r="P855" s="74"/>
      <c r="Q855" s="74"/>
      <c r="R855" s="74"/>
      <c r="S855" s="74"/>
      <c r="T855" s="74"/>
      <c r="U855" s="74"/>
      <c r="V855" s="74"/>
      <c r="W855" s="74"/>
      <c r="X855" s="74"/>
      <c r="Y855" s="74"/>
    </row>
    <row r="856" spans="1:25" ht="15.75" thickBot="1" x14ac:dyDescent="0.3">
      <c r="A856" s="83"/>
      <c r="B856" s="83"/>
      <c r="C856" s="88"/>
      <c r="D856" s="88"/>
      <c r="E856" s="83"/>
      <c r="F856" s="83"/>
      <c r="G856" s="83"/>
      <c r="H856" s="83"/>
      <c r="I856" s="83"/>
      <c r="J856" s="83"/>
      <c r="K856" s="83"/>
      <c r="L856" s="74"/>
      <c r="M856" s="74"/>
      <c r="N856" s="74"/>
      <c r="O856" s="74"/>
      <c r="P856" s="74"/>
      <c r="Q856" s="74"/>
      <c r="R856" s="74"/>
      <c r="S856" s="74"/>
      <c r="T856" s="74"/>
      <c r="U856" s="74"/>
      <c r="V856" s="74"/>
      <c r="W856" s="74"/>
      <c r="X856" s="74"/>
      <c r="Y856" s="74"/>
    </row>
    <row r="857" spans="1:25" ht="15.75" thickBot="1" x14ac:dyDescent="0.3">
      <c r="A857" s="82"/>
      <c r="B857" s="82"/>
      <c r="C857" s="87"/>
      <c r="D857" s="87"/>
      <c r="E857" s="82"/>
      <c r="F857" s="82"/>
      <c r="G857" s="82"/>
      <c r="H857" s="82"/>
      <c r="I857" s="82"/>
      <c r="J857" s="82"/>
      <c r="K857" s="82"/>
      <c r="L857" s="74"/>
      <c r="M857" s="74"/>
      <c r="N857" s="74"/>
      <c r="O857" s="74"/>
      <c r="P857" s="74"/>
      <c r="Q857" s="74"/>
      <c r="R857" s="74"/>
      <c r="S857" s="74"/>
      <c r="T857" s="74"/>
      <c r="U857" s="74"/>
      <c r="V857" s="74"/>
      <c r="W857" s="74"/>
      <c r="X857" s="74"/>
      <c r="Y857" s="74"/>
    </row>
    <row r="858" spans="1:25" ht="15.75" thickBot="1" x14ac:dyDescent="0.3">
      <c r="A858" s="83"/>
      <c r="B858" s="83"/>
      <c r="C858" s="88"/>
      <c r="D858" s="88"/>
      <c r="E858" s="83"/>
      <c r="F858" s="83"/>
      <c r="G858" s="83"/>
      <c r="H858" s="83"/>
      <c r="I858" s="83"/>
      <c r="J858" s="83"/>
      <c r="K858" s="83"/>
      <c r="L858" s="74"/>
      <c r="M858" s="74"/>
      <c r="N858" s="74"/>
      <c r="O858" s="74"/>
      <c r="P858" s="74"/>
      <c r="Q858" s="74"/>
      <c r="R858" s="74"/>
      <c r="S858" s="74"/>
      <c r="T858" s="74"/>
      <c r="U858" s="74"/>
      <c r="V858" s="74"/>
      <c r="W858" s="74"/>
      <c r="X858" s="74"/>
      <c r="Y858" s="74"/>
    </row>
    <row r="859" spans="1:25" ht="15.75" thickBot="1" x14ac:dyDescent="0.3">
      <c r="A859" s="82"/>
      <c r="B859" s="82"/>
      <c r="C859" s="87"/>
      <c r="D859" s="87"/>
      <c r="E859" s="82"/>
      <c r="F859" s="82"/>
      <c r="G859" s="82"/>
      <c r="H859" s="82"/>
      <c r="I859" s="82"/>
      <c r="J859" s="82"/>
      <c r="K859" s="82"/>
      <c r="L859" s="74"/>
      <c r="M859" s="74"/>
      <c r="N859" s="74"/>
      <c r="O859" s="74"/>
      <c r="P859" s="74"/>
      <c r="Q859" s="74"/>
      <c r="R859" s="74"/>
      <c r="S859" s="74"/>
      <c r="T859" s="74"/>
      <c r="U859" s="74"/>
      <c r="V859" s="74"/>
      <c r="W859" s="74"/>
      <c r="X859" s="74"/>
      <c r="Y859" s="74"/>
    </row>
    <row r="860" spans="1:25" ht="15.75" thickBot="1" x14ac:dyDescent="0.3">
      <c r="A860" s="83"/>
      <c r="B860" s="83"/>
      <c r="C860" s="88"/>
      <c r="D860" s="88"/>
      <c r="E860" s="83"/>
      <c r="F860" s="83"/>
      <c r="G860" s="83"/>
      <c r="H860" s="83"/>
      <c r="I860" s="83"/>
      <c r="J860" s="83"/>
      <c r="K860" s="83"/>
      <c r="L860" s="74"/>
      <c r="M860" s="74"/>
      <c r="N860" s="74"/>
      <c r="O860" s="74"/>
      <c r="P860" s="74"/>
      <c r="Q860" s="74"/>
      <c r="R860" s="74"/>
      <c r="S860" s="74"/>
      <c r="T860" s="74"/>
      <c r="U860" s="74"/>
      <c r="V860" s="74"/>
      <c r="W860" s="74"/>
      <c r="X860" s="74"/>
      <c r="Y860" s="74"/>
    </row>
    <row r="861" spans="1:25" ht="15.75" thickBot="1" x14ac:dyDescent="0.3">
      <c r="A861" s="82"/>
      <c r="B861" s="82"/>
      <c r="C861" s="87"/>
      <c r="D861" s="87"/>
      <c r="E861" s="82"/>
      <c r="F861" s="82"/>
      <c r="G861" s="82"/>
      <c r="H861" s="82"/>
      <c r="I861" s="82"/>
      <c r="J861" s="82"/>
      <c r="K861" s="82"/>
      <c r="L861" s="74"/>
      <c r="M861" s="74"/>
      <c r="N861" s="74"/>
      <c r="O861" s="74"/>
      <c r="P861" s="74"/>
      <c r="Q861" s="74"/>
      <c r="R861" s="74"/>
      <c r="S861" s="74"/>
      <c r="T861" s="74"/>
      <c r="U861" s="74"/>
      <c r="V861" s="74"/>
      <c r="W861" s="74"/>
      <c r="X861" s="74"/>
      <c r="Y861" s="74"/>
    </row>
    <row r="862" spans="1:25" ht="15.75" thickBot="1" x14ac:dyDescent="0.3">
      <c r="A862" s="83"/>
      <c r="B862" s="83"/>
      <c r="C862" s="88"/>
      <c r="D862" s="88"/>
      <c r="E862" s="83"/>
      <c r="F862" s="83"/>
      <c r="G862" s="83"/>
      <c r="H862" s="83"/>
      <c r="I862" s="83"/>
      <c r="J862" s="83"/>
      <c r="K862" s="83"/>
      <c r="L862" s="74"/>
      <c r="M862" s="74"/>
      <c r="N862" s="74"/>
      <c r="O862" s="74"/>
      <c r="P862" s="74"/>
      <c r="Q862" s="74"/>
      <c r="R862" s="74"/>
      <c r="S862" s="74"/>
      <c r="T862" s="74"/>
      <c r="U862" s="74"/>
      <c r="V862" s="74"/>
      <c r="W862" s="74"/>
      <c r="X862" s="74"/>
      <c r="Y862" s="74"/>
    </row>
    <row r="863" spans="1:25" ht="15.75" thickBot="1" x14ac:dyDescent="0.3">
      <c r="A863" s="82"/>
      <c r="B863" s="82"/>
      <c r="C863" s="87"/>
      <c r="D863" s="87"/>
      <c r="E863" s="82"/>
      <c r="F863" s="82"/>
      <c r="G863" s="82"/>
      <c r="H863" s="82"/>
      <c r="I863" s="82"/>
      <c r="J863" s="82"/>
      <c r="K863" s="82"/>
      <c r="L863" s="74"/>
      <c r="M863" s="74"/>
      <c r="N863" s="74"/>
      <c r="O863" s="74"/>
      <c r="P863" s="74"/>
      <c r="Q863" s="74"/>
      <c r="R863" s="74"/>
      <c r="S863" s="74"/>
      <c r="T863" s="74"/>
      <c r="U863" s="74"/>
      <c r="V863" s="74"/>
      <c r="W863" s="74"/>
      <c r="X863" s="74"/>
      <c r="Y863" s="74"/>
    </row>
    <row r="864" spans="1:25" ht="15.75" thickBot="1" x14ac:dyDescent="0.3">
      <c r="A864" s="83"/>
      <c r="B864" s="83"/>
      <c r="C864" s="88"/>
      <c r="D864" s="88"/>
      <c r="E864" s="83"/>
      <c r="F864" s="83"/>
      <c r="G864" s="83"/>
      <c r="H864" s="83"/>
      <c r="I864" s="83"/>
      <c r="J864" s="83"/>
      <c r="K864" s="83"/>
      <c r="L864" s="74"/>
      <c r="M864" s="74"/>
      <c r="N864" s="74"/>
      <c r="O864" s="74"/>
      <c r="P864" s="74"/>
      <c r="Q864" s="74"/>
      <c r="R864" s="74"/>
      <c r="S864" s="74"/>
      <c r="T864" s="74"/>
      <c r="U864" s="74"/>
      <c r="V864" s="74"/>
      <c r="W864" s="74"/>
      <c r="X864" s="74"/>
      <c r="Y864" s="74"/>
    </row>
    <row r="865" spans="1:25" ht="15.75" thickBot="1" x14ac:dyDescent="0.3">
      <c r="A865" s="82"/>
      <c r="B865" s="82"/>
      <c r="C865" s="87"/>
      <c r="D865" s="87"/>
      <c r="E865" s="82"/>
      <c r="F865" s="82"/>
      <c r="G865" s="82"/>
      <c r="H865" s="82"/>
      <c r="I865" s="82"/>
      <c r="J865" s="82"/>
      <c r="K865" s="82"/>
      <c r="L865" s="74"/>
      <c r="M865" s="74"/>
      <c r="N865" s="74"/>
      <c r="O865" s="74"/>
      <c r="P865" s="74"/>
      <c r="Q865" s="74"/>
      <c r="R865" s="74"/>
      <c r="S865" s="74"/>
      <c r="T865" s="74"/>
      <c r="U865" s="74"/>
      <c r="V865" s="74"/>
      <c r="W865" s="74"/>
      <c r="X865" s="74"/>
      <c r="Y865" s="74"/>
    </row>
    <row r="866" spans="1:25" ht="15.75" thickBot="1" x14ac:dyDescent="0.3">
      <c r="A866" s="83"/>
      <c r="B866" s="83"/>
      <c r="C866" s="88"/>
      <c r="D866" s="88"/>
      <c r="E866" s="83"/>
      <c r="F866" s="83"/>
      <c r="G866" s="83"/>
      <c r="H866" s="83"/>
      <c r="I866" s="83"/>
      <c r="J866" s="83"/>
      <c r="K866" s="83"/>
      <c r="L866" s="74"/>
      <c r="M866" s="74"/>
      <c r="N866" s="74"/>
      <c r="O866" s="74"/>
      <c r="P866" s="74"/>
      <c r="Q866" s="74"/>
      <c r="R866" s="74"/>
      <c r="S866" s="74"/>
      <c r="T866" s="74"/>
      <c r="U866" s="74"/>
      <c r="V866" s="74"/>
      <c r="W866" s="74"/>
      <c r="X866" s="74"/>
      <c r="Y866" s="74"/>
    </row>
    <row r="867" spans="1:25" ht="15.75" thickBot="1" x14ac:dyDescent="0.3">
      <c r="A867" s="82"/>
      <c r="B867" s="82"/>
      <c r="C867" s="87"/>
      <c r="D867" s="87"/>
      <c r="E867" s="82"/>
      <c r="F867" s="82"/>
      <c r="G867" s="82"/>
      <c r="H867" s="82"/>
      <c r="I867" s="82"/>
      <c r="J867" s="82"/>
      <c r="K867" s="82"/>
      <c r="L867" s="74"/>
      <c r="M867" s="74"/>
      <c r="N867" s="74"/>
      <c r="O867" s="74"/>
      <c r="P867" s="74"/>
      <c r="Q867" s="74"/>
      <c r="R867" s="74"/>
      <c r="S867" s="74"/>
      <c r="T867" s="74"/>
      <c r="U867" s="74"/>
      <c r="V867" s="74"/>
      <c r="W867" s="74"/>
      <c r="X867" s="74"/>
      <c r="Y867" s="74"/>
    </row>
    <row r="868" spans="1:25" ht="15.75" thickBot="1" x14ac:dyDescent="0.3">
      <c r="A868" s="83"/>
      <c r="B868" s="83"/>
      <c r="C868" s="88"/>
      <c r="D868" s="88"/>
      <c r="E868" s="83"/>
      <c r="F868" s="83"/>
      <c r="G868" s="83"/>
      <c r="H868" s="83"/>
      <c r="I868" s="83"/>
      <c r="J868" s="83"/>
      <c r="K868" s="83"/>
      <c r="L868" s="74"/>
      <c r="M868" s="74"/>
      <c r="N868" s="74"/>
      <c r="O868" s="74"/>
      <c r="P868" s="74"/>
      <c r="Q868" s="74"/>
      <c r="R868" s="74"/>
      <c r="S868" s="74"/>
      <c r="T868" s="74"/>
      <c r="U868" s="74"/>
      <c r="V868" s="74"/>
      <c r="W868" s="74"/>
      <c r="X868" s="74"/>
      <c r="Y868" s="74"/>
    </row>
    <row r="869" spans="1:25" ht="15.75" thickBot="1" x14ac:dyDescent="0.3">
      <c r="A869" s="82"/>
      <c r="B869" s="82"/>
      <c r="C869" s="87"/>
      <c r="D869" s="87"/>
      <c r="E869" s="82"/>
      <c r="F869" s="82"/>
      <c r="G869" s="82"/>
      <c r="H869" s="82"/>
      <c r="I869" s="82"/>
      <c r="J869" s="82"/>
      <c r="K869" s="82"/>
      <c r="L869" s="74"/>
      <c r="M869" s="74"/>
      <c r="N869" s="74"/>
      <c r="O869" s="74"/>
      <c r="P869" s="74"/>
      <c r="Q869" s="74"/>
      <c r="R869" s="74"/>
      <c r="S869" s="74"/>
      <c r="T869" s="74"/>
      <c r="U869" s="74"/>
      <c r="V869" s="74"/>
      <c r="W869" s="74"/>
      <c r="X869" s="74"/>
      <c r="Y869" s="74"/>
    </row>
    <row r="870" spans="1:25" ht="15.75" thickBot="1" x14ac:dyDescent="0.3">
      <c r="A870" s="83"/>
      <c r="B870" s="83"/>
      <c r="C870" s="88"/>
      <c r="D870" s="88"/>
      <c r="E870" s="83"/>
      <c r="F870" s="83"/>
      <c r="G870" s="83"/>
      <c r="H870" s="83"/>
      <c r="I870" s="83"/>
      <c r="J870" s="83"/>
      <c r="K870" s="83"/>
      <c r="L870" s="74"/>
      <c r="M870" s="74"/>
      <c r="N870" s="74"/>
      <c r="O870" s="74"/>
      <c r="P870" s="74"/>
      <c r="Q870" s="74"/>
      <c r="R870" s="74"/>
      <c r="S870" s="74"/>
      <c r="T870" s="74"/>
      <c r="U870" s="74"/>
      <c r="V870" s="74"/>
      <c r="W870" s="74"/>
      <c r="X870" s="74"/>
      <c r="Y870" s="74"/>
    </row>
    <row r="871" spans="1:25" ht="15.75" thickBot="1" x14ac:dyDescent="0.3">
      <c r="A871" s="82"/>
      <c r="B871" s="82"/>
      <c r="C871" s="87"/>
      <c r="D871" s="87"/>
      <c r="E871" s="82"/>
      <c r="F871" s="82"/>
      <c r="G871" s="82"/>
      <c r="H871" s="82"/>
      <c r="I871" s="82"/>
      <c r="J871" s="82"/>
      <c r="K871" s="82"/>
      <c r="L871" s="74"/>
      <c r="M871" s="74"/>
      <c r="N871" s="74"/>
      <c r="O871" s="74"/>
      <c r="P871" s="74"/>
      <c r="Q871" s="74"/>
      <c r="R871" s="74"/>
      <c r="S871" s="74"/>
      <c r="T871" s="74"/>
      <c r="U871" s="74"/>
      <c r="V871" s="74"/>
      <c r="W871" s="74"/>
      <c r="X871" s="74"/>
      <c r="Y871" s="74"/>
    </row>
    <row r="872" spans="1:25" ht="15.75" thickBot="1" x14ac:dyDescent="0.3">
      <c r="A872" s="83"/>
      <c r="B872" s="83"/>
      <c r="C872" s="88"/>
      <c r="D872" s="88"/>
      <c r="E872" s="83"/>
      <c r="F872" s="83"/>
      <c r="G872" s="83"/>
      <c r="H872" s="83"/>
      <c r="I872" s="83"/>
      <c r="J872" s="83"/>
      <c r="K872" s="83"/>
      <c r="L872" s="74"/>
      <c r="M872" s="74"/>
      <c r="N872" s="74"/>
      <c r="O872" s="74"/>
      <c r="P872" s="74"/>
      <c r="Q872" s="74"/>
      <c r="R872" s="74"/>
      <c r="S872" s="74"/>
      <c r="T872" s="74"/>
      <c r="U872" s="74"/>
      <c r="V872" s="74"/>
      <c r="W872" s="74"/>
      <c r="X872" s="74"/>
      <c r="Y872" s="74"/>
    </row>
    <row r="873" spans="1:25" ht="15.75" thickBot="1" x14ac:dyDescent="0.3">
      <c r="A873" s="82"/>
      <c r="B873" s="82"/>
      <c r="C873" s="87"/>
      <c r="D873" s="87"/>
      <c r="E873" s="82"/>
      <c r="F873" s="82"/>
      <c r="G873" s="82"/>
      <c r="H873" s="82"/>
      <c r="I873" s="82"/>
      <c r="J873" s="82"/>
      <c r="K873" s="82"/>
      <c r="L873" s="74"/>
      <c r="M873" s="74"/>
      <c r="N873" s="74"/>
      <c r="O873" s="74"/>
      <c r="P873" s="74"/>
      <c r="Q873" s="74"/>
      <c r="R873" s="74"/>
      <c r="S873" s="74"/>
      <c r="T873" s="74"/>
      <c r="U873" s="74"/>
      <c r="V873" s="74"/>
      <c r="W873" s="74"/>
      <c r="X873" s="74"/>
      <c r="Y873" s="74"/>
    </row>
    <row r="874" spans="1:25" ht="15.75" thickBot="1" x14ac:dyDescent="0.3">
      <c r="A874" s="83"/>
      <c r="B874" s="83"/>
      <c r="C874" s="88"/>
      <c r="D874" s="88"/>
      <c r="E874" s="83"/>
      <c r="F874" s="83"/>
      <c r="G874" s="83"/>
      <c r="H874" s="83"/>
      <c r="I874" s="83"/>
      <c r="J874" s="83"/>
      <c r="K874" s="83"/>
      <c r="L874" s="74"/>
      <c r="M874" s="74"/>
      <c r="N874" s="74"/>
      <c r="O874" s="74"/>
      <c r="P874" s="74"/>
      <c r="Q874" s="74"/>
      <c r="R874" s="74"/>
      <c r="S874" s="74"/>
      <c r="T874" s="74"/>
      <c r="U874" s="74"/>
      <c r="V874" s="74"/>
      <c r="W874" s="74"/>
      <c r="X874" s="74"/>
      <c r="Y874" s="74"/>
    </row>
    <row r="875" spans="1:25" ht="15.75" thickBot="1" x14ac:dyDescent="0.3">
      <c r="A875" s="82"/>
      <c r="B875" s="82"/>
      <c r="C875" s="87"/>
      <c r="D875" s="87"/>
      <c r="E875" s="82"/>
      <c r="F875" s="82"/>
      <c r="G875" s="82"/>
      <c r="H875" s="82"/>
      <c r="I875" s="82"/>
      <c r="J875" s="82"/>
      <c r="K875" s="82"/>
      <c r="L875" s="74"/>
      <c r="M875" s="74"/>
      <c r="N875" s="74"/>
      <c r="O875" s="74"/>
      <c r="P875" s="74"/>
      <c r="Q875" s="74"/>
      <c r="R875" s="74"/>
      <c r="S875" s="74"/>
      <c r="T875" s="74"/>
      <c r="U875" s="74"/>
      <c r="V875" s="74"/>
      <c r="W875" s="74"/>
      <c r="X875" s="74"/>
      <c r="Y875" s="74"/>
    </row>
    <row r="876" spans="1:25" ht="15.75" thickBot="1" x14ac:dyDescent="0.3">
      <c r="A876" s="83"/>
      <c r="B876" s="83"/>
      <c r="C876" s="88"/>
      <c r="D876" s="88"/>
      <c r="E876" s="83"/>
      <c r="F876" s="83"/>
      <c r="G876" s="83"/>
      <c r="H876" s="83"/>
      <c r="I876" s="83"/>
      <c r="J876" s="83"/>
      <c r="K876" s="83"/>
      <c r="L876" s="74"/>
      <c r="M876" s="74"/>
      <c r="N876" s="74"/>
      <c r="O876" s="74"/>
      <c r="P876" s="74"/>
      <c r="Q876" s="74"/>
      <c r="R876" s="74"/>
      <c r="S876" s="74"/>
      <c r="T876" s="74"/>
      <c r="U876" s="74"/>
      <c r="V876" s="74"/>
      <c r="W876" s="74"/>
      <c r="X876" s="74"/>
      <c r="Y876" s="74"/>
    </row>
    <row r="877" spans="1:25" ht="15.75" thickBot="1" x14ac:dyDescent="0.3">
      <c r="A877" s="82"/>
      <c r="B877" s="82"/>
      <c r="C877" s="87"/>
      <c r="D877" s="87"/>
      <c r="E877" s="82"/>
      <c r="F877" s="82"/>
      <c r="G877" s="82"/>
      <c r="H877" s="82"/>
      <c r="I877" s="82"/>
      <c r="J877" s="82"/>
      <c r="K877" s="82"/>
      <c r="L877" s="74"/>
      <c r="M877" s="74"/>
      <c r="N877" s="74"/>
      <c r="O877" s="74"/>
      <c r="P877" s="74"/>
      <c r="Q877" s="74"/>
      <c r="R877" s="74"/>
      <c r="S877" s="74"/>
      <c r="T877" s="74"/>
      <c r="U877" s="74"/>
      <c r="V877" s="74"/>
      <c r="W877" s="74"/>
      <c r="X877" s="74"/>
      <c r="Y877" s="74"/>
    </row>
    <row r="878" spans="1:25" ht="15.75" thickBot="1" x14ac:dyDescent="0.3">
      <c r="A878" s="83"/>
      <c r="B878" s="83"/>
      <c r="C878" s="88"/>
      <c r="D878" s="88"/>
      <c r="E878" s="83"/>
      <c r="F878" s="83"/>
      <c r="G878" s="83"/>
      <c r="H878" s="83"/>
      <c r="I878" s="83"/>
      <c r="J878" s="83"/>
      <c r="K878" s="83"/>
      <c r="L878" s="74"/>
      <c r="M878" s="74"/>
      <c r="N878" s="74"/>
      <c r="O878" s="74"/>
      <c r="P878" s="74"/>
      <c r="Q878" s="74"/>
      <c r="R878" s="74"/>
      <c r="S878" s="74"/>
      <c r="T878" s="74"/>
      <c r="U878" s="74"/>
      <c r="V878" s="74"/>
      <c r="W878" s="74"/>
      <c r="X878" s="74"/>
      <c r="Y878" s="74"/>
    </row>
    <row r="879" spans="1:25" ht="15.75" thickBot="1" x14ac:dyDescent="0.3">
      <c r="A879" s="82"/>
      <c r="B879" s="82"/>
      <c r="C879" s="87"/>
      <c r="D879" s="87"/>
      <c r="E879" s="82"/>
      <c r="F879" s="82"/>
      <c r="G879" s="82"/>
      <c r="H879" s="82"/>
      <c r="I879" s="82"/>
      <c r="J879" s="82"/>
      <c r="K879" s="82"/>
      <c r="L879" s="74"/>
      <c r="M879" s="74"/>
      <c r="N879" s="74"/>
      <c r="O879" s="74"/>
      <c r="P879" s="74"/>
      <c r="Q879" s="74"/>
      <c r="R879" s="74"/>
      <c r="S879" s="74"/>
      <c r="T879" s="74"/>
      <c r="U879" s="74"/>
      <c r="V879" s="74"/>
      <c r="W879" s="74"/>
      <c r="X879" s="74"/>
      <c r="Y879" s="74"/>
    </row>
    <row r="880" spans="1:25" ht="15.75" thickBot="1" x14ac:dyDescent="0.3">
      <c r="A880" s="83"/>
      <c r="B880" s="83"/>
      <c r="C880" s="88"/>
      <c r="D880" s="88"/>
      <c r="E880" s="83"/>
      <c r="F880" s="83"/>
      <c r="G880" s="83"/>
      <c r="H880" s="83"/>
      <c r="I880" s="83"/>
      <c r="J880" s="83"/>
      <c r="K880" s="83"/>
      <c r="L880" s="74"/>
      <c r="M880" s="74"/>
      <c r="N880" s="74"/>
      <c r="O880" s="74"/>
      <c r="P880" s="74"/>
      <c r="Q880" s="74"/>
      <c r="R880" s="74"/>
      <c r="S880" s="74"/>
      <c r="T880" s="74"/>
      <c r="U880" s="74"/>
      <c r="V880" s="74"/>
      <c r="W880" s="74"/>
      <c r="X880" s="74"/>
      <c r="Y880" s="74"/>
    </row>
    <row r="881" spans="1:25" ht="15.75" thickBot="1" x14ac:dyDescent="0.3">
      <c r="A881" s="82"/>
      <c r="B881" s="82"/>
      <c r="C881" s="87"/>
      <c r="D881" s="87"/>
      <c r="E881" s="82"/>
      <c r="F881" s="82"/>
      <c r="G881" s="82"/>
      <c r="H881" s="82"/>
      <c r="I881" s="82"/>
      <c r="J881" s="82"/>
      <c r="K881" s="82"/>
      <c r="L881" s="74"/>
      <c r="M881" s="74"/>
      <c r="N881" s="74"/>
      <c r="O881" s="74"/>
      <c r="P881" s="74"/>
      <c r="Q881" s="74"/>
      <c r="R881" s="74"/>
      <c r="S881" s="74"/>
      <c r="T881" s="74"/>
      <c r="U881" s="74"/>
      <c r="V881" s="74"/>
      <c r="W881" s="74"/>
      <c r="X881" s="74"/>
      <c r="Y881" s="74"/>
    </row>
    <row r="882" spans="1:25" ht="15.75" thickBot="1" x14ac:dyDescent="0.3">
      <c r="A882" s="83"/>
      <c r="B882" s="83"/>
      <c r="C882" s="88"/>
      <c r="D882" s="88"/>
      <c r="E882" s="83"/>
      <c r="F882" s="83"/>
      <c r="G882" s="83"/>
      <c r="H882" s="83"/>
      <c r="I882" s="83"/>
      <c r="J882" s="83"/>
      <c r="K882" s="83"/>
      <c r="L882" s="74"/>
      <c r="M882" s="74"/>
      <c r="N882" s="74"/>
      <c r="O882" s="74"/>
      <c r="P882" s="74"/>
      <c r="Q882" s="74"/>
      <c r="R882" s="74"/>
      <c r="S882" s="74"/>
      <c r="T882" s="74"/>
      <c r="U882" s="74"/>
      <c r="V882" s="74"/>
      <c r="W882" s="74"/>
      <c r="X882" s="74"/>
      <c r="Y882" s="74"/>
    </row>
    <row r="883" spans="1:25" ht="15.75" thickBot="1" x14ac:dyDescent="0.3">
      <c r="A883" s="82"/>
      <c r="B883" s="82"/>
      <c r="C883" s="87"/>
      <c r="D883" s="87"/>
      <c r="E883" s="82"/>
      <c r="F883" s="82"/>
      <c r="G883" s="82"/>
      <c r="H883" s="82"/>
      <c r="I883" s="82"/>
      <c r="J883" s="82"/>
      <c r="K883" s="82"/>
      <c r="L883" s="74"/>
      <c r="M883" s="74"/>
      <c r="N883" s="74"/>
      <c r="O883" s="74"/>
      <c r="P883" s="74"/>
      <c r="Q883" s="74"/>
      <c r="R883" s="74"/>
      <c r="S883" s="74"/>
      <c r="T883" s="74"/>
      <c r="U883" s="74"/>
      <c r="V883" s="74"/>
      <c r="W883" s="74"/>
      <c r="X883" s="74"/>
      <c r="Y883" s="74"/>
    </row>
    <row r="884" spans="1:25" ht="15.75" thickBot="1" x14ac:dyDescent="0.3">
      <c r="A884" s="83"/>
      <c r="B884" s="83"/>
      <c r="C884" s="88"/>
      <c r="D884" s="88"/>
      <c r="E884" s="83"/>
      <c r="F884" s="83"/>
      <c r="G884" s="83"/>
      <c r="H884" s="83"/>
      <c r="I884" s="83"/>
      <c r="J884" s="83"/>
      <c r="K884" s="83"/>
      <c r="L884" s="74"/>
      <c r="M884" s="74"/>
      <c r="N884" s="74"/>
      <c r="O884" s="74"/>
      <c r="P884" s="74"/>
      <c r="Q884" s="74"/>
      <c r="R884" s="74"/>
      <c r="S884" s="74"/>
      <c r="T884" s="74"/>
      <c r="U884" s="74"/>
      <c r="V884" s="74"/>
      <c r="W884" s="74"/>
      <c r="X884" s="74"/>
      <c r="Y884" s="74"/>
    </row>
    <row r="885" spans="1:25" ht="15.75" thickBot="1" x14ac:dyDescent="0.3">
      <c r="A885" s="82"/>
      <c r="B885" s="82"/>
      <c r="C885" s="87"/>
      <c r="D885" s="87"/>
      <c r="E885" s="82"/>
      <c r="F885" s="82"/>
      <c r="G885" s="82"/>
      <c r="H885" s="82"/>
      <c r="I885" s="82"/>
      <c r="J885" s="82"/>
      <c r="K885" s="82"/>
      <c r="L885" s="74"/>
      <c r="M885" s="74"/>
      <c r="N885" s="74"/>
      <c r="O885" s="74"/>
      <c r="P885" s="74"/>
      <c r="Q885" s="74"/>
      <c r="R885" s="74"/>
      <c r="S885" s="74"/>
      <c r="T885" s="74"/>
      <c r="U885" s="74"/>
      <c r="V885" s="74"/>
      <c r="W885" s="74"/>
      <c r="X885" s="74"/>
      <c r="Y885" s="74"/>
    </row>
    <row r="886" spans="1:25" ht="15.75" thickBot="1" x14ac:dyDescent="0.3">
      <c r="A886" s="83"/>
      <c r="B886" s="83"/>
      <c r="C886" s="88"/>
      <c r="D886" s="88"/>
      <c r="E886" s="83"/>
      <c r="F886" s="83"/>
      <c r="G886" s="83"/>
      <c r="H886" s="83"/>
      <c r="I886" s="83"/>
      <c r="J886" s="83"/>
      <c r="K886" s="83"/>
      <c r="L886" s="74"/>
      <c r="M886" s="74"/>
      <c r="N886" s="74"/>
      <c r="O886" s="74"/>
      <c r="P886" s="74"/>
      <c r="Q886" s="74"/>
      <c r="R886" s="74"/>
      <c r="S886" s="74"/>
      <c r="T886" s="74"/>
      <c r="U886" s="74"/>
      <c r="V886" s="74"/>
      <c r="W886" s="74"/>
      <c r="X886" s="74"/>
      <c r="Y886" s="74"/>
    </row>
    <row r="887" spans="1:25" ht="15.75" thickBot="1" x14ac:dyDescent="0.3">
      <c r="A887" s="82"/>
      <c r="B887" s="82"/>
      <c r="C887" s="87"/>
      <c r="D887" s="87"/>
      <c r="E887" s="82"/>
      <c r="F887" s="82"/>
      <c r="G887" s="82"/>
      <c r="H887" s="82"/>
      <c r="I887" s="82"/>
      <c r="J887" s="82"/>
      <c r="K887" s="82"/>
      <c r="L887" s="74"/>
      <c r="M887" s="74"/>
      <c r="N887" s="74"/>
      <c r="O887" s="74"/>
      <c r="P887" s="74"/>
      <c r="Q887" s="74"/>
      <c r="R887" s="74"/>
      <c r="S887" s="74"/>
      <c r="T887" s="74"/>
      <c r="U887" s="74"/>
      <c r="V887" s="74"/>
      <c r="W887" s="74"/>
      <c r="X887" s="74"/>
      <c r="Y887" s="74"/>
    </row>
    <row r="888" spans="1:25" ht="15.75" thickBot="1" x14ac:dyDescent="0.3">
      <c r="A888" s="83"/>
      <c r="B888" s="83"/>
      <c r="C888" s="88"/>
      <c r="D888" s="88"/>
      <c r="E888" s="83"/>
      <c r="F888" s="83"/>
      <c r="G888" s="83"/>
      <c r="H888" s="83"/>
      <c r="I888" s="83"/>
      <c r="J888" s="83"/>
      <c r="K888" s="83"/>
      <c r="L888" s="74"/>
      <c r="M888" s="74"/>
      <c r="N888" s="74"/>
      <c r="O888" s="74"/>
      <c r="P888" s="74"/>
      <c r="Q888" s="74"/>
      <c r="R888" s="74"/>
      <c r="S888" s="74"/>
      <c r="T888" s="74"/>
      <c r="U888" s="74"/>
      <c r="V888" s="74"/>
      <c r="W888" s="74"/>
      <c r="X888" s="74"/>
      <c r="Y888" s="74"/>
    </row>
    <row r="889" spans="1:25" ht="15.75" thickBot="1" x14ac:dyDescent="0.3">
      <c r="A889" s="82"/>
      <c r="B889" s="82"/>
      <c r="C889" s="87"/>
      <c r="D889" s="87"/>
      <c r="E889" s="82"/>
      <c r="F889" s="82"/>
      <c r="G889" s="82"/>
      <c r="H889" s="82"/>
      <c r="I889" s="82"/>
      <c r="J889" s="82"/>
      <c r="K889" s="82"/>
      <c r="L889" s="74"/>
      <c r="M889" s="74"/>
      <c r="N889" s="74"/>
      <c r="O889" s="74"/>
      <c r="P889" s="74"/>
      <c r="Q889" s="74"/>
      <c r="R889" s="74"/>
      <c r="S889" s="74"/>
      <c r="T889" s="74"/>
      <c r="U889" s="74"/>
      <c r="V889" s="74"/>
      <c r="W889" s="74"/>
      <c r="X889" s="74"/>
      <c r="Y889" s="74"/>
    </row>
    <row r="890" spans="1:25" ht="15.75" thickBot="1" x14ac:dyDescent="0.3">
      <c r="A890" s="83"/>
      <c r="B890" s="83"/>
      <c r="C890" s="88"/>
      <c r="D890" s="88"/>
      <c r="E890" s="83"/>
      <c r="F890" s="83"/>
      <c r="G890" s="83"/>
      <c r="H890" s="83"/>
      <c r="I890" s="83"/>
      <c r="J890" s="83"/>
      <c r="K890" s="83"/>
      <c r="L890" s="74"/>
      <c r="M890" s="74"/>
      <c r="N890" s="74"/>
      <c r="O890" s="74"/>
      <c r="P890" s="74"/>
      <c r="Q890" s="74"/>
      <c r="R890" s="74"/>
      <c r="S890" s="74"/>
      <c r="T890" s="74"/>
      <c r="U890" s="74"/>
      <c r="V890" s="74"/>
      <c r="W890" s="74"/>
      <c r="X890" s="74"/>
      <c r="Y890" s="74"/>
    </row>
    <row r="891" spans="1:25" ht="15.75" thickBot="1" x14ac:dyDescent="0.3">
      <c r="A891" s="82"/>
      <c r="B891" s="82"/>
      <c r="C891" s="87"/>
      <c r="D891" s="87"/>
      <c r="E891" s="82"/>
      <c r="F891" s="82"/>
      <c r="G891" s="82"/>
      <c r="H891" s="82"/>
      <c r="I891" s="82"/>
      <c r="J891" s="82"/>
      <c r="K891" s="82"/>
      <c r="L891" s="74"/>
      <c r="M891" s="74"/>
      <c r="N891" s="74"/>
      <c r="O891" s="74"/>
      <c r="P891" s="74"/>
      <c r="Q891" s="74"/>
      <c r="R891" s="74"/>
      <c r="S891" s="74"/>
      <c r="T891" s="74"/>
      <c r="U891" s="74"/>
      <c r="V891" s="74"/>
      <c r="W891" s="74"/>
      <c r="X891" s="74"/>
      <c r="Y891" s="74"/>
    </row>
    <row r="892" spans="1:25" ht="15.75" thickBot="1" x14ac:dyDescent="0.3">
      <c r="A892" s="83"/>
      <c r="B892" s="83"/>
      <c r="C892" s="88"/>
      <c r="D892" s="88"/>
      <c r="E892" s="83"/>
      <c r="F892" s="83"/>
      <c r="G892" s="83"/>
      <c r="H892" s="83"/>
      <c r="I892" s="83"/>
      <c r="J892" s="83"/>
      <c r="K892" s="83"/>
      <c r="L892" s="74"/>
      <c r="M892" s="74"/>
      <c r="N892" s="74"/>
      <c r="O892" s="74"/>
      <c r="P892" s="74"/>
      <c r="Q892" s="74"/>
      <c r="R892" s="74"/>
      <c r="S892" s="74"/>
      <c r="T892" s="74"/>
      <c r="U892" s="74"/>
      <c r="V892" s="74"/>
      <c r="W892" s="74"/>
      <c r="X892" s="74"/>
      <c r="Y892" s="74"/>
    </row>
    <row r="893" spans="1:25" ht="15.75" thickBot="1" x14ac:dyDescent="0.3">
      <c r="A893" s="82"/>
      <c r="B893" s="82"/>
      <c r="C893" s="87"/>
      <c r="D893" s="87"/>
      <c r="E893" s="82"/>
      <c r="F893" s="82"/>
      <c r="G893" s="82"/>
      <c r="H893" s="82"/>
      <c r="I893" s="82"/>
      <c r="J893" s="82"/>
      <c r="K893" s="82"/>
      <c r="L893" s="74"/>
      <c r="M893" s="74"/>
      <c r="N893" s="74"/>
      <c r="O893" s="74"/>
      <c r="P893" s="74"/>
      <c r="Q893" s="74"/>
      <c r="R893" s="74"/>
      <c r="S893" s="74"/>
      <c r="T893" s="74"/>
      <c r="U893" s="74"/>
      <c r="V893" s="74"/>
      <c r="W893" s="74"/>
      <c r="X893" s="74"/>
      <c r="Y893" s="74"/>
    </row>
    <row r="894" spans="1:25" ht="15.75" thickBot="1" x14ac:dyDescent="0.3">
      <c r="A894" s="83"/>
      <c r="B894" s="83"/>
      <c r="C894" s="88"/>
      <c r="D894" s="88"/>
      <c r="E894" s="83"/>
      <c r="F894" s="83"/>
      <c r="G894" s="83"/>
      <c r="H894" s="83"/>
      <c r="I894" s="83"/>
      <c r="J894" s="83"/>
      <c r="K894" s="83"/>
      <c r="L894" s="74"/>
      <c r="M894" s="74"/>
      <c r="N894" s="74"/>
      <c r="O894" s="74"/>
      <c r="P894" s="74"/>
      <c r="Q894" s="74"/>
      <c r="R894" s="74"/>
      <c r="S894" s="74"/>
      <c r="T894" s="74"/>
      <c r="U894" s="74"/>
      <c r="V894" s="74"/>
      <c r="W894" s="74"/>
      <c r="X894" s="74"/>
      <c r="Y894" s="74"/>
    </row>
    <row r="895" spans="1:25" ht="15.75" thickBot="1" x14ac:dyDescent="0.3">
      <c r="A895" s="82"/>
      <c r="B895" s="82"/>
      <c r="C895" s="87"/>
      <c r="D895" s="87"/>
      <c r="E895" s="82"/>
      <c r="F895" s="82"/>
      <c r="G895" s="82"/>
      <c r="H895" s="82"/>
      <c r="I895" s="82"/>
      <c r="J895" s="82"/>
      <c r="K895" s="82"/>
      <c r="L895" s="74"/>
      <c r="M895" s="74"/>
      <c r="N895" s="74"/>
      <c r="O895" s="74"/>
      <c r="P895" s="74"/>
      <c r="Q895" s="74"/>
      <c r="R895" s="74"/>
      <c r="S895" s="74"/>
      <c r="T895" s="74"/>
      <c r="U895" s="74"/>
      <c r="V895" s="74"/>
      <c r="W895" s="74"/>
      <c r="X895" s="74"/>
      <c r="Y895" s="74"/>
    </row>
    <row r="896" spans="1:25" ht="15.75" thickBot="1" x14ac:dyDescent="0.3">
      <c r="A896" s="83"/>
      <c r="B896" s="83"/>
      <c r="C896" s="88"/>
      <c r="D896" s="88"/>
      <c r="E896" s="83"/>
      <c r="F896" s="83"/>
      <c r="G896" s="83"/>
      <c r="H896" s="83"/>
      <c r="I896" s="83"/>
      <c r="J896" s="83"/>
      <c r="K896" s="83"/>
      <c r="L896" s="74"/>
      <c r="M896" s="74"/>
      <c r="N896" s="74"/>
      <c r="O896" s="74"/>
      <c r="P896" s="74"/>
      <c r="Q896" s="74"/>
      <c r="R896" s="74"/>
      <c r="S896" s="74"/>
      <c r="T896" s="74"/>
      <c r="U896" s="74"/>
      <c r="V896" s="74"/>
      <c r="W896" s="74"/>
      <c r="X896" s="74"/>
      <c r="Y896" s="74"/>
    </row>
    <row r="897" spans="1:25" ht="15.75" thickBot="1" x14ac:dyDescent="0.3">
      <c r="A897" s="82"/>
      <c r="B897" s="82"/>
      <c r="C897" s="87"/>
      <c r="D897" s="87"/>
      <c r="E897" s="82"/>
      <c r="F897" s="82"/>
      <c r="G897" s="82"/>
      <c r="H897" s="82"/>
      <c r="I897" s="82"/>
      <c r="J897" s="82"/>
      <c r="K897" s="82"/>
      <c r="L897" s="74"/>
      <c r="M897" s="74"/>
      <c r="N897" s="74"/>
      <c r="O897" s="74"/>
      <c r="P897" s="74"/>
      <c r="Q897" s="74"/>
      <c r="R897" s="74"/>
      <c r="S897" s="74"/>
      <c r="T897" s="74"/>
      <c r="U897" s="74"/>
      <c r="V897" s="74"/>
      <c r="W897" s="74"/>
      <c r="X897" s="74"/>
      <c r="Y897" s="74"/>
    </row>
    <row r="898" spans="1:25" ht="15.75" thickBot="1" x14ac:dyDescent="0.3">
      <c r="A898" s="83"/>
      <c r="B898" s="83"/>
      <c r="C898" s="88"/>
      <c r="D898" s="88"/>
      <c r="E898" s="83"/>
      <c r="F898" s="83"/>
      <c r="G898" s="83"/>
      <c r="H898" s="83"/>
      <c r="I898" s="83"/>
      <c r="J898" s="83"/>
      <c r="K898" s="83"/>
      <c r="L898" s="74"/>
      <c r="M898" s="74"/>
      <c r="N898" s="74"/>
      <c r="O898" s="74"/>
      <c r="P898" s="74"/>
      <c r="Q898" s="74"/>
      <c r="R898" s="74"/>
      <c r="S898" s="74"/>
      <c r="T898" s="74"/>
      <c r="U898" s="74"/>
      <c r="V898" s="74"/>
      <c r="W898" s="74"/>
      <c r="X898" s="74"/>
      <c r="Y898" s="74"/>
    </row>
    <row r="899" spans="1:25" ht="15.75" thickBot="1" x14ac:dyDescent="0.3">
      <c r="A899" s="82"/>
      <c r="B899" s="82"/>
      <c r="C899" s="87"/>
      <c r="D899" s="87"/>
      <c r="E899" s="82"/>
      <c r="F899" s="82"/>
      <c r="G899" s="82"/>
      <c r="H899" s="82"/>
      <c r="I899" s="82"/>
      <c r="J899" s="82"/>
      <c r="K899" s="82"/>
      <c r="L899" s="74"/>
      <c r="M899" s="74"/>
      <c r="N899" s="74"/>
      <c r="O899" s="74"/>
      <c r="P899" s="74"/>
      <c r="Q899" s="74"/>
      <c r="R899" s="74"/>
      <c r="S899" s="74"/>
      <c r="T899" s="74"/>
      <c r="U899" s="74"/>
      <c r="V899" s="74"/>
      <c r="W899" s="74"/>
      <c r="X899" s="74"/>
      <c r="Y899" s="74"/>
    </row>
    <row r="900" spans="1:25" ht="15.75" thickBot="1" x14ac:dyDescent="0.3">
      <c r="A900" s="83"/>
      <c r="B900" s="83"/>
      <c r="C900" s="88"/>
      <c r="D900" s="88"/>
      <c r="E900" s="83"/>
      <c r="F900" s="83"/>
      <c r="G900" s="83"/>
      <c r="H900" s="83"/>
      <c r="I900" s="83"/>
      <c r="J900" s="83"/>
      <c r="K900" s="83"/>
      <c r="L900" s="74"/>
      <c r="M900" s="74"/>
      <c r="N900" s="74"/>
      <c r="O900" s="74"/>
      <c r="P900" s="74"/>
      <c r="Q900" s="74"/>
      <c r="R900" s="74"/>
      <c r="S900" s="74"/>
      <c r="T900" s="74"/>
      <c r="U900" s="74"/>
      <c r="V900" s="74"/>
      <c r="W900" s="74"/>
      <c r="X900" s="74"/>
      <c r="Y900" s="74"/>
    </row>
    <row r="901" spans="1:25" ht="15.75" thickBot="1" x14ac:dyDescent="0.3">
      <c r="A901" s="82"/>
      <c r="B901" s="82"/>
      <c r="C901" s="87"/>
      <c r="D901" s="87"/>
      <c r="E901" s="82"/>
      <c r="F901" s="82"/>
      <c r="G901" s="82"/>
      <c r="H901" s="82"/>
      <c r="I901" s="82"/>
      <c r="J901" s="82"/>
      <c r="K901" s="82"/>
      <c r="L901" s="74"/>
      <c r="M901" s="74"/>
      <c r="N901" s="74"/>
      <c r="O901" s="74"/>
      <c r="P901" s="74"/>
      <c r="Q901" s="74"/>
      <c r="R901" s="74"/>
      <c r="S901" s="74"/>
      <c r="T901" s="74"/>
      <c r="U901" s="74"/>
      <c r="V901" s="74"/>
      <c r="W901" s="74"/>
      <c r="X901" s="74"/>
      <c r="Y901" s="74"/>
    </row>
    <row r="902" spans="1:25" ht="15.75" thickBot="1" x14ac:dyDescent="0.3">
      <c r="A902" s="83"/>
      <c r="B902" s="83"/>
      <c r="C902" s="88"/>
      <c r="D902" s="88"/>
      <c r="E902" s="83"/>
      <c r="F902" s="83"/>
      <c r="G902" s="83"/>
      <c r="H902" s="83"/>
      <c r="I902" s="83"/>
      <c r="J902" s="83"/>
      <c r="K902" s="83"/>
      <c r="L902" s="74"/>
      <c r="M902" s="74"/>
      <c r="N902" s="74"/>
      <c r="O902" s="74"/>
      <c r="P902" s="74"/>
      <c r="Q902" s="74"/>
      <c r="R902" s="74"/>
      <c r="S902" s="74"/>
      <c r="T902" s="74"/>
      <c r="U902" s="74"/>
      <c r="V902" s="74"/>
      <c r="W902" s="74"/>
      <c r="X902" s="74"/>
      <c r="Y902" s="74"/>
    </row>
    <row r="903" spans="1:25" ht="15.75" thickBot="1" x14ac:dyDescent="0.3">
      <c r="A903" s="82"/>
      <c r="B903" s="82"/>
      <c r="C903" s="87"/>
      <c r="D903" s="87"/>
      <c r="E903" s="82"/>
      <c r="F903" s="82"/>
      <c r="G903" s="82"/>
      <c r="H903" s="82"/>
      <c r="I903" s="82"/>
      <c r="J903" s="82"/>
      <c r="K903" s="82"/>
      <c r="L903" s="74"/>
      <c r="M903" s="74"/>
      <c r="N903" s="74"/>
      <c r="O903" s="74"/>
      <c r="P903" s="74"/>
      <c r="Q903" s="74"/>
      <c r="R903" s="74"/>
      <c r="S903" s="74"/>
      <c r="T903" s="74"/>
      <c r="U903" s="74"/>
      <c r="V903" s="74"/>
      <c r="W903" s="74"/>
      <c r="X903" s="74"/>
      <c r="Y903" s="74"/>
    </row>
    <row r="904" spans="1:25" ht="15.75" thickBot="1" x14ac:dyDescent="0.3">
      <c r="A904" s="83"/>
      <c r="B904" s="83"/>
      <c r="C904" s="88"/>
      <c r="D904" s="88"/>
      <c r="E904" s="83"/>
      <c r="F904" s="83"/>
      <c r="G904" s="83"/>
      <c r="H904" s="83"/>
      <c r="I904" s="83"/>
      <c r="J904" s="83"/>
      <c r="K904" s="83"/>
      <c r="L904" s="74"/>
      <c r="M904" s="74"/>
      <c r="N904" s="74"/>
      <c r="O904" s="74"/>
      <c r="P904" s="74"/>
      <c r="Q904" s="74"/>
      <c r="R904" s="74"/>
      <c r="S904" s="74"/>
      <c r="T904" s="74"/>
      <c r="U904" s="74"/>
      <c r="V904" s="74"/>
      <c r="W904" s="74"/>
      <c r="X904" s="74"/>
      <c r="Y904" s="74"/>
    </row>
    <row r="905" spans="1:25" ht="15.75" thickBot="1" x14ac:dyDescent="0.3">
      <c r="A905" s="82"/>
      <c r="B905" s="82"/>
      <c r="C905" s="87"/>
      <c r="D905" s="87"/>
      <c r="E905" s="82"/>
      <c r="F905" s="82"/>
      <c r="G905" s="82"/>
      <c r="H905" s="82"/>
      <c r="I905" s="82"/>
      <c r="J905" s="82"/>
      <c r="K905" s="82"/>
      <c r="L905" s="74"/>
      <c r="M905" s="74"/>
      <c r="N905" s="74"/>
      <c r="O905" s="74"/>
      <c r="P905" s="74"/>
      <c r="Q905" s="74"/>
      <c r="R905" s="74"/>
      <c r="S905" s="74"/>
      <c r="T905" s="74"/>
      <c r="U905" s="74"/>
      <c r="V905" s="74"/>
      <c r="W905" s="74"/>
      <c r="X905" s="74"/>
      <c r="Y905" s="74"/>
    </row>
    <row r="906" spans="1:25" ht="15.75" thickBot="1" x14ac:dyDescent="0.3">
      <c r="A906" s="83"/>
      <c r="B906" s="83"/>
      <c r="C906" s="88"/>
      <c r="D906" s="88"/>
      <c r="E906" s="83"/>
      <c r="F906" s="83"/>
      <c r="G906" s="83"/>
      <c r="H906" s="83"/>
      <c r="I906" s="83"/>
      <c r="J906" s="83"/>
      <c r="K906" s="83"/>
      <c r="L906" s="74"/>
      <c r="M906" s="74"/>
      <c r="N906" s="74"/>
      <c r="O906" s="74"/>
      <c r="P906" s="74"/>
      <c r="Q906" s="74"/>
      <c r="R906" s="74"/>
      <c r="S906" s="74"/>
      <c r="T906" s="74"/>
      <c r="U906" s="74"/>
      <c r="V906" s="74"/>
      <c r="W906" s="74"/>
      <c r="X906" s="74"/>
      <c r="Y906" s="74"/>
    </row>
    <row r="907" spans="1:25" ht="15.75" thickBot="1" x14ac:dyDescent="0.3">
      <c r="A907" s="82"/>
      <c r="B907" s="82"/>
      <c r="C907" s="87"/>
      <c r="D907" s="87"/>
      <c r="E907" s="82"/>
      <c r="F907" s="82"/>
      <c r="G907" s="82"/>
      <c r="H907" s="82"/>
      <c r="I907" s="82"/>
      <c r="J907" s="82"/>
      <c r="K907" s="82"/>
      <c r="L907" s="74"/>
      <c r="M907" s="74"/>
      <c r="N907" s="74"/>
      <c r="O907" s="74"/>
      <c r="P907" s="74"/>
      <c r="Q907" s="74"/>
      <c r="R907" s="74"/>
      <c r="S907" s="74"/>
      <c r="T907" s="74"/>
      <c r="U907" s="74"/>
      <c r="V907" s="74"/>
      <c r="W907" s="74"/>
      <c r="X907" s="74"/>
      <c r="Y907" s="74"/>
    </row>
    <row r="908" spans="1:25" ht="15.75" thickBot="1" x14ac:dyDescent="0.3">
      <c r="A908" s="83"/>
      <c r="B908" s="83"/>
      <c r="C908" s="88"/>
      <c r="D908" s="88"/>
      <c r="E908" s="83"/>
      <c r="F908" s="83"/>
      <c r="G908" s="83"/>
      <c r="H908" s="83"/>
      <c r="I908" s="83"/>
      <c r="J908" s="83"/>
      <c r="K908" s="83"/>
      <c r="L908" s="74"/>
      <c r="M908" s="74"/>
      <c r="N908" s="74"/>
      <c r="O908" s="74"/>
      <c r="P908" s="74"/>
      <c r="Q908" s="74"/>
      <c r="R908" s="74"/>
      <c r="S908" s="74"/>
      <c r="T908" s="74"/>
      <c r="U908" s="74"/>
      <c r="V908" s="74"/>
      <c r="W908" s="74"/>
      <c r="X908" s="74"/>
      <c r="Y908" s="74"/>
    </row>
    <row r="909" spans="1:25" ht="15.75" thickBot="1" x14ac:dyDescent="0.3">
      <c r="A909" s="82"/>
      <c r="B909" s="82"/>
      <c r="C909" s="87"/>
      <c r="D909" s="87"/>
      <c r="E909" s="82"/>
      <c r="F909" s="82"/>
      <c r="G909" s="82"/>
      <c r="H909" s="82"/>
      <c r="I909" s="82"/>
      <c r="J909" s="82"/>
      <c r="K909" s="82"/>
      <c r="L909" s="74"/>
      <c r="M909" s="74"/>
      <c r="N909" s="74"/>
      <c r="O909" s="74"/>
      <c r="P909" s="74"/>
      <c r="Q909" s="74"/>
      <c r="R909" s="74"/>
      <c r="S909" s="74"/>
      <c r="T909" s="74"/>
      <c r="U909" s="74"/>
      <c r="V909" s="74"/>
      <c r="W909" s="74"/>
      <c r="X909" s="74"/>
      <c r="Y909" s="74"/>
    </row>
    <row r="910" spans="1:25" ht="15.75" thickBot="1" x14ac:dyDescent="0.3">
      <c r="A910" s="83"/>
      <c r="B910" s="83"/>
      <c r="C910" s="88"/>
      <c r="D910" s="88"/>
      <c r="E910" s="83"/>
      <c r="F910" s="83"/>
      <c r="G910" s="83"/>
      <c r="H910" s="83"/>
      <c r="I910" s="83"/>
      <c r="J910" s="83"/>
      <c r="K910" s="83"/>
      <c r="L910" s="74"/>
      <c r="M910" s="74"/>
      <c r="N910" s="74"/>
      <c r="O910" s="74"/>
      <c r="P910" s="74"/>
      <c r="Q910" s="74"/>
      <c r="R910" s="74"/>
      <c r="S910" s="74"/>
      <c r="T910" s="74"/>
      <c r="U910" s="74"/>
      <c r="V910" s="74"/>
      <c r="W910" s="74"/>
      <c r="X910" s="74"/>
      <c r="Y910" s="74"/>
    </row>
    <row r="911" spans="1:25" ht="15.75" thickBot="1" x14ac:dyDescent="0.3">
      <c r="A911" s="82"/>
      <c r="B911" s="82"/>
      <c r="C911" s="87"/>
      <c r="D911" s="87"/>
      <c r="E911" s="82"/>
      <c r="F911" s="82"/>
      <c r="G911" s="82"/>
      <c r="H911" s="82"/>
      <c r="I911" s="82"/>
      <c r="J911" s="82"/>
      <c r="K911" s="82"/>
      <c r="L911" s="74"/>
      <c r="M911" s="74"/>
      <c r="N911" s="74"/>
      <c r="O911" s="74"/>
      <c r="P911" s="74"/>
      <c r="Q911" s="74"/>
      <c r="R911" s="74"/>
      <c r="S911" s="74"/>
      <c r="T911" s="74"/>
      <c r="U911" s="74"/>
      <c r="V911" s="74"/>
      <c r="W911" s="74"/>
      <c r="X911" s="74"/>
      <c r="Y911" s="74"/>
    </row>
    <row r="912" spans="1:25" ht="15.75" thickBot="1" x14ac:dyDescent="0.3">
      <c r="A912" s="83"/>
      <c r="B912" s="83"/>
      <c r="C912" s="88"/>
      <c r="D912" s="88"/>
      <c r="E912" s="83"/>
      <c r="F912" s="83"/>
      <c r="G912" s="83"/>
      <c r="H912" s="83"/>
      <c r="I912" s="83"/>
      <c r="J912" s="83"/>
      <c r="K912" s="83"/>
      <c r="L912" s="74"/>
      <c r="M912" s="74"/>
      <c r="N912" s="74"/>
      <c r="O912" s="74"/>
      <c r="P912" s="74"/>
      <c r="Q912" s="74"/>
      <c r="R912" s="74"/>
      <c r="S912" s="74"/>
      <c r="T912" s="74"/>
      <c r="U912" s="74"/>
      <c r="V912" s="74"/>
      <c r="W912" s="74"/>
      <c r="X912" s="74"/>
      <c r="Y912" s="74"/>
    </row>
    <row r="913" spans="1:25" ht="15.75" thickBot="1" x14ac:dyDescent="0.3">
      <c r="A913" s="82"/>
      <c r="B913" s="82"/>
      <c r="C913" s="87"/>
      <c r="D913" s="87"/>
      <c r="E913" s="82"/>
      <c r="F913" s="82"/>
      <c r="G913" s="82"/>
      <c r="H913" s="82"/>
      <c r="I913" s="82"/>
      <c r="J913" s="82"/>
      <c r="K913" s="82"/>
      <c r="L913" s="74"/>
      <c r="M913" s="74"/>
      <c r="N913" s="74"/>
      <c r="O913" s="74"/>
      <c r="P913" s="74"/>
      <c r="Q913" s="74"/>
      <c r="R913" s="74"/>
      <c r="S913" s="74"/>
      <c r="T913" s="74"/>
      <c r="U913" s="74"/>
      <c r="V913" s="74"/>
      <c r="W913" s="74"/>
      <c r="X913" s="74"/>
      <c r="Y913" s="74"/>
    </row>
    <row r="914" spans="1:25" ht="15.75" thickBot="1" x14ac:dyDescent="0.3">
      <c r="A914" s="83"/>
      <c r="B914" s="83"/>
      <c r="C914" s="88"/>
      <c r="D914" s="88"/>
      <c r="E914" s="83"/>
      <c r="F914" s="83"/>
      <c r="G914" s="83"/>
      <c r="H914" s="83"/>
      <c r="I914" s="83"/>
      <c r="J914" s="83"/>
      <c r="K914" s="83"/>
      <c r="L914" s="74"/>
      <c r="M914" s="74"/>
      <c r="N914" s="74"/>
      <c r="O914" s="74"/>
      <c r="P914" s="74"/>
      <c r="Q914" s="74"/>
      <c r="R914" s="74"/>
      <c r="S914" s="74"/>
      <c r="T914" s="74"/>
      <c r="U914" s="74"/>
      <c r="V914" s="74"/>
      <c r="W914" s="74"/>
      <c r="X914" s="74"/>
      <c r="Y914" s="74"/>
    </row>
    <row r="915" spans="1:25" ht="15.75" thickBot="1" x14ac:dyDescent="0.3">
      <c r="A915" s="82"/>
      <c r="B915" s="82"/>
      <c r="C915" s="87"/>
      <c r="D915" s="87"/>
      <c r="E915" s="82"/>
      <c r="F915" s="82"/>
      <c r="G915" s="82"/>
      <c r="H915" s="82"/>
      <c r="I915" s="82"/>
      <c r="J915" s="82"/>
      <c r="K915" s="82"/>
      <c r="L915" s="74"/>
      <c r="M915" s="74"/>
      <c r="N915" s="74"/>
      <c r="O915" s="74"/>
      <c r="P915" s="74"/>
      <c r="Q915" s="74"/>
      <c r="R915" s="74"/>
      <c r="S915" s="74"/>
      <c r="T915" s="74"/>
      <c r="U915" s="74"/>
      <c r="V915" s="74"/>
      <c r="W915" s="74"/>
      <c r="X915" s="74"/>
      <c r="Y915" s="74"/>
    </row>
    <row r="916" spans="1:25" ht="15.75" thickBot="1" x14ac:dyDescent="0.3">
      <c r="A916" s="83"/>
      <c r="B916" s="83"/>
      <c r="C916" s="88"/>
      <c r="D916" s="88"/>
      <c r="E916" s="83"/>
      <c r="F916" s="83"/>
      <c r="G916" s="83"/>
      <c r="H916" s="83"/>
      <c r="I916" s="83"/>
      <c r="J916" s="83"/>
      <c r="K916" s="83"/>
      <c r="L916" s="74"/>
      <c r="M916" s="74"/>
      <c r="N916" s="74"/>
      <c r="O916" s="74"/>
      <c r="P916" s="74"/>
      <c r="Q916" s="74"/>
      <c r="R916" s="74"/>
      <c r="S916" s="74"/>
      <c r="T916" s="74"/>
      <c r="U916" s="74"/>
      <c r="V916" s="74"/>
      <c r="W916" s="74"/>
      <c r="X916" s="74"/>
      <c r="Y916" s="74"/>
    </row>
    <row r="917" spans="1:25" ht="15.75" thickBot="1" x14ac:dyDescent="0.3">
      <c r="A917" s="82"/>
      <c r="B917" s="82"/>
      <c r="C917" s="87"/>
      <c r="D917" s="87"/>
      <c r="E917" s="82"/>
      <c r="F917" s="82"/>
      <c r="G917" s="82"/>
      <c r="H917" s="82"/>
      <c r="I917" s="82"/>
      <c r="J917" s="82"/>
      <c r="K917" s="82"/>
      <c r="L917" s="74"/>
      <c r="M917" s="74"/>
      <c r="N917" s="74"/>
      <c r="O917" s="74"/>
      <c r="P917" s="74"/>
      <c r="Q917" s="74"/>
      <c r="R917" s="74"/>
      <c r="S917" s="74"/>
      <c r="T917" s="74"/>
      <c r="U917" s="74"/>
      <c r="V917" s="74"/>
      <c r="W917" s="74"/>
      <c r="X917" s="74"/>
      <c r="Y917" s="74"/>
    </row>
    <row r="918" spans="1:25" ht="15.75" thickBot="1" x14ac:dyDescent="0.3">
      <c r="A918" s="83"/>
      <c r="B918" s="83"/>
      <c r="C918" s="88"/>
      <c r="D918" s="88"/>
      <c r="E918" s="83"/>
      <c r="F918" s="83"/>
      <c r="G918" s="83"/>
      <c r="H918" s="83"/>
      <c r="I918" s="83"/>
      <c r="J918" s="83"/>
      <c r="K918" s="83"/>
      <c r="L918" s="74"/>
      <c r="M918" s="74"/>
      <c r="N918" s="74"/>
      <c r="O918" s="74"/>
      <c r="P918" s="74"/>
      <c r="Q918" s="74"/>
      <c r="R918" s="74"/>
      <c r="S918" s="74"/>
      <c r="T918" s="74"/>
      <c r="U918" s="74"/>
      <c r="V918" s="74"/>
      <c r="W918" s="74"/>
      <c r="X918" s="74"/>
      <c r="Y918" s="74"/>
    </row>
    <row r="919" spans="1:25" ht="15.75" thickBot="1" x14ac:dyDescent="0.3">
      <c r="A919" s="82"/>
      <c r="B919" s="82"/>
      <c r="C919" s="87"/>
      <c r="D919" s="87"/>
      <c r="E919" s="82"/>
      <c r="F919" s="82"/>
      <c r="G919" s="82"/>
      <c r="H919" s="82"/>
      <c r="I919" s="82"/>
      <c r="J919" s="82"/>
      <c r="K919" s="82"/>
      <c r="L919" s="74"/>
      <c r="M919" s="74"/>
      <c r="N919" s="74"/>
      <c r="O919" s="74"/>
      <c r="P919" s="74"/>
      <c r="Q919" s="74"/>
      <c r="R919" s="74"/>
      <c r="S919" s="74"/>
      <c r="T919" s="74"/>
      <c r="U919" s="74"/>
      <c r="V919" s="74"/>
      <c r="W919" s="74"/>
      <c r="X919" s="74"/>
      <c r="Y919" s="74"/>
    </row>
    <row r="920" spans="1:25" ht="15.75" thickBot="1" x14ac:dyDescent="0.3">
      <c r="A920" s="83"/>
      <c r="B920" s="83"/>
      <c r="C920" s="88"/>
      <c r="D920" s="88"/>
      <c r="E920" s="83"/>
      <c r="F920" s="83"/>
      <c r="G920" s="83"/>
      <c r="H920" s="83"/>
      <c r="I920" s="83"/>
      <c r="J920" s="83"/>
      <c r="K920" s="83"/>
      <c r="L920" s="74"/>
      <c r="M920" s="74"/>
      <c r="N920" s="74"/>
      <c r="O920" s="74"/>
      <c r="P920" s="74"/>
      <c r="Q920" s="74"/>
      <c r="R920" s="74"/>
      <c r="S920" s="74"/>
      <c r="T920" s="74"/>
      <c r="U920" s="74"/>
      <c r="V920" s="74"/>
      <c r="W920" s="74"/>
      <c r="X920" s="74"/>
      <c r="Y920" s="74"/>
    </row>
    <row r="921" spans="1:25" ht="15.75" thickBot="1" x14ac:dyDescent="0.3">
      <c r="A921" s="82"/>
      <c r="B921" s="82"/>
      <c r="C921" s="87"/>
      <c r="D921" s="87"/>
      <c r="E921" s="82"/>
      <c r="F921" s="82"/>
      <c r="G921" s="82"/>
      <c r="H921" s="82"/>
      <c r="I921" s="82"/>
      <c r="J921" s="82"/>
      <c r="K921" s="82"/>
      <c r="L921" s="74"/>
      <c r="M921" s="74"/>
      <c r="N921" s="74"/>
      <c r="O921" s="74"/>
      <c r="P921" s="74"/>
      <c r="Q921" s="74"/>
      <c r="R921" s="74"/>
      <c r="S921" s="74"/>
      <c r="T921" s="74"/>
      <c r="U921" s="74"/>
      <c r="V921" s="74"/>
      <c r="W921" s="74"/>
      <c r="X921" s="74"/>
      <c r="Y921" s="74"/>
    </row>
    <row r="922" spans="1:25" ht="15.75" thickBot="1" x14ac:dyDescent="0.3">
      <c r="A922" s="83"/>
      <c r="B922" s="83"/>
      <c r="C922" s="88"/>
      <c r="D922" s="88"/>
      <c r="E922" s="83"/>
      <c r="F922" s="83"/>
      <c r="G922" s="83"/>
      <c r="H922" s="83"/>
      <c r="I922" s="83"/>
      <c r="J922" s="83"/>
      <c r="K922" s="83"/>
      <c r="L922" s="74"/>
      <c r="M922" s="74"/>
      <c r="N922" s="74"/>
      <c r="O922" s="74"/>
      <c r="P922" s="74"/>
      <c r="Q922" s="74"/>
      <c r="R922" s="74"/>
      <c r="S922" s="74"/>
      <c r="T922" s="74"/>
      <c r="U922" s="74"/>
      <c r="V922" s="74"/>
      <c r="W922" s="74"/>
      <c r="X922" s="74"/>
      <c r="Y922" s="74"/>
    </row>
    <row r="923" spans="1:25" ht="15.75" thickBot="1" x14ac:dyDescent="0.3">
      <c r="A923" s="82"/>
      <c r="B923" s="82"/>
      <c r="C923" s="87"/>
      <c r="D923" s="87"/>
      <c r="E923" s="82"/>
      <c r="F923" s="82"/>
      <c r="G923" s="82"/>
      <c r="H923" s="82"/>
      <c r="I923" s="82"/>
      <c r="J923" s="82"/>
      <c r="K923" s="82"/>
      <c r="L923" s="74"/>
      <c r="M923" s="74"/>
      <c r="N923" s="74"/>
      <c r="O923" s="74"/>
      <c r="P923" s="74"/>
      <c r="Q923" s="74"/>
      <c r="R923" s="74"/>
      <c r="S923" s="74"/>
      <c r="T923" s="74"/>
      <c r="U923" s="74"/>
      <c r="V923" s="74"/>
      <c r="W923" s="74"/>
      <c r="X923" s="74"/>
      <c r="Y923" s="74"/>
    </row>
    <row r="924" spans="1:25" ht="15.75" thickBot="1" x14ac:dyDescent="0.3">
      <c r="A924" s="83"/>
      <c r="B924" s="83"/>
      <c r="C924" s="88"/>
      <c r="D924" s="88"/>
      <c r="E924" s="83"/>
      <c r="F924" s="83"/>
      <c r="G924" s="83"/>
      <c r="H924" s="83"/>
      <c r="I924" s="83"/>
      <c r="J924" s="83"/>
      <c r="K924" s="83"/>
      <c r="L924" s="74"/>
      <c r="M924" s="74"/>
      <c r="N924" s="74"/>
      <c r="O924" s="74"/>
      <c r="P924" s="74"/>
      <c r="Q924" s="74"/>
      <c r="R924" s="74"/>
      <c r="S924" s="74"/>
      <c r="T924" s="74"/>
      <c r="U924" s="74"/>
      <c r="V924" s="74"/>
      <c r="W924" s="74"/>
      <c r="X924" s="74"/>
      <c r="Y924" s="74"/>
    </row>
    <row r="925" spans="1:25" ht="15.75" thickBot="1" x14ac:dyDescent="0.3">
      <c r="A925" s="82"/>
      <c r="B925" s="82"/>
      <c r="C925" s="87"/>
      <c r="D925" s="87"/>
      <c r="E925" s="82"/>
      <c r="F925" s="82"/>
      <c r="G925" s="82"/>
      <c r="H925" s="82"/>
      <c r="I925" s="82"/>
      <c r="J925" s="82"/>
      <c r="K925" s="82"/>
      <c r="L925" s="74"/>
      <c r="M925" s="74"/>
      <c r="N925" s="74"/>
      <c r="O925" s="74"/>
      <c r="P925" s="74"/>
      <c r="Q925" s="74"/>
      <c r="R925" s="74"/>
      <c r="S925" s="74"/>
      <c r="T925" s="74"/>
      <c r="U925" s="74"/>
      <c r="V925" s="74"/>
      <c r="W925" s="74"/>
      <c r="X925" s="74"/>
      <c r="Y925" s="74"/>
    </row>
    <row r="926" spans="1:25" ht="15.75" thickBot="1" x14ac:dyDescent="0.3">
      <c r="A926" s="83"/>
      <c r="B926" s="83"/>
      <c r="C926" s="88"/>
      <c r="D926" s="88"/>
      <c r="E926" s="83"/>
      <c r="F926" s="83"/>
      <c r="G926" s="83"/>
      <c r="H926" s="83"/>
      <c r="I926" s="83"/>
      <c r="J926" s="83"/>
      <c r="K926" s="83"/>
      <c r="L926" s="74"/>
      <c r="M926" s="74"/>
      <c r="N926" s="74"/>
      <c r="O926" s="74"/>
      <c r="P926" s="74"/>
      <c r="Q926" s="74"/>
      <c r="R926" s="74"/>
      <c r="S926" s="74"/>
      <c r="T926" s="74"/>
      <c r="U926" s="74"/>
      <c r="V926" s="74"/>
      <c r="W926" s="74"/>
      <c r="X926" s="74"/>
      <c r="Y926" s="74"/>
    </row>
    <row r="927" spans="1:25" ht="15.75" thickBot="1" x14ac:dyDescent="0.3">
      <c r="A927" s="82"/>
      <c r="B927" s="82"/>
      <c r="C927" s="87"/>
      <c r="D927" s="87"/>
      <c r="E927" s="82"/>
      <c r="F927" s="82"/>
      <c r="G927" s="82"/>
      <c r="H927" s="82"/>
      <c r="I927" s="82"/>
      <c r="J927" s="82"/>
      <c r="K927" s="82"/>
      <c r="L927" s="74"/>
      <c r="M927" s="74"/>
      <c r="N927" s="74"/>
      <c r="O927" s="74"/>
      <c r="P927" s="74"/>
      <c r="Q927" s="74"/>
      <c r="R927" s="74"/>
      <c r="S927" s="74"/>
      <c r="T927" s="74"/>
      <c r="U927" s="74"/>
      <c r="V927" s="74"/>
      <c r="W927" s="74"/>
      <c r="X927" s="74"/>
      <c r="Y927" s="74"/>
    </row>
    <row r="928" spans="1:25" ht="15.75" thickBot="1" x14ac:dyDescent="0.3">
      <c r="A928" s="83"/>
      <c r="B928" s="83"/>
      <c r="C928" s="88"/>
      <c r="D928" s="88"/>
      <c r="E928" s="83"/>
      <c r="F928" s="83"/>
      <c r="G928" s="83"/>
      <c r="H928" s="83"/>
      <c r="I928" s="83"/>
      <c r="J928" s="83"/>
      <c r="K928" s="83"/>
      <c r="L928" s="74"/>
      <c r="M928" s="74"/>
      <c r="N928" s="74"/>
      <c r="O928" s="74"/>
      <c r="P928" s="74"/>
      <c r="Q928" s="74"/>
      <c r="R928" s="74"/>
      <c r="S928" s="74"/>
      <c r="T928" s="74"/>
      <c r="U928" s="74"/>
      <c r="V928" s="74"/>
      <c r="W928" s="74"/>
      <c r="X928" s="74"/>
      <c r="Y928" s="74"/>
    </row>
    <row r="929" spans="1:25" ht="15.75" thickBot="1" x14ac:dyDescent="0.3">
      <c r="A929" s="82"/>
      <c r="B929" s="82"/>
      <c r="C929" s="87"/>
      <c r="D929" s="87"/>
      <c r="E929" s="82"/>
      <c r="F929" s="82"/>
      <c r="G929" s="82"/>
      <c r="H929" s="82"/>
      <c r="I929" s="82"/>
      <c r="J929" s="82"/>
      <c r="K929" s="82"/>
      <c r="L929" s="74"/>
      <c r="M929" s="74"/>
      <c r="N929" s="74"/>
      <c r="O929" s="74"/>
      <c r="P929" s="74"/>
      <c r="Q929" s="74"/>
      <c r="R929" s="74"/>
      <c r="S929" s="74"/>
      <c r="T929" s="74"/>
      <c r="U929" s="74"/>
      <c r="V929" s="74"/>
      <c r="W929" s="74"/>
      <c r="X929" s="74"/>
      <c r="Y929" s="74"/>
    </row>
    <row r="930" spans="1:25" ht="15.75" thickBot="1" x14ac:dyDescent="0.3">
      <c r="A930" s="83"/>
      <c r="B930" s="83"/>
      <c r="C930" s="88"/>
      <c r="D930" s="88"/>
      <c r="E930" s="83"/>
      <c r="F930" s="83"/>
      <c r="G930" s="83"/>
      <c r="H930" s="83"/>
      <c r="I930" s="83"/>
      <c r="J930" s="83"/>
      <c r="K930" s="83"/>
      <c r="L930" s="74"/>
      <c r="M930" s="74"/>
      <c r="N930" s="74"/>
      <c r="O930" s="74"/>
      <c r="P930" s="74"/>
      <c r="Q930" s="74"/>
      <c r="R930" s="74"/>
      <c r="S930" s="74"/>
      <c r="T930" s="74"/>
      <c r="U930" s="74"/>
      <c r="V930" s="74"/>
      <c r="W930" s="74"/>
      <c r="X930" s="74"/>
      <c r="Y930" s="74"/>
    </row>
    <row r="931" spans="1:25" ht="15.75" thickBot="1" x14ac:dyDescent="0.3">
      <c r="A931" s="82"/>
      <c r="B931" s="82"/>
      <c r="C931" s="87"/>
      <c r="D931" s="87"/>
      <c r="E931" s="82"/>
      <c r="F931" s="82"/>
      <c r="G931" s="82"/>
      <c r="H931" s="82"/>
      <c r="I931" s="82"/>
      <c r="J931" s="82"/>
      <c r="K931" s="82"/>
      <c r="L931" s="74"/>
      <c r="M931" s="74"/>
      <c r="N931" s="74"/>
      <c r="O931" s="74"/>
      <c r="P931" s="74"/>
      <c r="Q931" s="74"/>
      <c r="R931" s="74"/>
      <c r="S931" s="74"/>
      <c r="T931" s="74"/>
      <c r="U931" s="74"/>
      <c r="V931" s="74"/>
      <c r="W931" s="74"/>
      <c r="X931" s="74"/>
      <c r="Y931" s="74"/>
    </row>
    <row r="932" spans="1:25" ht="15.75" thickBot="1" x14ac:dyDescent="0.3">
      <c r="A932" s="83"/>
      <c r="B932" s="83"/>
      <c r="C932" s="88"/>
      <c r="D932" s="88"/>
      <c r="E932" s="83"/>
      <c r="F932" s="83"/>
      <c r="G932" s="83"/>
      <c r="H932" s="83"/>
      <c r="I932" s="83"/>
      <c r="J932" s="83"/>
      <c r="K932" s="83"/>
      <c r="L932" s="74"/>
      <c r="M932" s="74"/>
      <c r="N932" s="74"/>
      <c r="O932" s="74"/>
      <c r="P932" s="74"/>
      <c r="Q932" s="74"/>
      <c r="R932" s="74"/>
      <c r="S932" s="74"/>
      <c r="T932" s="74"/>
      <c r="U932" s="74"/>
      <c r="V932" s="74"/>
      <c r="W932" s="74"/>
      <c r="X932" s="74"/>
      <c r="Y932" s="74"/>
    </row>
    <row r="933" spans="1:25" ht="15.75" thickBot="1" x14ac:dyDescent="0.3">
      <c r="A933" s="82"/>
      <c r="B933" s="82"/>
      <c r="C933" s="87"/>
      <c r="D933" s="87"/>
      <c r="E933" s="82"/>
      <c r="F933" s="82"/>
      <c r="G933" s="82"/>
      <c r="H933" s="82"/>
      <c r="I933" s="82"/>
      <c r="J933" s="82"/>
      <c r="K933" s="82"/>
      <c r="L933" s="74"/>
      <c r="M933" s="74"/>
      <c r="N933" s="74"/>
      <c r="O933" s="74"/>
      <c r="P933" s="74"/>
      <c r="Q933" s="74"/>
      <c r="R933" s="74"/>
      <c r="S933" s="74"/>
      <c r="T933" s="74"/>
      <c r="U933" s="74"/>
      <c r="V933" s="74"/>
      <c r="W933" s="74"/>
      <c r="X933" s="74"/>
      <c r="Y933" s="74"/>
    </row>
    <row r="934" spans="1:25" ht="15.75" thickBot="1" x14ac:dyDescent="0.3">
      <c r="A934" s="83"/>
      <c r="B934" s="83"/>
      <c r="C934" s="88"/>
      <c r="D934" s="88"/>
      <c r="E934" s="83"/>
      <c r="F934" s="83"/>
      <c r="G934" s="83"/>
      <c r="H934" s="83"/>
      <c r="I934" s="83"/>
      <c r="J934" s="83"/>
      <c r="K934" s="83"/>
      <c r="L934" s="74"/>
      <c r="M934" s="74"/>
      <c r="N934" s="74"/>
      <c r="O934" s="74"/>
      <c r="P934" s="74"/>
      <c r="Q934" s="74"/>
      <c r="R934" s="74"/>
      <c r="S934" s="74"/>
      <c r="T934" s="74"/>
      <c r="U934" s="74"/>
      <c r="V934" s="74"/>
      <c r="W934" s="74"/>
      <c r="X934" s="74"/>
      <c r="Y934" s="74"/>
    </row>
    <row r="935" spans="1:25" ht="15.75" thickBot="1" x14ac:dyDescent="0.3">
      <c r="A935" s="82"/>
      <c r="B935" s="82"/>
      <c r="C935" s="87"/>
      <c r="D935" s="87"/>
      <c r="E935" s="82"/>
      <c r="F935" s="82"/>
      <c r="G935" s="82"/>
      <c r="H935" s="82"/>
      <c r="I935" s="82"/>
      <c r="J935" s="82"/>
      <c r="K935" s="82"/>
      <c r="L935" s="74"/>
      <c r="M935" s="74"/>
      <c r="N935" s="74"/>
      <c r="O935" s="74"/>
      <c r="P935" s="74"/>
      <c r="Q935" s="74"/>
      <c r="R935" s="74"/>
      <c r="S935" s="74"/>
      <c r="T935" s="74"/>
      <c r="U935" s="74"/>
      <c r="V935" s="74"/>
      <c r="W935" s="74"/>
      <c r="X935" s="74"/>
      <c r="Y935" s="74"/>
    </row>
    <row r="936" spans="1:25" ht="15.75" thickBot="1" x14ac:dyDescent="0.3">
      <c r="A936" s="83"/>
      <c r="B936" s="83"/>
      <c r="C936" s="88"/>
      <c r="D936" s="88"/>
      <c r="E936" s="83"/>
      <c r="F936" s="83"/>
      <c r="G936" s="83"/>
      <c r="H936" s="83"/>
      <c r="I936" s="83"/>
      <c r="J936" s="83"/>
      <c r="K936" s="83"/>
      <c r="L936" s="74"/>
      <c r="M936" s="74"/>
      <c r="N936" s="74"/>
      <c r="O936" s="74"/>
      <c r="P936" s="74"/>
      <c r="Q936" s="74"/>
      <c r="R936" s="74"/>
      <c r="S936" s="74"/>
      <c r="T936" s="74"/>
      <c r="U936" s="74"/>
      <c r="V936" s="74"/>
      <c r="W936" s="74"/>
      <c r="X936" s="74"/>
      <c r="Y936" s="74"/>
    </row>
    <row r="937" spans="1:25" ht="15.75" thickBot="1" x14ac:dyDescent="0.3">
      <c r="A937" s="82"/>
      <c r="B937" s="82"/>
      <c r="C937" s="87"/>
      <c r="D937" s="87"/>
      <c r="E937" s="82"/>
      <c r="F937" s="82"/>
      <c r="G937" s="82"/>
      <c r="H937" s="82"/>
      <c r="I937" s="82"/>
      <c r="J937" s="82"/>
      <c r="K937" s="82"/>
      <c r="L937" s="74"/>
      <c r="M937" s="74"/>
      <c r="N937" s="74"/>
      <c r="O937" s="74"/>
      <c r="P937" s="74"/>
      <c r="Q937" s="74"/>
      <c r="R937" s="74"/>
      <c r="S937" s="74"/>
      <c r="T937" s="74"/>
      <c r="U937" s="74"/>
      <c r="V937" s="74"/>
      <c r="W937" s="74"/>
      <c r="X937" s="74"/>
      <c r="Y937" s="74"/>
    </row>
    <row r="938" spans="1:25" ht="15.75" thickBot="1" x14ac:dyDescent="0.3">
      <c r="A938" s="83"/>
      <c r="B938" s="83"/>
      <c r="C938" s="88"/>
      <c r="D938" s="88"/>
      <c r="E938" s="83"/>
      <c r="F938" s="83"/>
      <c r="G938" s="83"/>
      <c r="H938" s="83"/>
      <c r="I938" s="83"/>
      <c r="J938" s="83"/>
      <c r="K938" s="83"/>
      <c r="L938" s="74"/>
      <c r="M938" s="74"/>
      <c r="N938" s="74"/>
      <c r="O938" s="74"/>
      <c r="P938" s="74"/>
      <c r="Q938" s="74"/>
      <c r="R938" s="74"/>
      <c r="S938" s="74"/>
      <c r="T938" s="74"/>
      <c r="U938" s="74"/>
      <c r="V938" s="74"/>
      <c r="W938" s="74"/>
      <c r="X938" s="74"/>
      <c r="Y938" s="74"/>
    </row>
    <row r="939" spans="1:25" ht="15.75" thickBot="1" x14ac:dyDescent="0.3">
      <c r="A939" s="82"/>
      <c r="B939" s="82"/>
      <c r="C939" s="87"/>
      <c r="D939" s="87"/>
      <c r="E939" s="82"/>
      <c r="F939" s="82"/>
      <c r="G939" s="82"/>
      <c r="H939" s="82"/>
      <c r="I939" s="82"/>
      <c r="J939" s="82"/>
      <c r="K939" s="82"/>
      <c r="L939" s="74"/>
      <c r="M939" s="74"/>
      <c r="N939" s="74"/>
      <c r="O939" s="74"/>
      <c r="P939" s="74"/>
      <c r="Q939" s="74"/>
      <c r="R939" s="74"/>
      <c r="S939" s="74"/>
      <c r="T939" s="74"/>
      <c r="U939" s="74"/>
      <c r="V939" s="74"/>
      <c r="W939" s="74"/>
      <c r="X939" s="74"/>
      <c r="Y939" s="74"/>
    </row>
    <row r="940" spans="1:25" ht="15.75" thickBot="1" x14ac:dyDescent="0.3">
      <c r="A940" s="83"/>
      <c r="B940" s="83"/>
      <c r="C940" s="88"/>
      <c r="D940" s="88"/>
      <c r="E940" s="83"/>
      <c r="F940" s="83"/>
      <c r="G940" s="83"/>
      <c r="H940" s="83"/>
      <c r="I940" s="83"/>
      <c r="J940" s="83"/>
      <c r="K940" s="83"/>
      <c r="L940" s="74"/>
      <c r="M940" s="74"/>
      <c r="N940" s="74"/>
      <c r="O940" s="74"/>
      <c r="P940" s="74"/>
      <c r="Q940" s="74"/>
      <c r="R940" s="74"/>
      <c r="S940" s="74"/>
      <c r="T940" s="74"/>
      <c r="U940" s="74"/>
      <c r="V940" s="74"/>
      <c r="W940" s="74"/>
      <c r="X940" s="74"/>
      <c r="Y940" s="74"/>
    </row>
    <row r="941" spans="1:25" ht="15.75" thickBot="1" x14ac:dyDescent="0.3">
      <c r="A941" s="82"/>
      <c r="B941" s="82"/>
      <c r="C941" s="87"/>
      <c r="D941" s="87"/>
      <c r="E941" s="82"/>
      <c r="F941" s="82"/>
      <c r="G941" s="82"/>
      <c r="H941" s="82"/>
      <c r="I941" s="82"/>
      <c r="J941" s="82"/>
      <c r="K941" s="82"/>
      <c r="L941" s="74"/>
      <c r="M941" s="74"/>
      <c r="N941" s="74"/>
      <c r="O941" s="74"/>
      <c r="P941" s="74"/>
      <c r="Q941" s="74"/>
      <c r="R941" s="74"/>
      <c r="S941" s="74"/>
      <c r="T941" s="74"/>
      <c r="U941" s="74"/>
      <c r="V941" s="74"/>
      <c r="W941" s="74"/>
      <c r="X941" s="74"/>
      <c r="Y941" s="74"/>
    </row>
    <row r="942" spans="1:25" ht="15.75" thickBot="1" x14ac:dyDescent="0.3">
      <c r="A942" s="83"/>
      <c r="B942" s="83"/>
      <c r="C942" s="88"/>
      <c r="D942" s="88"/>
      <c r="E942" s="83"/>
      <c r="F942" s="83"/>
      <c r="G942" s="83"/>
      <c r="H942" s="83"/>
      <c r="I942" s="83"/>
      <c r="J942" s="83"/>
      <c r="K942" s="83"/>
      <c r="L942" s="74"/>
      <c r="M942" s="74"/>
      <c r="N942" s="74"/>
      <c r="O942" s="74"/>
      <c r="P942" s="74"/>
      <c r="Q942" s="74"/>
      <c r="R942" s="74"/>
      <c r="S942" s="74"/>
      <c r="T942" s="74"/>
      <c r="U942" s="74"/>
      <c r="V942" s="74"/>
      <c r="W942" s="74"/>
      <c r="X942" s="74"/>
      <c r="Y942" s="74"/>
    </row>
    <row r="943" spans="1:25" ht="15.75" thickBot="1" x14ac:dyDescent="0.3">
      <c r="A943" s="82"/>
      <c r="B943" s="82"/>
      <c r="C943" s="87"/>
      <c r="D943" s="87"/>
      <c r="E943" s="82"/>
      <c r="F943" s="82"/>
      <c r="G943" s="82"/>
      <c r="H943" s="82"/>
      <c r="I943" s="82"/>
      <c r="J943" s="82"/>
      <c r="K943" s="82"/>
      <c r="L943" s="74"/>
      <c r="M943" s="74"/>
      <c r="N943" s="74"/>
      <c r="O943" s="74"/>
      <c r="P943" s="74"/>
      <c r="Q943" s="74"/>
      <c r="R943" s="74"/>
      <c r="S943" s="74"/>
      <c r="T943" s="74"/>
      <c r="U943" s="74"/>
      <c r="V943" s="74"/>
      <c r="W943" s="74"/>
      <c r="X943" s="74"/>
      <c r="Y943" s="74"/>
    </row>
    <row r="944" spans="1:25" ht="15.75" thickBot="1" x14ac:dyDescent="0.3">
      <c r="A944" s="83"/>
      <c r="B944" s="83"/>
      <c r="C944" s="88"/>
      <c r="D944" s="88"/>
      <c r="E944" s="83"/>
      <c r="F944" s="83"/>
      <c r="G944" s="83"/>
      <c r="H944" s="83"/>
      <c r="I944" s="83"/>
      <c r="J944" s="83"/>
      <c r="K944" s="83"/>
      <c r="L944" s="74"/>
      <c r="M944" s="74"/>
      <c r="N944" s="74"/>
      <c r="O944" s="74"/>
      <c r="P944" s="74"/>
      <c r="Q944" s="74"/>
      <c r="R944" s="74"/>
      <c r="S944" s="74"/>
      <c r="T944" s="74"/>
      <c r="U944" s="74"/>
      <c r="V944" s="74"/>
      <c r="W944" s="74"/>
      <c r="X944" s="74"/>
      <c r="Y944" s="74"/>
    </row>
    <row r="945" spans="1:25" ht="15.75" thickBot="1" x14ac:dyDescent="0.3">
      <c r="A945" s="82"/>
      <c r="B945" s="82"/>
      <c r="C945" s="87"/>
      <c r="D945" s="87"/>
      <c r="E945" s="82"/>
      <c r="F945" s="82"/>
      <c r="G945" s="82"/>
      <c r="H945" s="82"/>
      <c r="I945" s="82"/>
      <c r="J945" s="82"/>
      <c r="K945" s="82"/>
      <c r="L945" s="74"/>
      <c r="M945" s="74"/>
      <c r="N945" s="74"/>
      <c r="O945" s="74"/>
      <c r="P945" s="74"/>
      <c r="Q945" s="74"/>
      <c r="R945" s="74"/>
      <c r="S945" s="74"/>
      <c r="T945" s="74"/>
      <c r="U945" s="74"/>
      <c r="V945" s="74"/>
      <c r="W945" s="74"/>
      <c r="X945" s="74"/>
      <c r="Y945" s="74"/>
    </row>
    <row r="946" spans="1:25" ht="15.75" thickBot="1" x14ac:dyDescent="0.3">
      <c r="A946" s="83"/>
      <c r="B946" s="83"/>
      <c r="C946" s="88"/>
      <c r="D946" s="88"/>
      <c r="E946" s="83"/>
      <c r="F946" s="83"/>
      <c r="G946" s="83"/>
      <c r="H946" s="83"/>
      <c r="I946" s="83"/>
      <c r="J946" s="83"/>
      <c r="K946" s="83"/>
      <c r="L946" s="74"/>
      <c r="M946" s="74"/>
      <c r="N946" s="74"/>
      <c r="O946" s="74"/>
      <c r="P946" s="74"/>
      <c r="Q946" s="74"/>
      <c r="R946" s="74"/>
      <c r="S946" s="74"/>
      <c r="T946" s="74"/>
      <c r="U946" s="74"/>
      <c r="V946" s="74"/>
      <c r="W946" s="74"/>
      <c r="X946" s="74"/>
      <c r="Y946" s="74"/>
    </row>
    <row r="947" spans="1:25" ht="15.75" thickBot="1" x14ac:dyDescent="0.3">
      <c r="A947" s="82"/>
      <c r="B947" s="82"/>
      <c r="C947" s="87"/>
      <c r="D947" s="87"/>
      <c r="E947" s="82"/>
      <c r="F947" s="82"/>
      <c r="G947" s="82"/>
      <c r="H947" s="82"/>
      <c r="I947" s="82"/>
      <c r="J947" s="82"/>
      <c r="K947" s="82"/>
      <c r="L947" s="74"/>
      <c r="M947" s="74"/>
      <c r="N947" s="74"/>
      <c r="O947" s="74"/>
      <c r="P947" s="74"/>
      <c r="Q947" s="74"/>
      <c r="R947" s="74"/>
      <c r="S947" s="74"/>
      <c r="T947" s="74"/>
      <c r="U947" s="74"/>
      <c r="V947" s="74"/>
      <c r="W947" s="74"/>
      <c r="X947" s="74"/>
      <c r="Y947" s="74"/>
    </row>
    <row r="948" spans="1:25" ht="15.75" thickBot="1" x14ac:dyDescent="0.3">
      <c r="A948" s="83"/>
      <c r="B948" s="83"/>
      <c r="C948" s="88"/>
      <c r="D948" s="88"/>
      <c r="E948" s="83"/>
      <c r="F948" s="83"/>
      <c r="G948" s="83"/>
      <c r="H948" s="83"/>
      <c r="I948" s="83"/>
      <c r="J948" s="83"/>
      <c r="K948" s="83"/>
      <c r="L948" s="74"/>
      <c r="M948" s="74"/>
      <c r="N948" s="74"/>
      <c r="O948" s="74"/>
      <c r="P948" s="74"/>
      <c r="Q948" s="74"/>
      <c r="R948" s="74"/>
      <c r="S948" s="74"/>
      <c r="T948" s="74"/>
      <c r="U948" s="74"/>
      <c r="V948" s="74"/>
      <c r="W948" s="74"/>
      <c r="X948" s="74"/>
      <c r="Y948" s="74"/>
    </row>
    <row r="949" spans="1:25" ht="15.75" thickBot="1" x14ac:dyDescent="0.3">
      <c r="A949" s="82"/>
      <c r="B949" s="82"/>
      <c r="C949" s="87"/>
      <c r="D949" s="87"/>
      <c r="E949" s="82"/>
      <c r="F949" s="82"/>
      <c r="G949" s="82"/>
      <c r="H949" s="82"/>
      <c r="I949" s="82"/>
      <c r="J949" s="82"/>
      <c r="K949" s="82"/>
      <c r="L949" s="74"/>
      <c r="M949" s="74"/>
      <c r="N949" s="74"/>
      <c r="O949" s="74"/>
      <c r="P949" s="74"/>
      <c r="Q949" s="74"/>
      <c r="R949" s="74"/>
      <c r="S949" s="74"/>
      <c r="T949" s="74"/>
      <c r="U949" s="74"/>
      <c r="V949" s="74"/>
      <c r="W949" s="74"/>
      <c r="X949" s="74"/>
      <c r="Y949" s="74"/>
    </row>
    <row r="950" spans="1:25" ht="15.75" thickBot="1" x14ac:dyDescent="0.3">
      <c r="A950" s="83"/>
      <c r="B950" s="83"/>
      <c r="C950" s="88"/>
      <c r="D950" s="88"/>
      <c r="E950" s="83"/>
      <c r="F950" s="83"/>
      <c r="G950" s="83"/>
      <c r="H950" s="83"/>
      <c r="I950" s="83"/>
      <c r="J950" s="83"/>
      <c r="K950" s="83"/>
      <c r="L950" s="74"/>
      <c r="M950" s="74"/>
      <c r="N950" s="74"/>
      <c r="O950" s="74"/>
      <c r="P950" s="74"/>
      <c r="Q950" s="74"/>
      <c r="R950" s="74"/>
      <c r="S950" s="74"/>
      <c r="T950" s="74"/>
      <c r="U950" s="74"/>
      <c r="V950" s="74"/>
      <c r="W950" s="74"/>
      <c r="X950" s="74"/>
      <c r="Y950" s="74"/>
    </row>
    <row r="951" spans="1:25" ht="15.75" thickBot="1" x14ac:dyDescent="0.3">
      <c r="A951" s="82"/>
      <c r="B951" s="82"/>
      <c r="C951" s="87"/>
      <c r="D951" s="87"/>
      <c r="E951" s="82"/>
      <c r="F951" s="82"/>
      <c r="G951" s="82"/>
      <c r="H951" s="82"/>
      <c r="I951" s="82"/>
      <c r="J951" s="82"/>
      <c r="K951" s="82"/>
      <c r="L951" s="74"/>
      <c r="M951" s="74"/>
      <c r="N951" s="74"/>
      <c r="O951" s="74"/>
      <c r="P951" s="74"/>
      <c r="Q951" s="74"/>
      <c r="R951" s="74"/>
      <c r="S951" s="74"/>
      <c r="T951" s="74"/>
      <c r="U951" s="74"/>
      <c r="V951" s="74"/>
      <c r="W951" s="74"/>
      <c r="X951" s="74"/>
      <c r="Y951" s="74"/>
    </row>
    <row r="952" spans="1:25" ht="15.75" thickBot="1" x14ac:dyDescent="0.3">
      <c r="A952" s="83"/>
      <c r="B952" s="83"/>
      <c r="C952" s="88"/>
      <c r="D952" s="88"/>
      <c r="E952" s="83"/>
      <c r="F952" s="83"/>
      <c r="G952" s="83"/>
      <c r="H952" s="83"/>
      <c r="I952" s="83"/>
      <c r="J952" s="83"/>
      <c r="K952" s="83"/>
      <c r="L952" s="74"/>
      <c r="M952" s="74"/>
      <c r="N952" s="74"/>
      <c r="O952" s="74"/>
      <c r="P952" s="74"/>
      <c r="Q952" s="74"/>
      <c r="R952" s="74"/>
      <c r="S952" s="74"/>
      <c r="T952" s="74"/>
      <c r="U952" s="74"/>
      <c r="V952" s="74"/>
      <c r="W952" s="74"/>
      <c r="X952" s="74"/>
      <c r="Y952" s="74"/>
    </row>
    <row r="953" spans="1:25" ht="15.75" thickBot="1" x14ac:dyDescent="0.3">
      <c r="A953" s="82"/>
      <c r="B953" s="82"/>
      <c r="C953" s="87"/>
      <c r="D953" s="87"/>
      <c r="E953" s="82"/>
      <c r="F953" s="82"/>
      <c r="G953" s="82"/>
      <c r="H953" s="82"/>
      <c r="I953" s="82"/>
      <c r="J953" s="82"/>
      <c r="K953" s="82"/>
      <c r="L953" s="74"/>
      <c r="M953" s="74"/>
      <c r="N953" s="74"/>
      <c r="O953" s="74"/>
      <c r="P953" s="74"/>
      <c r="Q953" s="74"/>
      <c r="R953" s="74"/>
      <c r="S953" s="74"/>
      <c r="T953" s="74"/>
      <c r="U953" s="74"/>
      <c r="V953" s="74"/>
      <c r="W953" s="74"/>
      <c r="X953" s="74"/>
      <c r="Y953" s="74"/>
    </row>
    <row r="954" spans="1:25" ht="15.75" thickBot="1" x14ac:dyDescent="0.3">
      <c r="A954" s="83"/>
      <c r="B954" s="83"/>
      <c r="C954" s="88"/>
      <c r="D954" s="88"/>
      <c r="E954" s="83"/>
      <c r="F954" s="83"/>
      <c r="G954" s="83"/>
      <c r="H954" s="83"/>
      <c r="I954" s="83"/>
      <c r="J954" s="83"/>
      <c r="K954" s="83"/>
      <c r="L954" s="74"/>
      <c r="M954" s="74"/>
      <c r="N954" s="74"/>
      <c r="O954" s="74"/>
      <c r="P954" s="74"/>
      <c r="Q954" s="74"/>
      <c r="R954" s="74"/>
      <c r="S954" s="74"/>
      <c r="T954" s="74"/>
      <c r="U954" s="74"/>
      <c r="V954" s="74"/>
      <c r="W954" s="74"/>
      <c r="X954" s="74"/>
      <c r="Y954" s="74"/>
    </row>
    <row r="955" spans="1:25" ht="15.75" thickBot="1" x14ac:dyDescent="0.3">
      <c r="A955" s="82"/>
      <c r="B955" s="82"/>
      <c r="C955" s="87"/>
      <c r="D955" s="87"/>
      <c r="E955" s="82"/>
      <c r="F955" s="82"/>
      <c r="G955" s="82"/>
      <c r="H955" s="82"/>
      <c r="I955" s="82"/>
      <c r="J955" s="82"/>
      <c r="K955" s="82"/>
      <c r="L955" s="74"/>
      <c r="M955" s="74"/>
      <c r="N955" s="74"/>
      <c r="O955" s="74"/>
      <c r="P955" s="74"/>
      <c r="Q955" s="74"/>
      <c r="R955" s="74"/>
      <c r="S955" s="74"/>
      <c r="T955" s="74"/>
      <c r="U955" s="74"/>
      <c r="V955" s="74"/>
      <c r="W955" s="74"/>
      <c r="X955" s="74"/>
      <c r="Y955" s="74"/>
    </row>
    <row r="956" spans="1:25" ht="15.75" thickBot="1" x14ac:dyDescent="0.3">
      <c r="A956" s="83"/>
      <c r="B956" s="83"/>
      <c r="C956" s="88"/>
      <c r="D956" s="88"/>
      <c r="E956" s="83"/>
      <c r="F956" s="83"/>
      <c r="G956" s="83"/>
      <c r="H956" s="83"/>
      <c r="I956" s="83"/>
      <c r="J956" s="83"/>
      <c r="K956" s="83"/>
      <c r="L956" s="74"/>
      <c r="M956" s="74"/>
      <c r="N956" s="74"/>
      <c r="O956" s="74"/>
      <c r="P956" s="74"/>
      <c r="Q956" s="74"/>
      <c r="R956" s="74"/>
      <c r="S956" s="74"/>
      <c r="T956" s="74"/>
      <c r="U956" s="74"/>
      <c r="V956" s="74"/>
      <c r="W956" s="74"/>
      <c r="X956" s="74"/>
      <c r="Y956" s="74"/>
    </row>
    <row r="957" spans="1:25" ht="15.75" thickBot="1" x14ac:dyDescent="0.3">
      <c r="A957" s="82"/>
      <c r="B957" s="82"/>
      <c r="C957" s="87"/>
      <c r="D957" s="87"/>
      <c r="E957" s="82"/>
      <c r="F957" s="82"/>
      <c r="G957" s="82"/>
      <c r="H957" s="82"/>
      <c r="I957" s="82"/>
      <c r="J957" s="82"/>
      <c r="K957" s="82"/>
      <c r="L957" s="74"/>
      <c r="M957" s="74"/>
      <c r="N957" s="74"/>
      <c r="O957" s="74"/>
      <c r="P957" s="74"/>
      <c r="Q957" s="74"/>
      <c r="R957" s="74"/>
      <c r="S957" s="74"/>
      <c r="T957" s="74"/>
      <c r="U957" s="74"/>
      <c r="V957" s="74"/>
      <c r="W957" s="74"/>
      <c r="X957" s="74"/>
      <c r="Y957" s="74"/>
    </row>
    <row r="958" spans="1:25" ht="15.75" thickBot="1" x14ac:dyDescent="0.3">
      <c r="A958" s="83"/>
      <c r="B958" s="83"/>
      <c r="C958" s="88"/>
      <c r="D958" s="88"/>
      <c r="E958" s="83"/>
      <c r="F958" s="83"/>
      <c r="G958" s="83"/>
      <c r="H958" s="83"/>
      <c r="I958" s="83"/>
      <c r="J958" s="83"/>
      <c r="K958" s="83"/>
      <c r="L958" s="74"/>
      <c r="M958" s="74"/>
      <c r="N958" s="74"/>
      <c r="O958" s="74"/>
      <c r="P958" s="74"/>
      <c r="Q958" s="74"/>
      <c r="R958" s="74"/>
      <c r="S958" s="74"/>
      <c r="T958" s="74"/>
      <c r="U958" s="74"/>
      <c r="V958" s="74"/>
      <c r="W958" s="74"/>
      <c r="X958" s="74"/>
      <c r="Y958" s="74"/>
    </row>
    <row r="959" spans="1:25" ht="15.75" thickBot="1" x14ac:dyDescent="0.3">
      <c r="A959" s="82"/>
      <c r="B959" s="82"/>
      <c r="C959" s="87"/>
      <c r="D959" s="87"/>
      <c r="E959" s="82"/>
      <c r="F959" s="82"/>
      <c r="G959" s="82"/>
      <c r="H959" s="82"/>
      <c r="I959" s="82"/>
      <c r="J959" s="82"/>
      <c r="K959" s="82"/>
      <c r="L959" s="74"/>
      <c r="M959" s="74"/>
      <c r="N959" s="74"/>
      <c r="O959" s="74"/>
      <c r="P959" s="74"/>
      <c r="Q959" s="74"/>
      <c r="R959" s="74"/>
      <c r="S959" s="74"/>
      <c r="T959" s="74"/>
      <c r="U959" s="74"/>
      <c r="V959" s="74"/>
      <c r="W959" s="74"/>
      <c r="X959" s="74"/>
      <c r="Y959" s="74"/>
    </row>
    <row r="960" spans="1:25" ht="15.75" thickBot="1" x14ac:dyDescent="0.3">
      <c r="A960" s="83"/>
      <c r="B960" s="83"/>
      <c r="C960" s="88"/>
      <c r="D960" s="88"/>
      <c r="E960" s="83"/>
      <c r="F960" s="83"/>
      <c r="G960" s="83"/>
      <c r="H960" s="83"/>
      <c r="I960" s="83"/>
      <c r="J960" s="83"/>
      <c r="K960" s="83"/>
      <c r="L960" s="74"/>
      <c r="M960" s="74"/>
      <c r="N960" s="74"/>
      <c r="O960" s="74"/>
      <c r="P960" s="74"/>
      <c r="Q960" s="74"/>
      <c r="R960" s="74"/>
      <c r="S960" s="74"/>
      <c r="T960" s="74"/>
      <c r="U960" s="74"/>
      <c r="V960" s="74"/>
      <c r="W960" s="74"/>
      <c r="X960" s="74"/>
      <c r="Y960" s="74"/>
    </row>
    <row r="961" spans="1:25" ht="15.75" thickBot="1" x14ac:dyDescent="0.3">
      <c r="A961" s="82"/>
      <c r="B961" s="82"/>
      <c r="C961" s="87"/>
      <c r="D961" s="87"/>
      <c r="E961" s="82"/>
      <c r="F961" s="82"/>
      <c r="G961" s="82"/>
      <c r="H961" s="82"/>
      <c r="I961" s="82"/>
      <c r="J961" s="82"/>
      <c r="K961" s="82"/>
      <c r="L961" s="74"/>
      <c r="M961" s="74"/>
      <c r="N961" s="74"/>
      <c r="O961" s="74"/>
      <c r="P961" s="74"/>
      <c r="Q961" s="74"/>
      <c r="R961" s="74"/>
      <c r="S961" s="74"/>
      <c r="T961" s="74"/>
      <c r="U961" s="74"/>
      <c r="V961" s="74"/>
      <c r="W961" s="74"/>
      <c r="X961" s="74"/>
      <c r="Y961" s="74"/>
    </row>
    <row r="962" spans="1:25" ht="15.75" thickBot="1" x14ac:dyDescent="0.3">
      <c r="A962" s="83"/>
      <c r="B962" s="83"/>
      <c r="C962" s="88"/>
      <c r="D962" s="88"/>
      <c r="E962" s="83"/>
      <c r="F962" s="83"/>
      <c r="G962" s="83"/>
      <c r="H962" s="83"/>
      <c r="I962" s="83"/>
      <c r="J962" s="83"/>
      <c r="K962" s="83"/>
      <c r="L962" s="74"/>
      <c r="M962" s="74"/>
      <c r="N962" s="74"/>
      <c r="O962" s="74"/>
      <c r="P962" s="74"/>
      <c r="Q962" s="74"/>
      <c r="R962" s="74"/>
      <c r="S962" s="74"/>
      <c r="T962" s="74"/>
      <c r="U962" s="74"/>
      <c r="V962" s="74"/>
      <c r="W962" s="74"/>
      <c r="X962" s="74"/>
      <c r="Y962" s="74"/>
    </row>
    <row r="963" spans="1:25" ht="15.75" thickBot="1" x14ac:dyDescent="0.3">
      <c r="A963" s="82"/>
      <c r="B963" s="82"/>
      <c r="C963" s="87"/>
      <c r="D963" s="87"/>
      <c r="E963" s="82"/>
      <c r="F963" s="82"/>
      <c r="G963" s="82"/>
      <c r="H963" s="82"/>
      <c r="I963" s="82"/>
      <c r="J963" s="82"/>
      <c r="K963" s="82"/>
      <c r="L963" s="74"/>
      <c r="M963" s="74"/>
      <c r="N963" s="74"/>
      <c r="O963" s="74"/>
      <c r="P963" s="74"/>
      <c r="Q963" s="74"/>
      <c r="R963" s="74"/>
      <c r="S963" s="74"/>
      <c r="T963" s="74"/>
      <c r="U963" s="74"/>
      <c r="V963" s="74"/>
      <c r="W963" s="74"/>
      <c r="X963" s="74"/>
      <c r="Y963" s="74"/>
    </row>
    <row r="964" spans="1:25" ht="15.75" thickBot="1" x14ac:dyDescent="0.3">
      <c r="A964" s="83"/>
      <c r="B964" s="83"/>
      <c r="C964" s="88"/>
      <c r="D964" s="88"/>
      <c r="E964" s="83"/>
      <c r="F964" s="83"/>
      <c r="G964" s="83"/>
      <c r="H964" s="83"/>
      <c r="I964" s="83"/>
      <c r="J964" s="83"/>
      <c r="K964" s="83"/>
      <c r="L964" s="74"/>
      <c r="M964" s="74"/>
      <c r="N964" s="74"/>
      <c r="O964" s="74"/>
      <c r="P964" s="74"/>
      <c r="Q964" s="74"/>
      <c r="R964" s="74"/>
      <c r="S964" s="74"/>
      <c r="T964" s="74"/>
      <c r="U964" s="74"/>
      <c r="V964" s="74"/>
      <c r="W964" s="74"/>
      <c r="X964" s="74"/>
      <c r="Y964" s="74"/>
    </row>
    <row r="965" spans="1:25" ht="15.75" thickBot="1" x14ac:dyDescent="0.3">
      <c r="A965" s="82"/>
      <c r="B965" s="82"/>
      <c r="C965" s="87"/>
      <c r="D965" s="87"/>
      <c r="E965" s="82"/>
      <c r="F965" s="82"/>
      <c r="G965" s="82"/>
      <c r="H965" s="82"/>
      <c r="I965" s="82"/>
      <c r="J965" s="82"/>
      <c r="K965" s="82"/>
      <c r="L965" s="74"/>
      <c r="M965" s="74"/>
      <c r="N965" s="74"/>
      <c r="O965" s="74"/>
      <c r="P965" s="74"/>
      <c r="Q965" s="74"/>
      <c r="R965" s="74"/>
      <c r="S965" s="74"/>
      <c r="T965" s="74"/>
      <c r="U965" s="74"/>
      <c r="V965" s="74"/>
      <c r="W965" s="74"/>
      <c r="X965" s="74"/>
      <c r="Y965" s="74"/>
    </row>
    <row r="966" spans="1:25" ht="15.75" thickBot="1" x14ac:dyDescent="0.3">
      <c r="A966" s="83"/>
      <c r="B966" s="83"/>
      <c r="C966" s="88"/>
      <c r="D966" s="88"/>
      <c r="E966" s="83"/>
      <c r="F966" s="83"/>
      <c r="G966" s="83"/>
      <c r="H966" s="83"/>
      <c r="I966" s="83"/>
      <c r="J966" s="83"/>
      <c r="K966" s="83"/>
      <c r="L966" s="74"/>
      <c r="M966" s="74"/>
      <c r="N966" s="74"/>
      <c r="O966" s="74"/>
      <c r="P966" s="74"/>
      <c r="Q966" s="74"/>
      <c r="R966" s="74"/>
      <c r="S966" s="74"/>
      <c r="T966" s="74"/>
      <c r="U966" s="74"/>
      <c r="V966" s="74"/>
      <c r="W966" s="74"/>
      <c r="X966" s="74"/>
      <c r="Y966" s="74"/>
    </row>
    <row r="967" spans="1:25" ht="15.75" thickBot="1" x14ac:dyDescent="0.3">
      <c r="A967" s="82"/>
      <c r="B967" s="82"/>
      <c r="C967" s="87"/>
      <c r="D967" s="87"/>
      <c r="E967" s="82"/>
      <c r="F967" s="82"/>
      <c r="G967" s="82"/>
      <c r="H967" s="82"/>
      <c r="I967" s="82"/>
      <c r="J967" s="82"/>
      <c r="K967" s="82"/>
      <c r="L967" s="74"/>
      <c r="M967" s="74"/>
      <c r="N967" s="74"/>
      <c r="O967" s="74"/>
      <c r="P967" s="74"/>
      <c r="Q967" s="74"/>
      <c r="R967" s="74"/>
      <c r="S967" s="74"/>
      <c r="T967" s="74"/>
      <c r="U967" s="74"/>
      <c r="V967" s="74"/>
      <c r="W967" s="74"/>
      <c r="X967" s="74"/>
      <c r="Y967" s="74"/>
    </row>
    <row r="968" spans="1:25" ht="15.75" thickBot="1" x14ac:dyDescent="0.3">
      <c r="A968" s="83"/>
      <c r="B968" s="83"/>
      <c r="C968" s="88"/>
      <c r="D968" s="88"/>
      <c r="E968" s="83"/>
      <c r="F968" s="83"/>
      <c r="G968" s="83"/>
      <c r="H968" s="83"/>
      <c r="I968" s="83"/>
      <c r="J968" s="83"/>
      <c r="K968" s="83"/>
      <c r="L968" s="74"/>
      <c r="M968" s="74"/>
      <c r="N968" s="74"/>
      <c r="O968" s="74"/>
      <c r="P968" s="74"/>
      <c r="Q968" s="74"/>
      <c r="R968" s="74"/>
      <c r="S968" s="74"/>
      <c r="T968" s="74"/>
      <c r="U968" s="74"/>
      <c r="V968" s="74"/>
      <c r="W968" s="74"/>
      <c r="X968" s="74"/>
      <c r="Y968" s="74"/>
    </row>
    <row r="969" spans="1:25" ht="15.75" thickBot="1" x14ac:dyDescent="0.3">
      <c r="A969" s="82"/>
      <c r="B969" s="82"/>
      <c r="C969" s="87"/>
      <c r="D969" s="87"/>
      <c r="E969" s="82"/>
      <c r="F969" s="82"/>
      <c r="G969" s="82"/>
      <c r="H969" s="82"/>
      <c r="I969" s="82"/>
      <c r="J969" s="82"/>
      <c r="K969" s="82"/>
      <c r="L969" s="74"/>
      <c r="M969" s="74"/>
      <c r="N969" s="74"/>
      <c r="O969" s="74"/>
      <c r="P969" s="74"/>
      <c r="Q969" s="74"/>
      <c r="R969" s="74"/>
      <c r="S969" s="74"/>
      <c r="T969" s="74"/>
      <c r="U969" s="74"/>
      <c r="V969" s="74"/>
      <c r="W969" s="74"/>
      <c r="X969" s="74"/>
      <c r="Y969" s="74"/>
    </row>
    <row r="970" spans="1:25" ht="15.75" thickBot="1" x14ac:dyDescent="0.3">
      <c r="A970" s="83"/>
      <c r="B970" s="83"/>
      <c r="C970" s="88"/>
      <c r="D970" s="88"/>
      <c r="E970" s="83"/>
      <c r="F970" s="83"/>
      <c r="G970" s="83"/>
      <c r="H970" s="83"/>
      <c r="I970" s="83"/>
      <c r="J970" s="83"/>
      <c r="K970" s="83"/>
      <c r="L970" s="74"/>
      <c r="M970" s="74"/>
      <c r="N970" s="74"/>
      <c r="O970" s="74"/>
      <c r="P970" s="74"/>
      <c r="Q970" s="74"/>
      <c r="R970" s="74"/>
      <c r="S970" s="74"/>
      <c r="T970" s="74"/>
      <c r="U970" s="74"/>
      <c r="V970" s="74"/>
      <c r="W970" s="74"/>
      <c r="X970" s="74"/>
      <c r="Y970" s="74"/>
    </row>
    <row r="971" spans="1:25" ht="15.75" thickBot="1" x14ac:dyDescent="0.3">
      <c r="A971" s="82"/>
      <c r="B971" s="82"/>
      <c r="C971" s="87"/>
      <c r="D971" s="87"/>
      <c r="E971" s="82"/>
      <c r="F971" s="82"/>
      <c r="G971" s="82"/>
      <c r="H971" s="82"/>
      <c r="I971" s="82"/>
      <c r="J971" s="82"/>
      <c r="K971" s="82"/>
      <c r="L971" s="74"/>
      <c r="M971" s="74"/>
      <c r="N971" s="74"/>
      <c r="O971" s="74"/>
      <c r="P971" s="74"/>
      <c r="Q971" s="74"/>
      <c r="R971" s="74"/>
      <c r="S971" s="74"/>
      <c r="T971" s="74"/>
      <c r="U971" s="74"/>
      <c r="V971" s="74"/>
      <c r="W971" s="74"/>
      <c r="X971" s="74"/>
      <c r="Y971" s="74"/>
    </row>
    <row r="972" spans="1:25" ht="15.75" thickBot="1" x14ac:dyDescent="0.3">
      <c r="A972" s="83"/>
      <c r="B972" s="83"/>
      <c r="C972" s="88"/>
      <c r="D972" s="88"/>
      <c r="E972" s="83"/>
      <c r="F972" s="83"/>
      <c r="G972" s="83"/>
      <c r="H972" s="83"/>
      <c r="I972" s="83"/>
      <c r="J972" s="83"/>
      <c r="K972" s="83"/>
      <c r="L972" s="74"/>
      <c r="M972" s="74"/>
      <c r="N972" s="74"/>
      <c r="O972" s="74"/>
      <c r="P972" s="74"/>
      <c r="Q972" s="74"/>
      <c r="R972" s="74"/>
      <c r="S972" s="74"/>
      <c r="T972" s="74"/>
      <c r="U972" s="74"/>
      <c r="V972" s="74"/>
      <c r="W972" s="74"/>
      <c r="X972" s="74"/>
      <c r="Y972" s="74"/>
    </row>
    <row r="973" spans="1:25" ht="15.75" thickBot="1" x14ac:dyDescent="0.3">
      <c r="A973" s="82"/>
      <c r="B973" s="82"/>
      <c r="C973" s="87"/>
      <c r="D973" s="87"/>
      <c r="E973" s="82"/>
      <c r="F973" s="82"/>
      <c r="G973" s="82"/>
      <c r="H973" s="82"/>
      <c r="I973" s="82"/>
      <c r="J973" s="82"/>
      <c r="K973" s="82"/>
      <c r="L973" s="74"/>
      <c r="M973" s="74"/>
      <c r="N973" s="74"/>
      <c r="O973" s="74"/>
      <c r="P973" s="74"/>
      <c r="Q973" s="74"/>
      <c r="R973" s="74"/>
      <c r="S973" s="74"/>
      <c r="T973" s="74"/>
      <c r="U973" s="74"/>
      <c r="V973" s="74"/>
      <c r="W973" s="74"/>
      <c r="X973" s="74"/>
      <c r="Y973" s="74"/>
    </row>
    <row r="974" spans="1:25" ht="15.75" thickBot="1" x14ac:dyDescent="0.3">
      <c r="A974" s="83"/>
      <c r="B974" s="83"/>
      <c r="C974" s="88"/>
      <c r="D974" s="88"/>
      <c r="E974" s="83"/>
      <c r="F974" s="83"/>
      <c r="G974" s="83"/>
      <c r="H974" s="83"/>
      <c r="I974" s="83"/>
      <c r="J974" s="83"/>
      <c r="K974" s="83"/>
      <c r="L974" s="74"/>
      <c r="M974" s="74"/>
      <c r="N974" s="74"/>
      <c r="O974" s="74"/>
      <c r="P974" s="74"/>
      <c r="Q974" s="74"/>
      <c r="R974" s="74"/>
      <c r="S974" s="74"/>
      <c r="T974" s="74"/>
      <c r="U974" s="74"/>
      <c r="V974" s="74"/>
      <c r="W974" s="74"/>
      <c r="X974" s="74"/>
      <c r="Y974" s="74"/>
    </row>
    <row r="975" spans="1:25" ht="15.75" thickBot="1" x14ac:dyDescent="0.3">
      <c r="A975" s="82"/>
      <c r="B975" s="82"/>
      <c r="C975" s="87"/>
      <c r="D975" s="87"/>
      <c r="E975" s="82"/>
      <c r="F975" s="82"/>
      <c r="G975" s="82"/>
      <c r="H975" s="82"/>
      <c r="I975" s="82"/>
      <c r="J975" s="82"/>
      <c r="K975" s="82"/>
      <c r="L975" s="74"/>
      <c r="M975" s="74"/>
      <c r="N975" s="74"/>
      <c r="O975" s="74"/>
      <c r="P975" s="74"/>
      <c r="Q975" s="74"/>
      <c r="R975" s="74"/>
      <c r="S975" s="74"/>
      <c r="T975" s="74"/>
      <c r="U975" s="74"/>
      <c r="V975" s="74"/>
      <c r="W975" s="74"/>
      <c r="X975" s="74"/>
      <c r="Y975" s="74"/>
    </row>
    <row r="976" spans="1:25" ht="15.75" thickBot="1" x14ac:dyDescent="0.3">
      <c r="A976" s="83"/>
      <c r="B976" s="83"/>
      <c r="C976" s="88"/>
      <c r="D976" s="88"/>
      <c r="E976" s="83"/>
      <c r="F976" s="83"/>
      <c r="G976" s="83"/>
      <c r="H976" s="83"/>
      <c r="I976" s="83"/>
      <c r="J976" s="83"/>
      <c r="K976" s="83"/>
      <c r="L976" s="74"/>
      <c r="M976" s="74"/>
      <c r="N976" s="74"/>
      <c r="O976" s="74"/>
      <c r="P976" s="74"/>
      <c r="Q976" s="74"/>
      <c r="R976" s="74"/>
      <c r="S976" s="74"/>
      <c r="T976" s="74"/>
      <c r="U976" s="74"/>
      <c r="V976" s="74"/>
      <c r="W976" s="74"/>
      <c r="X976" s="74"/>
      <c r="Y976" s="74"/>
    </row>
    <row r="977" spans="1:25" ht="15.75" thickBot="1" x14ac:dyDescent="0.3">
      <c r="A977" s="82"/>
      <c r="B977" s="82"/>
      <c r="C977" s="87"/>
      <c r="D977" s="87"/>
      <c r="E977" s="82"/>
      <c r="F977" s="82"/>
      <c r="G977" s="82"/>
      <c r="H977" s="82"/>
      <c r="I977" s="82"/>
      <c r="J977" s="82"/>
      <c r="K977" s="82"/>
      <c r="L977" s="74"/>
      <c r="M977" s="74"/>
      <c r="N977" s="74"/>
      <c r="O977" s="74"/>
      <c r="P977" s="74"/>
      <c r="Q977" s="74"/>
      <c r="R977" s="74"/>
      <c r="S977" s="74"/>
      <c r="T977" s="74"/>
      <c r="U977" s="74"/>
      <c r="V977" s="74"/>
      <c r="W977" s="74"/>
      <c r="X977" s="74"/>
      <c r="Y977" s="74"/>
    </row>
    <row r="978" spans="1:25" ht="15.75" thickBot="1" x14ac:dyDescent="0.3">
      <c r="A978" s="83"/>
      <c r="B978" s="83"/>
      <c r="C978" s="88"/>
      <c r="D978" s="88"/>
      <c r="E978" s="83"/>
      <c r="F978" s="83"/>
      <c r="G978" s="83"/>
      <c r="H978" s="83"/>
      <c r="I978" s="83"/>
      <c r="J978" s="83"/>
      <c r="K978" s="83"/>
      <c r="L978" s="74"/>
      <c r="M978" s="74"/>
      <c r="N978" s="74"/>
      <c r="O978" s="74"/>
      <c r="P978" s="74"/>
      <c r="Q978" s="74"/>
      <c r="R978" s="74"/>
      <c r="S978" s="74"/>
      <c r="T978" s="74"/>
      <c r="U978" s="74"/>
      <c r="V978" s="74"/>
      <c r="W978" s="74"/>
      <c r="X978" s="74"/>
      <c r="Y978" s="74"/>
    </row>
    <row r="979" spans="1:25" ht="15.75" thickBot="1" x14ac:dyDescent="0.3">
      <c r="A979" s="82"/>
      <c r="B979" s="82"/>
      <c r="C979" s="87"/>
      <c r="D979" s="87"/>
      <c r="E979" s="82"/>
      <c r="F979" s="82"/>
      <c r="G979" s="82"/>
      <c r="H979" s="82"/>
      <c r="I979" s="82"/>
      <c r="J979" s="82"/>
      <c r="K979" s="82"/>
      <c r="L979" s="74"/>
      <c r="M979" s="74"/>
      <c r="N979" s="74"/>
      <c r="O979" s="74"/>
      <c r="P979" s="74"/>
      <c r="Q979" s="74"/>
      <c r="R979" s="74"/>
      <c r="S979" s="74"/>
      <c r="T979" s="74"/>
      <c r="U979" s="74"/>
      <c r="V979" s="74"/>
      <c r="W979" s="74"/>
      <c r="X979" s="74"/>
      <c r="Y979" s="74"/>
    </row>
    <row r="980" spans="1:25" ht="15.75" thickBot="1" x14ac:dyDescent="0.3">
      <c r="A980" s="83"/>
      <c r="B980" s="83"/>
      <c r="C980" s="88"/>
      <c r="D980" s="88"/>
      <c r="E980" s="83"/>
      <c r="F980" s="83"/>
      <c r="G980" s="83"/>
      <c r="H980" s="83"/>
      <c r="I980" s="83"/>
      <c r="J980" s="83"/>
      <c r="K980" s="83"/>
      <c r="L980" s="74"/>
      <c r="M980" s="74"/>
      <c r="N980" s="74"/>
      <c r="O980" s="74"/>
      <c r="P980" s="74"/>
      <c r="Q980" s="74"/>
      <c r="R980" s="74"/>
      <c r="S980" s="74"/>
      <c r="T980" s="74"/>
      <c r="U980" s="74"/>
      <c r="V980" s="74"/>
      <c r="W980" s="74"/>
      <c r="X980" s="74"/>
      <c r="Y980" s="74"/>
    </row>
    <row r="981" spans="1:25" ht="15.75" thickBot="1" x14ac:dyDescent="0.3">
      <c r="A981" s="82"/>
      <c r="B981" s="82"/>
      <c r="C981" s="87"/>
      <c r="D981" s="87"/>
      <c r="E981" s="82"/>
      <c r="F981" s="82"/>
      <c r="G981" s="82"/>
      <c r="H981" s="82"/>
      <c r="I981" s="82"/>
      <c r="J981" s="82"/>
      <c r="K981" s="82"/>
      <c r="L981" s="74"/>
      <c r="M981" s="74"/>
      <c r="N981" s="74"/>
      <c r="O981" s="74"/>
      <c r="P981" s="74"/>
      <c r="Q981" s="74"/>
      <c r="R981" s="74"/>
      <c r="S981" s="74"/>
      <c r="T981" s="74"/>
      <c r="U981" s="74"/>
      <c r="V981" s="74"/>
      <c r="W981" s="74"/>
      <c r="X981" s="74"/>
      <c r="Y981" s="74"/>
    </row>
    <row r="982" spans="1:25" ht="15.75" thickBot="1" x14ac:dyDescent="0.3">
      <c r="A982" s="83"/>
      <c r="B982" s="83"/>
      <c r="C982" s="88"/>
      <c r="D982" s="88"/>
      <c r="E982" s="83"/>
      <c r="F982" s="83"/>
      <c r="G982" s="83"/>
      <c r="H982" s="83"/>
      <c r="I982" s="83"/>
      <c r="J982" s="83"/>
      <c r="K982" s="83"/>
      <c r="L982" s="74"/>
      <c r="M982" s="74"/>
      <c r="N982" s="74"/>
      <c r="O982" s="74"/>
      <c r="P982" s="74"/>
      <c r="Q982" s="74"/>
      <c r="R982" s="74"/>
      <c r="S982" s="74"/>
      <c r="T982" s="74"/>
      <c r="U982" s="74"/>
      <c r="V982" s="74"/>
      <c r="W982" s="74"/>
      <c r="X982" s="74"/>
      <c r="Y982" s="74"/>
    </row>
    <row r="983" spans="1:25" ht="15.75" thickBot="1" x14ac:dyDescent="0.3">
      <c r="A983" s="82"/>
      <c r="B983" s="82"/>
      <c r="C983" s="87"/>
      <c r="D983" s="87"/>
      <c r="E983" s="82"/>
      <c r="F983" s="82"/>
      <c r="G983" s="82"/>
      <c r="H983" s="82"/>
      <c r="I983" s="82"/>
      <c r="J983" s="82"/>
      <c r="K983" s="82"/>
      <c r="L983" s="74"/>
      <c r="M983" s="74"/>
      <c r="N983" s="74"/>
      <c r="O983" s="74"/>
      <c r="P983" s="74"/>
      <c r="Q983" s="74"/>
      <c r="R983" s="74"/>
      <c r="S983" s="74"/>
      <c r="T983" s="74"/>
      <c r="U983" s="74"/>
      <c r="V983" s="74"/>
      <c r="W983" s="74"/>
      <c r="X983" s="74"/>
      <c r="Y983" s="74"/>
    </row>
    <row r="984" spans="1:25" ht="15.75" thickBot="1" x14ac:dyDescent="0.3">
      <c r="A984" s="83"/>
      <c r="B984" s="83"/>
      <c r="C984" s="88"/>
      <c r="D984" s="88"/>
      <c r="E984" s="83"/>
      <c r="F984" s="83"/>
      <c r="G984" s="83"/>
      <c r="H984" s="83"/>
      <c r="I984" s="83"/>
      <c r="J984" s="83"/>
      <c r="K984" s="83"/>
      <c r="L984" s="74"/>
      <c r="M984" s="74"/>
      <c r="N984" s="74"/>
      <c r="O984" s="74"/>
      <c r="P984" s="74"/>
      <c r="Q984" s="74"/>
      <c r="R984" s="74"/>
      <c r="S984" s="74"/>
      <c r="T984" s="74"/>
      <c r="U984" s="74"/>
      <c r="V984" s="74"/>
      <c r="W984" s="74"/>
      <c r="X984" s="74"/>
      <c r="Y984" s="74"/>
    </row>
    <row r="985" spans="1:25" ht="15.75" thickBot="1" x14ac:dyDescent="0.3">
      <c r="A985" s="82"/>
      <c r="B985" s="82"/>
      <c r="C985" s="87"/>
      <c r="D985" s="87"/>
      <c r="E985" s="82"/>
      <c r="F985" s="82"/>
      <c r="G985" s="82"/>
      <c r="H985" s="82"/>
      <c r="I985" s="82"/>
      <c r="J985" s="82"/>
      <c r="K985" s="82"/>
      <c r="L985" s="74"/>
      <c r="M985" s="74"/>
      <c r="N985" s="74"/>
      <c r="O985" s="74"/>
      <c r="P985" s="74"/>
      <c r="Q985" s="74"/>
      <c r="R985" s="74"/>
      <c r="S985" s="74"/>
      <c r="T985" s="74"/>
      <c r="U985" s="74"/>
      <c r="V985" s="74"/>
      <c r="W985" s="74"/>
      <c r="X985" s="74"/>
      <c r="Y985" s="74"/>
    </row>
    <row r="986" spans="1:25" ht="15.75" thickBot="1" x14ac:dyDescent="0.3">
      <c r="A986" s="83"/>
      <c r="B986" s="83"/>
      <c r="C986" s="88"/>
      <c r="D986" s="88"/>
      <c r="E986" s="83"/>
      <c r="F986" s="83"/>
      <c r="G986" s="83"/>
      <c r="H986" s="83"/>
      <c r="I986" s="83"/>
      <c r="J986" s="83"/>
      <c r="K986" s="83"/>
      <c r="L986" s="74"/>
      <c r="M986" s="74"/>
      <c r="N986" s="74"/>
      <c r="O986" s="74"/>
      <c r="P986" s="74"/>
      <c r="Q986" s="74"/>
      <c r="R986" s="74"/>
      <c r="S986" s="74"/>
      <c r="T986" s="74"/>
      <c r="U986" s="74"/>
      <c r="V986" s="74"/>
      <c r="W986" s="74"/>
      <c r="X986" s="74"/>
      <c r="Y986" s="74"/>
    </row>
    <row r="987" spans="1:25" ht="15.75" thickBot="1" x14ac:dyDescent="0.3">
      <c r="A987" s="82"/>
      <c r="B987" s="82"/>
      <c r="C987" s="87"/>
      <c r="D987" s="87"/>
      <c r="E987" s="82"/>
      <c r="F987" s="82"/>
      <c r="G987" s="82"/>
      <c r="H987" s="82"/>
      <c r="I987" s="82"/>
      <c r="J987" s="82"/>
      <c r="K987" s="82"/>
      <c r="L987" s="74"/>
      <c r="M987" s="74"/>
      <c r="N987" s="74"/>
      <c r="O987" s="74"/>
      <c r="P987" s="74"/>
      <c r="Q987" s="74"/>
      <c r="R987" s="74"/>
      <c r="S987" s="74"/>
      <c r="T987" s="74"/>
      <c r="U987" s="74"/>
      <c r="V987" s="74"/>
      <c r="W987" s="74"/>
      <c r="X987" s="74"/>
      <c r="Y987" s="74"/>
    </row>
    <row r="988" spans="1:25" ht="15.75" thickBot="1" x14ac:dyDescent="0.3">
      <c r="A988" s="83"/>
      <c r="B988" s="83"/>
      <c r="C988" s="88"/>
      <c r="D988" s="88"/>
      <c r="E988" s="83"/>
      <c r="F988" s="83"/>
      <c r="G988" s="83"/>
      <c r="H988" s="83"/>
      <c r="I988" s="83"/>
      <c r="J988" s="83"/>
      <c r="K988" s="83"/>
      <c r="L988" s="74"/>
      <c r="M988" s="74"/>
      <c r="N988" s="74"/>
      <c r="O988" s="74"/>
      <c r="P988" s="74"/>
      <c r="Q988" s="74"/>
      <c r="R988" s="74"/>
      <c r="S988" s="74"/>
      <c r="T988" s="74"/>
      <c r="U988" s="74"/>
      <c r="V988" s="74"/>
      <c r="W988" s="74"/>
      <c r="X988" s="74"/>
      <c r="Y988" s="74"/>
    </row>
    <row r="989" spans="1:25" ht="15.75" thickBot="1" x14ac:dyDescent="0.3">
      <c r="A989" s="82"/>
      <c r="B989" s="82"/>
      <c r="C989" s="87"/>
      <c r="D989" s="87"/>
      <c r="E989" s="82"/>
      <c r="F989" s="82"/>
      <c r="G989" s="82"/>
      <c r="H989" s="82"/>
      <c r="I989" s="82"/>
      <c r="J989" s="82"/>
      <c r="K989" s="82"/>
      <c r="L989" s="74"/>
      <c r="M989" s="74"/>
      <c r="N989" s="74"/>
      <c r="O989" s="74"/>
      <c r="P989" s="74"/>
      <c r="Q989" s="74"/>
      <c r="R989" s="74"/>
      <c r="S989" s="74"/>
      <c r="T989" s="74"/>
      <c r="U989" s="74"/>
      <c r="V989" s="74"/>
      <c r="W989" s="74"/>
      <c r="X989" s="74"/>
      <c r="Y989" s="74"/>
    </row>
    <row r="990" spans="1:25" ht="15.75" thickBot="1" x14ac:dyDescent="0.3">
      <c r="A990" s="83"/>
      <c r="B990" s="83"/>
      <c r="C990" s="88"/>
      <c r="D990" s="88"/>
      <c r="E990" s="83"/>
      <c r="F990" s="83"/>
      <c r="G990" s="83"/>
      <c r="H990" s="83"/>
      <c r="I990" s="83"/>
      <c r="J990" s="83"/>
      <c r="K990" s="83"/>
      <c r="L990" s="74"/>
      <c r="M990" s="74"/>
      <c r="N990" s="74"/>
      <c r="O990" s="74"/>
      <c r="P990" s="74"/>
      <c r="Q990" s="74"/>
      <c r="R990" s="74"/>
      <c r="S990" s="74"/>
      <c r="T990" s="74"/>
      <c r="U990" s="74"/>
      <c r="V990" s="74"/>
      <c r="W990" s="74"/>
      <c r="X990" s="74"/>
      <c r="Y990" s="74"/>
    </row>
    <row r="991" spans="1:25" ht="15.75" thickBot="1" x14ac:dyDescent="0.3">
      <c r="A991" s="82"/>
      <c r="B991" s="82"/>
      <c r="C991" s="87"/>
      <c r="D991" s="87"/>
      <c r="E991" s="82"/>
      <c r="F991" s="82"/>
      <c r="G991" s="82"/>
      <c r="H991" s="82"/>
      <c r="I991" s="82"/>
      <c r="J991" s="82"/>
      <c r="K991" s="82"/>
      <c r="L991" s="74"/>
      <c r="M991" s="74"/>
      <c r="N991" s="74"/>
      <c r="O991" s="74"/>
      <c r="P991" s="74"/>
      <c r="Q991" s="74"/>
      <c r="R991" s="74"/>
      <c r="S991" s="74"/>
      <c r="T991" s="74"/>
      <c r="U991" s="74"/>
      <c r="V991" s="74"/>
      <c r="W991" s="74"/>
      <c r="X991" s="74"/>
      <c r="Y991" s="74"/>
    </row>
    <row r="992" spans="1:25" ht="15.75" thickBot="1" x14ac:dyDescent="0.3">
      <c r="A992" s="83"/>
      <c r="B992" s="83"/>
      <c r="C992" s="88"/>
      <c r="D992" s="88"/>
      <c r="E992" s="83"/>
      <c r="F992" s="83"/>
      <c r="G992" s="83"/>
      <c r="H992" s="83"/>
      <c r="I992" s="83"/>
      <c r="J992" s="83"/>
      <c r="K992" s="83"/>
      <c r="L992" s="74"/>
      <c r="M992" s="74"/>
      <c r="N992" s="74"/>
      <c r="O992" s="74"/>
      <c r="P992" s="74"/>
      <c r="Q992" s="74"/>
      <c r="R992" s="74"/>
      <c r="S992" s="74"/>
      <c r="T992" s="74"/>
      <c r="U992" s="74"/>
      <c r="V992" s="74"/>
      <c r="W992" s="74"/>
      <c r="X992" s="74"/>
      <c r="Y992" s="74"/>
    </row>
    <row r="993" spans="1:25" ht="15.75" thickBot="1" x14ac:dyDescent="0.3">
      <c r="A993" s="82"/>
      <c r="B993" s="82"/>
      <c r="C993" s="87"/>
      <c r="D993" s="87"/>
      <c r="E993" s="82"/>
      <c r="F993" s="82"/>
      <c r="G993" s="82"/>
      <c r="H993" s="82"/>
      <c r="I993" s="82"/>
      <c r="J993" s="82"/>
      <c r="K993" s="82"/>
      <c r="L993" s="74"/>
      <c r="M993" s="74"/>
      <c r="N993" s="74"/>
      <c r="O993" s="74"/>
      <c r="P993" s="74"/>
      <c r="Q993" s="74"/>
      <c r="R993" s="74"/>
      <c r="S993" s="74"/>
      <c r="T993" s="74"/>
      <c r="U993" s="74"/>
      <c r="V993" s="74"/>
      <c r="W993" s="74"/>
      <c r="X993" s="74"/>
      <c r="Y993" s="74"/>
    </row>
    <row r="994" spans="1:25" ht="15.75" thickBot="1" x14ac:dyDescent="0.3">
      <c r="A994" s="83"/>
      <c r="B994" s="83"/>
      <c r="C994" s="88"/>
      <c r="D994" s="88"/>
      <c r="E994" s="83"/>
      <c r="F994" s="83"/>
      <c r="G994" s="83"/>
      <c r="H994" s="83"/>
      <c r="I994" s="83"/>
      <c r="J994" s="83"/>
      <c r="K994" s="83"/>
      <c r="L994" s="74"/>
      <c r="M994" s="74"/>
      <c r="N994" s="74"/>
      <c r="O994" s="74"/>
      <c r="P994" s="74"/>
      <c r="Q994" s="74"/>
      <c r="R994" s="74"/>
      <c r="S994" s="74"/>
      <c r="T994" s="74"/>
      <c r="U994" s="74"/>
      <c r="V994" s="74"/>
      <c r="W994" s="74"/>
      <c r="X994" s="74"/>
      <c r="Y994" s="74"/>
    </row>
    <row r="995" spans="1:25" ht="15.75" thickBot="1" x14ac:dyDescent="0.3">
      <c r="A995" s="82"/>
      <c r="B995" s="82"/>
      <c r="C995" s="87"/>
      <c r="D995" s="87"/>
      <c r="E995" s="82"/>
      <c r="F995" s="82"/>
      <c r="G995" s="82"/>
      <c r="H995" s="82"/>
      <c r="I995" s="82"/>
      <c r="J995" s="82"/>
      <c r="K995" s="82"/>
      <c r="L995" s="74"/>
      <c r="M995" s="74"/>
      <c r="N995" s="74"/>
      <c r="O995" s="74"/>
      <c r="P995" s="74"/>
      <c r="Q995" s="74"/>
      <c r="R995" s="74"/>
      <c r="S995" s="74"/>
      <c r="T995" s="74"/>
      <c r="U995" s="74"/>
      <c r="V995" s="74"/>
      <c r="W995" s="74"/>
      <c r="X995" s="74"/>
      <c r="Y995" s="7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37"/>
  <sheetViews>
    <sheetView tabSelected="1" workbookViewId="0">
      <pane xSplit="7" ySplit="5" topLeftCell="H307" activePane="bottomRight" state="frozen"/>
      <selection pane="topRight" activeCell="C1" sqref="C1"/>
      <selection pane="bottomLeft" activeCell="A6" sqref="A6"/>
      <selection pane="bottomRight" activeCell="B1" sqref="A1:B1048576"/>
    </sheetView>
  </sheetViews>
  <sheetFormatPr defaultRowHeight="15" x14ac:dyDescent="0.25"/>
  <cols>
    <col min="1" max="2" width="9.140625" style="50" hidden="1" customWidth="1"/>
    <col min="3" max="3" width="9.140625" style="31"/>
    <col min="4" max="5" width="9.140625" style="50" hidden="1" customWidth="1"/>
    <col min="6" max="6" width="5" style="53" hidden="1" customWidth="1"/>
    <col min="7" max="7" width="32.28515625" style="31" bestFit="1" customWidth="1"/>
    <col min="8" max="8" width="11" style="31" bestFit="1" customWidth="1"/>
    <col min="9" max="9" width="12.7109375" style="31" customWidth="1"/>
    <col min="10" max="10" width="1.7109375" style="31" customWidth="1"/>
    <col min="11" max="11" width="14.7109375" style="31" customWidth="1"/>
    <col min="12" max="12" width="13.5703125" style="31" bestFit="1" customWidth="1"/>
    <col min="13" max="13" width="12.85546875" style="31" customWidth="1"/>
    <col min="14" max="14" width="1.7109375" style="31" customWidth="1"/>
    <col min="15" max="15" width="13.28515625" style="31" hidden="1" customWidth="1"/>
    <col min="16" max="16" width="12.42578125" style="31" hidden="1" customWidth="1"/>
    <col min="17" max="17" width="13.85546875" style="31" hidden="1" customWidth="1"/>
    <col min="18" max="18" width="1.7109375" style="31" hidden="1" customWidth="1"/>
    <col min="19" max="19" width="13.85546875" style="31" hidden="1" customWidth="1"/>
    <col min="20" max="20" width="12.7109375" style="31" hidden="1" customWidth="1"/>
    <col min="21" max="21" width="13.85546875" style="31" hidden="1" customWidth="1"/>
    <col min="22" max="24" width="9.140625" style="31" hidden="1" customWidth="1"/>
    <col min="25" max="16384" width="9.140625" style="31"/>
  </cols>
  <sheetData>
    <row r="1" spans="1:24" x14ac:dyDescent="0.25">
      <c r="G1" s="108" t="str">
        <f>CONCATENATE("School District Income Surtax Payment - FY ",Notes!$B$1)</f>
        <v>School District Income Surtax Payment - FY 2025</v>
      </c>
      <c r="H1" s="108"/>
      <c r="I1" s="108"/>
      <c r="J1" s="108"/>
      <c r="K1" s="108"/>
      <c r="L1" s="108"/>
      <c r="M1" s="108"/>
      <c r="N1" s="108"/>
      <c r="O1" s="108"/>
      <c r="P1" s="108"/>
      <c r="Q1" s="108"/>
      <c r="R1" s="108"/>
      <c r="S1" s="108"/>
      <c r="T1" s="108"/>
      <c r="U1" s="108"/>
    </row>
    <row r="2" spans="1:24" x14ac:dyDescent="0.25">
      <c r="G2" s="108" t="str">
        <f>CONCATENATE("Based upon income surtax rates in FY ",Notes!$B$1-1," budgets")</f>
        <v>Based upon income surtax rates in FY 2024 budgets</v>
      </c>
      <c r="H2" s="108"/>
      <c r="I2" s="108"/>
      <c r="J2" s="108"/>
      <c r="K2" s="108"/>
      <c r="L2" s="108"/>
      <c r="M2" s="108"/>
      <c r="N2" s="108"/>
      <c r="O2" s="108"/>
      <c r="P2" s="108"/>
      <c r="Q2" s="108"/>
      <c r="R2" s="108"/>
      <c r="S2" s="108"/>
      <c r="T2" s="108"/>
      <c r="U2" s="108"/>
    </row>
    <row r="3" spans="1:24" x14ac:dyDescent="0.25">
      <c r="F3" s="51"/>
      <c r="G3" s="40"/>
      <c r="H3" s="40"/>
      <c r="I3" s="40"/>
      <c r="J3" s="40"/>
      <c r="K3" s="40"/>
      <c r="L3" s="40"/>
      <c r="M3" s="40"/>
    </row>
    <row r="4" spans="1:24" ht="15" customHeight="1" x14ac:dyDescent="0.25">
      <c r="F4" s="51"/>
      <c r="G4" s="41"/>
      <c r="J4" s="30"/>
      <c r="K4" s="109" t="str">
        <f>CONCATENATE("First Payment - 12/13/",Notes!$B$1-1)</f>
        <v>First Payment - 12/13/2024</v>
      </c>
      <c r="L4" s="109"/>
      <c r="M4" s="109"/>
      <c r="N4" s="30"/>
      <c r="O4" s="109" t="str">
        <f>CONCATENATE("Second Payment - 02/29/",Notes!$B$1)</f>
        <v>Second Payment - 02/29/2025</v>
      </c>
      <c r="P4" s="109"/>
      <c r="Q4" s="109"/>
      <c r="R4" s="37"/>
      <c r="S4" s="109" t="s">
        <v>310</v>
      </c>
      <c r="T4" s="109"/>
      <c r="U4" s="109"/>
    </row>
    <row r="5" spans="1:24" ht="45" x14ac:dyDescent="0.25">
      <c r="A5" s="50" t="s">
        <v>8</v>
      </c>
      <c r="B5" s="50" t="s">
        <v>677</v>
      </c>
      <c r="C5" s="49" t="s">
        <v>292</v>
      </c>
      <c r="D5" s="50" t="s">
        <v>678</v>
      </c>
      <c r="E5" s="50" t="s">
        <v>679</v>
      </c>
      <c r="F5" s="54" t="s">
        <v>680</v>
      </c>
      <c r="G5" s="55" t="s">
        <v>306</v>
      </c>
      <c r="H5" s="56" t="s">
        <v>303</v>
      </c>
      <c r="I5" s="44" t="s">
        <v>296</v>
      </c>
      <c r="J5" s="45"/>
      <c r="K5" s="46" t="s">
        <v>311</v>
      </c>
      <c r="L5" s="44" t="s">
        <v>304</v>
      </c>
      <c r="M5" s="44" t="s">
        <v>305</v>
      </c>
      <c r="N5" s="30"/>
      <c r="O5" s="61" t="s">
        <v>311</v>
      </c>
      <c r="P5" s="56" t="s">
        <v>304</v>
      </c>
      <c r="Q5" s="56" t="s">
        <v>305</v>
      </c>
      <c r="R5" s="30"/>
      <c r="S5" s="61" t="s">
        <v>311</v>
      </c>
      <c r="T5" s="56" t="s">
        <v>304</v>
      </c>
      <c r="U5" s="56" t="s">
        <v>305</v>
      </c>
    </row>
    <row r="6" spans="1:24" x14ac:dyDescent="0.25">
      <c r="A6" s="52">
        <v>2025</v>
      </c>
      <c r="B6" s="52" t="s">
        <v>657</v>
      </c>
      <c r="C6" s="57" t="s">
        <v>313</v>
      </c>
      <c r="D6" s="58" t="s">
        <v>693</v>
      </c>
      <c r="E6" s="58" t="s">
        <v>693</v>
      </c>
      <c r="F6" s="58" t="s">
        <v>313</v>
      </c>
      <c r="G6" s="57" t="s">
        <v>15</v>
      </c>
      <c r="H6" s="39">
        <f>SUMPRODUCT(SUMIF(SurtaxRatesSAS!$B$2:$B$324,$C6:$E6,SurtaxRatesSAS!$E$2:$E$324))</f>
        <v>4</v>
      </c>
      <c r="I6" s="39">
        <f>SUMPRODUCT(SUMIF(SurtaxRatesSAS!$B$2:$B$324,$C6:$E6,SurtaxRatesSAS!$D$2:$D$324))</f>
        <v>4</v>
      </c>
      <c r="J6" s="38"/>
      <c r="K6" s="39">
        <f>SUMPRODUCT(SUMIF(SurtaxRatesSAS!$B$2:$B$324,$C6:$E6,SurtaxRatesSAS!$G$2:$G$324))</f>
        <v>189597.3</v>
      </c>
      <c r="L6" s="39">
        <f>SUMPRODUCT(SUMIF(SurtaxRatesSAS!$B$2:$B$324,$C6:$E6,SurtaxRatesSAS!$H$2:$H$324))</f>
        <v>94798.65</v>
      </c>
      <c r="M6" s="39">
        <f>SUMPRODUCT(SUMIF(SurtaxRatesSAS!$B$2:$B$324,$C6:$E6,SurtaxRatesSAS!$I$2:$I$324))</f>
        <v>94798.65</v>
      </c>
      <c r="N6" s="38"/>
      <c r="O6" s="39" t="e">
        <f>SUMPRODUCT(SUMIF(SurtaxRatesSAS!$B$2:$B$324,$C6:$E6,SurtaxRatesSAS!$L$2:$L$324))</f>
        <v>#REF!</v>
      </c>
      <c r="P6" s="39" t="e">
        <f>SUMPRODUCT(SUMIF(SurtaxRatesSAS!$B$2:$B$324,$C6:$E6,SurtaxRatesSAS!$M$2:$M$324))</f>
        <v>#REF!</v>
      </c>
      <c r="Q6" s="39" t="e">
        <f>SUMPRODUCT(SUMIF(SurtaxRatesSAS!$B$2:$B$324,$C6:$E6,SurtaxRatesSAS!$N$2:$N$324))</f>
        <v>#REF!</v>
      </c>
      <c r="R6" s="38"/>
      <c r="S6" s="39" t="e">
        <f>SUM(K6,O6)</f>
        <v>#REF!</v>
      </c>
      <c r="T6" s="39" t="e">
        <f>SUM(L6,P6)</f>
        <v>#REF!</v>
      </c>
      <c r="U6" s="39" t="e">
        <f>SUM(M6,Q6)</f>
        <v>#REF!</v>
      </c>
      <c r="V6" s="29"/>
      <c r="W6" s="31" t="str">
        <f>IF(K6&gt;0,INDEX(cfo!$C$2:$I$326,MATCH(SurtaxPayment!C6,cfo!$C$2:$C$326,0),7),"")</f>
        <v>ssheeder@acgcschools.org</v>
      </c>
      <c r="X6" s="31" t="str">
        <f>IF(IF(K6&gt;0,INDEX(cfo!$C$2:$K$326,MATCH(SurtaxPayment!C6,cfo!$C$2:$C$326,0),9),"")=0,"",IF(K6&gt;0,INDEX(cfo!$C$2:$K$326,MATCH(SurtaxPayment!C6,cfo!$C$2:$C$326,0),9),""))</f>
        <v/>
      </c>
    </row>
    <row r="7" spans="1:24" x14ac:dyDescent="0.25">
      <c r="A7" s="52">
        <v>2025</v>
      </c>
      <c r="B7" s="52" t="s">
        <v>657</v>
      </c>
      <c r="C7" s="57" t="s">
        <v>314</v>
      </c>
      <c r="D7" s="58" t="s">
        <v>693</v>
      </c>
      <c r="E7" s="58" t="s">
        <v>693</v>
      </c>
      <c r="F7" s="58" t="s">
        <v>314</v>
      </c>
      <c r="G7" s="57" t="s">
        <v>694</v>
      </c>
      <c r="H7" s="39">
        <f>SUMPRODUCT(SUMIF(SurtaxRatesSAS!$B$2:$B$324,$C7:$E7,SurtaxRatesSAS!$E$2:$E$324))</f>
        <v>0</v>
      </c>
      <c r="I7" s="39">
        <f>SUMPRODUCT(SUMIF(SurtaxRatesSAS!$B$2:$B$324,$C7:$E7,SurtaxRatesSAS!$D$2:$D$324))</f>
        <v>0</v>
      </c>
      <c r="J7" s="38"/>
      <c r="K7" s="39">
        <f>SUMPRODUCT(SUMIF(SurtaxRatesSAS!$B$2:$B$324,$C7:$E7,SurtaxRatesSAS!$G$2:$G$324))</f>
        <v>0</v>
      </c>
      <c r="L7" s="39">
        <f>SUMPRODUCT(SUMIF(SurtaxRatesSAS!$B$2:$B$324,$C7:$E7,SurtaxRatesSAS!$H$2:$H$324))</f>
        <v>0</v>
      </c>
      <c r="M7" s="39">
        <f>SUMPRODUCT(SUMIF(SurtaxRatesSAS!$B$2:$B$324,$C7:$E7,SurtaxRatesSAS!$I$2:$I$324))</f>
        <v>0</v>
      </c>
      <c r="N7" s="38"/>
      <c r="O7" s="39">
        <f>SUMPRODUCT(SUMIF(SurtaxRatesSAS!$B$2:$B$324,$C7:$E7,SurtaxRatesSAS!$L$2:$L$324))</f>
        <v>0</v>
      </c>
      <c r="P7" s="39">
        <f>SUMPRODUCT(SUMIF(SurtaxRatesSAS!$B$2:$B$324,$C7:$E7,SurtaxRatesSAS!$M$2:$M$324))</f>
        <v>0</v>
      </c>
      <c r="Q7" s="39">
        <f>SUMPRODUCT(SUMIF(SurtaxRatesSAS!$B$2:$B$324,$C7:$E7,SurtaxRatesSAS!$N$2:$N$324))</f>
        <v>0</v>
      </c>
      <c r="R7" s="38"/>
      <c r="S7" s="39">
        <f t="shared" ref="S7:S70" si="0">SUM(K7,O7)</f>
        <v>0</v>
      </c>
      <c r="T7" s="39">
        <f t="shared" ref="T7:T70" si="1">SUM(L7,P7)</f>
        <v>0</v>
      </c>
      <c r="U7" s="39">
        <f t="shared" ref="U7:U70" si="2">SUM(M7,Q7)</f>
        <v>0</v>
      </c>
      <c r="V7" s="29"/>
      <c r="W7" s="31" t="str">
        <f>IF(K7&gt;0,INDEX(cfo!$C$2:$I$326,MATCH(SurtaxPayment!C7,cfo!$C$2:$C$326,0),7),"")</f>
        <v/>
      </c>
      <c r="X7" s="31" t="str">
        <f>IF(IF(K7&gt;0,INDEX(cfo!$C$2:$K$326,MATCH(SurtaxPayment!C7,cfo!$C$2:$C$326,0),9),"")=0,"",IF(K7&gt;0,INDEX(cfo!$C$2:$K$326,MATCH(SurtaxPayment!C7,cfo!$C$2:$C$326,0),9),""))</f>
        <v/>
      </c>
    </row>
    <row r="8" spans="1:24" x14ac:dyDescent="0.25">
      <c r="A8" s="52">
        <v>2025</v>
      </c>
      <c r="B8" s="52" t="s">
        <v>658</v>
      </c>
      <c r="C8" s="57" t="s">
        <v>312</v>
      </c>
      <c r="D8" s="58" t="s">
        <v>693</v>
      </c>
      <c r="E8" s="58" t="s">
        <v>693</v>
      </c>
      <c r="F8" s="58" t="s">
        <v>312</v>
      </c>
      <c r="G8" s="57" t="s">
        <v>0</v>
      </c>
      <c r="H8" s="39">
        <f>SUMPRODUCT(SUMIF(SurtaxRatesSAS!$B$2:$B$324,$C8:$E8,SurtaxRatesSAS!$E$2:$E$324))</f>
        <v>14</v>
      </c>
      <c r="I8" s="39">
        <f>SUMPRODUCT(SUMIF(SurtaxRatesSAS!$B$2:$B$324,$C8:$E8,SurtaxRatesSAS!$D$2:$D$324))</f>
        <v>0</v>
      </c>
      <c r="J8" s="38"/>
      <c r="K8" s="39">
        <f>SUMPRODUCT(SUMIF(SurtaxRatesSAS!$B$2:$B$324,$C8:$E8,SurtaxRatesSAS!$G$2:$G$324))</f>
        <v>591650.63</v>
      </c>
      <c r="L8" s="39">
        <f>SUMPRODUCT(SUMIF(SurtaxRatesSAS!$B$2:$B$324,$C8:$E8,SurtaxRatesSAS!$H$2:$H$324))</f>
        <v>591650.63</v>
      </c>
      <c r="M8" s="39">
        <f>SUMPRODUCT(SUMIF(SurtaxRatesSAS!$B$2:$B$324,$C8:$E8,SurtaxRatesSAS!$I$2:$I$324))</f>
        <v>0</v>
      </c>
      <c r="N8" s="38"/>
      <c r="O8" s="39" t="e">
        <f>SUMPRODUCT(SUMIF(SurtaxRatesSAS!$B$2:$B$324,$C8:$E8,SurtaxRatesSAS!$L$2:$L$324))</f>
        <v>#REF!</v>
      </c>
      <c r="P8" s="39" t="e">
        <f>SUMPRODUCT(SUMIF(SurtaxRatesSAS!$B$2:$B$324,$C8:$E8,SurtaxRatesSAS!$M$2:$M$324))</f>
        <v>#REF!</v>
      </c>
      <c r="Q8" s="39" t="e">
        <f>SUMPRODUCT(SUMIF(SurtaxRatesSAS!$B$2:$B$324,$C8:$E8,SurtaxRatesSAS!$N$2:$N$324))</f>
        <v>#REF!</v>
      </c>
      <c r="R8" s="38"/>
      <c r="S8" s="39" t="e">
        <f t="shared" si="0"/>
        <v>#REF!</v>
      </c>
      <c r="T8" s="39" t="e">
        <f t="shared" si="1"/>
        <v>#REF!</v>
      </c>
      <c r="U8" s="39" t="e">
        <f t="shared" si="2"/>
        <v>#REF!</v>
      </c>
      <c r="V8" s="29"/>
      <c r="W8" s="31" t="str">
        <f>IF(K8&gt;0,INDEX(cfo!$C$2:$I$326,MATCH(SurtaxPayment!C8,cfo!$C$2:$C$326,0),7),"")</f>
        <v>dbarker@agwsr.org</v>
      </c>
      <c r="X8" s="31" t="str">
        <f>IF(IF(K8&gt;0,INDEX(cfo!$C$2:$K$326,MATCH(SurtaxPayment!C8,cfo!$C$2:$C$326,0),9),"")=0,"",IF(K8&gt;0,INDEX(cfo!$C$2:$K$326,MATCH(SurtaxPayment!C8,cfo!$C$2:$C$326,0),9),""))</f>
        <v/>
      </c>
    </row>
    <row r="9" spans="1:24" x14ac:dyDescent="0.25">
      <c r="A9" s="52">
        <v>2025</v>
      </c>
      <c r="B9" s="52" t="s">
        <v>659</v>
      </c>
      <c r="C9" s="57" t="s">
        <v>333</v>
      </c>
      <c r="D9" s="58" t="s">
        <v>693</v>
      </c>
      <c r="E9" s="58" t="s">
        <v>693</v>
      </c>
      <c r="F9" s="58" t="s">
        <v>333</v>
      </c>
      <c r="G9" s="57" t="s">
        <v>7</v>
      </c>
      <c r="H9" s="39">
        <f>SUMPRODUCT(SUMIF(SurtaxRatesSAS!$B$2:$B$324,$C9:$E9,SurtaxRatesSAS!$E$2:$E$324))</f>
        <v>0</v>
      </c>
      <c r="I9" s="39">
        <f>SUMPRODUCT(SUMIF(SurtaxRatesSAS!$B$2:$B$324,$C9:$E9,SurtaxRatesSAS!$D$2:$D$324))</f>
        <v>3</v>
      </c>
      <c r="J9" s="38"/>
      <c r="K9" s="39">
        <f>SUMPRODUCT(SUMIF(SurtaxRatesSAS!$B$2:$B$324,$C9:$E9,SurtaxRatesSAS!$G$2:$G$324))</f>
        <v>140896.35</v>
      </c>
      <c r="L9" s="39">
        <f>SUMPRODUCT(SUMIF(SurtaxRatesSAS!$B$2:$B$324,$C9:$E9,SurtaxRatesSAS!$H$2:$H$324))</f>
        <v>0</v>
      </c>
      <c r="M9" s="39">
        <f>SUMPRODUCT(SUMIF(SurtaxRatesSAS!$B$2:$B$324,$C9:$E9,SurtaxRatesSAS!$I$2:$I$324))</f>
        <v>140896.35</v>
      </c>
      <c r="N9" s="38"/>
      <c r="O9" s="39" t="e">
        <f>SUMPRODUCT(SUMIF(SurtaxRatesSAS!$B$2:$B$324,$C9:$E9,SurtaxRatesSAS!$L$2:$L$324))</f>
        <v>#REF!</v>
      </c>
      <c r="P9" s="39" t="e">
        <f>SUMPRODUCT(SUMIF(SurtaxRatesSAS!$B$2:$B$324,$C9:$E9,SurtaxRatesSAS!$M$2:$M$324))</f>
        <v>#REF!</v>
      </c>
      <c r="Q9" s="39" t="e">
        <f>SUMPRODUCT(SUMIF(SurtaxRatesSAS!$B$2:$B$324,$C9:$E9,SurtaxRatesSAS!$N$2:$N$324))</f>
        <v>#REF!</v>
      </c>
      <c r="R9" s="38"/>
      <c r="S9" s="39" t="e">
        <f t="shared" si="0"/>
        <v>#REF!</v>
      </c>
      <c r="T9" s="39" t="e">
        <f t="shared" si="1"/>
        <v>#REF!</v>
      </c>
      <c r="U9" s="39" t="e">
        <f t="shared" si="2"/>
        <v>#REF!</v>
      </c>
      <c r="V9" s="29"/>
      <c r="W9" s="31" t="str">
        <f>IF(K9&gt;0,INDEX(cfo!$C$2:$I$326,MATCH(SurtaxPayment!C9,cfo!$C$2:$C$326,0),7),"")</f>
        <v>alisha.cook@ahstwschools.org</v>
      </c>
      <c r="X9" s="31" t="str">
        <f>IF(IF(K9&gt;0,INDEX(cfo!$C$2:$K$326,MATCH(SurtaxPayment!C9,cfo!$C$2:$C$326,0),9),"")=0,"",IF(K9&gt;0,INDEX(cfo!$C$2:$K$326,MATCH(SurtaxPayment!C9,cfo!$C$2:$C$326,0),9),""))</f>
        <v/>
      </c>
    </row>
    <row r="10" spans="1:24" x14ac:dyDescent="0.25">
      <c r="A10" s="52">
        <v>2025</v>
      </c>
      <c r="B10" s="52" t="s">
        <v>660</v>
      </c>
      <c r="C10" s="57" t="s">
        <v>315</v>
      </c>
      <c r="D10" s="58" t="s">
        <v>693</v>
      </c>
      <c r="E10" s="58" t="s">
        <v>693</v>
      </c>
      <c r="F10" s="58" t="s">
        <v>315</v>
      </c>
      <c r="G10" s="57" t="s">
        <v>16</v>
      </c>
      <c r="H10" s="39">
        <f>SUMPRODUCT(SUMIF(SurtaxRatesSAS!$B$2:$B$324,$C10:$E10,SurtaxRatesSAS!$E$2:$E$324))</f>
        <v>0</v>
      </c>
      <c r="I10" s="39">
        <f>SUMPRODUCT(SUMIF(SurtaxRatesSAS!$B$2:$B$324,$C10:$E10,SurtaxRatesSAS!$D$2:$D$324))</f>
        <v>4</v>
      </c>
      <c r="J10" s="38"/>
      <c r="K10" s="39">
        <f>SUMPRODUCT(SUMIF(SurtaxRatesSAS!$B$2:$B$324,$C10:$E10,SurtaxRatesSAS!$G$2:$G$324))</f>
        <v>107116.8</v>
      </c>
      <c r="L10" s="39">
        <f>SUMPRODUCT(SUMIF(SurtaxRatesSAS!$B$2:$B$324,$C10:$E10,SurtaxRatesSAS!$H$2:$H$324))</f>
        <v>0</v>
      </c>
      <c r="M10" s="39">
        <f>SUMPRODUCT(SUMIF(SurtaxRatesSAS!$B$2:$B$324,$C10:$E10,SurtaxRatesSAS!$I$2:$I$324))</f>
        <v>107116.8</v>
      </c>
      <c r="N10" s="38"/>
      <c r="O10" s="39" t="e">
        <f>SUMPRODUCT(SUMIF(SurtaxRatesSAS!$B$2:$B$324,$C10:$E10,SurtaxRatesSAS!$L$2:$L$324))</f>
        <v>#REF!</v>
      </c>
      <c r="P10" s="39" t="e">
        <f>SUMPRODUCT(SUMIF(SurtaxRatesSAS!$B$2:$B$324,$C10:$E10,SurtaxRatesSAS!$M$2:$M$324))</f>
        <v>#REF!</v>
      </c>
      <c r="Q10" s="39" t="e">
        <f>SUMPRODUCT(SUMIF(SurtaxRatesSAS!$B$2:$B$324,$C10:$E10,SurtaxRatesSAS!$N$2:$N$324))</f>
        <v>#REF!</v>
      </c>
      <c r="R10" s="38"/>
      <c r="S10" s="39" t="e">
        <f t="shared" si="0"/>
        <v>#REF!</v>
      </c>
      <c r="T10" s="39" t="e">
        <f t="shared" si="1"/>
        <v>#REF!</v>
      </c>
      <c r="U10" s="39" t="e">
        <f t="shared" si="2"/>
        <v>#REF!</v>
      </c>
      <c r="V10" s="29"/>
      <c r="W10" s="31" t="str">
        <f>IF(K10&gt;0,INDEX(cfo!$C$2:$I$326,MATCH(SurtaxPayment!C10,cfo!$C$2:$C$326,0),7),"")</f>
        <v>mmccully@akron-westfield.com</v>
      </c>
      <c r="X10" s="31" t="str">
        <f>IF(IF(K10&gt;0,INDEX(cfo!$C$2:$K$326,MATCH(SurtaxPayment!C10,cfo!$C$2:$C$326,0),9),"")=0,"",IF(K10&gt;0,INDEX(cfo!$C$2:$K$326,MATCH(SurtaxPayment!C10,cfo!$C$2:$C$326,0),9),""))</f>
        <v/>
      </c>
    </row>
    <row r="11" spans="1:24" x14ac:dyDescent="0.25">
      <c r="A11" s="52">
        <v>2025</v>
      </c>
      <c r="B11" s="52" t="s">
        <v>661</v>
      </c>
      <c r="C11" s="57" t="s">
        <v>316</v>
      </c>
      <c r="D11" s="58" t="s">
        <v>693</v>
      </c>
      <c r="E11" s="58" t="s">
        <v>693</v>
      </c>
      <c r="F11" s="58" t="s">
        <v>316</v>
      </c>
      <c r="G11" s="57" t="s">
        <v>695</v>
      </c>
      <c r="H11" s="39">
        <f>SUMPRODUCT(SUMIF(SurtaxRatesSAS!$B$2:$B$324,$C11:$E11,SurtaxRatesSAS!$E$2:$E$324))</f>
        <v>0</v>
      </c>
      <c r="I11" s="39">
        <f>SUMPRODUCT(SUMIF(SurtaxRatesSAS!$B$2:$B$324,$C11:$E11,SurtaxRatesSAS!$D$2:$D$324))</f>
        <v>0</v>
      </c>
      <c r="J11" s="38"/>
      <c r="K11" s="39">
        <f>SUMPRODUCT(SUMIF(SurtaxRatesSAS!$B$2:$B$324,$C11:$E11,SurtaxRatesSAS!$G$2:$G$324))</f>
        <v>0</v>
      </c>
      <c r="L11" s="39">
        <f>SUMPRODUCT(SUMIF(SurtaxRatesSAS!$B$2:$B$324,$C11:$E11,SurtaxRatesSAS!$H$2:$H$324))</f>
        <v>0</v>
      </c>
      <c r="M11" s="39">
        <f>SUMPRODUCT(SUMIF(SurtaxRatesSAS!$B$2:$B$324,$C11:$E11,SurtaxRatesSAS!$I$2:$I$324))</f>
        <v>0</v>
      </c>
      <c r="N11" s="38"/>
      <c r="O11" s="39">
        <f>SUMPRODUCT(SUMIF(SurtaxRatesSAS!$B$2:$B$324,$C11:$E11,SurtaxRatesSAS!$L$2:$L$324))</f>
        <v>0</v>
      </c>
      <c r="P11" s="39">
        <f>SUMPRODUCT(SUMIF(SurtaxRatesSAS!$B$2:$B$324,$C11:$E11,SurtaxRatesSAS!$M$2:$M$324))</f>
        <v>0</v>
      </c>
      <c r="Q11" s="39">
        <f>SUMPRODUCT(SUMIF(SurtaxRatesSAS!$B$2:$B$324,$C11:$E11,SurtaxRatesSAS!$N$2:$N$324))</f>
        <v>0</v>
      </c>
      <c r="R11" s="38"/>
      <c r="S11" s="39">
        <f t="shared" si="0"/>
        <v>0</v>
      </c>
      <c r="T11" s="39">
        <f t="shared" si="1"/>
        <v>0</v>
      </c>
      <c r="U11" s="39">
        <f t="shared" si="2"/>
        <v>0</v>
      </c>
      <c r="V11" s="29"/>
      <c r="W11" s="31" t="str">
        <f>IF(K11&gt;0,INDEX(cfo!$C$2:$I$326,MATCH(SurtaxPayment!C11,cfo!$C$2:$C$326,0),7),"")</f>
        <v/>
      </c>
      <c r="X11" s="31" t="str">
        <f>IF(IF(K11&gt;0,INDEX(cfo!$C$2:$K$326,MATCH(SurtaxPayment!C11,cfo!$C$2:$C$326,0),9),"")=0,"",IF(K11&gt;0,INDEX(cfo!$C$2:$K$326,MATCH(SurtaxPayment!C11,cfo!$C$2:$C$326,0),9),""))</f>
        <v/>
      </c>
    </row>
    <row r="12" spans="1:24" x14ac:dyDescent="0.25">
      <c r="A12" s="52">
        <v>2025</v>
      </c>
      <c r="B12" s="52" t="s">
        <v>662</v>
      </c>
      <c r="C12" s="57" t="s">
        <v>317</v>
      </c>
      <c r="D12" s="58" t="s">
        <v>693</v>
      </c>
      <c r="E12" s="58" t="s">
        <v>693</v>
      </c>
      <c r="F12" s="58" t="s">
        <v>317</v>
      </c>
      <c r="G12" s="57" t="s">
        <v>17</v>
      </c>
      <c r="H12" s="39">
        <f>SUMPRODUCT(SUMIF(SurtaxRatesSAS!$B$2:$B$324,$C12:$E12,SurtaxRatesSAS!$E$2:$E$324))</f>
        <v>0</v>
      </c>
      <c r="I12" s="39">
        <f>SUMPRODUCT(SUMIF(SurtaxRatesSAS!$B$2:$B$324,$C12:$E12,SurtaxRatesSAS!$D$2:$D$324))</f>
        <v>2</v>
      </c>
      <c r="J12" s="38"/>
      <c r="K12" s="39">
        <f>SUMPRODUCT(SUMIF(SurtaxRatesSAS!$B$2:$B$324,$C12:$E12,SurtaxRatesSAS!$G$2:$G$324))</f>
        <v>133163.45000000001</v>
      </c>
      <c r="L12" s="39">
        <f>SUMPRODUCT(SUMIF(SurtaxRatesSAS!$B$2:$B$324,$C12:$E12,SurtaxRatesSAS!$H$2:$H$324))</f>
        <v>0</v>
      </c>
      <c r="M12" s="39">
        <f>SUMPRODUCT(SUMIF(SurtaxRatesSAS!$B$2:$B$324,$C12:$E12,SurtaxRatesSAS!$I$2:$I$324))</f>
        <v>133163.45000000001</v>
      </c>
      <c r="N12" s="38"/>
      <c r="O12" s="39" t="e">
        <f>SUMPRODUCT(SUMIF(SurtaxRatesSAS!$B$2:$B$324,$C12:$E12,SurtaxRatesSAS!$L$2:$L$324))</f>
        <v>#REF!</v>
      </c>
      <c r="P12" s="39" t="e">
        <f>SUMPRODUCT(SUMIF(SurtaxRatesSAS!$B$2:$B$324,$C12:$E12,SurtaxRatesSAS!$M$2:$M$324))</f>
        <v>#REF!</v>
      </c>
      <c r="Q12" s="39" t="e">
        <f>SUMPRODUCT(SUMIF(SurtaxRatesSAS!$B$2:$B$324,$C12:$E12,SurtaxRatesSAS!$N$2:$N$324))</f>
        <v>#REF!</v>
      </c>
      <c r="R12" s="38"/>
      <c r="S12" s="39" t="e">
        <f t="shared" si="0"/>
        <v>#REF!</v>
      </c>
      <c r="T12" s="39" t="e">
        <f t="shared" si="1"/>
        <v>#REF!</v>
      </c>
      <c r="U12" s="39" t="e">
        <f t="shared" si="2"/>
        <v>#REF!</v>
      </c>
      <c r="V12" s="29"/>
      <c r="W12" s="31" t="str">
        <f>IF(K12&gt;0,INDEX(cfo!$C$2:$I$326,MATCH(SurtaxPayment!C12,cfo!$C$2:$C$326,0),7),"")</f>
        <v>melissa.bauer@albia.k12.ia.us</v>
      </c>
      <c r="X12" s="31" t="str">
        <f>IF(IF(K12&gt;0,INDEX(cfo!$C$2:$K$326,MATCH(SurtaxPayment!C12,cfo!$C$2:$C$326,0),9),"")=0,"",IF(K12&gt;0,INDEX(cfo!$C$2:$K$326,MATCH(SurtaxPayment!C12,cfo!$C$2:$C$326,0),9),""))</f>
        <v/>
      </c>
    </row>
    <row r="13" spans="1:24" x14ac:dyDescent="0.25">
      <c r="A13" s="52">
        <v>2025</v>
      </c>
      <c r="B13" s="52" t="s">
        <v>663</v>
      </c>
      <c r="C13" s="57" t="s">
        <v>318</v>
      </c>
      <c r="D13" s="58" t="s">
        <v>693</v>
      </c>
      <c r="E13" s="58" t="s">
        <v>693</v>
      </c>
      <c r="F13" s="58" t="s">
        <v>318</v>
      </c>
      <c r="G13" s="57" t="s">
        <v>18</v>
      </c>
      <c r="H13" s="39">
        <f>SUMPRODUCT(SUMIF(SurtaxRatesSAS!$B$2:$B$324,$C13:$E13,SurtaxRatesSAS!$E$2:$E$324))</f>
        <v>3</v>
      </c>
      <c r="I13" s="39">
        <f>SUMPRODUCT(SUMIF(SurtaxRatesSAS!$B$2:$B$324,$C13:$E13,SurtaxRatesSAS!$D$2:$D$324))</f>
        <v>0</v>
      </c>
      <c r="J13" s="38"/>
      <c r="K13" s="39">
        <f>SUMPRODUCT(SUMIF(SurtaxRatesSAS!$B$2:$B$324,$C13:$E13,SurtaxRatesSAS!$G$2:$G$324))</f>
        <v>149795.53</v>
      </c>
      <c r="L13" s="39">
        <f>SUMPRODUCT(SUMIF(SurtaxRatesSAS!$B$2:$B$324,$C13:$E13,SurtaxRatesSAS!$H$2:$H$324))</f>
        <v>149795.53</v>
      </c>
      <c r="M13" s="39">
        <f>SUMPRODUCT(SUMIF(SurtaxRatesSAS!$B$2:$B$324,$C13:$E13,SurtaxRatesSAS!$I$2:$I$324))</f>
        <v>0</v>
      </c>
      <c r="N13" s="38"/>
      <c r="O13" s="39" t="e">
        <f>SUMPRODUCT(SUMIF(SurtaxRatesSAS!$B$2:$B$324,$C13:$E13,SurtaxRatesSAS!$L$2:$L$324))</f>
        <v>#REF!</v>
      </c>
      <c r="P13" s="39" t="e">
        <f>SUMPRODUCT(SUMIF(SurtaxRatesSAS!$B$2:$B$324,$C13:$E13,SurtaxRatesSAS!$M$2:$M$324))</f>
        <v>#REF!</v>
      </c>
      <c r="Q13" s="39" t="e">
        <f>SUMPRODUCT(SUMIF(SurtaxRatesSAS!$B$2:$B$324,$C13:$E13,SurtaxRatesSAS!$N$2:$N$324))</f>
        <v>#REF!</v>
      </c>
      <c r="R13" s="38"/>
      <c r="S13" s="39" t="e">
        <f t="shared" si="0"/>
        <v>#REF!</v>
      </c>
      <c r="T13" s="39" t="e">
        <f t="shared" si="1"/>
        <v>#REF!</v>
      </c>
      <c r="U13" s="39" t="e">
        <f t="shared" si="2"/>
        <v>#REF!</v>
      </c>
      <c r="V13" s="29"/>
      <c r="W13" s="31" t="str">
        <f>IF(K13&gt;0,INDEX(cfo!$C$2:$I$326,MATCH(SurtaxPayment!C13,cfo!$C$2:$C$326,0),7),"")</f>
        <v>hmcburney@alburnettcsd.org</v>
      </c>
      <c r="X13" s="31" t="str">
        <f>IF(IF(K13&gt;0,INDEX(cfo!$C$2:$K$326,MATCH(SurtaxPayment!C13,cfo!$C$2:$C$326,0),9),"")=0,"",IF(K13&gt;0,INDEX(cfo!$C$2:$K$326,MATCH(SurtaxPayment!C13,cfo!$C$2:$C$326,0),9),""))</f>
        <v/>
      </c>
    </row>
    <row r="14" spans="1:24" x14ac:dyDescent="0.25">
      <c r="A14" s="52">
        <v>2025</v>
      </c>
      <c r="B14" s="52" t="s">
        <v>658</v>
      </c>
      <c r="C14" s="57" t="s">
        <v>319</v>
      </c>
      <c r="D14" s="58" t="s">
        <v>693</v>
      </c>
      <c r="E14" s="58" t="s">
        <v>693</v>
      </c>
      <c r="F14" s="58" t="s">
        <v>319</v>
      </c>
      <c r="G14" s="57" t="s">
        <v>19</v>
      </c>
      <c r="H14" s="39">
        <f>SUMPRODUCT(SUMIF(SurtaxRatesSAS!$B$2:$B$324,$C14:$E14,SurtaxRatesSAS!$E$2:$E$324))</f>
        <v>0</v>
      </c>
      <c r="I14" s="39">
        <f>SUMPRODUCT(SUMIF(SurtaxRatesSAS!$B$2:$B$324,$C14:$E14,SurtaxRatesSAS!$D$2:$D$324))</f>
        <v>11</v>
      </c>
      <c r="J14" s="38"/>
      <c r="K14" s="39">
        <f>SUMPRODUCT(SUMIF(SurtaxRatesSAS!$B$2:$B$324,$C14:$E14,SurtaxRatesSAS!$G$2:$G$324))</f>
        <v>162290.76</v>
      </c>
      <c r="L14" s="39">
        <f>SUMPRODUCT(SUMIF(SurtaxRatesSAS!$B$2:$B$324,$C14:$E14,SurtaxRatesSAS!$H$2:$H$324))</f>
        <v>0</v>
      </c>
      <c r="M14" s="39">
        <f>SUMPRODUCT(SUMIF(SurtaxRatesSAS!$B$2:$B$324,$C14:$E14,SurtaxRatesSAS!$I$2:$I$324))</f>
        <v>162290.76</v>
      </c>
      <c r="N14" s="38"/>
      <c r="O14" s="39" t="e">
        <f>SUMPRODUCT(SUMIF(SurtaxRatesSAS!$B$2:$B$324,$C14:$E14,SurtaxRatesSAS!$L$2:$L$324))</f>
        <v>#REF!</v>
      </c>
      <c r="P14" s="39" t="e">
        <f>SUMPRODUCT(SUMIF(SurtaxRatesSAS!$B$2:$B$324,$C14:$E14,SurtaxRatesSAS!$M$2:$M$324))</f>
        <v>#REF!</v>
      </c>
      <c r="Q14" s="39" t="e">
        <f>SUMPRODUCT(SUMIF(SurtaxRatesSAS!$B$2:$B$324,$C14:$E14,SurtaxRatesSAS!$N$2:$N$324))</f>
        <v>#REF!</v>
      </c>
      <c r="R14" s="38"/>
      <c r="S14" s="39" t="e">
        <f t="shared" si="0"/>
        <v>#REF!</v>
      </c>
      <c r="T14" s="39" t="e">
        <f t="shared" si="1"/>
        <v>#REF!</v>
      </c>
      <c r="U14" s="39" t="e">
        <f t="shared" si="2"/>
        <v>#REF!</v>
      </c>
      <c r="V14" s="29"/>
      <c r="W14" s="31" t="str">
        <f>IF(K14&gt;0,INDEX(cfo!$C$2:$I$326,MATCH(SurtaxPayment!C14,cfo!$C$2:$C$326,0),7),"")</f>
        <v>ksharar@ifacadets.net</v>
      </c>
      <c r="X14" s="31" t="str">
        <f>IF(IF(K14&gt;0,INDEX(cfo!$C$2:$K$326,MATCH(SurtaxPayment!C14,cfo!$C$2:$C$326,0),9),"")=0,"",IF(K14&gt;0,INDEX(cfo!$C$2:$K$326,MATCH(SurtaxPayment!C14,cfo!$C$2:$C$326,0),9),""))</f>
        <v/>
      </c>
    </row>
    <row r="15" spans="1:24" x14ac:dyDescent="0.25">
      <c r="A15" s="52">
        <v>2025</v>
      </c>
      <c r="B15" s="52" t="s">
        <v>661</v>
      </c>
      <c r="C15" s="57" t="s">
        <v>320</v>
      </c>
      <c r="D15" s="58" t="s">
        <v>664</v>
      </c>
      <c r="E15" s="58" t="s">
        <v>482</v>
      </c>
      <c r="F15" s="58" t="s">
        <v>320</v>
      </c>
      <c r="G15" s="57" t="s">
        <v>20</v>
      </c>
      <c r="H15" s="39">
        <f>SUMPRODUCT(SUMIF(SurtaxRatesSAS!$B$2:$B$324,$C15:$E15,SurtaxRatesSAS!$E$2:$E$324))</f>
        <v>0</v>
      </c>
      <c r="I15" s="39">
        <f>SUMPRODUCT(SUMIF(SurtaxRatesSAS!$B$2:$B$324,$C15:$E15,SurtaxRatesSAS!$D$2:$D$324))</f>
        <v>6</v>
      </c>
      <c r="J15" s="38"/>
      <c r="K15" s="39">
        <f>SUMPRODUCT(SUMIF(SurtaxRatesSAS!$B$2:$B$324,$C15:$E15,SurtaxRatesSAS!$G$2:$G$324))</f>
        <v>755659.33</v>
      </c>
      <c r="L15" s="39">
        <f>SUMPRODUCT(SUMIF(SurtaxRatesSAS!$B$2:$B$324,$C15:$E15,SurtaxRatesSAS!$H$2:$H$324))</f>
        <v>0</v>
      </c>
      <c r="M15" s="39">
        <f>SUMPRODUCT(SUMIF(SurtaxRatesSAS!$B$2:$B$324,$C15:$E15,SurtaxRatesSAS!$I$2:$I$324))</f>
        <v>755659.33</v>
      </c>
      <c r="N15" s="38"/>
      <c r="O15" s="39" t="e">
        <f>SUMPRODUCT(SUMIF(SurtaxRatesSAS!$B$2:$B$324,$C15:$E15,SurtaxRatesSAS!$L$2:$L$324))</f>
        <v>#REF!</v>
      </c>
      <c r="P15" s="39" t="e">
        <f>SUMPRODUCT(SUMIF(SurtaxRatesSAS!$B$2:$B$324,$C15:$E15,SurtaxRatesSAS!$M$2:$M$324))</f>
        <v>#REF!</v>
      </c>
      <c r="Q15" s="39" t="e">
        <f>SUMPRODUCT(SUMIF(SurtaxRatesSAS!$B$2:$B$324,$C15:$E15,SurtaxRatesSAS!$N$2:$N$324))</f>
        <v>#REF!</v>
      </c>
      <c r="R15" s="38"/>
      <c r="S15" s="39" t="e">
        <f t="shared" si="0"/>
        <v>#REF!</v>
      </c>
      <c r="T15" s="39" t="e">
        <f t="shared" si="1"/>
        <v>#REF!</v>
      </c>
      <c r="U15" s="39" t="e">
        <f t="shared" si="2"/>
        <v>#REF!</v>
      </c>
      <c r="V15" s="29"/>
      <c r="W15" s="31" t="str">
        <f>IF(K15&gt;0,INDEX(cfo!$C$2:$I$326,MATCH(SurtaxPayment!C15,cfo!$C$2:$C$326,0),7),"")</f>
        <v>lisa.chapman@algona.k12.ia.us</v>
      </c>
      <c r="X15" s="31" t="str">
        <f>IF(IF(K15&gt;0,INDEX(cfo!$C$2:$K$326,MATCH(SurtaxPayment!C15,cfo!$C$2:$C$326,0),9),"")=0,"",IF(K15&gt;0,INDEX(cfo!$C$2:$K$326,MATCH(SurtaxPayment!C15,cfo!$C$2:$C$326,0),9),""))</f>
        <v/>
      </c>
    </row>
    <row r="16" spans="1:24" x14ac:dyDescent="0.25">
      <c r="A16" s="52">
        <v>2025</v>
      </c>
      <c r="B16" s="52" t="s">
        <v>665</v>
      </c>
      <c r="C16" s="57" t="s">
        <v>321</v>
      </c>
      <c r="D16" s="58" t="s">
        <v>693</v>
      </c>
      <c r="E16" s="58" t="s">
        <v>693</v>
      </c>
      <c r="F16" s="58" t="s">
        <v>321</v>
      </c>
      <c r="G16" s="57" t="s">
        <v>21</v>
      </c>
      <c r="H16" s="39">
        <f>SUMPRODUCT(SUMIF(SurtaxRatesSAS!$B$2:$B$324,$C16:$E16,SurtaxRatesSAS!$E$2:$E$324))</f>
        <v>8</v>
      </c>
      <c r="I16" s="39">
        <f>SUMPRODUCT(SUMIF(SurtaxRatesSAS!$B$2:$B$324,$C16:$E16,SurtaxRatesSAS!$D$2:$D$324))</f>
        <v>0</v>
      </c>
      <c r="J16" s="38"/>
      <c r="K16" s="39">
        <f>SUMPRODUCT(SUMIF(SurtaxRatesSAS!$B$2:$B$324,$C16:$E16,SurtaxRatesSAS!$G$2:$G$324))</f>
        <v>519685.31</v>
      </c>
      <c r="L16" s="39">
        <f>SUMPRODUCT(SUMIF(SurtaxRatesSAS!$B$2:$B$324,$C16:$E16,SurtaxRatesSAS!$H$2:$H$324))</f>
        <v>519685.31</v>
      </c>
      <c r="M16" s="39">
        <f>SUMPRODUCT(SUMIF(SurtaxRatesSAS!$B$2:$B$324,$C16:$E16,SurtaxRatesSAS!$I$2:$I$324))</f>
        <v>0</v>
      </c>
      <c r="N16" s="38"/>
      <c r="O16" s="39" t="e">
        <f>SUMPRODUCT(SUMIF(SurtaxRatesSAS!$B$2:$B$324,$C16:$E16,SurtaxRatesSAS!$L$2:$L$324))</f>
        <v>#REF!</v>
      </c>
      <c r="P16" s="39" t="e">
        <f>SUMPRODUCT(SUMIF(SurtaxRatesSAS!$B$2:$B$324,$C16:$E16,SurtaxRatesSAS!$M$2:$M$324))</f>
        <v>#REF!</v>
      </c>
      <c r="Q16" s="39" t="e">
        <f>SUMPRODUCT(SUMIF(SurtaxRatesSAS!$B$2:$B$324,$C16:$E16,SurtaxRatesSAS!$N$2:$N$324))</f>
        <v>#REF!</v>
      </c>
      <c r="R16" s="38"/>
      <c r="S16" s="39" t="e">
        <f t="shared" si="0"/>
        <v>#REF!</v>
      </c>
      <c r="T16" s="39" t="e">
        <f t="shared" si="1"/>
        <v>#REF!</v>
      </c>
      <c r="U16" s="39" t="e">
        <f t="shared" si="2"/>
        <v>#REF!</v>
      </c>
      <c r="V16" s="29"/>
      <c r="W16" s="31" t="str">
        <f>IF(K16&gt;0,INDEX(cfo!$C$2:$I$326,MATCH(SurtaxPayment!C16,cfo!$C$2:$C$326,0),7),"")</f>
        <v>jcurtin@allamakee.k12.ia.us</v>
      </c>
      <c r="X16" s="31" t="str">
        <f>IF(IF(K16&gt;0,INDEX(cfo!$C$2:$K$326,MATCH(SurtaxPayment!C16,cfo!$C$2:$C$326,0),9),"")=0,"",IF(K16&gt;0,INDEX(cfo!$C$2:$K$326,MATCH(SurtaxPayment!C16,cfo!$C$2:$C$326,0),9),""))</f>
        <v>tcooper@allamakee.k12.ia.us</v>
      </c>
    </row>
    <row r="17" spans="1:24" x14ac:dyDescent="0.25">
      <c r="A17" s="52">
        <v>2025</v>
      </c>
      <c r="B17" s="52" t="s">
        <v>661</v>
      </c>
      <c r="C17" s="57" t="s">
        <v>323</v>
      </c>
      <c r="D17" s="58" t="s">
        <v>693</v>
      </c>
      <c r="E17" s="58" t="s">
        <v>693</v>
      </c>
      <c r="F17" s="58" t="s">
        <v>323</v>
      </c>
      <c r="G17" s="57" t="s">
        <v>687</v>
      </c>
      <c r="H17" s="39">
        <f>SUMPRODUCT(SUMIF(SurtaxRatesSAS!$B$2:$B$324,$C17:$E17,SurtaxRatesSAS!$E$2:$E$324))</f>
        <v>1</v>
      </c>
      <c r="I17" s="39">
        <f>SUMPRODUCT(SUMIF(SurtaxRatesSAS!$B$2:$B$324,$C17:$E17,SurtaxRatesSAS!$D$2:$D$324))</f>
        <v>8</v>
      </c>
      <c r="J17" s="38"/>
      <c r="K17" s="39">
        <f>SUMPRODUCT(SUMIF(SurtaxRatesSAS!$B$2:$B$324,$C17:$E17,SurtaxRatesSAS!$G$2:$G$324))</f>
        <v>430039.02</v>
      </c>
      <c r="L17" s="39">
        <f>SUMPRODUCT(SUMIF(SurtaxRatesSAS!$B$2:$B$324,$C17:$E17,SurtaxRatesSAS!$H$2:$H$324))</f>
        <v>47782.11</v>
      </c>
      <c r="M17" s="39">
        <f>SUMPRODUCT(SUMIF(SurtaxRatesSAS!$B$2:$B$324,$C17:$E17,SurtaxRatesSAS!$I$2:$I$324))</f>
        <v>382256.91000000003</v>
      </c>
      <c r="N17" s="38"/>
      <c r="O17" s="39" t="e">
        <f>SUMPRODUCT(SUMIF(SurtaxRatesSAS!$B$2:$B$324,$C17:$E17,SurtaxRatesSAS!$L$2:$L$324))</f>
        <v>#REF!</v>
      </c>
      <c r="P17" s="39" t="e">
        <f>SUMPRODUCT(SUMIF(SurtaxRatesSAS!$B$2:$B$324,$C17:$E17,SurtaxRatesSAS!$M$2:$M$324))</f>
        <v>#REF!</v>
      </c>
      <c r="Q17" s="39" t="e">
        <f>SUMPRODUCT(SUMIF(SurtaxRatesSAS!$B$2:$B$324,$C17:$E17,SurtaxRatesSAS!$N$2:$N$324))</f>
        <v>#REF!</v>
      </c>
      <c r="R17" s="38"/>
      <c r="S17" s="39" t="e">
        <f t="shared" si="0"/>
        <v>#REF!</v>
      </c>
      <c r="T17" s="39" t="e">
        <f t="shared" si="1"/>
        <v>#REF!</v>
      </c>
      <c r="U17" s="39" t="e">
        <f t="shared" si="2"/>
        <v>#REF!</v>
      </c>
      <c r="V17" s="29"/>
      <c r="W17" s="31" t="str">
        <f>IF(K17&gt;0,INDEX(cfo!$C$2:$I$326,MATCH(SurtaxPayment!C17,cfo!$C$2:$C$326,0),7),"")</f>
        <v>skopfmann@alta-aurelia.k12.ia.us</v>
      </c>
      <c r="X17" s="31" t="str">
        <f>IF(IF(K17&gt;0,INDEX(cfo!$C$2:$K$326,MATCH(SurtaxPayment!C17,cfo!$C$2:$C$326,0),9),"")=0,"",IF(K17&gt;0,INDEX(cfo!$C$2:$K$326,MATCH(SurtaxPayment!C17,cfo!$C$2:$C$326,0),9),""))</f>
        <v/>
      </c>
    </row>
    <row r="18" spans="1:24" x14ac:dyDescent="0.25">
      <c r="A18" s="52">
        <v>2025</v>
      </c>
      <c r="B18" s="52" t="s">
        <v>657</v>
      </c>
      <c r="C18" s="57" t="s">
        <v>324</v>
      </c>
      <c r="D18" s="58" t="s">
        <v>693</v>
      </c>
      <c r="E18" s="58" t="s">
        <v>693</v>
      </c>
      <c r="F18" s="58" t="s">
        <v>324</v>
      </c>
      <c r="G18" s="57" t="s">
        <v>23</v>
      </c>
      <c r="H18" s="39">
        <f>SUMPRODUCT(SUMIF(SurtaxRatesSAS!$B$2:$B$324,$C18:$E18,SurtaxRatesSAS!$E$2:$E$324))</f>
        <v>0</v>
      </c>
      <c r="I18" s="39">
        <f>SUMPRODUCT(SUMIF(SurtaxRatesSAS!$B$2:$B$324,$C18:$E18,SurtaxRatesSAS!$D$2:$D$324))</f>
        <v>3</v>
      </c>
      <c r="J18" s="38"/>
      <c r="K18" s="39">
        <f>SUMPRODUCT(SUMIF(SurtaxRatesSAS!$B$2:$B$324,$C18:$E18,SurtaxRatesSAS!$G$2:$G$324))</f>
        <v>1650796.16</v>
      </c>
      <c r="L18" s="39">
        <f>SUMPRODUCT(SUMIF(SurtaxRatesSAS!$B$2:$B$324,$C18:$E18,SurtaxRatesSAS!$H$2:$H$324))</f>
        <v>0</v>
      </c>
      <c r="M18" s="39">
        <f>SUMPRODUCT(SUMIF(SurtaxRatesSAS!$B$2:$B$324,$C18:$E18,SurtaxRatesSAS!$I$2:$I$324))</f>
        <v>1650796.16</v>
      </c>
      <c r="N18" s="38"/>
      <c r="O18" s="39" t="e">
        <f>SUMPRODUCT(SUMIF(SurtaxRatesSAS!$B$2:$B$324,$C18:$E18,SurtaxRatesSAS!$L$2:$L$324))</f>
        <v>#REF!</v>
      </c>
      <c r="P18" s="39" t="e">
        <f>SUMPRODUCT(SUMIF(SurtaxRatesSAS!$B$2:$B$324,$C18:$E18,SurtaxRatesSAS!$M$2:$M$324))</f>
        <v>#REF!</v>
      </c>
      <c r="Q18" s="39" t="e">
        <f>SUMPRODUCT(SUMIF(SurtaxRatesSAS!$B$2:$B$324,$C18:$E18,SurtaxRatesSAS!$N$2:$N$324))</f>
        <v>#REF!</v>
      </c>
      <c r="R18" s="38"/>
      <c r="S18" s="39" t="e">
        <f t="shared" si="0"/>
        <v>#REF!</v>
      </c>
      <c r="T18" s="39" t="e">
        <f t="shared" si="1"/>
        <v>#REF!</v>
      </c>
      <c r="U18" s="39" t="e">
        <f t="shared" si="2"/>
        <v>#REF!</v>
      </c>
      <c r="V18" s="29"/>
      <c r="W18" s="31" t="str">
        <f>IF(K18&gt;0,INDEX(cfo!$C$2:$I$326,MATCH(SurtaxPayment!C18,cfo!$C$2:$C$326,0),7),"")</f>
        <v>sherri.ruzek@ames.k12.ia.us</v>
      </c>
      <c r="X18" s="31" t="str">
        <f>IF(IF(K18&gt;0,INDEX(cfo!$C$2:$K$326,MATCH(SurtaxPayment!C18,cfo!$C$2:$C$326,0),9),"")=0,"",IF(K18&gt;0,INDEX(cfo!$C$2:$K$326,MATCH(SurtaxPayment!C18,cfo!$C$2:$C$326,0),9),""))</f>
        <v>carol.hundertmark@ames.k12.ia.us</v>
      </c>
    </row>
    <row r="19" spans="1:24" x14ac:dyDescent="0.25">
      <c r="A19" s="52">
        <v>2025</v>
      </c>
      <c r="B19" s="52" t="s">
        <v>663</v>
      </c>
      <c r="C19" s="57" t="s">
        <v>325</v>
      </c>
      <c r="D19" s="58" t="s">
        <v>693</v>
      </c>
      <c r="E19" s="58" t="s">
        <v>693</v>
      </c>
      <c r="F19" s="58" t="s">
        <v>325</v>
      </c>
      <c r="G19" s="57" t="s">
        <v>24</v>
      </c>
      <c r="H19" s="39">
        <f>SUMPRODUCT(SUMIF(SurtaxRatesSAS!$B$2:$B$324,$C19:$E19,SurtaxRatesSAS!$E$2:$E$324))</f>
        <v>1</v>
      </c>
      <c r="I19" s="39">
        <f>SUMPRODUCT(SUMIF(SurtaxRatesSAS!$B$2:$B$324,$C19:$E19,SurtaxRatesSAS!$D$2:$D$324))</f>
        <v>5</v>
      </c>
      <c r="J19" s="38"/>
      <c r="K19" s="39">
        <f>SUMPRODUCT(SUMIF(SurtaxRatesSAS!$B$2:$B$324,$C19:$E19,SurtaxRatesSAS!$G$2:$G$324))</f>
        <v>588603.62</v>
      </c>
      <c r="L19" s="39">
        <f>SUMPRODUCT(SUMIF(SurtaxRatesSAS!$B$2:$B$324,$C19:$E19,SurtaxRatesSAS!$H$2:$H$324))</f>
        <v>98100.6</v>
      </c>
      <c r="M19" s="39">
        <f>SUMPRODUCT(SUMIF(SurtaxRatesSAS!$B$2:$B$324,$C19:$E19,SurtaxRatesSAS!$I$2:$I$324))</f>
        <v>490503.02</v>
      </c>
      <c r="N19" s="38"/>
      <c r="O19" s="39" t="e">
        <f>SUMPRODUCT(SUMIF(SurtaxRatesSAS!$B$2:$B$324,$C19:$E19,SurtaxRatesSAS!$L$2:$L$324))</f>
        <v>#REF!</v>
      </c>
      <c r="P19" s="39" t="e">
        <f>SUMPRODUCT(SUMIF(SurtaxRatesSAS!$B$2:$B$324,$C19:$E19,SurtaxRatesSAS!$M$2:$M$324))</f>
        <v>#REF!</v>
      </c>
      <c r="Q19" s="39" t="e">
        <f>SUMPRODUCT(SUMIF(SurtaxRatesSAS!$B$2:$B$324,$C19:$E19,SurtaxRatesSAS!$N$2:$N$324))</f>
        <v>#REF!</v>
      </c>
      <c r="R19" s="38"/>
      <c r="S19" s="39" t="e">
        <f t="shared" si="0"/>
        <v>#REF!</v>
      </c>
      <c r="T19" s="39" t="e">
        <f t="shared" si="1"/>
        <v>#REF!</v>
      </c>
      <c r="U19" s="39" t="e">
        <f t="shared" si="2"/>
        <v>#REF!</v>
      </c>
      <c r="V19" s="29"/>
      <c r="W19" s="31" t="str">
        <f>IF(K19&gt;0,INDEX(cfo!$C$2:$I$326,MATCH(SurtaxPayment!C19,cfo!$C$2:$C$326,0),7),"")</f>
        <v>lvonbehren@anamosa.k12.ia.us</v>
      </c>
      <c r="X19" s="31" t="str">
        <f>IF(IF(K19&gt;0,INDEX(cfo!$C$2:$K$326,MATCH(SurtaxPayment!C19,cfo!$C$2:$C$326,0),9),"")=0,"",IF(K19&gt;0,INDEX(cfo!$C$2:$K$326,MATCH(SurtaxPayment!C19,cfo!$C$2:$C$326,0),9),""))</f>
        <v/>
      </c>
    </row>
    <row r="20" spans="1:24" x14ac:dyDescent="0.25">
      <c r="A20" s="52">
        <v>2025</v>
      </c>
      <c r="B20" s="52" t="s">
        <v>666</v>
      </c>
      <c r="C20" s="57" t="s">
        <v>326</v>
      </c>
      <c r="D20" s="58" t="s">
        <v>693</v>
      </c>
      <c r="E20" s="58" t="s">
        <v>693</v>
      </c>
      <c r="F20" s="58" t="s">
        <v>326</v>
      </c>
      <c r="G20" s="57" t="s">
        <v>25</v>
      </c>
      <c r="H20" s="39">
        <f>SUMPRODUCT(SUMIF(SurtaxRatesSAS!$B$2:$B$324,$C20:$E20,SurtaxRatesSAS!$E$2:$E$324))</f>
        <v>0</v>
      </c>
      <c r="I20" s="39">
        <f>SUMPRODUCT(SUMIF(SurtaxRatesSAS!$B$2:$B$324,$C20:$E20,SurtaxRatesSAS!$D$2:$D$324))</f>
        <v>2</v>
      </c>
      <c r="J20" s="38"/>
      <c r="K20" s="39">
        <f>SUMPRODUCT(SUMIF(SurtaxRatesSAS!$B$2:$B$324,$C20:$E20,SurtaxRatesSAS!$G$2:$G$324))</f>
        <v>29922.82</v>
      </c>
      <c r="L20" s="39">
        <f>SUMPRODUCT(SUMIF(SurtaxRatesSAS!$B$2:$B$324,$C20:$E20,SurtaxRatesSAS!$H$2:$H$324))</f>
        <v>0</v>
      </c>
      <c r="M20" s="39">
        <f>SUMPRODUCT(SUMIF(SurtaxRatesSAS!$B$2:$B$324,$C20:$E20,SurtaxRatesSAS!$I$2:$I$324))</f>
        <v>29922.82</v>
      </c>
      <c r="N20" s="38"/>
      <c r="O20" s="39" t="e">
        <f>SUMPRODUCT(SUMIF(SurtaxRatesSAS!$B$2:$B$324,$C20:$E20,SurtaxRatesSAS!$L$2:$L$324))</f>
        <v>#REF!</v>
      </c>
      <c r="P20" s="39" t="e">
        <f>SUMPRODUCT(SUMIF(SurtaxRatesSAS!$B$2:$B$324,$C20:$E20,SurtaxRatesSAS!$M$2:$M$324))</f>
        <v>#REF!</v>
      </c>
      <c r="Q20" s="39" t="e">
        <f>SUMPRODUCT(SUMIF(SurtaxRatesSAS!$B$2:$B$324,$C20:$E20,SurtaxRatesSAS!$N$2:$N$324))</f>
        <v>#REF!</v>
      </c>
      <c r="R20" s="38"/>
      <c r="S20" s="39" t="e">
        <f t="shared" si="0"/>
        <v>#REF!</v>
      </c>
      <c r="T20" s="39" t="e">
        <f t="shared" si="1"/>
        <v>#REF!</v>
      </c>
      <c r="U20" s="39" t="e">
        <f t="shared" si="2"/>
        <v>#REF!</v>
      </c>
      <c r="V20" s="29"/>
      <c r="W20" s="31" t="str">
        <f>IF(K20&gt;0,INDEX(cfo!$C$2:$I$326,MATCH(SurtaxPayment!C20,cfo!$C$2:$C$326,0),7),"")</f>
        <v>adam.crigger@andrew.k12.ia.us</v>
      </c>
      <c r="X20" s="31" t="str">
        <f>IF(IF(K20&gt;0,INDEX(cfo!$C$2:$K$326,MATCH(SurtaxPayment!C20,cfo!$C$2:$C$326,0),9),"")=0,"",IF(K20&gt;0,INDEX(cfo!$C$2:$K$326,MATCH(SurtaxPayment!C20,cfo!$C$2:$C$326,0),9),""))</f>
        <v/>
      </c>
    </row>
    <row r="21" spans="1:24" x14ac:dyDescent="0.25">
      <c r="A21" s="52">
        <v>2025</v>
      </c>
      <c r="B21" s="52" t="s">
        <v>657</v>
      </c>
      <c r="C21" s="57" t="s">
        <v>327</v>
      </c>
      <c r="D21" s="58" t="s">
        <v>693</v>
      </c>
      <c r="E21" s="58" t="s">
        <v>693</v>
      </c>
      <c r="F21" s="58" t="s">
        <v>327</v>
      </c>
      <c r="G21" s="57" t="s">
        <v>696</v>
      </c>
      <c r="H21" s="39">
        <f>SUMPRODUCT(SUMIF(SurtaxRatesSAS!$B$2:$B$324,$C21:$E21,SurtaxRatesSAS!$E$2:$E$324))</f>
        <v>0</v>
      </c>
      <c r="I21" s="39">
        <f>SUMPRODUCT(SUMIF(SurtaxRatesSAS!$B$2:$B$324,$C21:$E21,SurtaxRatesSAS!$D$2:$D$324))</f>
        <v>0</v>
      </c>
      <c r="J21" s="38"/>
      <c r="K21" s="39">
        <f>SUMPRODUCT(SUMIF(SurtaxRatesSAS!$B$2:$B$324,$C21:$E21,SurtaxRatesSAS!$G$2:$G$324))</f>
        <v>0</v>
      </c>
      <c r="L21" s="39">
        <f>SUMPRODUCT(SUMIF(SurtaxRatesSAS!$B$2:$B$324,$C21:$E21,SurtaxRatesSAS!$H$2:$H$324))</f>
        <v>0</v>
      </c>
      <c r="M21" s="39">
        <f>SUMPRODUCT(SUMIF(SurtaxRatesSAS!$B$2:$B$324,$C21:$E21,SurtaxRatesSAS!$I$2:$I$324))</f>
        <v>0</v>
      </c>
      <c r="N21" s="38"/>
      <c r="O21" s="39">
        <f>SUMPRODUCT(SUMIF(SurtaxRatesSAS!$B$2:$B$324,$C21:$E21,SurtaxRatesSAS!$L$2:$L$324))</f>
        <v>0</v>
      </c>
      <c r="P21" s="39">
        <f>SUMPRODUCT(SUMIF(SurtaxRatesSAS!$B$2:$B$324,$C21:$E21,SurtaxRatesSAS!$M$2:$M$324))</f>
        <v>0</v>
      </c>
      <c r="Q21" s="39">
        <f>SUMPRODUCT(SUMIF(SurtaxRatesSAS!$B$2:$B$324,$C21:$E21,SurtaxRatesSAS!$N$2:$N$324))</f>
        <v>0</v>
      </c>
      <c r="R21" s="38"/>
      <c r="S21" s="39">
        <f t="shared" si="0"/>
        <v>0</v>
      </c>
      <c r="T21" s="39">
        <f t="shared" si="1"/>
        <v>0</v>
      </c>
      <c r="U21" s="39">
        <f t="shared" si="2"/>
        <v>0</v>
      </c>
      <c r="V21" s="29"/>
      <c r="W21" s="31" t="str">
        <f>IF(K21&gt;0,INDEX(cfo!$C$2:$I$326,MATCH(SurtaxPayment!C21,cfo!$C$2:$C$326,0),7),"")</f>
        <v/>
      </c>
      <c r="X21" s="31" t="str">
        <f>IF(IF(K21&gt;0,INDEX(cfo!$C$2:$K$326,MATCH(SurtaxPayment!C21,cfo!$C$2:$C$326,0),9),"")=0,"",IF(K21&gt;0,INDEX(cfo!$C$2:$K$326,MATCH(SurtaxPayment!C21,cfo!$C$2:$C$326,0),9),""))</f>
        <v/>
      </c>
    </row>
    <row r="22" spans="1:24" x14ac:dyDescent="0.25">
      <c r="A22" s="52">
        <v>2025</v>
      </c>
      <c r="B22" s="52" t="s">
        <v>658</v>
      </c>
      <c r="C22" s="57" t="s">
        <v>328</v>
      </c>
      <c r="D22" s="58" t="s">
        <v>693</v>
      </c>
      <c r="E22" s="58" t="s">
        <v>693</v>
      </c>
      <c r="F22" s="58" t="s">
        <v>328</v>
      </c>
      <c r="G22" s="57" t="s">
        <v>26</v>
      </c>
      <c r="H22" s="39">
        <f>SUMPRODUCT(SUMIF(SurtaxRatesSAS!$B$2:$B$324,$C22:$E22,SurtaxRatesSAS!$E$2:$E$324))</f>
        <v>0</v>
      </c>
      <c r="I22" s="39">
        <f>SUMPRODUCT(SUMIF(SurtaxRatesSAS!$B$2:$B$324,$C22:$E22,SurtaxRatesSAS!$D$2:$D$324))</f>
        <v>4</v>
      </c>
      <c r="J22" s="38"/>
      <c r="K22" s="39">
        <f>SUMPRODUCT(SUMIF(SurtaxRatesSAS!$B$2:$B$324,$C22:$E22,SurtaxRatesSAS!$G$2:$G$324))</f>
        <v>207601.65</v>
      </c>
      <c r="L22" s="39">
        <f>SUMPRODUCT(SUMIF(SurtaxRatesSAS!$B$2:$B$324,$C22:$E22,SurtaxRatesSAS!$H$2:$H$324))</f>
        <v>0</v>
      </c>
      <c r="M22" s="39">
        <f>SUMPRODUCT(SUMIF(SurtaxRatesSAS!$B$2:$B$324,$C22:$E22,SurtaxRatesSAS!$I$2:$I$324))</f>
        <v>207601.65</v>
      </c>
      <c r="N22" s="38"/>
      <c r="O22" s="39" t="e">
        <f>SUMPRODUCT(SUMIF(SurtaxRatesSAS!$B$2:$B$324,$C22:$E22,SurtaxRatesSAS!$L$2:$L$324))</f>
        <v>#REF!</v>
      </c>
      <c r="P22" s="39" t="e">
        <f>SUMPRODUCT(SUMIF(SurtaxRatesSAS!$B$2:$B$324,$C22:$E22,SurtaxRatesSAS!$M$2:$M$324))</f>
        <v>#REF!</v>
      </c>
      <c r="Q22" s="39" t="e">
        <f>SUMPRODUCT(SUMIF(SurtaxRatesSAS!$B$2:$B$324,$C22:$E22,SurtaxRatesSAS!$N$2:$N$324))</f>
        <v>#REF!</v>
      </c>
      <c r="R22" s="38"/>
      <c r="S22" s="39" t="e">
        <f t="shared" si="0"/>
        <v>#REF!</v>
      </c>
      <c r="T22" s="39" t="e">
        <f t="shared" si="1"/>
        <v>#REF!</v>
      </c>
      <c r="U22" s="39" t="e">
        <f t="shared" si="2"/>
        <v>#REF!</v>
      </c>
      <c r="V22" s="29"/>
      <c r="W22" s="31" t="str">
        <f>IF(K22&gt;0,INDEX(cfo!$C$2:$I$326,MATCH(SurtaxPayment!C22,cfo!$C$2:$C$326,0),7),"")</f>
        <v>kayla.sabbah@a-pcsd.net</v>
      </c>
      <c r="X22" s="31" t="str">
        <f>IF(IF(K22&gt;0,INDEX(cfo!$C$2:$K$326,MATCH(SurtaxPayment!C22,cfo!$C$2:$C$326,0),9),"")=0,"",IF(K22&gt;0,INDEX(cfo!$C$2:$K$326,MATCH(SurtaxPayment!C22,cfo!$C$2:$C$326,0),9),""))</f>
        <v/>
      </c>
    </row>
    <row r="23" spans="1:24" x14ac:dyDescent="0.25">
      <c r="A23" s="52">
        <v>2025</v>
      </c>
      <c r="B23" s="52" t="s">
        <v>660</v>
      </c>
      <c r="C23" s="57" t="s">
        <v>330</v>
      </c>
      <c r="D23" s="58" t="s">
        <v>693</v>
      </c>
      <c r="E23" s="58" t="s">
        <v>693</v>
      </c>
      <c r="F23" s="58" t="s">
        <v>330</v>
      </c>
      <c r="G23" s="57" t="s">
        <v>27</v>
      </c>
      <c r="H23" s="39">
        <f>SUMPRODUCT(SUMIF(SurtaxRatesSAS!$B$2:$B$324,$C23:$E23,SurtaxRatesSAS!$E$2:$E$324))</f>
        <v>0</v>
      </c>
      <c r="I23" s="39">
        <f>SUMPRODUCT(SUMIF(SurtaxRatesSAS!$B$2:$B$324,$C23:$E23,SurtaxRatesSAS!$D$2:$D$324))</f>
        <v>5</v>
      </c>
      <c r="J23" s="38"/>
      <c r="K23" s="39">
        <f>SUMPRODUCT(SUMIF(SurtaxRatesSAS!$B$2:$B$324,$C23:$E23,SurtaxRatesSAS!$G$2:$G$324))</f>
        <v>91488.92</v>
      </c>
      <c r="L23" s="39">
        <f>SUMPRODUCT(SUMIF(SurtaxRatesSAS!$B$2:$B$324,$C23:$E23,SurtaxRatesSAS!$H$2:$H$324))</f>
        <v>0</v>
      </c>
      <c r="M23" s="39">
        <f>SUMPRODUCT(SUMIF(SurtaxRatesSAS!$B$2:$B$324,$C23:$E23,SurtaxRatesSAS!$I$2:$I$324))</f>
        <v>91488.92</v>
      </c>
      <c r="N23" s="38"/>
      <c r="O23" s="39" t="e">
        <f>SUMPRODUCT(SUMIF(SurtaxRatesSAS!$B$2:$B$324,$C23:$E23,SurtaxRatesSAS!$L$2:$L$324))</f>
        <v>#REF!</v>
      </c>
      <c r="P23" s="39" t="e">
        <f>SUMPRODUCT(SUMIF(SurtaxRatesSAS!$B$2:$B$324,$C23:$E23,SurtaxRatesSAS!$M$2:$M$324))</f>
        <v>#REF!</v>
      </c>
      <c r="Q23" s="39" t="e">
        <f>SUMPRODUCT(SUMIF(SurtaxRatesSAS!$B$2:$B$324,$C23:$E23,SurtaxRatesSAS!$N$2:$N$324))</f>
        <v>#REF!</v>
      </c>
      <c r="R23" s="38"/>
      <c r="S23" s="39" t="e">
        <f t="shared" si="0"/>
        <v>#REF!</v>
      </c>
      <c r="T23" s="39" t="e">
        <f t="shared" si="1"/>
        <v>#REF!</v>
      </c>
      <c r="U23" s="39" t="e">
        <f t="shared" si="2"/>
        <v>#REF!</v>
      </c>
      <c r="V23" s="29"/>
      <c r="W23" s="31" t="str">
        <f>IF(K23&gt;0,INDEX(cfo!$C$2:$I$326,MATCH(SurtaxPayment!C23,cfo!$C$2:$C$326,0),7),"")</f>
        <v>stickrod@ar-we-va.k12.ia.us</v>
      </c>
      <c r="X23" s="31" t="str">
        <f>IF(IF(K23&gt;0,INDEX(cfo!$C$2:$K$326,MATCH(SurtaxPayment!C23,cfo!$C$2:$C$326,0),9),"")=0,"",IF(K23&gt;0,INDEX(cfo!$C$2:$K$326,MATCH(SurtaxPayment!C23,cfo!$C$2:$C$326,0),9),""))</f>
        <v/>
      </c>
    </row>
    <row r="24" spans="1:24" x14ac:dyDescent="0.25">
      <c r="A24" s="52">
        <v>2025</v>
      </c>
      <c r="B24" s="52" t="s">
        <v>659</v>
      </c>
      <c r="C24" s="57" t="s">
        <v>331</v>
      </c>
      <c r="D24" s="58" t="s">
        <v>693</v>
      </c>
      <c r="E24" s="58" t="s">
        <v>693</v>
      </c>
      <c r="F24" s="58" t="s">
        <v>331</v>
      </c>
      <c r="G24" s="57" t="s">
        <v>28</v>
      </c>
      <c r="H24" s="39">
        <f>SUMPRODUCT(SUMIF(SurtaxRatesSAS!$B$2:$B$324,$C24:$E24,SurtaxRatesSAS!$E$2:$E$324))</f>
        <v>4</v>
      </c>
      <c r="I24" s="39">
        <f>SUMPRODUCT(SUMIF(SurtaxRatesSAS!$B$2:$B$324,$C24:$E24,SurtaxRatesSAS!$D$2:$D$324))</f>
        <v>8</v>
      </c>
      <c r="J24" s="38"/>
      <c r="K24" s="39">
        <f>SUMPRODUCT(SUMIF(SurtaxRatesSAS!$B$2:$B$324,$C24:$E24,SurtaxRatesSAS!$G$2:$G$324))</f>
        <v>956280.21</v>
      </c>
      <c r="L24" s="39">
        <f>SUMPRODUCT(SUMIF(SurtaxRatesSAS!$B$2:$B$324,$C24:$E24,SurtaxRatesSAS!$H$2:$H$324))</f>
        <v>318760.07</v>
      </c>
      <c r="M24" s="39">
        <f>SUMPRODUCT(SUMIF(SurtaxRatesSAS!$B$2:$B$324,$C24:$E24,SurtaxRatesSAS!$I$2:$I$324))</f>
        <v>637520.1399999999</v>
      </c>
      <c r="N24" s="38"/>
      <c r="O24" s="39" t="e">
        <f>SUMPRODUCT(SUMIF(SurtaxRatesSAS!$B$2:$B$324,$C24:$E24,SurtaxRatesSAS!$L$2:$L$324))</f>
        <v>#REF!</v>
      </c>
      <c r="P24" s="39" t="e">
        <f>SUMPRODUCT(SUMIF(SurtaxRatesSAS!$B$2:$B$324,$C24:$E24,SurtaxRatesSAS!$M$2:$M$324))</f>
        <v>#REF!</v>
      </c>
      <c r="Q24" s="39" t="e">
        <f>SUMPRODUCT(SUMIF(SurtaxRatesSAS!$B$2:$B$324,$C24:$E24,SurtaxRatesSAS!$N$2:$N$324))</f>
        <v>#REF!</v>
      </c>
      <c r="R24" s="38"/>
      <c r="S24" s="39" t="e">
        <f t="shared" si="0"/>
        <v>#REF!</v>
      </c>
      <c r="T24" s="39" t="e">
        <f t="shared" si="1"/>
        <v>#REF!</v>
      </c>
      <c r="U24" s="39" t="e">
        <f t="shared" si="2"/>
        <v>#REF!</v>
      </c>
      <c r="V24" s="29"/>
      <c r="W24" s="31" t="str">
        <f>IF(K24&gt;0,INDEX(cfo!$C$2:$I$326,MATCH(SurtaxPayment!C24,cfo!$C$2:$C$326,0),7),"")</f>
        <v>lisajones@atlanticiaschools.org</v>
      </c>
      <c r="X24" s="31" t="str">
        <f>IF(IF(K24&gt;0,INDEX(cfo!$C$2:$K$326,MATCH(SurtaxPayment!C24,cfo!$C$2:$C$326,0),9),"")=0,"",IF(K24&gt;0,INDEX(cfo!$C$2:$K$326,MATCH(SurtaxPayment!C24,cfo!$C$2:$C$326,0),9),""))</f>
        <v/>
      </c>
    </row>
    <row r="25" spans="1:24" x14ac:dyDescent="0.25">
      <c r="A25" s="52">
        <v>2025</v>
      </c>
      <c r="B25" s="52" t="s">
        <v>657</v>
      </c>
      <c r="C25" s="57" t="s">
        <v>332</v>
      </c>
      <c r="D25" s="58" t="s">
        <v>693</v>
      </c>
      <c r="E25" s="58" t="s">
        <v>693</v>
      </c>
      <c r="F25" s="58" t="s">
        <v>332</v>
      </c>
      <c r="G25" s="57" t="s">
        <v>29</v>
      </c>
      <c r="H25" s="39">
        <f>SUMPRODUCT(SUMIF(SurtaxRatesSAS!$B$2:$B$324,$C25:$E25,SurtaxRatesSAS!$E$2:$E$324))</f>
        <v>0</v>
      </c>
      <c r="I25" s="39">
        <f>SUMPRODUCT(SUMIF(SurtaxRatesSAS!$B$2:$B$324,$C25:$E25,SurtaxRatesSAS!$D$2:$D$324))</f>
        <v>8</v>
      </c>
      <c r="J25" s="38"/>
      <c r="K25" s="39">
        <f>SUMPRODUCT(SUMIF(SurtaxRatesSAS!$B$2:$B$324,$C25:$E25,SurtaxRatesSAS!$G$2:$G$324))</f>
        <v>281595.51</v>
      </c>
      <c r="L25" s="39">
        <f>SUMPRODUCT(SUMIF(SurtaxRatesSAS!$B$2:$B$324,$C25:$E25,SurtaxRatesSAS!$H$2:$H$324))</f>
        <v>0</v>
      </c>
      <c r="M25" s="39">
        <f>SUMPRODUCT(SUMIF(SurtaxRatesSAS!$B$2:$B$324,$C25:$E25,SurtaxRatesSAS!$I$2:$I$324))</f>
        <v>281595.51</v>
      </c>
      <c r="N25" s="38"/>
      <c r="O25" s="39" t="e">
        <f>SUMPRODUCT(SUMIF(SurtaxRatesSAS!$B$2:$B$324,$C25:$E25,SurtaxRatesSAS!$L$2:$L$324))</f>
        <v>#REF!</v>
      </c>
      <c r="P25" s="39" t="e">
        <f>SUMPRODUCT(SUMIF(SurtaxRatesSAS!$B$2:$B$324,$C25:$E25,SurtaxRatesSAS!$M$2:$M$324))</f>
        <v>#REF!</v>
      </c>
      <c r="Q25" s="39" t="e">
        <f>SUMPRODUCT(SUMIF(SurtaxRatesSAS!$B$2:$B$324,$C25:$E25,SurtaxRatesSAS!$N$2:$N$324))</f>
        <v>#REF!</v>
      </c>
      <c r="R25" s="38"/>
      <c r="S25" s="39" t="e">
        <f t="shared" si="0"/>
        <v>#REF!</v>
      </c>
      <c r="T25" s="39" t="e">
        <f t="shared" si="1"/>
        <v>#REF!</v>
      </c>
      <c r="U25" s="39" t="e">
        <f t="shared" si="2"/>
        <v>#REF!</v>
      </c>
      <c r="V25" s="29"/>
      <c r="W25" s="31" t="str">
        <f>IF(K25&gt;0,INDEX(cfo!$C$2:$I$326,MATCH(SurtaxPayment!C25,cfo!$C$2:$C$326,0),7),"")</f>
        <v>cchristensen@audubon.k12.ia.us</v>
      </c>
      <c r="X25" s="31" t="str">
        <f>IF(IF(K25&gt;0,INDEX(cfo!$C$2:$K$326,MATCH(SurtaxPayment!C25,cfo!$C$2:$C$326,0),9),"")=0,"",IF(K25&gt;0,INDEX(cfo!$C$2:$K$326,MATCH(SurtaxPayment!C25,cfo!$C$2:$C$326,0),9),""))</f>
        <v/>
      </c>
    </row>
    <row r="26" spans="1:24" x14ac:dyDescent="0.25">
      <c r="A26" s="52">
        <v>2025</v>
      </c>
      <c r="B26" s="52" t="s">
        <v>657</v>
      </c>
      <c r="C26" s="57" t="s">
        <v>334</v>
      </c>
      <c r="D26" s="58" t="s">
        <v>693</v>
      </c>
      <c r="E26" s="58" t="s">
        <v>693</v>
      </c>
      <c r="F26" s="58" t="s">
        <v>334</v>
      </c>
      <c r="G26" s="57" t="s">
        <v>31</v>
      </c>
      <c r="H26" s="39">
        <f>SUMPRODUCT(SUMIF(SurtaxRatesSAS!$B$2:$B$324,$C26:$E26,SurtaxRatesSAS!$E$2:$E$324))</f>
        <v>2</v>
      </c>
      <c r="I26" s="39">
        <f>SUMPRODUCT(SUMIF(SurtaxRatesSAS!$B$2:$B$324,$C26:$E26,SurtaxRatesSAS!$D$2:$D$324))</f>
        <v>0</v>
      </c>
      <c r="J26" s="38"/>
      <c r="K26" s="39">
        <f>SUMPRODUCT(SUMIF(SurtaxRatesSAS!$B$2:$B$324,$C26:$E26,SurtaxRatesSAS!$G$2:$G$324))</f>
        <v>269020.03000000003</v>
      </c>
      <c r="L26" s="39">
        <f>SUMPRODUCT(SUMIF(SurtaxRatesSAS!$B$2:$B$324,$C26:$E26,SurtaxRatesSAS!$H$2:$H$324))</f>
        <v>269020.03000000003</v>
      </c>
      <c r="M26" s="39">
        <f>SUMPRODUCT(SUMIF(SurtaxRatesSAS!$B$2:$B$324,$C26:$E26,SurtaxRatesSAS!$I$2:$I$324))</f>
        <v>0</v>
      </c>
      <c r="N26" s="38"/>
      <c r="O26" s="39" t="e">
        <f>SUMPRODUCT(SUMIF(SurtaxRatesSAS!$B$2:$B$324,$C26:$E26,SurtaxRatesSAS!$L$2:$L$324))</f>
        <v>#REF!</v>
      </c>
      <c r="P26" s="39" t="e">
        <f>SUMPRODUCT(SUMIF(SurtaxRatesSAS!$B$2:$B$324,$C26:$E26,SurtaxRatesSAS!$M$2:$M$324))</f>
        <v>#REF!</v>
      </c>
      <c r="Q26" s="39" t="e">
        <f>SUMPRODUCT(SUMIF(SurtaxRatesSAS!$B$2:$B$324,$C26:$E26,SurtaxRatesSAS!$N$2:$N$324))</f>
        <v>#REF!</v>
      </c>
      <c r="R26" s="38"/>
      <c r="S26" s="39" t="e">
        <f t="shared" si="0"/>
        <v>#REF!</v>
      </c>
      <c r="T26" s="39" t="e">
        <f t="shared" si="1"/>
        <v>#REF!</v>
      </c>
      <c r="U26" s="39" t="e">
        <f t="shared" si="2"/>
        <v>#REF!</v>
      </c>
      <c r="V26" s="29"/>
      <c r="W26" s="31" t="str">
        <f>IF(K26&gt;0,INDEX(cfo!$C$2:$I$326,MATCH(SurtaxPayment!C26,cfo!$C$2:$C$326,0),7),"")</f>
        <v>jboeding@ballard.k12.ia.us</v>
      </c>
      <c r="X26" s="31" t="str">
        <f>IF(IF(K26&gt;0,INDEX(cfo!$C$2:$K$326,MATCH(SurtaxPayment!C26,cfo!$C$2:$C$326,0),9),"")=0,"",IF(K26&gt;0,INDEX(cfo!$C$2:$K$326,MATCH(SurtaxPayment!C26,cfo!$C$2:$C$326,0),9),""))</f>
        <v/>
      </c>
    </row>
    <row r="27" spans="1:24" x14ac:dyDescent="0.25">
      <c r="A27" s="52">
        <v>2025</v>
      </c>
      <c r="B27" s="52" t="s">
        <v>657</v>
      </c>
      <c r="C27" s="57" t="s">
        <v>335</v>
      </c>
      <c r="D27" s="58" t="s">
        <v>693</v>
      </c>
      <c r="E27" s="58" t="s">
        <v>693</v>
      </c>
      <c r="F27" s="58" t="s">
        <v>335</v>
      </c>
      <c r="G27" s="57" t="s">
        <v>33</v>
      </c>
      <c r="H27" s="39">
        <f>SUMPRODUCT(SUMIF(SurtaxRatesSAS!$B$2:$B$324,$C27:$E27,SurtaxRatesSAS!$E$2:$E$324))</f>
        <v>2</v>
      </c>
      <c r="I27" s="39">
        <f>SUMPRODUCT(SUMIF(SurtaxRatesSAS!$B$2:$B$324,$C27:$E27,SurtaxRatesSAS!$D$2:$D$324))</f>
        <v>7</v>
      </c>
      <c r="J27" s="38"/>
      <c r="K27" s="39">
        <f>SUMPRODUCT(SUMIF(SurtaxRatesSAS!$B$2:$B$324,$C27:$E27,SurtaxRatesSAS!$G$2:$G$324))</f>
        <v>206210.86</v>
      </c>
      <c r="L27" s="39">
        <f>SUMPRODUCT(SUMIF(SurtaxRatesSAS!$B$2:$B$324,$C27:$E27,SurtaxRatesSAS!$H$2:$H$324))</f>
        <v>45824.639999999999</v>
      </c>
      <c r="M27" s="39">
        <f>SUMPRODUCT(SUMIF(SurtaxRatesSAS!$B$2:$B$324,$C27:$E27,SurtaxRatesSAS!$I$2:$I$324))</f>
        <v>160386.21999999997</v>
      </c>
      <c r="N27" s="38"/>
      <c r="O27" s="39" t="e">
        <f>SUMPRODUCT(SUMIF(SurtaxRatesSAS!$B$2:$B$324,$C27:$E27,SurtaxRatesSAS!$L$2:$L$324))</f>
        <v>#REF!</v>
      </c>
      <c r="P27" s="39" t="e">
        <f>SUMPRODUCT(SUMIF(SurtaxRatesSAS!$B$2:$B$324,$C27:$E27,SurtaxRatesSAS!$M$2:$M$324))</f>
        <v>#REF!</v>
      </c>
      <c r="Q27" s="39" t="e">
        <f>SUMPRODUCT(SUMIF(SurtaxRatesSAS!$B$2:$B$324,$C27:$E27,SurtaxRatesSAS!$N$2:$N$324))</f>
        <v>#REF!</v>
      </c>
      <c r="R27" s="38"/>
      <c r="S27" s="39" t="e">
        <f t="shared" si="0"/>
        <v>#REF!</v>
      </c>
      <c r="T27" s="39" t="e">
        <f t="shared" si="1"/>
        <v>#REF!</v>
      </c>
      <c r="U27" s="39" t="e">
        <f t="shared" si="2"/>
        <v>#REF!</v>
      </c>
      <c r="V27" s="29"/>
      <c r="W27" s="31" t="str">
        <f>IF(K27&gt;0,INDEX(cfo!$C$2:$I$326,MATCH(SurtaxPayment!C27,cfo!$C$2:$C$326,0),7),"")</f>
        <v>jmcwhirter@baxter.k12.ia.us</v>
      </c>
      <c r="X27" s="31" t="str">
        <f>IF(IF(K27&gt;0,INDEX(cfo!$C$2:$K$326,MATCH(SurtaxPayment!C27,cfo!$C$2:$C$326,0),9),"")=0,"",IF(K27&gt;0,INDEX(cfo!$C$2:$K$326,MATCH(SurtaxPayment!C27,cfo!$C$2:$C$326,0),9),""))</f>
        <v/>
      </c>
    </row>
    <row r="28" spans="1:24" x14ac:dyDescent="0.25">
      <c r="A28" s="52">
        <v>2025</v>
      </c>
      <c r="B28" s="52" t="s">
        <v>658</v>
      </c>
      <c r="C28" s="57" t="s">
        <v>336</v>
      </c>
      <c r="D28" s="58" t="s">
        <v>693</v>
      </c>
      <c r="E28" s="58" t="s">
        <v>693</v>
      </c>
      <c r="F28" s="58" t="s">
        <v>336</v>
      </c>
      <c r="G28" s="57" t="s">
        <v>1</v>
      </c>
      <c r="H28" s="39">
        <f>SUMPRODUCT(SUMIF(SurtaxRatesSAS!$B$2:$B$324,$C28:$E28,SurtaxRatesSAS!$E$2:$E$324))</f>
        <v>0</v>
      </c>
      <c r="I28" s="39">
        <f>SUMPRODUCT(SUMIF(SurtaxRatesSAS!$B$2:$B$324,$C28:$E28,SurtaxRatesSAS!$D$2:$D$324))</f>
        <v>5</v>
      </c>
      <c r="J28" s="38"/>
      <c r="K28" s="39">
        <f>SUMPRODUCT(SUMIF(SurtaxRatesSAS!$B$2:$B$324,$C28:$E28,SurtaxRatesSAS!$G$2:$G$324))</f>
        <v>182826.04</v>
      </c>
      <c r="L28" s="39">
        <f>SUMPRODUCT(SUMIF(SurtaxRatesSAS!$B$2:$B$324,$C28:$E28,SurtaxRatesSAS!$H$2:$H$324))</f>
        <v>0</v>
      </c>
      <c r="M28" s="39">
        <f>SUMPRODUCT(SUMIF(SurtaxRatesSAS!$B$2:$B$324,$C28:$E28,SurtaxRatesSAS!$I$2:$I$324))</f>
        <v>182826.04</v>
      </c>
      <c r="N28" s="38"/>
      <c r="O28" s="39" t="e">
        <f>SUMPRODUCT(SUMIF(SurtaxRatesSAS!$B$2:$B$324,$C28:$E28,SurtaxRatesSAS!$L$2:$L$324))</f>
        <v>#REF!</v>
      </c>
      <c r="P28" s="39" t="e">
        <f>SUMPRODUCT(SUMIF(SurtaxRatesSAS!$B$2:$B$324,$C28:$E28,SurtaxRatesSAS!$M$2:$M$324))</f>
        <v>#REF!</v>
      </c>
      <c r="Q28" s="39" t="e">
        <f>SUMPRODUCT(SUMIF(SurtaxRatesSAS!$B$2:$B$324,$C28:$E28,SurtaxRatesSAS!$N$2:$N$324))</f>
        <v>#REF!</v>
      </c>
      <c r="R28" s="38"/>
      <c r="S28" s="39" t="e">
        <f t="shared" si="0"/>
        <v>#REF!</v>
      </c>
      <c r="T28" s="39" t="e">
        <f t="shared" si="1"/>
        <v>#REF!</v>
      </c>
      <c r="U28" s="39" t="e">
        <f t="shared" si="2"/>
        <v>#REF!</v>
      </c>
      <c r="V28" s="29"/>
      <c r="W28" s="31" t="str">
        <f>IF(K28&gt;0,INDEX(cfo!$C$2:$I$326,MATCH(SurtaxPayment!C28,cfo!$C$2:$C$326,0),7),"")</f>
        <v>lwoiwood@bcluw.org</v>
      </c>
      <c r="X28" s="31" t="str">
        <f>IF(IF(K28&gt;0,INDEX(cfo!$C$2:$K$326,MATCH(SurtaxPayment!C28,cfo!$C$2:$C$326,0),9),"")=0,"",IF(K28&gt;0,INDEX(cfo!$C$2:$K$326,MATCH(SurtaxPayment!C28,cfo!$C$2:$C$326,0),9),""))</f>
        <v/>
      </c>
    </row>
    <row r="29" spans="1:24" x14ac:dyDescent="0.25">
      <c r="A29" s="52">
        <v>2025</v>
      </c>
      <c r="B29" s="52" t="s">
        <v>659</v>
      </c>
      <c r="C29" s="57" t="s">
        <v>337</v>
      </c>
      <c r="D29" s="58" t="s">
        <v>693</v>
      </c>
      <c r="E29" s="58" t="s">
        <v>693</v>
      </c>
      <c r="F29" s="58" t="s">
        <v>337</v>
      </c>
      <c r="G29" s="57" t="s">
        <v>34</v>
      </c>
      <c r="H29" s="39">
        <f>SUMPRODUCT(SUMIF(SurtaxRatesSAS!$B$2:$B$324,$C29:$E29,SurtaxRatesSAS!$E$2:$E$324))</f>
        <v>0</v>
      </c>
      <c r="I29" s="39">
        <f>SUMPRODUCT(SUMIF(SurtaxRatesSAS!$B$2:$B$324,$C29:$E29,SurtaxRatesSAS!$D$2:$D$324))</f>
        <v>8</v>
      </c>
      <c r="J29" s="38"/>
      <c r="K29" s="39">
        <f>SUMPRODUCT(SUMIF(SurtaxRatesSAS!$B$2:$B$324,$C29:$E29,SurtaxRatesSAS!$G$2:$G$324))</f>
        <v>181226.62</v>
      </c>
      <c r="L29" s="39">
        <f>SUMPRODUCT(SUMIF(SurtaxRatesSAS!$B$2:$B$324,$C29:$E29,SurtaxRatesSAS!$H$2:$H$324))</f>
        <v>0</v>
      </c>
      <c r="M29" s="39">
        <f>SUMPRODUCT(SUMIF(SurtaxRatesSAS!$B$2:$B$324,$C29:$E29,SurtaxRatesSAS!$I$2:$I$324))</f>
        <v>181226.62</v>
      </c>
      <c r="N29" s="38"/>
      <c r="O29" s="39" t="e">
        <f>SUMPRODUCT(SUMIF(SurtaxRatesSAS!$B$2:$B$324,$C29:$E29,SurtaxRatesSAS!$L$2:$L$324))</f>
        <v>#REF!</v>
      </c>
      <c r="P29" s="39" t="e">
        <f>SUMPRODUCT(SUMIF(SurtaxRatesSAS!$B$2:$B$324,$C29:$E29,SurtaxRatesSAS!$M$2:$M$324))</f>
        <v>#REF!</v>
      </c>
      <c r="Q29" s="39" t="e">
        <f>SUMPRODUCT(SUMIF(SurtaxRatesSAS!$B$2:$B$324,$C29:$E29,SurtaxRatesSAS!$N$2:$N$324))</f>
        <v>#REF!</v>
      </c>
      <c r="R29" s="38"/>
      <c r="S29" s="39" t="e">
        <f t="shared" si="0"/>
        <v>#REF!</v>
      </c>
      <c r="T29" s="39" t="e">
        <f t="shared" si="1"/>
        <v>#REF!</v>
      </c>
      <c r="U29" s="39" t="e">
        <f t="shared" si="2"/>
        <v>#REF!</v>
      </c>
      <c r="V29" s="29"/>
      <c r="W29" s="31" t="str">
        <f>IF(K29&gt;0,INDEX(cfo!$C$2:$I$326,MATCH(SurtaxPayment!C29,cfo!$C$2:$C$326,0),7),"")</f>
        <v>shart@bedford.k12.ia.us</v>
      </c>
      <c r="X29" s="31" t="str">
        <f>IF(IF(K29&gt;0,INDEX(cfo!$C$2:$K$326,MATCH(SurtaxPayment!C29,cfo!$C$2:$C$326,0),9),"")=0,"",IF(K29&gt;0,INDEX(cfo!$C$2:$K$326,MATCH(SurtaxPayment!C29,cfo!$C$2:$C$326,0),9),""))</f>
        <v/>
      </c>
    </row>
    <row r="30" spans="1:24" x14ac:dyDescent="0.25">
      <c r="A30" s="52">
        <v>2025</v>
      </c>
      <c r="B30" s="52" t="s">
        <v>663</v>
      </c>
      <c r="C30" s="57" t="s">
        <v>338</v>
      </c>
      <c r="D30" s="58" t="s">
        <v>693</v>
      </c>
      <c r="E30" s="58" t="s">
        <v>693</v>
      </c>
      <c r="F30" s="58" t="s">
        <v>338</v>
      </c>
      <c r="G30" s="57" t="s">
        <v>35</v>
      </c>
      <c r="H30" s="39">
        <f>SUMPRODUCT(SUMIF(SurtaxRatesSAS!$B$2:$B$324,$C30:$E30,SurtaxRatesSAS!$E$2:$E$324))</f>
        <v>1</v>
      </c>
      <c r="I30" s="39">
        <f>SUMPRODUCT(SUMIF(SurtaxRatesSAS!$B$2:$B$324,$C30:$E30,SurtaxRatesSAS!$D$2:$D$324))</f>
        <v>1</v>
      </c>
      <c r="J30" s="38"/>
      <c r="K30" s="39">
        <f>SUMPRODUCT(SUMIF(SurtaxRatesSAS!$B$2:$B$324,$C30:$E30,SurtaxRatesSAS!$G$2:$G$324))</f>
        <v>66751.710000000006</v>
      </c>
      <c r="L30" s="39">
        <f>SUMPRODUCT(SUMIF(SurtaxRatesSAS!$B$2:$B$324,$C30:$E30,SurtaxRatesSAS!$H$2:$H$324))</f>
        <v>33375.86</v>
      </c>
      <c r="M30" s="39">
        <f>SUMPRODUCT(SUMIF(SurtaxRatesSAS!$B$2:$B$324,$C30:$E30,SurtaxRatesSAS!$I$2:$I$324))</f>
        <v>33375.850000000006</v>
      </c>
      <c r="N30" s="38"/>
      <c r="O30" s="39" t="e">
        <f>SUMPRODUCT(SUMIF(SurtaxRatesSAS!$B$2:$B$324,$C30:$E30,SurtaxRatesSAS!$L$2:$L$324))</f>
        <v>#REF!</v>
      </c>
      <c r="P30" s="39" t="e">
        <f>SUMPRODUCT(SUMIF(SurtaxRatesSAS!$B$2:$B$324,$C30:$E30,SurtaxRatesSAS!$M$2:$M$324))</f>
        <v>#REF!</v>
      </c>
      <c r="Q30" s="39" t="e">
        <f>SUMPRODUCT(SUMIF(SurtaxRatesSAS!$B$2:$B$324,$C30:$E30,SurtaxRatesSAS!$N$2:$N$324))</f>
        <v>#REF!</v>
      </c>
      <c r="R30" s="38"/>
      <c r="S30" s="39" t="e">
        <f t="shared" si="0"/>
        <v>#REF!</v>
      </c>
      <c r="T30" s="39" t="e">
        <f t="shared" si="1"/>
        <v>#REF!</v>
      </c>
      <c r="U30" s="39" t="e">
        <f t="shared" si="2"/>
        <v>#REF!</v>
      </c>
      <c r="V30" s="29"/>
      <c r="W30" s="31" t="str">
        <f>IF(K30&gt;0,INDEX(cfo!$C$2:$I$326,MATCH(SurtaxPayment!C30,cfo!$C$2:$C$326,0),7),"")</f>
        <v>skolars@belle-plaine.k12.ia.us</v>
      </c>
      <c r="X30" s="31" t="str">
        <f>IF(IF(K30&gt;0,INDEX(cfo!$C$2:$K$326,MATCH(SurtaxPayment!C30,cfo!$C$2:$C$326,0),9),"")=0,"",IF(K30&gt;0,INDEX(cfo!$C$2:$K$326,MATCH(SurtaxPayment!C30,cfo!$C$2:$C$326,0),9),""))</f>
        <v/>
      </c>
    </row>
    <row r="31" spans="1:24" x14ac:dyDescent="0.25">
      <c r="A31" s="52">
        <v>2025</v>
      </c>
      <c r="B31" s="52" t="s">
        <v>666</v>
      </c>
      <c r="C31" s="57" t="s">
        <v>339</v>
      </c>
      <c r="D31" s="58" t="s">
        <v>693</v>
      </c>
      <c r="E31" s="58" t="s">
        <v>693</v>
      </c>
      <c r="F31" s="58" t="s">
        <v>339</v>
      </c>
      <c r="G31" s="57" t="s">
        <v>36</v>
      </c>
      <c r="H31" s="39">
        <f>SUMPRODUCT(SUMIF(SurtaxRatesSAS!$B$2:$B$324,$C31:$E31,SurtaxRatesSAS!$E$2:$E$324))</f>
        <v>5</v>
      </c>
      <c r="I31" s="39">
        <f>SUMPRODUCT(SUMIF(SurtaxRatesSAS!$B$2:$B$324,$C31:$E31,SurtaxRatesSAS!$D$2:$D$324))</f>
        <v>0</v>
      </c>
      <c r="J31" s="38"/>
      <c r="K31" s="39">
        <f>SUMPRODUCT(SUMIF(SurtaxRatesSAS!$B$2:$B$324,$C31:$E31,SurtaxRatesSAS!$G$2:$G$324))</f>
        <v>311898.36</v>
      </c>
      <c r="L31" s="39">
        <f>SUMPRODUCT(SUMIF(SurtaxRatesSAS!$B$2:$B$324,$C31:$E31,SurtaxRatesSAS!$H$2:$H$324))</f>
        <v>311898.36</v>
      </c>
      <c r="M31" s="39">
        <f>SUMPRODUCT(SUMIF(SurtaxRatesSAS!$B$2:$B$324,$C31:$E31,SurtaxRatesSAS!$I$2:$I$324))</f>
        <v>0</v>
      </c>
      <c r="N31" s="38"/>
      <c r="O31" s="39" t="e">
        <f>SUMPRODUCT(SUMIF(SurtaxRatesSAS!$B$2:$B$324,$C31:$E31,SurtaxRatesSAS!$L$2:$L$324))</f>
        <v>#REF!</v>
      </c>
      <c r="P31" s="39" t="e">
        <f>SUMPRODUCT(SUMIF(SurtaxRatesSAS!$B$2:$B$324,$C31:$E31,SurtaxRatesSAS!$M$2:$M$324))</f>
        <v>#REF!</v>
      </c>
      <c r="Q31" s="39" t="e">
        <f>SUMPRODUCT(SUMIF(SurtaxRatesSAS!$B$2:$B$324,$C31:$E31,SurtaxRatesSAS!$N$2:$N$324))</f>
        <v>#REF!</v>
      </c>
      <c r="R31" s="38"/>
      <c r="S31" s="39" t="e">
        <f t="shared" si="0"/>
        <v>#REF!</v>
      </c>
      <c r="T31" s="39" t="e">
        <f t="shared" si="1"/>
        <v>#REF!</v>
      </c>
      <c r="U31" s="39" t="e">
        <f t="shared" si="2"/>
        <v>#REF!</v>
      </c>
      <c r="V31" s="29"/>
      <c r="W31" s="31" t="str">
        <f>IF(K31&gt;0,INDEX(cfo!$C$2:$I$326,MATCH(SurtaxPayment!C31,cfo!$C$2:$C$326,0),7),"")</f>
        <v>abbeyskrivseth@bellevue.k12.ia.us</v>
      </c>
      <c r="X31" s="31" t="str">
        <f>IF(IF(K31&gt;0,INDEX(cfo!$C$2:$K$326,MATCH(SurtaxPayment!C31,cfo!$C$2:$C$326,0),9),"")=0,"",IF(K31&gt;0,INDEX(cfo!$C$2:$K$326,MATCH(SurtaxPayment!C31,cfo!$C$2:$C$326,0),9),""))</f>
        <v>rhondaroth@bellevue.k12.ia.us</v>
      </c>
    </row>
    <row r="32" spans="1:24" x14ac:dyDescent="0.25">
      <c r="A32" s="52">
        <v>2025</v>
      </c>
      <c r="B32" s="52" t="s">
        <v>658</v>
      </c>
      <c r="C32" s="57" t="s">
        <v>340</v>
      </c>
      <c r="D32" s="58" t="s">
        <v>693</v>
      </c>
      <c r="E32" s="58" t="s">
        <v>693</v>
      </c>
      <c r="F32" s="58" t="s">
        <v>340</v>
      </c>
      <c r="G32" s="57" t="s">
        <v>649</v>
      </c>
      <c r="H32" s="39">
        <f>SUMPRODUCT(SUMIF(SurtaxRatesSAS!$B$2:$B$324,$C32:$E32,SurtaxRatesSAS!$E$2:$E$324))</f>
        <v>0</v>
      </c>
      <c r="I32" s="39">
        <f>SUMPRODUCT(SUMIF(SurtaxRatesSAS!$B$2:$B$324,$C32:$E32,SurtaxRatesSAS!$D$2:$D$324))</f>
        <v>3</v>
      </c>
      <c r="J32" s="38"/>
      <c r="K32" s="39">
        <f>SUMPRODUCT(SUMIF(SurtaxRatesSAS!$B$2:$B$324,$C32:$E32,SurtaxRatesSAS!$G$2:$G$324))</f>
        <v>100468</v>
      </c>
      <c r="L32" s="39">
        <f>SUMPRODUCT(SUMIF(SurtaxRatesSAS!$B$2:$B$324,$C32:$E32,SurtaxRatesSAS!$H$2:$H$324))</f>
        <v>0</v>
      </c>
      <c r="M32" s="39">
        <f>SUMPRODUCT(SUMIF(SurtaxRatesSAS!$B$2:$B$324,$C32:$E32,SurtaxRatesSAS!$I$2:$I$324))</f>
        <v>100468</v>
      </c>
      <c r="N32" s="38"/>
      <c r="O32" s="39" t="e">
        <f>SUMPRODUCT(SUMIF(SurtaxRatesSAS!$B$2:$B$324,$C32:$E32,SurtaxRatesSAS!$L$2:$L$324))</f>
        <v>#REF!</v>
      </c>
      <c r="P32" s="39" t="e">
        <f>SUMPRODUCT(SUMIF(SurtaxRatesSAS!$B$2:$B$324,$C32:$E32,SurtaxRatesSAS!$M$2:$M$324))</f>
        <v>#REF!</v>
      </c>
      <c r="Q32" s="39" t="e">
        <f>SUMPRODUCT(SUMIF(SurtaxRatesSAS!$B$2:$B$324,$C32:$E32,SurtaxRatesSAS!$N$2:$N$324))</f>
        <v>#REF!</v>
      </c>
      <c r="R32" s="38"/>
      <c r="S32" s="39" t="e">
        <f t="shared" si="0"/>
        <v>#REF!</v>
      </c>
      <c r="T32" s="39" t="e">
        <f t="shared" si="1"/>
        <v>#REF!</v>
      </c>
      <c r="U32" s="39" t="e">
        <f t="shared" si="2"/>
        <v>#REF!</v>
      </c>
      <c r="V32" s="29"/>
      <c r="W32" s="31" t="str">
        <f>IF(K32&gt;0,INDEX(cfo!$C$2:$I$326,MATCH(SurtaxPayment!C32,cfo!$C$2:$C$326,0),7),"")</f>
        <v>theresa.greenfield@bkcsd.org</v>
      </c>
      <c r="X32" s="31" t="str">
        <f>IF(IF(K32&gt;0,INDEX(cfo!$C$2:$K$326,MATCH(SurtaxPayment!C32,cfo!$C$2:$C$326,0),9),"")=0,"",IF(K32&gt;0,INDEX(cfo!$C$2:$K$326,MATCH(SurtaxPayment!C32,cfo!$C$2:$C$326,0),9),""))</f>
        <v/>
      </c>
    </row>
    <row r="33" spans="1:24" x14ac:dyDescent="0.25">
      <c r="A33" s="52">
        <v>2025</v>
      </c>
      <c r="B33" s="52" t="s">
        <v>666</v>
      </c>
      <c r="C33" s="57" t="s">
        <v>341</v>
      </c>
      <c r="D33" s="58" t="s">
        <v>693</v>
      </c>
      <c r="E33" s="58" t="s">
        <v>693</v>
      </c>
      <c r="F33" s="58" t="s">
        <v>341</v>
      </c>
      <c r="G33" s="57" t="s">
        <v>37</v>
      </c>
      <c r="H33" s="39">
        <f>SUMPRODUCT(SUMIF(SurtaxRatesSAS!$B$2:$B$324,$C33:$E33,SurtaxRatesSAS!$E$2:$E$324))</f>
        <v>0</v>
      </c>
      <c r="I33" s="39">
        <f>SUMPRODUCT(SUMIF(SurtaxRatesSAS!$B$2:$B$324,$C33:$E33,SurtaxRatesSAS!$D$2:$D$324))</f>
        <v>1</v>
      </c>
      <c r="J33" s="38"/>
      <c r="K33" s="39">
        <f>SUMPRODUCT(SUMIF(SurtaxRatesSAS!$B$2:$B$324,$C33:$E33,SurtaxRatesSAS!$G$2:$G$324))</f>
        <v>14713.27</v>
      </c>
      <c r="L33" s="39">
        <f>SUMPRODUCT(SUMIF(SurtaxRatesSAS!$B$2:$B$324,$C33:$E33,SurtaxRatesSAS!$H$2:$H$324))</f>
        <v>0</v>
      </c>
      <c r="M33" s="39">
        <f>SUMPRODUCT(SUMIF(SurtaxRatesSAS!$B$2:$B$324,$C33:$E33,SurtaxRatesSAS!$I$2:$I$324))</f>
        <v>14713.27</v>
      </c>
      <c r="N33" s="38"/>
      <c r="O33" s="39" t="e">
        <f>SUMPRODUCT(SUMIF(SurtaxRatesSAS!$B$2:$B$324,$C33:$E33,SurtaxRatesSAS!$L$2:$L$324))</f>
        <v>#REF!</v>
      </c>
      <c r="P33" s="39" t="e">
        <f>SUMPRODUCT(SUMIF(SurtaxRatesSAS!$B$2:$B$324,$C33:$E33,SurtaxRatesSAS!$M$2:$M$324))</f>
        <v>#REF!</v>
      </c>
      <c r="Q33" s="39" t="e">
        <f>SUMPRODUCT(SUMIF(SurtaxRatesSAS!$B$2:$B$324,$C33:$E33,SurtaxRatesSAS!$N$2:$N$324))</f>
        <v>#REF!</v>
      </c>
      <c r="R33" s="38"/>
      <c r="S33" s="39" t="e">
        <f t="shared" si="0"/>
        <v>#REF!</v>
      </c>
      <c r="T33" s="39" t="e">
        <f t="shared" si="1"/>
        <v>#REF!</v>
      </c>
      <c r="U33" s="39" t="e">
        <f t="shared" si="2"/>
        <v>#REF!</v>
      </c>
      <c r="V33" s="29"/>
      <c r="W33" s="31" t="str">
        <f>IF(K33&gt;0,INDEX(cfo!$C$2:$I$326,MATCH(SurtaxPayment!C33,cfo!$C$2:$C$326,0),7),"")</f>
        <v>jcoombes@aea9.k12.ia.us</v>
      </c>
      <c r="X33" s="31" t="str">
        <f>IF(IF(K33&gt;0,INDEX(cfo!$C$2:$K$326,MATCH(SurtaxPayment!C33,cfo!$C$2:$C$326,0),9),"")=0,"",IF(K33&gt;0,INDEX(cfo!$C$2:$K$326,MATCH(SurtaxPayment!C33,cfo!$C$2:$C$326,0),9),""))</f>
        <v/>
      </c>
    </row>
    <row r="34" spans="1:24" x14ac:dyDescent="0.25">
      <c r="A34" s="52">
        <v>2025</v>
      </c>
      <c r="B34" s="52" t="s">
        <v>663</v>
      </c>
      <c r="C34" s="57" t="s">
        <v>342</v>
      </c>
      <c r="D34" s="58" t="s">
        <v>693</v>
      </c>
      <c r="E34" s="58" t="s">
        <v>693</v>
      </c>
      <c r="F34" s="58" t="s">
        <v>342</v>
      </c>
      <c r="G34" s="57" t="s">
        <v>38</v>
      </c>
      <c r="H34" s="39">
        <f>SUMPRODUCT(SUMIF(SurtaxRatesSAS!$B$2:$B$324,$C34:$E34,SurtaxRatesSAS!$E$2:$E$324))</f>
        <v>0</v>
      </c>
      <c r="I34" s="39">
        <f>SUMPRODUCT(SUMIF(SurtaxRatesSAS!$B$2:$B$324,$C34:$E34,SurtaxRatesSAS!$D$2:$D$324))</f>
        <v>4</v>
      </c>
      <c r="J34" s="38"/>
      <c r="K34" s="39">
        <f>SUMPRODUCT(SUMIF(SurtaxRatesSAS!$B$2:$B$324,$C34:$E34,SurtaxRatesSAS!$G$2:$G$324))</f>
        <v>500997.41</v>
      </c>
      <c r="L34" s="39">
        <f>SUMPRODUCT(SUMIF(SurtaxRatesSAS!$B$2:$B$324,$C34:$E34,SurtaxRatesSAS!$H$2:$H$324))</f>
        <v>0</v>
      </c>
      <c r="M34" s="39">
        <f>SUMPRODUCT(SUMIF(SurtaxRatesSAS!$B$2:$B$324,$C34:$E34,SurtaxRatesSAS!$I$2:$I$324))</f>
        <v>500997.41</v>
      </c>
      <c r="N34" s="38"/>
      <c r="O34" s="39" t="e">
        <f>SUMPRODUCT(SUMIF(SurtaxRatesSAS!$B$2:$B$324,$C34:$E34,SurtaxRatesSAS!$L$2:$L$324))</f>
        <v>#REF!</v>
      </c>
      <c r="P34" s="39" t="e">
        <f>SUMPRODUCT(SUMIF(SurtaxRatesSAS!$B$2:$B$324,$C34:$E34,SurtaxRatesSAS!$M$2:$M$324))</f>
        <v>#REF!</v>
      </c>
      <c r="Q34" s="39" t="e">
        <f>SUMPRODUCT(SUMIF(SurtaxRatesSAS!$B$2:$B$324,$C34:$E34,SurtaxRatesSAS!$N$2:$N$324))</f>
        <v>#REF!</v>
      </c>
      <c r="R34" s="38"/>
      <c r="S34" s="39" t="e">
        <f t="shared" si="0"/>
        <v>#REF!</v>
      </c>
      <c r="T34" s="39" t="e">
        <f t="shared" si="1"/>
        <v>#REF!</v>
      </c>
      <c r="U34" s="39" t="e">
        <f t="shared" si="2"/>
        <v>#REF!</v>
      </c>
      <c r="V34" s="29"/>
      <c r="W34" s="31" t="str">
        <f>IF(K34&gt;0,INDEX(cfo!$C$2:$I$326,MATCH(SurtaxPayment!C34,cfo!$C$2:$C$326,0),7),"")</f>
        <v>mvenneman@benton.k12.ia.us</v>
      </c>
      <c r="X34" s="31" t="str">
        <f>IF(IF(K34&gt;0,INDEX(cfo!$C$2:$K$326,MATCH(SurtaxPayment!C34,cfo!$C$2:$C$326,0),9),"")=0,"",IF(K34&gt;0,INDEX(cfo!$C$2:$K$326,MATCH(SurtaxPayment!C34,cfo!$C$2:$C$326,0),9),""))</f>
        <v/>
      </c>
    </row>
    <row r="35" spans="1:24" x14ac:dyDescent="0.25">
      <c r="A35" s="52">
        <v>2025</v>
      </c>
      <c r="B35" s="52" t="s">
        <v>666</v>
      </c>
      <c r="C35" s="57" t="s">
        <v>343</v>
      </c>
      <c r="D35" s="58" t="s">
        <v>693</v>
      </c>
      <c r="E35" s="58" t="s">
        <v>693</v>
      </c>
      <c r="F35" s="58" t="s">
        <v>343</v>
      </c>
      <c r="G35" s="57" t="s">
        <v>697</v>
      </c>
      <c r="H35" s="39">
        <f>SUMPRODUCT(SUMIF(SurtaxRatesSAS!$B$2:$B$324,$C35:$E35,SurtaxRatesSAS!$E$2:$E$324))</f>
        <v>0</v>
      </c>
      <c r="I35" s="39">
        <f>SUMPRODUCT(SUMIF(SurtaxRatesSAS!$B$2:$B$324,$C35:$E35,SurtaxRatesSAS!$D$2:$D$324))</f>
        <v>0</v>
      </c>
      <c r="J35" s="38"/>
      <c r="K35" s="39">
        <f>SUMPRODUCT(SUMIF(SurtaxRatesSAS!$B$2:$B$324,$C35:$E35,SurtaxRatesSAS!$G$2:$G$324))</f>
        <v>0</v>
      </c>
      <c r="L35" s="39">
        <f>SUMPRODUCT(SUMIF(SurtaxRatesSAS!$B$2:$B$324,$C35:$E35,SurtaxRatesSAS!$H$2:$H$324))</f>
        <v>0</v>
      </c>
      <c r="M35" s="39">
        <f>SUMPRODUCT(SUMIF(SurtaxRatesSAS!$B$2:$B$324,$C35:$E35,SurtaxRatesSAS!$I$2:$I$324))</f>
        <v>0</v>
      </c>
      <c r="N35" s="38"/>
      <c r="O35" s="39">
        <f>SUMPRODUCT(SUMIF(SurtaxRatesSAS!$B$2:$B$324,$C35:$E35,SurtaxRatesSAS!$L$2:$L$324))</f>
        <v>0</v>
      </c>
      <c r="P35" s="39">
        <f>SUMPRODUCT(SUMIF(SurtaxRatesSAS!$B$2:$B$324,$C35:$E35,SurtaxRatesSAS!$M$2:$M$324))</f>
        <v>0</v>
      </c>
      <c r="Q35" s="39">
        <f>SUMPRODUCT(SUMIF(SurtaxRatesSAS!$B$2:$B$324,$C35:$E35,SurtaxRatesSAS!$N$2:$N$324))</f>
        <v>0</v>
      </c>
      <c r="R35" s="38"/>
      <c r="S35" s="39">
        <f t="shared" si="0"/>
        <v>0</v>
      </c>
      <c r="T35" s="39">
        <f t="shared" si="1"/>
        <v>0</v>
      </c>
      <c r="U35" s="39">
        <f t="shared" si="2"/>
        <v>0</v>
      </c>
      <c r="V35" s="29"/>
      <c r="W35" s="31" t="str">
        <f>IF(K35&gt;0,INDEX(cfo!$C$2:$I$326,MATCH(SurtaxPayment!C35,cfo!$C$2:$C$326,0),7),"")</f>
        <v/>
      </c>
      <c r="X35" s="31" t="str">
        <f>IF(IF(K35&gt;0,INDEX(cfo!$C$2:$K$326,MATCH(SurtaxPayment!C35,cfo!$C$2:$C$326,0),9),"")=0,"",IF(K35&gt;0,INDEX(cfo!$C$2:$K$326,MATCH(SurtaxPayment!C35,cfo!$C$2:$C$326,0),9),""))</f>
        <v/>
      </c>
    </row>
    <row r="36" spans="1:24" x14ac:dyDescent="0.25">
      <c r="A36" s="52">
        <v>2025</v>
      </c>
      <c r="B36" s="52" t="s">
        <v>657</v>
      </c>
      <c r="C36" s="57" t="s">
        <v>345</v>
      </c>
      <c r="D36" s="58" t="s">
        <v>693</v>
      </c>
      <c r="E36" s="58" t="s">
        <v>693</v>
      </c>
      <c r="F36" s="58" t="s">
        <v>345</v>
      </c>
      <c r="G36" s="57" t="s">
        <v>39</v>
      </c>
      <c r="H36" s="39">
        <f>SUMPRODUCT(SUMIF(SurtaxRatesSAS!$B$2:$B$324,$C36:$E36,SurtaxRatesSAS!$E$2:$E$324))</f>
        <v>0</v>
      </c>
      <c r="I36" s="39">
        <f>SUMPRODUCT(SUMIF(SurtaxRatesSAS!$B$2:$B$324,$C36:$E36,SurtaxRatesSAS!$D$2:$D$324))</f>
        <v>1</v>
      </c>
      <c r="J36" s="38"/>
      <c r="K36" s="39">
        <f>SUMPRODUCT(SUMIF(SurtaxRatesSAS!$B$2:$B$324,$C36:$E36,SurtaxRatesSAS!$G$2:$G$324))</f>
        <v>4736.92</v>
      </c>
      <c r="L36" s="39">
        <f>SUMPRODUCT(SUMIF(SurtaxRatesSAS!$B$2:$B$324,$C36:$E36,SurtaxRatesSAS!$H$2:$H$324))</f>
        <v>0</v>
      </c>
      <c r="M36" s="39">
        <f>SUMPRODUCT(SUMIF(SurtaxRatesSAS!$B$2:$B$324,$C36:$E36,SurtaxRatesSAS!$I$2:$I$324))</f>
        <v>4736.92</v>
      </c>
      <c r="N36" s="38"/>
      <c r="O36" s="39">
        <f>SUMPRODUCT(SUMIF(SurtaxRatesSAS!$B$2:$B$324,$C36:$E36,SurtaxRatesSAS!$L$2:$L$324))</f>
        <v>0</v>
      </c>
      <c r="P36" s="39">
        <f>SUMPRODUCT(SUMIF(SurtaxRatesSAS!$B$2:$B$324,$C36:$E36,SurtaxRatesSAS!$M$2:$M$324))</f>
        <v>0</v>
      </c>
      <c r="Q36" s="39">
        <f>SUMPRODUCT(SUMIF(SurtaxRatesSAS!$B$2:$B$324,$C36:$E36,SurtaxRatesSAS!$N$2:$N$324))</f>
        <v>0</v>
      </c>
      <c r="R36" s="38"/>
      <c r="S36" s="39">
        <f t="shared" si="0"/>
        <v>4736.92</v>
      </c>
      <c r="T36" s="39">
        <f t="shared" si="1"/>
        <v>0</v>
      </c>
      <c r="U36" s="39">
        <f t="shared" si="2"/>
        <v>4736.92</v>
      </c>
      <c r="V36" s="29"/>
      <c r="W36" s="31" t="str">
        <f>IF(K36&gt;0,INDEX(cfo!$C$2:$I$326,MATCH(SurtaxPayment!C36,cfo!$C$2:$C$326,0),7),"")</f>
        <v>aylsworthc@bfschools.org</v>
      </c>
      <c r="X36" s="31" t="str">
        <f>IF(IF(K36&gt;0,INDEX(cfo!$C$2:$K$326,MATCH(SurtaxPayment!C36,cfo!$C$2:$C$326,0),9),"")=0,"",IF(K36&gt;0,INDEX(cfo!$C$2:$K$326,MATCH(SurtaxPayment!C36,cfo!$C$2:$C$326,0),9),""))</f>
        <v/>
      </c>
    </row>
    <row r="37" spans="1:24" x14ac:dyDescent="0.25">
      <c r="A37" s="52">
        <v>2025</v>
      </c>
      <c r="B37" s="52" t="s">
        <v>657</v>
      </c>
      <c r="C37" s="57" t="s">
        <v>346</v>
      </c>
      <c r="D37" s="58" t="s">
        <v>693</v>
      </c>
      <c r="E37" s="58" t="s">
        <v>693</v>
      </c>
      <c r="F37" s="58" t="s">
        <v>346</v>
      </c>
      <c r="G37" s="57" t="s">
        <v>40</v>
      </c>
      <c r="H37" s="39">
        <f>SUMPRODUCT(SUMIF(SurtaxRatesSAS!$B$2:$B$324,$C37:$E37,SurtaxRatesSAS!$E$2:$E$324))</f>
        <v>0</v>
      </c>
      <c r="I37" s="39">
        <f>SUMPRODUCT(SUMIF(SurtaxRatesSAS!$B$2:$B$324,$C37:$E37,SurtaxRatesSAS!$D$2:$D$324))</f>
        <v>1</v>
      </c>
      <c r="J37" s="38"/>
      <c r="K37" s="39">
        <f>SUMPRODUCT(SUMIF(SurtaxRatesSAS!$B$2:$B$324,$C37:$E37,SurtaxRatesSAS!$G$2:$G$324))</f>
        <v>151348.14000000001</v>
      </c>
      <c r="L37" s="39">
        <f>SUMPRODUCT(SUMIF(SurtaxRatesSAS!$B$2:$B$324,$C37:$E37,SurtaxRatesSAS!$H$2:$H$324))</f>
        <v>0</v>
      </c>
      <c r="M37" s="39">
        <f>SUMPRODUCT(SUMIF(SurtaxRatesSAS!$B$2:$B$324,$C37:$E37,SurtaxRatesSAS!$I$2:$I$324))</f>
        <v>151348.14000000001</v>
      </c>
      <c r="N37" s="38"/>
      <c r="O37" s="39" t="e">
        <f>SUMPRODUCT(SUMIF(SurtaxRatesSAS!$B$2:$B$324,$C37:$E37,SurtaxRatesSAS!$L$2:$L$324))</f>
        <v>#REF!</v>
      </c>
      <c r="P37" s="39" t="e">
        <f>SUMPRODUCT(SUMIF(SurtaxRatesSAS!$B$2:$B$324,$C37:$E37,SurtaxRatesSAS!$M$2:$M$324))</f>
        <v>#REF!</v>
      </c>
      <c r="Q37" s="39" t="e">
        <f>SUMPRODUCT(SUMIF(SurtaxRatesSAS!$B$2:$B$324,$C37:$E37,SurtaxRatesSAS!$N$2:$N$324))</f>
        <v>#REF!</v>
      </c>
      <c r="R37" s="38"/>
      <c r="S37" s="39" t="e">
        <f t="shared" si="0"/>
        <v>#REF!</v>
      </c>
      <c r="T37" s="39" t="e">
        <f t="shared" si="1"/>
        <v>#REF!</v>
      </c>
      <c r="U37" s="39" t="e">
        <f t="shared" si="2"/>
        <v>#REF!</v>
      </c>
      <c r="V37" s="29"/>
      <c r="W37" s="31" t="str">
        <f>IF(K37&gt;0,INDEX(cfo!$C$2:$I$326,MATCH(SurtaxPayment!C37,cfo!$C$2:$C$326,0),7),"")</f>
        <v>pnewbold@boone.k12.ia.us</v>
      </c>
      <c r="X37" s="31" t="str">
        <f>IF(IF(K37&gt;0,INDEX(cfo!$C$2:$K$326,MATCH(SurtaxPayment!C37,cfo!$C$2:$C$326,0),9),"")=0,"",IF(K37&gt;0,INDEX(cfo!$C$2:$K$326,MATCH(SurtaxPayment!C37,cfo!$C$2:$C$326,0),9),""))</f>
        <v>tott@boone.k12.ia.us</v>
      </c>
    </row>
    <row r="38" spans="1:24" x14ac:dyDescent="0.25">
      <c r="A38" s="52">
        <v>2025</v>
      </c>
      <c r="B38" s="52" t="s">
        <v>660</v>
      </c>
      <c r="C38" s="57" t="s">
        <v>347</v>
      </c>
      <c r="D38" s="58" t="s">
        <v>693</v>
      </c>
      <c r="E38" s="58" t="s">
        <v>693</v>
      </c>
      <c r="F38" s="58" t="s">
        <v>347</v>
      </c>
      <c r="G38" s="57" t="s">
        <v>41</v>
      </c>
      <c r="H38" s="39">
        <f>SUMPRODUCT(SUMIF(SurtaxRatesSAS!$B$2:$B$324,$C38:$E38,SurtaxRatesSAS!$E$2:$E$324))</f>
        <v>0</v>
      </c>
      <c r="I38" s="39">
        <f>SUMPRODUCT(SUMIF(SurtaxRatesSAS!$B$2:$B$324,$C38:$E38,SurtaxRatesSAS!$D$2:$D$324))</f>
        <v>2</v>
      </c>
      <c r="J38" s="38"/>
      <c r="K38" s="39">
        <f>SUMPRODUCT(SUMIF(SurtaxRatesSAS!$B$2:$B$324,$C38:$E38,SurtaxRatesSAS!$G$2:$G$324))</f>
        <v>111629.33</v>
      </c>
      <c r="L38" s="39">
        <f>SUMPRODUCT(SUMIF(SurtaxRatesSAS!$B$2:$B$324,$C38:$E38,SurtaxRatesSAS!$H$2:$H$324))</f>
        <v>0</v>
      </c>
      <c r="M38" s="39">
        <f>SUMPRODUCT(SUMIF(SurtaxRatesSAS!$B$2:$B$324,$C38:$E38,SurtaxRatesSAS!$I$2:$I$324))</f>
        <v>111629.33</v>
      </c>
      <c r="N38" s="38"/>
      <c r="O38" s="39" t="e">
        <f>SUMPRODUCT(SUMIF(SurtaxRatesSAS!$B$2:$B$324,$C38:$E38,SurtaxRatesSAS!$L$2:$L$324))</f>
        <v>#REF!</v>
      </c>
      <c r="P38" s="39" t="e">
        <f>SUMPRODUCT(SUMIF(SurtaxRatesSAS!$B$2:$B$324,$C38:$E38,SurtaxRatesSAS!$M$2:$M$324))</f>
        <v>#REF!</v>
      </c>
      <c r="Q38" s="39" t="e">
        <f>SUMPRODUCT(SUMIF(SurtaxRatesSAS!$B$2:$B$324,$C38:$E38,SurtaxRatesSAS!$N$2:$N$324))</f>
        <v>#REF!</v>
      </c>
      <c r="R38" s="38"/>
      <c r="S38" s="39" t="e">
        <f t="shared" si="0"/>
        <v>#REF!</v>
      </c>
      <c r="T38" s="39" t="e">
        <f t="shared" si="1"/>
        <v>#REF!</v>
      </c>
      <c r="U38" s="39" t="e">
        <f t="shared" si="2"/>
        <v>#REF!</v>
      </c>
      <c r="V38" s="29"/>
      <c r="W38" s="31" t="str">
        <f>IF(K38&gt;0,INDEX(cfo!$C$2:$I$326,MATCH(SurtaxPayment!C38,cfo!$C$2:$C$326,0),7),"")</f>
        <v>lori.hoven@boyden-hull.org</v>
      </c>
      <c r="X38" s="31" t="str">
        <f>IF(IF(K38&gt;0,INDEX(cfo!$C$2:$K$326,MATCH(SurtaxPayment!C38,cfo!$C$2:$C$326,0),9),"")=0,"",IF(K38&gt;0,INDEX(cfo!$C$2:$K$326,MATCH(SurtaxPayment!C38,cfo!$C$2:$C$326,0),9),""))</f>
        <v>steve.grond@boyden-hull.org</v>
      </c>
    </row>
    <row r="39" spans="1:24" x14ac:dyDescent="0.25">
      <c r="A39" s="52">
        <v>2025</v>
      </c>
      <c r="B39" s="52" t="s">
        <v>659</v>
      </c>
      <c r="C39" s="57" t="s">
        <v>403</v>
      </c>
      <c r="D39" s="58" t="s">
        <v>693</v>
      </c>
      <c r="E39" s="58" t="s">
        <v>693</v>
      </c>
      <c r="F39" s="58" t="s">
        <v>403</v>
      </c>
      <c r="G39" s="57" t="s">
        <v>42</v>
      </c>
      <c r="H39" s="39">
        <f>SUMPRODUCT(SUMIF(SurtaxRatesSAS!$B$2:$B$324,$C39:$E39,SurtaxRatesSAS!$E$2:$E$324))</f>
        <v>1</v>
      </c>
      <c r="I39" s="39">
        <f>SUMPRODUCT(SUMIF(SurtaxRatesSAS!$B$2:$B$324,$C39:$E39,SurtaxRatesSAS!$D$2:$D$324))</f>
        <v>5</v>
      </c>
      <c r="J39" s="38"/>
      <c r="K39" s="39">
        <f>SUMPRODUCT(SUMIF(SurtaxRatesSAS!$B$2:$B$324,$C39:$E39,SurtaxRatesSAS!$G$2:$G$324))</f>
        <v>145643.63</v>
      </c>
      <c r="L39" s="39">
        <f>SUMPRODUCT(SUMIF(SurtaxRatesSAS!$B$2:$B$324,$C39:$E39,SurtaxRatesSAS!$H$2:$H$324))</f>
        <v>24273.94</v>
      </c>
      <c r="M39" s="39">
        <f>SUMPRODUCT(SUMIF(SurtaxRatesSAS!$B$2:$B$324,$C39:$E39,SurtaxRatesSAS!$I$2:$I$324))</f>
        <v>121369.69</v>
      </c>
      <c r="N39" s="38"/>
      <c r="O39" s="39" t="e">
        <f>SUMPRODUCT(SUMIF(SurtaxRatesSAS!$B$2:$B$324,$C39:$E39,SurtaxRatesSAS!$L$2:$L$324))</f>
        <v>#REF!</v>
      </c>
      <c r="P39" s="39" t="e">
        <f>SUMPRODUCT(SUMIF(SurtaxRatesSAS!$B$2:$B$324,$C39:$E39,SurtaxRatesSAS!$M$2:$M$324))</f>
        <v>#REF!</v>
      </c>
      <c r="Q39" s="39" t="e">
        <f>SUMPRODUCT(SUMIF(SurtaxRatesSAS!$B$2:$B$324,$C39:$E39,SurtaxRatesSAS!$N$2:$N$324))</f>
        <v>#REF!</v>
      </c>
      <c r="R39" s="38"/>
      <c r="S39" s="39" t="e">
        <f t="shared" si="0"/>
        <v>#REF!</v>
      </c>
      <c r="T39" s="39" t="e">
        <f t="shared" si="1"/>
        <v>#REF!</v>
      </c>
      <c r="U39" s="39" t="e">
        <f t="shared" si="2"/>
        <v>#REF!</v>
      </c>
      <c r="V39" s="29"/>
      <c r="W39" s="31" t="str">
        <f>IF(K39&gt;0,INDEX(cfo!$C$2:$I$326,MATCH(SurtaxPayment!C39,cfo!$C$2:$C$326,0),7),"")</f>
        <v>tsell@boyervalley.org</v>
      </c>
      <c r="X39" s="31" t="str">
        <f>IF(IF(K39&gt;0,INDEX(cfo!$C$2:$K$326,MATCH(SurtaxPayment!C39,cfo!$C$2:$C$326,0),9),"")=0,"",IF(K39&gt;0,INDEX(cfo!$C$2:$K$326,MATCH(SurtaxPayment!C39,cfo!$C$2:$C$326,0),9),""))</f>
        <v/>
      </c>
    </row>
    <row r="40" spans="1:24" x14ac:dyDescent="0.25">
      <c r="A40" s="52">
        <v>2025</v>
      </c>
      <c r="B40" s="52" t="s">
        <v>658</v>
      </c>
      <c r="C40" s="57" t="s">
        <v>349</v>
      </c>
      <c r="D40" s="58" t="s">
        <v>693</v>
      </c>
      <c r="E40" s="58" t="s">
        <v>693</v>
      </c>
      <c r="F40" s="58" t="s">
        <v>349</v>
      </c>
      <c r="G40" s="57" t="s">
        <v>43</v>
      </c>
      <c r="H40" s="39">
        <f>SUMPRODUCT(SUMIF(SurtaxRatesSAS!$B$2:$B$324,$C40:$E40,SurtaxRatesSAS!$E$2:$E$324))</f>
        <v>1</v>
      </c>
      <c r="I40" s="39">
        <f>SUMPRODUCT(SUMIF(SurtaxRatesSAS!$B$2:$B$324,$C40:$E40,SurtaxRatesSAS!$D$2:$D$324))</f>
        <v>1</v>
      </c>
      <c r="J40" s="38"/>
      <c r="K40" s="39">
        <f>SUMPRODUCT(SUMIF(SurtaxRatesSAS!$B$2:$B$324,$C40:$E40,SurtaxRatesSAS!$G$2:$G$324))</f>
        <v>82442.789999999994</v>
      </c>
      <c r="L40" s="39">
        <f>SUMPRODUCT(SUMIF(SurtaxRatesSAS!$B$2:$B$324,$C40:$E40,SurtaxRatesSAS!$H$2:$H$324))</f>
        <v>41221.4</v>
      </c>
      <c r="M40" s="39">
        <f>SUMPRODUCT(SUMIF(SurtaxRatesSAS!$B$2:$B$324,$C40:$E40,SurtaxRatesSAS!$I$2:$I$324))</f>
        <v>41221.389999999992</v>
      </c>
      <c r="N40" s="38"/>
      <c r="O40" s="39" t="e">
        <f>SUMPRODUCT(SUMIF(SurtaxRatesSAS!$B$2:$B$324,$C40:$E40,SurtaxRatesSAS!$L$2:$L$324))</f>
        <v>#REF!</v>
      </c>
      <c r="P40" s="39" t="e">
        <f>SUMPRODUCT(SUMIF(SurtaxRatesSAS!$B$2:$B$324,$C40:$E40,SurtaxRatesSAS!$M$2:$M$324))</f>
        <v>#REF!</v>
      </c>
      <c r="Q40" s="39" t="e">
        <f>SUMPRODUCT(SUMIF(SurtaxRatesSAS!$B$2:$B$324,$C40:$E40,SurtaxRatesSAS!$N$2:$N$324))</f>
        <v>#REF!</v>
      </c>
      <c r="R40" s="38"/>
      <c r="S40" s="39" t="e">
        <f t="shared" si="0"/>
        <v>#REF!</v>
      </c>
      <c r="T40" s="39" t="e">
        <f t="shared" si="1"/>
        <v>#REF!</v>
      </c>
      <c r="U40" s="39" t="e">
        <f t="shared" si="2"/>
        <v>#REF!</v>
      </c>
      <c r="V40" s="29"/>
      <c r="W40" s="31" t="str">
        <f>IF(K40&gt;0,INDEX(cfo!$C$2:$I$326,MATCH(SurtaxPayment!C40,cfo!$C$2:$C$326,0),7),"")</f>
        <v>lmcclenathan@hlv.k12.ia.us</v>
      </c>
      <c r="X40" s="31" t="str">
        <f>IF(IF(K40&gt;0,INDEX(cfo!$C$2:$K$326,MATCH(SurtaxPayment!C40,cfo!$C$2:$C$326,0),9),"")=0,"",IF(K40&gt;0,INDEX(cfo!$C$2:$K$326,MATCH(SurtaxPayment!C40,cfo!$C$2:$C$326,0),9),""))</f>
        <v/>
      </c>
    </row>
    <row r="41" spans="1:24" x14ac:dyDescent="0.25">
      <c r="A41" s="52">
        <v>2025</v>
      </c>
      <c r="B41" s="52" t="s">
        <v>662</v>
      </c>
      <c r="C41" s="57" t="s">
        <v>351</v>
      </c>
      <c r="D41" s="58" t="s">
        <v>693</v>
      </c>
      <c r="E41" s="58" t="s">
        <v>693</v>
      </c>
      <c r="F41" s="58" t="s">
        <v>351</v>
      </c>
      <c r="G41" s="57" t="s">
        <v>698</v>
      </c>
      <c r="H41" s="39">
        <f>SUMPRODUCT(SUMIF(SurtaxRatesSAS!$B$2:$B$324,$C41:$E41,SurtaxRatesSAS!$E$2:$E$324))</f>
        <v>0</v>
      </c>
      <c r="I41" s="39">
        <f>SUMPRODUCT(SUMIF(SurtaxRatesSAS!$B$2:$B$324,$C41:$E41,SurtaxRatesSAS!$D$2:$D$324))</f>
        <v>0</v>
      </c>
      <c r="J41" s="38"/>
      <c r="K41" s="39">
        <f>SUMPRODUCT(SUMIF(SurtaxRatesSAS!$B$2:$B$324,$C41:$E41,SurtaxRatesSAS!$G$2:$G$324))</f>
        <v>0</v>
      </c>
      <c r="L41" s="39">
        <f>SUMPRODUCT(SUMIF(SurtaxRatesSAS!$B$2:$B$324,$C41:$E41,SurtaxRatesSAS!$H$2:$H$324))</f>
        <v>0</v>
      </c>
      <c r="M41" s="39">
        <f>SUMPRODUCT(SUMIF(SurtaxRatesSAS!$B$2:$B$324,$C41:$E41,SurtaxRatesSAS!$I$2:$I$324))</f>
        <v>0</v>
      </c>
      <c r="N41" s="38"/>
      <c r="O41" s="39">
        <f>SUMPRODUCT(SUMIF(SurtaxRatesSAS!$B$2:$B$324,$C41:$E41,SurtaxRatesSAS!$L$2:$L$324))</f>
        <v>0</v>
      </c>
      <c r="P41" s="39">
        <f>SUMPRODUCT(SUMIF(SurtaxRatesSAS!$B$2:$B$324,$C41:$E41,SurtaxRatesSAS!$M$2:$M$324))</f>
        <v>0</v>
      </c>
      <c r="Q41" s="39">
        <f>SUMPRODUCT(SUMIF(SurtaxRatesSAS!$B$2:$B$324,$C41:$E41,SurtaxRatesSAS!$N$2:$N$324))</f>
        <v>0</v>
      </c>
      <c r="R41" s="38"/>
      <c r="S41" s="39">
        <f t="shared" si="0"/>
        <v>0</v>
      </c>
      <c r="T41" s="39">
        <f t="shared" si="1"/>
        <v>0</v>
      </c>
      <c r="U41" s="39">
        <f t="shared" si="2"/>
        <v>0</v>
      </c>
      <c r="V41" s="29"/>
      <c r="W41" s="31" t="str">
        <f>IF(K41&gt;0,INDEX(cfo!$C$2:$I$326,MATCH(SurtaxPayment!C41,cfo!$C$2:$C$326,0),7),"")</f>
        <v/>
      </c>
      <c r="X41" s="31" t="str">
        <f>IF(IF(K41&gt;0,INDEX(cfo!$C$2:$K$326,MATCH(SurtaxPayment!C41,cfo!$C$2:$C$326,0),9),"")=0,"",IF(K41&gt;0,INDEX(cfo!$C$2:$K$326,MATCH(SurtaxPayment!C41,cfo!$C$2:$C$326,0),9),""))</f>
        <v/>
      </c>
    </row>
    <row r="42" spans="1:24" x14ac:dyDescent="0.25">
      <c r="A42" s="52">
        <v>2025</v>
      </c>
      <c r="B42" s="52" t="s">
        <v>658</v>
      </c>
      <c r="C42" s="57" t="s">
        <v>353</v>
      </c>
      <c r="D42" s="58" t="s">
        <v>693</v>
      </c>
      <c r="E42" s="58" t="s">
        <v>693</v>
      </c>
      <c r="F42" s="58" t="s">
        <v>353</v>
      </c>
      <c r="G42" s="57" t="s">
        <v>2</v>
      </c>
      <c r="H42" s="39">
        <f>SUMPRODUCT(SUMIF(SurtaxRatesSAS!$B$2:$B$324,$C42:$E42,SurtaxRatesSAS!$E$2:$E$324))</f>
        <v>3</v>
      </c>
      <c r="I42" s="39">
        <f>SUMPRODUCT(SUMIF(SurtaxRatesSAS!$B$2:$B$324,$C42:$E42,SurtaxRatesSAS!$D$2:$D$324))</f>
        <v>8</v>
      </c>
      <c r="J42" s="38"/>
      <c r="K42" s="39">
        <f>SUMPRODUCT(SUMIF(SurtaxRatesSAS!$B$2:$B$324,$C42:$E42,SurtaxRatesSAS!$G$2:$G$324))</f>
        <v>131364.39000000001</v>
      </c>
      <c r="L42" s="39">
        <f>SUMPRODUCT(SUMIF(SurtaxRatesSAS!$B$2:$B$324,$C42:$E42,SurtaxRatesSAS!$H$2:$H$324))</f>
        <v>35826.65</v>
      </c>
      <c r="M42" s="39">
        <f>SUMPRODUCT(SUMIF(SurtaxRatesSAS!$B$2:$B$324,$C42:$E42,SurtaxRatesSAS!$I$2:$I$324))</f>
        <v>95537.74000000002</v>
      </c>
      <c r="N42" s="38"/>
      <c r="O42" s="39" t="e">
        <f>SUMPRODUCT(SUMIF(SurtaxRatesSAS!$B$2:$B$324,$C42:$E42,SurtaxRatesSAS!$L$2:$L$324))</f>
        <v>#REF!</v>
      </c>
      <c r="P42" s="39" t="e">
        <f>SUMPRODUCT(SUMIF(SurtaxRatesSAS!$B$2:$B$324,$C42:$E42,SurtaxRatesSAS!$M$2:$M$324))</f>
        <v>#REF!</v>
      </c>
      <c r="Q42" s="39" t="e">
        <f>SUMPRODUCT(SUMIF(SurtaxRatesSAS!$B$2:$B$324,$C42:$E42,SurtaxRatesSAS!$N$2:$N$324))</f>
        <v>#REF!</v>
      </c>
      <c r="R42" s="38"/>
      <c r="S42" s="39" t="e">
        <f t="shared" si="0"/>
        <v>#REF!</v>
      </c>
      <c r="T42" s="39" t="e">
        <f t="shared" si="1"/>
        <v>#REF!</v>
      </c>
      <c r="U42" s="39" t="e">
        <f t="shared" si="2"/>
        <v>#REF!</v>
      </c>
      <c r="V42" s="29"/>
      <c r="W42" s="31" t="str">
        <f>IF(K42&gt;0,INDEX(cfo!$C$2:$I$326,MATCH(SurtaxPayment!C42,cfo!$C$2:$C$326,0),7),"")</f>
        <v>heidena@cal.k12.ia.us</v>
      </c>
      <c r="X42" s="31" t="str">
        <f>IF(IF(K42&gt;0,INDEX(cfo!$C$2:$K$326,MATCH(SurtaxPayment!C42,cfo!$C$2:$C$326,0),9),"")=0,"",IF(K42&gt;0,INDEX(cfo!$C$2:$K$326,MATCH(SurtaxPayment!C42,cfo!$C$2:$C$326,0),9),""))</f>
        <v/>
      </c>
    </row>
    <row r="43" spans="1:24" x14ac:dyDescent="0.25">
      <c r="A43" s="52">
        <v>2025</v>
      </c>
      <c r="B43" s="52" t="s">
        <v>666</v>
      </c>
      <c r="C43" s="57" t="s">
        <v>354</v>
      </c>
      <c r="D43" s="58" t="s">
        <v>693</v>
      </c>
      <c r="E43" s="58" t="s">
        <v>693</v>
      </c>
      <c r="F43" s="58" t="s">
        <v>354</v>
      </c>
      <c r="G43" s="57" t="s">
        <v>688</v>
      </c>
      <c r="H43" s="39">
        <f>SUMPRODUCT(SUMIF(SurtaxRatesSAS!$B$2:$B$324,$C43:$E43,SurtaxRatesSAS!$E$2:$E$324))</f>
        <v>0</v>
      </c>
      <c r="I43" s="39">
        <f>SUMPRODUCT(SUMIF(SurtaxRatesSAS!$B$2:$B$324,$C43:$E43,SurtaxRatesSAS!$D$2:$D$324))</f>
        <v>6</v>
      </c>
      <c r="J43" s="38"/>
      <c r="K43" s="39">
        <f>SUMPRODUCT(SUMIF(SurtaxRatesSAS!$B$2:$B$324,$C43:$E43,SurtaxRatesSAS!$G$2:$G$324))</f>
        <v>146403</v>
      </c>
      <c r="L43" s="39">
        <f>SUMPRODUCT(SUMIF(SurtaxRatesSAS!$B$2:$B$324,$C43:$E43,SurtaxRatesSAS!$H$2:$H$324))</f>
        <v>0</v>
      </c>
      <c r="M43" s="39">
        <f>SUMPRODUCT(SUMIF(SurtaxRatesSAS!$B$2:$B$324,$C43:$E43,SurtaxRatesSAS!$I$2:$I$324))</f>
        <v>146403</v>
      </c>
      <c r="N43" s="38"/>
      <c r="O43" s="39" t="e">
        <f>SUMPRODUCT(SUMIF(SurtaxRatesSAS!$B$2:$B$324,$C43:$E43,SurtaxRatesSAS!$L$2:$L$324))</f>
        <v>#REF!</v>
      </c>
      <c r="P43" s="39" t="e">
        <f>SUMPRODUCT(SUMIF(SurtaxRatesSAS!$B$2:$B$324,$C43:$E43,SurtaxRatesSAS!$M$2:$M$324))</f>
        <v>#REF!</v>
      </c>
      <c r="Q43" s="39" t="e">
        <f>SUMPRODUCT(SUMIF(SurtaxRatesSAS!$B$2:$B$324,$C43:$E43,SurtaxRatesSAS!$N$2:$N$324))</f>
        <v>#REF!</v>
      </c>
      <c r="R43" s="38"/>
      <c r="S43" s="39" t="e">
        <f t="shared" si="0"/>
        <v>#REF!</v>
      </c>
      <c r="T43" s="39" t="e">
        <f t="shared" si="1"/>
        <v>#REF!</v>
      </c>
      <c r="U43" s="39" t="e">
        <f t="shared" si="2"/>
        <v>#REF!</v>
      </c>
      <c r="V43" s="29"/>
      <c r="W43" s="31" t="str">
        <f>IF(K43&gt;0,INDEX(cfo!$C$2:$I$326,MATCH(SurtaxPayment!C43,cfo!$C$2:$C$326,0),7),"")</f>
        <v>mpewe@cal-wheat.net</v>
      </c>
      <c r="X43" s="31" t="str">
        <f>IF(IF(K43&gt;0,INDEX(cfo!$C$2:$K$326,MATCH(SurtaxPayment!C43,cfo!$C$2:$C$326,0),9),"")=0,"",IF(K43&gt;0,INDEX(cfo!$C$2:$K$326,MATCH(SurtaxPayment!C43,cfo!$C$2:$C$326,0),9),""))</f>
        <v/>
      </c>
    </row>
    <row r="44" spans="1:24" x14ac:dyDescent="0.25">
      <c r="A44" s="52">
        <v>2025</v>
      </c>
      <c r="B44" s="52" t="s">
        <v>659</v>
      </c>
      <c r="C44" s="57" t="s">
        <v>352</v>
      </c>
      <c r="D44" s="58" t="s">
        <v>693</v>
      </c>
      <c r="E44" s="58" t="s">
        <v>693</v>
      </c>
      <c r="F44" s="58" t="s">
        <v>352</v>
      </c>
      <c r="G44" s="57" t="s">
        <v>3</v>
      </c>
      <c r="H44" s="39">
        <f>SUMPRODUCT(SUMIF(SurtaxRatesSAS!$B$2:$B$324,$C44:$E44,SurtaxRatesSAS!$E$2:$E$324))</f>
        <v>0</v>
      </c>
      <c r="I44" s="39">
        <f>SUMPRODUCT(SUMIF(SurtaxRatesSAS!$B$2:$B$324,$C44:$E44,SurtaxRatesSAS!$D$2:$D$324))</f>
        <v>10</v>
      </c>
      <c r="J44" s="38"/>
      <c r="K44" s="39">
        <f>SUMPRODUCT(SUMIF(SurtaxRatesSAS!$B$2:$B$324,$C44:$E44,SurtaxRatesSAS!$G$2:$G$324))</f>
        <v>258416.62</v>
      </c>
      <c r="L44" s="39">
        <f>SUMPRODUCT(SUMIF(SurtaxRatesSAS!$B$2:$B$324,$C44:$E44,SurtaxRatesSAS!$H$2:$H$324))</f>
        <v>0</v>
      </c>
      <c r="M44" s="39">
        <f>SUMPRODUCT(SUMIF(SurtaxRatesSAS!$B$2:$B$324,$C44:$E44,SurtaxRatesSAS!$I$2:$I$324))</f>
        <v>258416.62</v>
      </c>
      <c r="N44" s="38"/>
      <c r="O44" s="39" t="e">
        <f>SUMPRODUCT(SUMIF(SurtaxRatesSAS!$B$2:$B$324,$C44:$E44,SurtaxRatesSAS!$L$2:$L$324))</f>
        <v>#REF!</v>
      </c>
      <c r="P44" s="39" t="e">
        <f>SUMPRODUCT(SUMIF(SurtaxRatesSAS!$B$2:$B$324,$C44:$E44,SurtaxRatesSAS!$M$2:$M$324))</f>
        <v>#REF!</v>
      </c>
      <c r="Q44" s="39" t="e">
        <f>SUMPRODUCT(SUMIF(SurtaxRatesSAS!$B$2:$B$324,$C44:$E44,SurtaxRatesSAS!$N$2:$N$324))</f>
        <v>#REF!</v>
      </c>
      <c r="R44" s="38"/>
      <c r="S44" s="39" t="e">
        <f t="shared" si="0"/>
        <v>#REF!</v>
      </c>
      <c r="T44" s="39" t="e">
        <f t="shared" si="1"/>
        <v>#REF!</v>
      </c>
      <c r="U44" s="39" t="e">
        <f t="shared" si="2"/>
        <v>#REF!</v>
      </c>
      <c r="V44" s="29"/>
      <c r="W44" s="31" t="str">
        <f>IF(K44&gt;0,INDEX(cfo!$C$2:$I$326,MATCH(SurtaxPayment!C44,cfo!$C$2:$C$326,0),7),"")</f>
        <v>asummers@cam.k12.ia.us</v>
      </c>
      <c r="X44" s="31" t="str">
        <f>IF(IF(K44&gt;0,INDEX(cfo!$C$2:$K$326,MATCH(SurtaxPayment!C44,cfo!$C$2:$C$326,0),9),"")=0,"",IF(K44&gt;0,INDEX(cfo!$C$2:$K$326,MATCH(SurtaxPayment!C44,cfo!$C$2:$C$326,0),9),""))</f>
        <v/>
      </c>
    </row>
    <row r="45" spans="1:24" x14ac:dyDescent="0.25">
      <c r="A45" s="52">
        <v>2025</v>
      </c>
      <c r="B45" s="52" t="s">
        <v>666</v>
      </c>
      <c r="C45" s="57" t="s">
        <v>355</v>
      </c>
      <c r="D45" s="58" t="s">
        <v>693</v>
      </c>
      <c r="E45" s="58" t="s">
        <v>693</v>
      </c>
      <c r="F45" s="58" t="s">
        <v>355</v>
      </c>
      <c r="G45" s="57" t="s">
        <v>699</v>
      </c>
      <c r="H45" s="39">
        <f>SUMPRODUCT(SUMIF(SurtaxRatesSAS!$B$2:$B$324,$C45:$E45,SurtaxRatesSAS!$E$2:$E$324))</f>
        <v>0</v>
      </c>
      <c r="I45" s="39">
        <f>SUMPRODUCT(SUMIF(SurtaxRatesSAS!$B$2:$B$324,$C45:$E45,SurtaxRatesSAS!$D$2:$D$324))</f>
        <v>0</v>
      </c>
      <c r="J45" s="38"/>
      <c r="K45" s="39">
        <f>SUMPRODUCT(SUMIF(SurtaxRatesSAS!$B$2:$B$324,$C45:$E45,SurtaxRatesSAS!$G$2:$G$324))</f>
        <v>0</v>
      </c>
      <c r="L45" s="39">
        <f>SUMPRODUCT(SUMIF(SurtaxRatesSAS!$B$2:$B$324,$C45:$E45,SurtaxRatesSAS!$H$2:$H$324))</f>
        <v>0</v>
      </c>
      <c r="M45" s="39">
        <f>SUMPRODUCT(SUMIF(SurtaxRatesSAS!$B$2:$B$324,$C45:$E45,SurtaxRatesSAS!$I$2:$I$324))</f>
        <v>0</v>
      </c>
      <c r="N45" s="38"/>
      <c r="O45" s="39">
        <f>SUMPRODUCT(SUMIF(SurtaxRatesSAS!$B$2:$B$324,$C45:$E45,SurtaxRatesSAS!$L$2:$L$324))</f>
        <v>0</v>
      </c>
      <c r="P45" s="39">
        <f>SUMPRODUCT(SUMIF(SurtaxRatesSAS!$B$2:$B$324,$C45:$E45,SurtaxRatesSAS!$M$2:$M$324))</f>
        <v>0</v>
      </c>
      <c r="Q45" s="39">
        <f>SUMPRODUCT(SUMIF(SurtaxRatesSAS!$B$2:$B$324,$C45:$E45,SurtaxRatesSAS!$N$2:$N$324))</f>
        <v>0</v>
      </c>
      <c r="R45" s="38"/>
      <c r="S45" s="39">
        <f t="shared" si="0"/>
        <v>0</v>
      </c>
      <c r="T45" s="39">
        <f t="shared" si="1"/>
        <v>0</v>
      </c>
      <c r="U45" s="39">
        <f t="shared" si="2"/>
        <v>0</v>
      </c>
      <c r="V45" s="29"/>
      <c r="W45" s="31" t="str">
        <f>IF(K45&gt;0,INDEX(cfo!$C$2:$I$326,MATCH(SurtaxPayment!C45,cfo!$C$2:$C$326,0),7),"")</f>
        <v/>
      </c>
      <c r="X45" s="31" t="str">
        <f>IF(IF(K45&gt;0,INDEX(cfo!$C$2:$K$326,MATCH(SurtaxPayment!C45,cfo!$C$2:$C$326,0),9),"")=0,"",IF(K45&gt;0,INDEX(cfo!$C$2:$K$326,MATCH(SurtaxPayment!C45,cfo!$C$2:$C$326,0),9),""))</f>
        <v/>
      </c>
    </row>
    <row r="46" spans="1:24" x14ac:dyDescent="0.25">
      <c r="A46" s="52">
        <v>2025</v>
      </c>
      <c r="B46" s="52" t="s">
        <v>662</v>
      </c>
      <c r="C46" s="57" t="s">
        <v>356</v>
      </c>
      <c r="D46" s="58" t="s">
        <v>693</v>
      </c>
      <c r="E46" s="58" t="s">
        <v>693</v>
      </c>
      <c r="F46" s="58" t="s">
        <v>356</v>
      </c>
      <c r="G46" s="57" t="s">
        <v>45</v>
      </c>
      <c r="H46" s="39">
        <f>SUMPRODUCT(SUMIF(SurtaxRatesSAS!$B$2:$B$324,$C46:$E46,SurtaxRatesSAS!$E$2:$E$324))</f>
        <v>0</v>
      </c>
      <c r="I46" s="39">
        <f>SUMPRODUCT(SUMIF(SurtaxRatesSAS!$B$2:$B$324,$C46:$E46,SurtaxRatesSAS!$D$2:$D$324))</f>
        <v>7</v>
      </c>
      <c r="J46" s="38"/>
      <c r="K46" s="39">
        <f>SUMPRODUCT(SUMIF(SurtaxRatesSAS!$B$2:$B$324,$C46:$E46,SurtaxRatesSAS!$G$2:$G$324))</f>
        <v>236387.43</v>
      </c>
      <c r="L46" s="39">
        <f>SUMPRODUCT(SUMIF(SurtaxRatesSAS!$B$2:$B$324,$C46:$E46,SurtaxRatesSAS!$H$2:$H$324))</f>
        <v>0</v>
      </c>
      <c r="M46" s="39">
        <f>SUMPRODUCT(SUMIF(SurtaxRatesSAS!$B$2:$B$324,$C46:$E46,SurtaxRatesSAS!$I$2:$I$324))</f>
        <v>236387.43</v>
      </c>
      <c r="N46" s="38"/>
      <c r="O46" s="39" t="e">
        <f>SUMPRODUCT(SUMIF(SurtaxRatesSAS!$B$2:$B$324,$C46:$E46,SurtaxRatesSAS!$L$2:$L$324))</f>
        <v>#REF!</v>
      </c>
      <c r="P46" s="39" t="e">
        <f>SUMPRODUCT(SUMIF(SurtaxRatesSAS!$B$2:$B$324,$C46:$E46,SurtaxRatesSAS!$M$2:$M$324))</f>
        <v>#REF!</v>
      </c>
      <c r="Q46" s="39" t="e">
        <f>SUMPRODUCT(SUMIF(SurtaxRatesSAS!$B$2:$B$324,$C46:$E46,SurtaxRatesSAS!$N$2:$N$324))</f>
        <v>#REF!</v>
      </c>
      <c r="R46" s="38"/>
      <c r="S46" s="39" t="e">
        <f t="shared" si="0"/>
        <v>#REF!</v>
      </c>
      <c r="T46" s="39" t="e">
        <f t="shared" si="1"/>
        <v>#REF!</v>
      </c>
      <c r="U46" s="39" t="e">
        <f t="shared" si="2"/>
        <v>#REF!</v>
      </c>
      <c r="V46" s="29"/>
      <c r="W46" s="31" t="str">
        <f>IF(K46&gt;0,INDEX(cfo!$C$2:$I$326,MATCH(SurtaxPayment!C46,cfo!$C$2:$C$326,0),7),"")</f>
        <v>jacki.grant@cardinalcomet.com</v>
      </c>
      <c r="X46" s="31" t="str">
        <f>IF(IF(K46&gt;0,INDEX(cfo!$C$2:$K$326,MATCH(SurtaxPayment!C46,cfo!$C$2:$C$326,0),9),"")=0,"",IF(K46&gt;0,INDEX(cfo!$C$2:$K$326,MATCH(SurtaxPayment!C46,cfo!$C$2:$C$326,0),9),""))</f>
        <v/>
      </c>
    </row>
    <row r="47" spans="1:24" x14ac:dyDescent="0.25">
      <c r="A47" s="52">
        <v>2025</v>
      </c>
      <c r="B47" s="52" t="s">
        <v>657</v>
      </c>
      <c r="C47" s="57" t="s">
        <v>357</v>
      </c>
      <c r="D47" s="58" t="s">
        <v>693</v>
      </c>
      <c r="E47" s="58" t="s">
        <v>693</v>
      </c>
      <c r="F47" s="58" t="s">
        <v>357</v>
      </c>
      <c r="G47" s="57" t="s">
        <v>700</v>
      </c>
      <c r="H47" s="39">
        <f>SUMPRODUCT(SUMIF(SurtaxRatesSAS!$B$2:$B$324,$C47:$E47,SurtaxRatesSAS!$E$2:$E$324))</f>
        <v>0</v>
      </c>
      <c r="I47" s="39">
        <f>SUMPRODUCT(SUMIF(SurtaxRatesSAS!$B$2:$B$324,$C47:$E47,SurtaxRatesSAS!$D$2:$D$324))</f>
        <v>0</v>
      </c>
      <c r="J47" s="38"/>
      <c r="K47" s="39">
        <f>SUMPRODUCT(SUMIF(SurtaxRatesSAS!$B$2:$B$324,$C47:$E47,SurtaxRatesSAS!$G$2:$G$324))</f>
        <v>0</v>
      </c>
      <c r="L47" s="39">
        <f>SUMPRODUCT(SUMIF(SurtaxRatesSAS!$B$2:$B$324,$C47:$E47,SurtaxRatesSAS!$H$2:$H$324))</f>
        <v>0</v>
      </c>
      <c r="M47" s="39">
        <f>SUMPRODUCT(SUMIF(SurtaxRatesSAS!$B$2:$B$324,$C47:$E47,SurtaxRatesSAS!$I$2:$I$324))</f>
        <v>0</v>
      </c>
      <c r="N47" s="38"/>
      <c r="O47" s="39">
        <f>SUMPRODUCT(SUMIF(SurtaxRatesSAS!$B$2:$B$324,$C47:$E47,SurtaxRatesSAS!$L$2:$L$324))</f>
        <v>0</v>
      </c>
      <c r="P47" s="39">
        <f>SUMPRODUCT(SUMIF(SurtaxRatesSAS!$B$2:$B$324,$C47:$E47,SurtaxRatesSAS!$M$2:$M$324))</f>
        <v>0</v>
      </c>
      <c r="Q47" s="39">
        <f>SUMPRODUCT(SUMIF(SurtaxRatesSAS!$B$2:$B$324,$C47:$E47,SurtaxRatesSAS!$N$2:$N$324))</f>
        <v>0</v>
      </c>
      <c r="R47" s="38"/>
      <c r="S47" s="39">
        <f t="shared" si="0"/>
        <v>0</v>
      </c>
      <c r="T47" s="39">
        <f t="shared" si="1"/>
        <v>0</v>
      </c>
      <c r="U47" s="39">
        <f t="shared" si="2"/>
        <v>0</v>
      </c>
      <c r="V47" s="29"/>
      <c r="W47" s="31" t="str">
        <f>IF(K47&gt;0,INDEX(cfo!$C$2:$I$326,MATCH(SurtaxPayment!C47,cfo!$C$2:$C$326,0),7),"")</f>
        <v/>
      </c>
      <c r="X47" s="31" t="str">
        <f>IF(IF(K47&gt;0,INDEX(cfo!$C$2:$K$326,MATCH(SurtaxPayment!C47,cfo!$C$2:$C$326,0),9),"")=0,"",IF(K47&gt;0,INDEX(cfo!$C$2:$K$326,MATCH(SurtaxPayment!C47,cfo!$C$2:$C$326,0),9),""))</f>
        <v/>
      </c>
    </row>
    <row r="48" spans="1:24" x14ac:dyDescent="0.25">
      <c r="A48" s="52">
        <v>2025</v>
      </c>
      <c r="B48" s="52" t="s">
        <v>657</v>
      </c>
      <c r="C48" s="57" t="s">
        <v>358</v>
      </c>
      <c r="D48" s="58" t="s">
        <v>693</v>
      </c>
      <c r="E48" s="58" t="s">
        <v>693</v>
      </c>
      <c r="F48" s="58" t="s">
        <v>358</v>
      </c>
      <c r="G48" s="57" t="s">
        <v>46</v>
      </c>
      <c r="H48" s="39">
        <f>SUMPRODUCT(SUMIF(SurtaxRatesSAS!$B$2:$B$324,$C48:$E48,SurtaxRatesSAS!$E$2:$E$324))</f>
        <v>0</v>
      </c>
      <c r="I48" s="39">
        <f>SUMPRODUCT(SUMIF(SurtaxRatesSAS!$B$2:$B$324,$C48:$E48,SurtaxRatesSAS!$D$2:$D$324))</f>
        <v>3</v>
      </c>
      <c r="J48" s="38"/>
      <c r="K48" s="39">
        <f>SUMPRODUCT(SUMIF(SurtaxRatesSAS!$B$2:$B$324,$C48:$E48,SurtaxRatesSAS!$G$2:$G$324))</f>
        <v>535364.92000000004</v>
      </c>
      <c r="L48" s="39">
        <f>SUMPRODUCT(SUMIF(SurtaxRatesSAS!$B$2:$B$324,$C48:$E48,SurtaxRatesSAS!$H$2:$H$324))</f>
        <v>0</v>
      </c>
      <c r="M48" s="39">
        <f>SUMPRODUCT(SUMIF(SurtaxRatesSAS!$B$2:$B$324,$C48:$E48,SurtaxRatesSAS!$I$2:$I$324))</f>
        <v>535364.92000000004</v>
      </c>
      <c r="N48" s="38"/>
      <c r="O48" s="39" t="e">
        <f>SUMPRODUCT(SUMIF(SurtaxRatesSAS!$B$2:$B$324,$C48:$E48,SurtaxRatesSAS!$L$2:$L$324))</f>
        <v>#REF!</v>
      </c>
      <c r="P48" s="39" t="e">
        <f>SUMPRODUCT(SUMIF(SurtaxRatesSAS!$B$2:$B$324,$C48:$E48,SurtaxRatesSAS!$M$2:$M$324))</f>
        <v>#REF!</v>
      </c>
      <c r="Q48" s="39" t="e">
        <f>SUMPRODUCT(SUMIF(SurtaxRatesSAS!$B$2:$B$324,$C48:$E48,SurtaxRatesSAS!$N$2:$N$324))</f>
        <v>#REF!</v>
      </c>
      <c r="R48" s="38"/>
      <c r="S48" s="39" t="e">
        <f t="shared" si="0"/>
        <v>#REF!</v>
      </c>
      <c r="T48" s="39" t="e">
        <f t="shared" si="1"/>
        <v>#REF!</v>
      </c>
      <c r="U48" s="39" t="e">
        <f t="shared" si="2"/>
        <v>#REF!</v>
      </c>
      <c r="V48" s="29"/>
      <c r="W48" s="31" t="str">
        <f>IF(K48&gt;0,INDEX(cfo!$C$2:$I$326,MATCH(SurtaxPayment!C48,cfo!$C$2:$C$326,0),7),"")</f>
        <v>nmccarville@carrolltigers.org</v>
      </c>
      <c r="X48" s="31" t="str">
        <f>IF(IF(K48&gt;0,INDEX(cfo!$C$2:$K$326,MATCH(SurtaxPayment!C48,cfo!$C$2:$C$326,0),9),"")=0,"",IF(K48&gt;0,INDEX(cfo!$C$2:$K$326,MATCH(SurtaxPayment!C48,cfo!$C$2:$C$326,0),9),""))</f>
        <v/>
      </c>
    </row>
    <row r="49" spans="1:24" x14ac:dyDescent="0.25">
      <c r="A49" s="52">
        <v>2025</v>
      </c>
      <c r="B49" s="52" t="s">
        <v>658</v>
      </c>
      <c r="C49" s="57" t="s">
        <v>359</v>
      </c>
      <c r="D49" s="58" t="s">
        <v>693</v>
      </c>
      <c r="E49" s="58" t="s">
        <v>693</v>
      </c>
      <c r="F49" s="58" t="s">
        <v>359</v>
      </c>
      <c r="G49" s="57" t="s">
        <v>701</v>
      </c>
      <c r="H49" s="39">
        <f>SUMPRODUCT(SUMIF(SurtaxRatesSAS!$B$2:$B$324,$C49:$E49,SurtaxRatesSAS!$E$2:$E$324))</f>
        <v>0</v>
      </c>
      <c r="I49" s="39">
        <f>SUMPRODUCT(SUMIF(SurtaxRatesSAS!$B$2:$B$324,$C49:$E49,SurtaxRatesSAS!$D$2:$D$324))</f>
        <v>1</v>
      </c>
      <c r="J49" s="38"/>
      <c r="K49" s="39">
        <f>SUMPRODUCT(SUMIF(SurtaxRatesSAS!$B$2:$B$324,$C49:$E49,SurtaxRatesSAS!$G$2:$G$324))</f>
        <v>596078.9</v>
      </c>
      <c r="L49" s="39">
        <f>SUMPRODUCT(SUMIF(SurtaxRatesSAS!$B$2:$B$324,$C49:$E49,SurtaxRatesSAS!$H$2:$H$324))</f>
        <v>0</v>
      </c>
      <c r="M49" s="39">
        <f>SUMPRODUCT(SUMIF(SurtaxRatesSAS!$B$2:$B$324,$C49:$E49,SurtaxRatesSAS!$I$2:$I$324))</f>
        <v>596078.9</v>
      </c>
      <c r="N49" s="38"/>
      <c r="O49" s="39" t="e">
        <f>SUMPRODUCT(SUMIF(SurtaxRatesSAS!$B$2:$B$324,$C49:$E49,SurtaxRatesSAS!$L$2:$L$324))</f>
        <v>#REF!</v>
      </c>
      <c r="P49" s="39" t="e">
        <f>SUMPRODUCT(SUMIF(SurtaxRatesSAS!$B$2:$B$324,$C49:$E49,SurtaxRatesSAS!$M$2:$M$324))</f>
        <v>#REF!</v>
      </c>
      <c r="Q49" s="39" t="e">
        <f>SUMPRODUCT(SUMIF(SurtaxRatesSAS!$B$2:$B$324,$C49:$E49,SurtaxRatesSAS!$N$2:$N$324))</f>
        <v>#REF!</v>
      </c>
      <c r="R49" s="38"/>
      <c r="S49" s="39" t="e">
        <f t="shared" si="0"/>
        <v>#REF!</v>
      </c>
      <c r="T49" s="39" t="e">
        <f t="shared" si="1"/>
        <v>#REF!</v>
      </c>
      <c r="U49" s="39" t="e">
        <f t="shared" si="2"/>
        <v>#REF!</v>
      </c>
      <c r="V49" s="29"/>
      <c r="W49" s="31" t="str">
        <f>IF(K49&gt;0,INDEX(cfo!$C$2:$I$326,MATCH(SurtaxPayment!C49,cfo!$C$2:$C$326,0),7),"")</f>
        <v>denelle.gonnerman@cfschools.org</v>
      </c>
      <c r="X49" s="31" t="str">
        <f>IF(IF(K49&gt;0,INDEX(cfo!$C$2:$K$326,MATCH(SurtaxPayment!C49,cfo!$C$2:$C$326,0),9),"")=0,"",IF(K49&gt;0,INDEX(cfo!$C$2:$K$326,MATCH(SurtaxPayment!C49,cfo!$C$2:$C$326,0),9),""))</f>
        <v/>
      </c>
    </row>
    <row r="50" spans="1:24" x14ac:dyDescent="0.25">
      <c r="A50" s="52">
        <v>2025</v>
      </c>
      <c r="B50" s="52" t="s">
        <v>663</v>
      </c>
      <c r="C50" s="57" t="s">
        <v>360</v>
      </c>
      <c r="D50" s="58" t="s">
        <v>693</v>
      </c>
      <c r="E50" s="58" t="s">
        <v>693</v>
      </c>
      <c r="F50" s="58" t="s">
        <v>360</v>
      </c>
      <c r="G50" s="57" t="s">
        <v>47</v>
      </c>
      <c r="H50" s="39">
        <f>SUMPRODUCT(SUMIF(SurtaxRatesSAS!$B$2:$B$324,$C50:$E50,SurtaxRatesSAS!$E$2:$E$324))</f>
        <v>0</v>
      </c>
      <c r="I50" s="39">
        <f>SUMPRODUCT(SUMIF(SurtaxRatesSAS!$B$2:$B$324,$C50:$E50,SurtaxRatesSAS!$D$2:$D$324))</f>
        <v>5</v>
      </c>
      <c r="J50" s="38"/>
      <c r="K50" s="39">
        <f>SUMPRODUCT(SUMIF(SurtaxRatesSAS!$B$2:$B$324,$C50:$E50,SurtaxRatesSAS!$G$2:$G$324))</f>
        <v>8052490.5300000003</v>
      </c>
      <c r="L50" s="39">
        <f>SUMPRODUCT(SUMIF(SurtaxRatesSAS!$B$2:$B$324,$C50:$E50,SurtaxRatesSAS!$H$2:$H$324))</f>
        <v>0</v>
      </c>
      <c r="M50" s="39">
        <f>SUMPRODUCT(SUMIF(SurtaxRatesSAS!$B$2:$B$324,$C50:$E50,SurtaxRatesSAS!$I$2:$I$324))</f>
        <v>8052490.5300000003</v>
      </c>
      <c r="N50" s="38"/>
      <c r="O50" s="39" t="e">
        <f>SUMPRODUCT(SUMIF(SurtaxRatesSAS!$B$2:$B$324,$C50:$E50,SurtaxRatesSAS!$L$2:$L$324))</f>
        <v>#REF!</v>
      </c>
      <c r="P50" s="39" t="e">
        <f>SUMPRODUCT(SUMIF(SurtaxRatesSAS!$B$2:$B$324,$C50:$E50,SurtaxRatesSAS!$M$2:$M$324))</f>
        <v>#REF!</v>
      </c>
      <c r="Q50" s="39" t="e">
        <f>SUMPRODUCT(SUMIF(SurtaxRatesSAS!$B$2:$B$324,$C50:$E50,SurtaxRatesSAS!$N$2:$N$324))</f>
        <v>#REF!</v>
      </c>
      <c r="R50" s="38"/>
      <c r="S50" s="39" t="e">
        <f t="shared" si="0"/>
        <v>#REF!</v>
      </c>
      <c r="T50" s="39" t="e">
        <f t="shared" si="1"/>
        <v>#REF!</v>
      </c>
      <c r="U50" s="39" t="e">
        <f t="shared" si="2"/>
        <v>#REF!</v>
      </c>
      <c r="V50" s="29"/>
      <c r="W50" s="31" t="str">
        <f>IF(K50&gt;0,INDEX(cfo!$C$2:$I$326,MATCH(SurtaxPayment!C50,cfo!$C$2:$C$326,0),7),"")</f>
        <v>khogan@crschools.us</v>
      </c>
      <c r="X50" s="31" t="str">
        <f>IF(IF(K50&gt;0,INDEX(cfo!$C$2:$K$326,MATCH(SurtaxPayment!C50,cfo!$C$2:$C$326,0),9),"")=0,"",IF(K50&gt;0,INDEX(cfo!$C$2:$K$326,MATCH(SurtaxPayment!C50,cfo!$C$2:$C$326,0),9),""))</f>
        <v>kbraumann@crschools.us</v>
      </c>
    </row>
    <row r="51" spans="1:24" x14ac:dyDescent="0.25">
      <c r="A51" s="52">
        <v>2025</v>
      </c>
      <c r="B51" s="52" t="s">
        <v>663</v>
      </c>
      <c r="C51" s="57" t="s">
        <v>361</v>
      </c>
      <c r="D51" s="58" t="s">
        <v>693</v>
      </c>
      <c r="E51" s="58" t="s">
        <v>693</v>
      </c>
      <c r="F51" s="58" t="s">
        <v>361</v>
      </c>
      <c r="G51" s="57" t="s">
        <v>48</v>
      </c>
      <c r="H51" s="39">
        <f>SUMPRODUCT(SUMIF(SurtaxRatesSAS!$B$2:$B$324,$C51:$E51,SurtaxRatesSAS!$E$2:$E$324))</f>
        <v>0</v>
      </c>
      <c r="I51" s="39">
        <f>SUMPRODUCT(SUMIF(SurtaxRatesSAS!$B$2:$B$324,$C51:$E51,SurtaxRatesSAS!$D$2:$D$324))</f>
        <v>3</v>
      </c>
      <c r="J51" s="38"/>
      <c r="K51" s="39">
        <f>SUMPRODUCT(SUMIF(SurtaxRatesSAS!$B$2:$B$324,$C51:$E51,SurtaxRatesSAS!$G$2:$G$324))</f>
        <v>280990.03999999998</v>
      </c>
      <c r="L51" s="39">
        <f>SUMPRODUCT(SUMIF(SurtaxRatesSAS!$B$2:$B$324,$C51:$E51,SurtaxRatesSAS!$H$2:$H$324))</f>
        <v>0</v>
      </c>
      <c r="M51" s="39">
        <f>SUMPRODUCT(SUMIF(SurtaxRatesSAS!$B$2:$B$324,$C51:$E51,SurtaxRatesSAS!$I$2:$I$324))</f>
        <v>280990.03999999998</v>
      </c>
      <c r="N51" s="38"/>
      <c r="O51" s="39" t="e">
        <f>SUMPRODUCT(SUMIF(SurtaxRatesSAS!$B$2:$B$324,$C51:$E51,SurtaxRatesSAS!$L$2:$L$324))</f>
        <v>#REF!</v>
      </c>
      <c r="P51" s="39" t="e">
        <f>SUMPRODUCT(SUMIF(SurtaxRatesSAS!$B$2:$B$324,$C51:$E51,SurtaxRatesSAS!$M$2:$M$324))</f>
        <v>#REF!</v>
      </c>
      <c r="Q51" s="39" t="e">
        <f>SUMPRODUCT(SUMIF(SurtaxRatesSAS!$B$2:$B$324,$C51:$E51,SurtaxRatesSAS!$N$2:$N$324))</f>
        <v>#REF!</v>
      </c>
      <c r="R51" s="38"/>
      <c r="S51" s="39" t="e">
        <f t="shared" si="0"/>
        <v>#REF!</v>
      </c>
      <c r="T51" s="39" t="e">
        <f t="shared" si="1"/>
        <v>#REF!</v>
      </c>
      <c r="U51" s="39" t="e">
        <f t="shared" si="2"/>
        <v>#REF!</v>
      </c>
      <c r="V51" s="29"/>
      <c r="W51" s="31" t="str">
        <f>IF(K51&gt;0,INDEX(cfo!$C$2:$I$326,MATCH(SurtaxPayment!C51,cfo!$C$2:$C$326,0),7),"")</f>
        <v>jklawiter@cpuschools.org</v>
      </c>
      <c r="X51" s="31" t="str">
        <f>IF(IF(K51&gt;0,INDEX(cfo!$C$2:$K$326,MATCH(SurtaxPayment!C51,cfo!$C$2:$C$326,0),9),"")=0,"",IF(K51&gt;0,INDEX(cfo!$C$2:$K$326,MATCH(SurtaxPayment!C51,cfo!$C$2:$C$326,0),9),""))</f>
        <v/>
      </c>
    </row>
    <row r="52" spans="1:24" x14ac:dyDescent="0.25">
      <c r="A52" s="52">
        <v>2025</v>
      </c>
      <c r="B52" s="52" t="s">
        <v>662</v>
      </c>
      <c r="C52" s="57" t="s">
        <v>362</v>
      </c>
      <c r="D52" s="58" t="s">
        <v>693</v>
      </c>
      <c r="E52" s="58" t="s">
        <v>693</v>
      </c>
      <c r="F52" s="58" t="s">
        <v>362</v>
      </c>
      <c r="G52" s="57" t="s">
        <v>49</v>
      </c>
      <c r="H52" s="39">
        <f>SUMPRODUCT(SUMIF(SurtaxRatesSAS!$B$2:$B$324,$C52:$E52,SurtaxRatesSAS!$E$2:$E$324))</f>
        <v>2</v>
      </c>
      <c r="I52" s="39">
        <f>SUMPRODUCT(SUMIF(SurtaxRatesSAS!$B$2:$B$324,$C52:$E52,SurtaxRatesSAS!$D$2:$D$324))</f>
        <v>2</v>
      </c>
      <c r="J52" s="38"/>
      <c r="K52" s="39">
        <f>SUMPRODUCT(SUMIF(SurtaxRatesSAS!$B$2:$B$324,$C52:$E52,SurtaxRatesSAS!$G$2:$G$324))</f>
        <v>237972.17</v>
      </c>
      <c r="L52" s="39">
        <f>SUMPRODUCT(SUMIF(SurtaxRatesSAS!$B$2:$B$324,$C52:$E52,SurtaxRatesSAS!$H$2:$H$324))</f>
        <v>118986.09</v>
      </c>
      <c r="M52" s="39">
        <f>SUMPRODUCT(SUMIF(SurtaxRatesSAS!$B$2:$B$324,$C52:$E52,SurtaxRatesSAS!$I$2:$I$324))</f>
        <v>118986.08000000002</v>
      </c>
      <c r="N52" s="38"/>
      <c r="O52" s="39" t="e">
        <f>SUMPRODUCT(SUMIF(SurtaxRatesSAS!$B$2:$B$324,$C52:$E52,SurtaxRatesSAS!$L$2:$L$324))</f>
        <v>#REF!</v>
      </c>
      <c r="P52" s="39" t="e">
        <f>SUMPRODUCT(SUMIF(SurtaxRatesSAS!$B$2:$B$324,$C52:$E52,SurtaxRatesSAS!$M$2:$M$324))</f>
        <v>#REF!</v>
      </c>
      <c r="Q52" s="39" t="e">
        <f>SUMPRODUCT(SUMIF(SurtaxRatesSAS!$B$2:$B$324,$C52:$E52,SurtaxRatesSAS!$N$2:$N$324))</f>
        <v>#REF!</v>
      </c>
      <c r="R52" s="38"/>
      <c r="S52" s="39" t="e">
        <f t="shared" si="0"/>
        <v>#REF!</v>
      </c>
      <c r="T52" s="39" t="e">
        <f t="shared" si="1"/>
        <v>#REF!</v>
      </c>
      <c r="U52" s="39" t="e">
        <f t="shared" si="2"/>
        <v>#REF!</v>
      </c>
      <c r="V52" s="29"/>
      <c r="W52" s="31" t="str">
        <f>IF(K52&gt;0,INDEX(cfo!$C$2:$I$326,MATCH(SurtaxPayment!C52,cfo!$C$2:$C$326,0),7),"")</f>
        <v>lisa.swarts@centervillek12.org</v>
      </c>
      <c r="X52" s="31" t="str">
        <f>IF(IF(K52&gt;0,INDEX(cfo!$C$2:$K$326,MATCH(SurtaxPayment!C52,cfo!$C$2:$C$326,0),9),"")=0,"",IF(K52&gt;0,INDEX(cfo!$C$2:$K$326,MATCH(SurtaxPayment!C52,cfo!$C$2:$C$326,0),9),""))</f>
        <v/>
      </c>
    </row>
    <row r="53" spans="1:24" x14ac:dyDescent="0.25">
      <c r="A53" s="52">
        <v>2025</v>
      </c>
      <c r="B53" s="52" t="s">
        <v>663</v>
      </c>
      <c r="C53" s="57" t="s">
        <v>366</v>
      </c>
      <c r="D53" s="58" t="s">
        <v>693</v>
      </c>
      <c r="E53" s="58" t="s">
        <v>693</v>
      </c>
      <c r="F53" s="58" t="s">
        <v>366</v>
      </c>
      <c r="G53" s="57" t="s">
        <v>702</v>
      </c>
      <c r="H53" s="39">
        <f>SUMPRODUCT(SUMIF(SurtaxRatesSAS!$B$2:$B$324,$C53:$E53,SurtaxRatesSAS!$E$2:$E$324))</f>
        <v>0</v>
      </c>
      <c r="I53" s="39">
        <f>SUMPRODUCT(SUMIF(SurtaxRatesSAS!$B$2:$B$324,$C53:$E53,SurtaxRatesSAS!$D$2:$D$324))</f>
        <v>0</v>
      </c>
      <c r="J53" s="38"/>
      <c r="K53" s="39">
        <f>SUMPRODUCT(SUMIF(SurtaxRatesSAS!$B$2:$B$324,$C53:$E53,SurtaxRatesSAS!$G$2:$G$324))</f>
        <v>0</v>
      </c>
      <c r="L53" s="39">
        <f>SUMPRODUCT(SUMIF(SurtaxRatesSAS!$B$2:$B$324,$C53:$E53,SurtaxRatesSAS!$H$2:$H$324))</f>
        <v>0</v>
      </c>
      <c r="M53" s="39">
        <f>SUMPRODUCT(SUMIF(SurtaxRatesSAS!$B$2:$B$324,$C53:$E53,SurtaxRatesSAS!$I$2:$I$324))</f>
        <v>0</v>
      </c>
      <c r="N53" s="38"/>
      <c r="O53" s="39">
        <f>SUMPRODUCT(SUMIF(SurtaxRatesSAS!$B$2:$B$324,$C53:$E53,SurtaxRatesSAS!$L$2:$L$324))</f>
        <v>0</v>
      </c>
      <c r="P53" s="39">
        <f>SUMPRODUCT(SUMIF(SurtaxRatesSAS!$B$2:$B$324,$C53:$E53,SurtaxRatesSAS!$M$2:$M$324))</f>
        <v>0</v>
      </c>
      <c r="Q53" s="39">
        <f>SUMPRODUCT(SUMIF(SurtaxRatesSAS!$B$2:$B$324,$C53:$E53,SurtaxRatesSAS!$N$2:$N$324))</f>
        <v>0</v>
      </c>
      <c r="R53" s="38"/>
      <c r="S53" s="39">
        <f t="shared" si="0"/>
        <v>0</v>
      </c>
      <c r="T53" s="39">
        <f t="shared" si="1"/>
        <v>0</v>
      </c>
      <c r="U53" s="39">
        <f t="shared" si="2"/>
        <v>0</v>
      </c>
      <c r="V53" s="29"/>
      <c r="W53" s="31" t="str">
        <f>IF(K53&gt;0,INDEX(cfo!$C$2:$I$326,MATCH(SurtaxPayment!C53,cfo!$C$2:$C$326,0),7),"")</f>
        <v/>
      </c>
      <c r="X53" s="31" t="str">
        <f>IF(IF(K53&gt;0,INDEX(cfo!$C$2:$K$326,MATCH(SurtaxPayment!C53,cfo!$C$2:$C$326,0),9),"")=0,"",IF(K53&gt;0,INDEX(cfo!$C$2:$K$326,MATCH(SurtaxPayment!C53,cfo!$C$2:$C$326,0),9),""))</f>
        <v/>
      </c>
    </row>
    <row r="54" spans="1:24" x14ac:dyDescent="0.25">
      <c r="A54" s="52">
        <v>2025</v>
      </c>
      <c r="B54" s="52" t="s">
        <v>665</v>
      </c>
      <c r="C54" s="57" t="s">
        <v>364</v>
      </c>
      <c r="D54" s="58" t="s">
        <v>693</v>
      </c>
      <c r="E54" s="58" t="s">
        <v>693</v>
      </c>
      <c r="F54" s="58" t="s">
        <v>364</v>
      </c>
      <c r="G54" s="57" t="s">
        <v>50</v>
      </c>
      <c r="H54" s="39">
        <f>SUMPRODUCT(SUMIF(SurtaxRatesSAS!$B$2:$B$324,$C54:$E54,SurtaxRatesSAS!$E$2:$E$324))</f>
        <v>0</v>
      </c>
      <c r="I54" s="39">
        <f>SUMPRODUCT(SUMIF(SurtaxRatesSAS!$B$2:$B$324,$C54:$E54,SurtaxRatesSAS!$D$2:$D$324))</f>
        <v>1</v>
      </c>
      <c r="J54" s="38"/>
      <c r="K54" s="39">
        <f>SUMPRODUCT(SUMIF(SurtaxRatesSAS!$B$2:$B$324,$C54:$E54,SurtaxRatesSAS!$G$2:$G$324))</f>
        <v>30515.5</v>
      </c>
      <c r="L54" s="39">
        <f>SUMPRODUCT(SUMIF(SurtaxRatesSAS!$B$2:$B$324,$C54:$E54,SurtaxRatesSAS!$H$2:$H$324))</f>
        <v>0</v>
      </c>
      <c r="M54" s="39">
        <f>SUMPRODUCT(SUMIF(SurtaxRatesSAS!$B$2:$B$324,$C54:$E54,SurtaxRatesSAS!$I$2:$I$324))</f>
        <v>30515.5</v>
      </c>
      <c r="N54" s="38"/>
      <c r="O54" s="39" t="e">
        <f>SUMPRODUCT(SUMIF(SurtaxRatesSAS!$B$2:$B$324,$C54:$E54,SurtaxRatesSAS!$L$2:$L$324))</f>
        <v>#REF!</v>
      </c>
      <c r="P54" s="39" t="e">
        <f>SUMPRODUCT(SUMIF(SurtaxRatesSAS!$B$2:$B$324,$C54:$E54,SurtaxRatesSAS!$M$2:$M$324))</f>
        <v>#REF!</v>
      </c>
      <c r="Q54" s="39" t="e">
        <f>SUMPRODUCT(SUMIF(SurtaxRatesSAS!$B$2:$B$324,$C54:$E54,SurtaxRatesSAS!$N$2:$N$324))</f>
        <v>#REF!</v>
      </c>
      <c r="R54" s="38"/>
      <c r="S54" s="39" t="e">
        <f t="shared" si="0"/>
        <v>#REF!</v>
      </c>
      <c r="T54" s="39" t="e">
        <f t="shared" si="1"/>
        <v>#REF!</v>
      </c>
      <c r="U54" s="39" t="e">
        <f t="shared" si="2"/>
        <v>#REF!</v>
      </c>
      <c r="V54" s="29"/>
      <c r="W54" s="31" t="str">
        <f>IF(K54&gt;0,INDEX(cfo!$C$2:$I$326,MATCH(SurtaxPayment!C54,cfo!$C$2:$C$326,0),7),"")</f>
        <v>awalch@central.k12.ia.us</v>
      </c>
      <c r="X54" s="31" t="str">
        <f>IF(IF(K54&gt;0,INDEX(cfo!$C$2:$K$326,MATCH(SurtaxPayment!C54,cfo!$C$2:$C$326,0),9),"")=0,"",IF(K54&gt;0,INDEX(cfo!$C$2:$K$326,MATCH(SurtaxPayment!C54,cfo!$C$2:$C$326,0),9),""))</f>
        <v/>
      </c>
    </row>
    <row r="55" spans="1:24" x14ac:dyDescent="0.25">
      <c r="A55" s="52">
        <v>2025</v>
      </c>
      <c r="B55" s="52" t="s">
        <v>666</v>
      </c>
      <c r="C55" s="57" t="s">
        <v>365</v>
      </c>
      <c r="D55" s="58" t="s">
        <v>693</v>
      </c>
      <c r="E55" s="58" t="s">
        <v>693</v>
      </c>
      <c r="F55" s="58" t="s">
        <v>365</v>
      </c>
      <c r="G55" s="57" t="s">
        <v>51</v>
      </c>
      <c r="H55" s="39">
        <f>SUMPRODUCT(SUMIF(SurtaxRatesSAS!$B$2:$B$324,$C55:$E55,SurtaxRatesSAS!$E$2:$E$324))</f>
        <v>0</v>
      </c>
      <c r="I55" s="39">
        <f>SUMPRODUCT(SUMIF(SurtaxRatesSAS!$B$2:$B$324,$C55:$E55,SurtaxRatesSAS!$D$2:$D$324))</f>
        <v>7</v>
      </c>
      <c r="J55" s="38"/>
      <c r="K55" s="39">
        <f>SUMPRODUCT(SUMIF(SurtaxRatesSAS!$B$2:$B$324,$C55:$E55,SurtaxRatesSAS!$G$2:$G$324))</f>
        <v>779769.63</v>
      </c>
      <c r="L55" s="39">
        <f>SUMPRODUCT(SUMIF(SurtaxRatesSAS!$B$2:$B$324,$C55:$E55,SurtaxRatesSAS!$H$2:$H$324))</f>
        <v>0</v>
      </c>
      <c r="M55" s="39">
        <f>SUMPRODUCT(SUMIF(SurtaxRatesSAS!$B$2:$B$324,$C55:$E55,SurtaxRatesSAS!$I$2:$I$324))</f>
        <v>779769.63</v>
      </c>
      <c r="N55" s="38"/>
      <c r="O55" s="39" t="e">
        <f>SUMPRODUCT(SUMIF(SurtaxRatesSAS!$B$2:$B$324,$C55:$E55,SurtaxRatesSAS!$L$2:$L$324))</f>
        <v>#REF!</v>
      </c>
      <c r="P55" s="39" t="e">
        <f>SUMPRODUCT(SUMIF(SurtaxRatesSAS!$B$2:$B$324,$C55:$E55,SurtaxRatesSAS!$M$2:$M$324))</f>
        <v>#REF!</v>
      </c>
      <c r="Q55" s="39" t="e">
        <f>SUMPRODUCT(SUMIF(SurtaxRatesSAS!$B$2:$B$324,$C55:$E55,SurtaxRatesSAS!$N$2:$N$324))</f>
        <v>#REF!</v>
      </c>
      <c r="R55" s="38"/>
      <c r="S55" s="39" t="e">
        <f t="shared" si="0"/>
        <v>#REF!</v>
      </c>
      <c r="T55" s="39" t="e">
        <f t="shared" si="1"/>
        <v>#REF!</v>
      </c>
      <c r="U55" s="39" t="e">
        <f t="shared" si="2"/>
        <v>#REF!</v>
      </c>
      <c r="V55" s="29"/>
      <c r="W55" s="31" t="str">
        <f>IF(K55&gt;0,INDEX(cfo!$C$2:$I$326,MATCH(SurtaxPayment!C55,cfo!$C$2:$C$326,0),7),"")</f>
        <v>sarah.johnston@cd-csd.org</v>
      </c>
      <c r="X55" s="31" t="str">
        <f>IF(IF(K55&gt;0,INDEX(cfo!$C$2:$K$326,MATCH(SurtaxPayment!C55,cfo!$C$2:$C$326,0),9),"")=0,"",IF(K55&gt;0,INDEX(cfo!$C$2:$K$326,MATCH(SurtaxPayment!C55,cfo!$C$2:$C$326,0),9),""))</f>
        <v/>
      </c>
    </row>
    <row r="56" spans="1:24" x14ac:dyDescent="0.25">
      <c r="A56" s="52">
        <v>2025</v>
      </c>
      <c r="B56" s="52" t="s">
        <v>659</v>
      </c>
      <c r="C56" s="57" t="s">
        <v>367</v>
      </c>
      <c r="D56" s="58" t="s">
        <v>693</v>
      </c>
      <c r="E56" s="58" t="s">
        <v>693</v>
      </c>
      <c r="F56" s="58" t="s">
        <v>367</v>
      </c>
      <c r="G56" s="57" t="s">
        <v>52</v>
      </c>
      <c r="H56" s="39">
        <f>SUMPRODUCT(SUMIF(SurtaxRatesSAS!$B$2:$B$324,$C56:$E56,SurtaxRatesSAS!$E$2:$E$324))</f>
        <v>0</v>
      </c>
      <c r="I56" s="39">
        <f>SUMPRODUCT(SUMIF(SurtaxRatesSAS!$B$2:$B$324,$C56:$E56,SurtaxRatesSAS!$D$2:$D$324))</f>
        <v>1</v>
      </c>
      <c r="J56" s="38"/>
      <c r="K56" s="39">
        <f>SUMPRODUCT(SUMIF(SurtaxRatesSAS!$B$2:$B$324,$C56:$E56,SurtaxRatesSAS!$G$2:$G$324))</f>
        <v>28036.51</v>
      </c>
      <c r="L56" s="39">
        <f>SUMPRODUCT(SUMIF(SurtaxRatesSAS!$B$2:$B$324,$C56:$E56,SurtaxRatesSAS!$H$2:$H$324))</f>
        <v>0</v>
      </c>
      <c r="M56" s="39">
        <f>SUMPRODUCT(SUMIF(SurtaxRatesSAS!$B$2:$B$324,$C56:$E56,SurtaxRatesSAS!$I$2:$I$324))</f>
        <v>28036.51</v>
      </c>
      <c r="N56" s="38"/>
      <c r="O56" s="39" t="e">
        <f>SUMPRODUCT(SUMIF(SurtaxRatesSAS!$B$2:$B$324,$C56:$E56,SurtaxRatesSAS!$L$2:$L$324))</f>
        <v>#REF!</v>
      </c>
      <c r="P56" s="39" t="e">
        <f>SUMPRODUCT(SUMIF(SurtaxRatesSAS!$B$2:$B$324,$C56:$E56,SurtaxRatesSAS!$M$2:$M$324))</f>
        <v>#REF!</v>
      </c>
      <c r="Q56" s="39" t="e">
        <f>SUMPRODUCT(SUMIF(SurtaxRatesSAS!$B$2:$B$324,$C56:$E56,SurtaxRatesSAS!$N$2:$N$324))</f>
        <v>#REF!</v>
      </c>
      <c r="R56" s="38"/>
      <c r="S56" s="39" t="e">
        <f t="shared" si="0"/>
        <v>#REF!</v>
      </c>
      <c r="T56" s="39" t="e">
        <f t="shared" si="1"/>
        <v>#REF!</v>
      </c>
      <c r="U56" s="39" t="e">
        <f t="shared" si="2"/>
        <v>#REF!</v>
      </c>
      <c r="V56" s="29"/>
      <c r="W56" s="31" t="str">
        <f>IF(K56&gt;0,INDEX(cfo!$C$2:$I$326,MATCH(SurtaxPayment!C56,cfo!$C$2:$C$326,0),7),"")</f>
        <v>becky.wood@centraldecatur.org</v>
      </c>
      <c r="X56" s="31" t="str">
        <f>IF(IF(K56&gt;0,INDEX(cfo!$C$2:$K$326,MATCH(SurtaxPayment!C56,cfo!$C$2:$C$326,0),9),"")=0,"",IF(K56&gt;0,INDEX(cfo!$C$2:$K$326,MATCH(SurtaxPayment!C56,cfo!$C$2:$C$326,0),9),""))</f>
        <v/>
      </c>
    </row>
    <row r="57" spans="1:24" x14ac:dyDescent="0.25">
      <c r="A57" s="52">
        <v>2025</v>
      </c>
      <c r="B57" s="52" t="s">
        <v>662</v>
      </c>
      <c r="C57" s="57" t="s">
        <v>363</v>
      </c>
      <c r="D57" s="58" t="s">
        <v>693</v>
      </c>
      <c r="E57" s="58" t="s">
        <v>693</v>
      </c>
      <c r="F57" s="58" t="s">
        <v>363</v>
      </c>
      <c r="G57" s="57" t="s">
        <v>53</v>
      </c>
      <c r="H57" s="39">
        <f>SUMPRODUCT(SUMIF(SurtaxRatesSAS!$B$2:$B$324,$C57:$E57,SurtaxRatesSAS!$E$2:$E$324))</f>
        <v>0</v>
      </c>
      <c r="I57" s="39">
        <f>SUMPRODUCT(SUMIF(SurtaxRatesSAS!$B$2:$B$324,$C57:$E57,SurtaxRatesSAS!$D$2:$D$324))</f>
        <v>3</v>
      </c>
      <c r="J57" s="38"/>
      <c r="K57" s="39">
        <f>SUMPRODUCT(SUMIF(SurtaxRatesSAS!$B$2:$B$324,$C57:$E57,SurtaxRatesSAS!$G$2:$G$324))</f>
        <v>137013.59</v>
      </c>
      <c r="L57" s="39">
        <f>SUMPRODUCT(SUMIF(SurtaxRatesSAS!$B$2:$B$324,$C57:$E57,SurtaxRatesSAS!$H$2:$H$324))</f>
        <v>0</v>
      </c>
      <c r="M57" s="39">
        <f>SUMPRODUCT(SUMIF(SurtaxRatesSAS!$B$2:$B$324,$C57:$E57,SurtaxRatesSAS!$I$2:$I$324))</f>
        <v>137013.59</v>
      </c>
      <c r="N57" s="38"/>
      <c r="O57" s="39" t="e">
        <f>SUMPRODUCT(SUMIF(SurtaxRatesSAS!$B$2:$B$324,$C57:$E57,SurtaxRatesSAS!$L$2:$L$324))</f>
        <v>#REF!</v>
      </c>
      <c r="P57" s="39" t="e">
        <f>SUMPRODUCT(SUMIF(SurtaxRatesSAS!$B$2:$B$324,$C57:$E57,SurtaxRatesSAS!$M$2:$M$324))</f>
        <v>#REF!</v>
      </c>
      <c r="Q57" s="39" t="e">
        <f>SUMPRODUCT(SUMIF(SurtaxRatesSAS!$B$2:$B$324,$C57:$E57,SurtaxRatesSAS!$N$2:$N$324))</f>
        <v>#REF!</v>
      </c>
      <c r="R57" s="38"/>
      <c r="S57" s="39" t="e">
        <f t="shared" si="0"/>
        <v>#REF!</v>
      </c>
      <c r="T57" s="39" t="e">
        <f t="shared" si="1"/>
        <v>#REF!</v>
      </c>
      <c r="U57" s="39" t="e">
        <f t="shared" si="2"/>
        <v>#REF!</v>
      </c>
      <c r="V57" s="29"/>
      <c r="W57" s="31" t="str">
        <f>IF(K57&gt;0,INDEX(cfo!$C$2:$I$326,MATCH(SurtaxPayment!C57,cfo!$C$2:$C$326,0),7),"")</f>
        <v>abrown@centrallee.org</v>
      </c>
      <c r="X57" s="31" t="str">
        <f>IF(IF(K57&gt;0,INDEX(cfo!$C$2:$K$326,MATCH(SurtaxPayment!C57,cfo!$C$2:$C$326,0),9),"")=0,"",IF(K57&gt;0,INDEX(cfo!$C$2:$K$326,MATCH(SurtaxPayment!C57,cfo!$C$2:$C$326,0),9),""))</f>
        <v/>
      </c>
    </row>
    <row r="58" spans="1:24" x14ac:dyDescent="0.25">
      <c r="A58" s="52">
        <v>2025</v>
      </c>
      <c r="B58" s="52" t="s">
        <v>660</v>
      </c>
      <c r="C58" s="57" t="s">
        <v>368</v>
      </c>
      <c r="D58" s="58" t="s">
        <v>693</v>
      </c>
      <c r="E58" s="58" t="s">
        <v>693</v>
      </c>
      <c r="F58" s="58" t="s">
        <v>368</v>
      </c>
      <c r="G58" s="57" t="s">
        <v>54</v>
      </c>
      <c r="H58" s="39">
        <f>SUMPRODUCT(SUMIF(SurtaxRatesSAS!$B$2:$B$324,$C58:$E58,SurtaxRatesSAS!$E$2:$E$324))</f>
        <v>0</v>
      </c>
      <c r="I58" s="39">
        <f>SUMPRODUCT(SUMIF(SurtaxRatesSAS!$B$2:$B$324,$C58:$E58,SurtaxRatesSAS!$D$2:$D$324))</f>
        <v>4</v>
      </c>
      <c r="J58" s="38"/>
      <c r="K58" s="39">
        <f>SUMPRODUCT(SUMIF(SurtaxRatesSAS!$B$2:$B$324,$C58:$E58,SurtaxRatesSAS!$G$2:$G$324))</f>
        <v>256821.59</v>
      </c>
      <c r="L58" s="39">
        <f>SUMPRODUCT(SUMIF(SurtaxRatesSAS!$B$2:$B$324,$C58:$E58,SurtaxRatesSAS!$H$2:$H$324))</f>
        <v>0</v>
      </c>
      <c r="M58" s="39">
        <f>SUMPRODUCT(SUMIF(SurtaxRatesSAS!$B$2:$B$324,$C58:$E58,SurtaxRatesSAS!$I$2:$I$324))</f>
        <v>256821.59</v>
      </c>
      <c r="N58" s="38"/>
      <c r="O58" s="39" t="e">
        <f>SUMPRODUCT(SUMIF(SurtaxRatesSAS!$B$2:$B$324,$C58:$E58,SurtaxRatesSAS!$L$2:$L$324))</f>
        <v>#REF!</v>
      </c>
      <c r="P58" s="39" t="e">
        <f>SUMPRODUCT(SUMIF(SurtaxRatesSAS!$B$2:$B$324,$C58:$E58,SurtaxRatesSAS!$M$2:$M$324))</f>
        <v>#REF!</v>
      </c>
      <c r="Q58" s="39" t="e">
        <f>SUMPRODUCT(SUMIF(SurtaxRatesSAS!$B$2:$B$324,$C58:$E58,SurtaxRatesSAS!$N$2:$N$324))</f>
        <v>#REF!</v>
      </c>
      <c r="R58" s="38"/>
      <c r="S58" s="39" t="e">
        <f t="shared" si="0"/>
        <v>#REF!</v>
      </c>
      <c r="T58" s="39" t="e">
        <f t="shared" si="1"/>
        <v>#REF!</v>
      </c>
      <c r="U58" s="39" t="e">
        <f t="shared" si="2"/>
        <v>#REF!</v>
      </c>
      <c r="V58" s="29"/>
      <c r="W58" s="31" t="str">
        <f>IF(K58&gt;0,INDEX(cfo!$C$2:$I$326,MATCH(SurtaxPayment!C58,cfo!$C$2:$C$326,0),7),"")</f>
        <v>jwells@centrallyon.org</v>
      </c>
      <c r="X58" s="31" t="str">
        <f>IF(IF(K58&gt;0,INDEX(cfo!$C$2:$K$326,MATCH(SurtaxPayment!C58,cfo!$C$2:$C$326,0),9),"")=0,"",IF(K58&gt;0,INDEX(cfo!$C$2:$K$326,MATCH(SurtaxPayment!C58,cfo!$C$2:$C$326,0),9),""))</f>
        <v/>
      </c>
    </row>
    <row r="59" spans="1:24" x14ac:dyDescent="0.25">
      <c r="A59" s="52">
        <v>2025</v>
      </c>
      <c r="B59" s="52" t="s">
        <v>658</v>
      </c>
      <c r="C59" s="57" t="s">
        <v>519</v>
      </c>
      <c r="D59" s="58" t="s">
        <v>693</v>
      </c>
      <c r="E59" s="58" t="s">
        <v>693</v>
      </c>
      <c r="F59" s="58" t="s">
        <v>519</v>
      </c>
      <c r="G59" s="57" t="s">
        <v>55</v>
      </c>
      <c r="H59" s="39">
        <f>SUMPRODUCT(SUMIF(SurtaxRatesSAS!$B$2:$B$324,$C59:$E59,SurtaxRatesSAS!$E$2:$E$324))</f>
        <v>0</v>
      </c>
      <c r="I59" s="39">
        <f>SUMPRODUCT(SUMIF(SurtaxRatesSAS!$B$2:$B$324,$C59:$E59,SurtaxRatesSAS!$D$2:$D$324))</f>
        <v>7</v>
      </c>
      <c r="J59" s="38"/>
      <c r="K59" s="39">
        <f>SUMPRODUCT(SUMIF(SurtaxRatesSAS!$B$2:$B$324,$C59:$E59,SurtaxRatesSAS!$G$2:$G$324))</f>
        <v>349913.92</v>
      </c>
      <c r="L59" s="39">
        <f>SUMPRODUCT(SUMIF(SurtaxRatesSAS!$B$2:$B$324,$C59:$E59,SurtaxRatesSAS!$H$2:$H$324))</f>
        <v>0</v>
      </c>
      <c r="M59" s="39">
        <f>SUMPRODUCT(SUMIF(SurtaxRatesSAS!$B$2:$B$324,$C59:$E59,SurtaxRatesSAS!$I$2:$I$324))</f>
        <v>349913.92</v>
      </c>
      <c r="N59" s="38"/>
      <c r="O59" s="39" t="e">
        <f>SUMPRODUCT(SUMIF(SurtaxRatesSAS!$B$2:$B$324,$C59:$E59,SurtaxRatesSAS!$L$2:$L$324))</f>
        <v>#REF!</v>
      </c>
      <c r="P59" s="39" t="e">
        <f>SUMPRODUCT(SUMIF(SurtaxRatesSAS!$B$2:$B$324,$C59:$E59,SurtaxRatesSAS!$M$2:$M$324))</f>
        <v>#REF!</v>
      </c>
      <c r="Q59" s="39" t="e">
        <f>SUMPRODUCT(SUMIF(SurtaxRatesSAS!$B$2:$B$324,$C59:$E59,SurtaxRatesSAS!$N$2:$N$324))</f>
        <v>#REF!</v>
      </c>
      <c r="R59" s="38"/>
      <c r="S59" s="39" t="e">
        <f t="shared" si="0"/>
        <v>#REF!</v>
      </c>
      <c r="T59" s="39" t="e">
        <f t="shared" si="1"/>
        <v>#REF!</v>
      </c>
      <c r="U59" s="39" t="e">
        <f t="shared" si="2"/>
        <v>#REF!</v>
      </c>
      <c r="V59" s="29"/>
      <c r="W59" s="31" t="str">
        <f>IF(K59&gt;0,INDEX(cfo!$C$2:$I$326,MATCH(SurtaxPayment!C59,cfo!$C$2:$C$326,0),7),"")</f>
        <v>smeinders@centralsprings.net</v>
      </c>
      <c r="X59" s="31" t="str">
        <f>IF(IF(K59&gt;0,INDEX(cfo!$C$2:$K$326,MATCH(SurtaxPayment!C59,cfo!$C$2:$C$326,0),9),"")=0,"",IF(K59&gt;0,INDEX(cfo!$C$2:$K$326,MATCH(SurtaxPayment!C59,cfo!$C$2:$C$326,0),9),""))</f>
        <v/>
      </c>
    </row>
    <row r="60" spans="1:24" x14ac:dyDescent="0.25">
      <c r="A60" s="52">
        <v>2025</v>
      </c>
      <c r="B60" s="52" t="s">
        <v>662</v>
      </c>
      <c r="C60" s="57" t="s">
        <v>369</v>
      </c>
      <c r="D60" s="58" t="s">
        <v>693</v>
      </c>
      <c r="E60" s="58" t="s">
        <v>693</v>
      </c>
      <c r="F60" s="58" t="s">
        <v>369</v>
      </c>
      <c r="G60" s="57" t="s">
        <v>56</v>
      </c>
      <c r="H60" s="39">
        <f>SUMPRODUCT(SUMIF(SurtaxRatesSAS!$B$2:$B$324,$C60:$E60,SurtaxRatesSAS!$E$2:$E$324))</f>
        <v>1</v>
      </c>
      <c r="I60" s="39">
        <f>SUMPRODUCT(SUMIF(SurtaxRatesSAS!$B$2:$B$324,$C60:$E60,SurtaxRatesSAS!$D$2:$D$324))</f>
        <v>1</v>
      </c>
      <c r="J60" s="38"/>
      <c r="K60" s="39">
        <f>SUMPRODUCT(SUMIF(SurtaxRatesSAS!$B$2:$B$324,$C60:$E60,SurtaxRatesSAS!$G$2:$G$324))</f>
        <v>133679.54</v>
      </c>
      <c r="L60" s="39">
        <f>SUMPRODUCT(SUMIF(SurtaxRatesSAS!$B$2:$B$324,$C60:$E60,SurtaxRatesSAS!$H$2:$H$324))</f>
        <v>66839.77</v>
      </c>
      <c r="M60" s="39">
        <f>SUMPRODUCT(SUMIF(SurtaxRatesSAS!$B$2:$B$324,$C60:$E60,SurtaxRatesSAS!$I$2:$I$324))</f>
        <v>66839.77</v>
      </c>
      <c r="N60" s="38"/>
      <c r="O60" s="39" t="e">
        <f>SUMPRODUCT(SUMIF(SurtaxRatesSAS!$B$2:$B$324,$C60:$E60,SurtaxRatesSAS!$L$2:$L$324))</f>
        <v>#REF!</v>
      </c>
      <c r="P60" s="39" t="e">
        <f>SUMPRODUCT(SUMIF(SurtaxRatesSAS!$B$2:$B$324,$C60:$E60,SurtaxRatesSAS!$M$2:$M$324))</f>
        <v>#REF!</v>
      </c>
      <c r="Q60" s="39" t="e">
        <f>SUMPRODUCT(SUMIF(SurtaxRatesSAS!$B$2:$B$324,$C60:$E60,SurtaxRatesSAS!$N$2:$N$324))</f>
        <v>#REF!</v>
      </c>
      <c r="R60" s="38"/>
      <c r="S60" s="39" t="e">
        <f t="shared" si="0"/>
        <v>#REF!</v>
      </c>
      <c r="T60" s="39" t="e">
        <f t="shared" si="1"/>
        <v>#REF!</v>
      </c>
      <c r="U60" s="39" t="e">
        <f t="shared" si="2"/>
        <v>#REF!</v>
      </c>
      <c r="V60" s="29"/>
      <c r="W60" s="31" t="str">
        <f>IF(K60&gt;0,INDEX(cfo!$C$2:$I$326,MATCH(SurtaxPayment!C60,cfo!$C$2:$C$326,0),7),"")</f>
        <v>april.hughes@chariton.k12.ia.us</v>
      </c>
      <c r="X60" s="31" t="str">
        <f>IF(IF(K60&gt;0,INDEX(cfo!$C$2:$K$326,MATCH(SurtaxPayment!C60,cfo!$C$2:$C$326,0),9),"")=0,"",IF(K60&gt;0,INDEX(cfo!$C$2:$K$326,MATCH(SurtaxPayment!C60,cfo!$C$2:$C$326,0),9),""))</f>
        <v/>
      </c>
    </row>
    <row r="61" spans="1:24" x14ac:dyDescent="0.25">
      <c r="A61" s="52">
        <v>2025</v>
      </c>
      <c r="B61" s="52" t="s">
        <v>658</v>
      </c>
      <c r="C61" s="57" t="s">
        <v>370</v>
      </c>
      <c r="D61" s="58" t="s">
        <v>693</v>
      </c>
      <c r="E61" s="58" t="s">
        <v>693</v>
      </c>
      <c r="F61" s="58" t="s">
        <v>370</v>
      </c>
      <c r="G61" s="57" t="s">
        <v>57</v>
      </c>
      <c r="H61" s="39">
        <f>SUMPRODUCT(SUMIF(SurtaxRatesSAS!$B$2:$B$324,$C61:$E61,SurtaxRatesSAS!$E$2:$E$324))</f>
        <v>1</v>
      </c>
      <c r="I61" s="39">
        <f>SUMPRODUCT(SUMIF(SurtaxRatesSAS!$B$2:$B$324,$C61:$E61,SurtaxRatesSAS!$D$2:$D$324))</f>
        <v>6</v>
      </c>
      <c r="J61" s="38"/>
      <c r="K61" s="39">
        <f>SUMPRODUCT(SUMIF(SurtaxRatesSAS!$B$2:$B$324,$C61:$E61,SurtaxRatesSAS!$G$2:$G$324))</f>
        <v>685657.35</v>
      </c>
      <c r="L61" s="39">
        <f>SUMPRODUCT(SUMIF(SurtaxRatesSAS!$B$2:$B$324,$C61:$E61,SurtaxRatesSAS!$H$2:$H$324))</f>
        <v>97951.05</v>
      </c>
      <c r="M61" s="39">
        <f>SUMPRODUCT(SUMIF(SurtaxRatesSAS!$B$2:$B$324,$C61:$E61,SurtaxRatesSAS!$I$2:$I$324))</f>
        <v>587706.29999999993</v>
      </c>
      <c r="N61" s="38"/>
      <c r="O61" s="39" t="e">
        <f>SUMPRODUCT(SUMIF(SurtaxRatesSAS!$B$2:$B$324,$C61:$E61,SurtaxRatesSAS!$L$2:$L$324))</f>
        <v>#REF!</v>
      </c>
      <c r="P61" s="39" t="e">
        <f>SUMPRODUCT(SUMIF(SurtaxRatesSAS!$B$2:$B$324,$C61:$E61,SurtaxRatesSAS!$M$2:$M$324))</f>
        <v>#REF!</v>
      </c>
      <c r="Q61" s="39" t="e">
        <f>SUMPRODUCT(SUMIF(SurtaxRatesSAS!$B$2:$B$324,$C61:$E61,SurtaxRatesSAS!$N$2:$N$324))</f>
        <v>#REF!</v>
      </c>
      <c r="R61" s="38"/>
      <c r="S61" s="39" t="e">
        <f t="shared" si="0"/>
        <v>#REF!</v>
      </c>
      <c r="T61" s="39" t="e">
        <f t="shared" si="1"/>
        <v>#REF!</v>
      </c>
      <c r="U61" s="39" t="e">
        <f t="shared" si="2"/>
        <v>#REF!</v>
      </c>
      <c r="V61" s="29"/>
      <c r="W61" s="31" t="str">
        <f>IF(K61&gt;0,INDEX(cfo!$C$2:$I$326,MATCH(SurtaxPayment!C61,cfo!$C$2:$C$326,0),7),"")</f>
        <v>dbonnst@charlescityschools.org</v>
      </c>
      <c r="X61" s="31" t="str">
        <f>IF(IF(K61&gt;0,INDEX(cfo!$C$2:$K$326,MATCH(SurtaxPayment!C61,cfo!$C$2:$C$326,0),9),"")=0,"",IF(K61&gt;0,INDEX(cfo!$C$2:$K$326,MATCH(SurtaxPayment!C61,cfo!$C$2:$C$326,0),9),""))</f>
        <v/>
      </c>
    </row>
    <row r="62" spans="1:24" x14ac:dyDescent="0.25">
      <c r="A62" s="52">
        <v>2025</v>
      </c>
      <c r="B62" s="52" t="s">
        <v>660</v>
      </c>
      <c r="C62" s="57" t="s">
        <v>371</v>
      </c>
      <c r="D62" s="58" t="s">
        <v>693</v>
      </c>
      <c r="E62" s="58" t="s">
        <v>693</v>
      </c>
      <c r="F62" s="58" t="s">
        <v>371</v>
      </c>
      <c r="G62" s="57" t="s">
        <v>58</v>
      </c>
      <c r="H62" s="39">
        <f>SUMPRODUCT(SUMIF(SurtaxRatesSAS!$B$2:$B$324,$C62:$E62,SurtaxRatesSAS!$E$2:$E$324))</f>
        <v>1</v>
      </c>
      <c r="I62" s="39">
        <f>SUMPRODUCT(SUMIF(SurtaxRatesSAS!$B$2:$B$324,$C62:$E62,SurtaxRatesSAS!$D$2:$D$324))</f>
        <v>1</v>
      </c>
      <c r="J62" s="38"/>
      <c r="K62" s="39">
        <f>SUMPRODUCT(SUMIF(SurtaxRatesSAS!$B$2:$B$324,$C62:$E62,SurtaxRatesSAS!$G$2:$G$324))</f>
        <v>31007.55</v>
      </c>
      <c r="L62" s="39">
        <f>SUMPRODUCT(SUMIF(SurtaxRatesSAS!$B$2:$B$324,$C62:$E62,SurtaxRatesSAS!$H$2:$H$324))</f>
        <v>15503.78</v>
      </c>
      <c r="M62" s="39">
        <f>SUMPRODUCT(SUMIF(SurtaxRatesSAS!$B$2:$B$324,$C62:$E62,SurtaxRatesSAS!$I$2:$I$324))</f>
        <v>15503.769999999999</v>
      </c>
      <c r="N62" s="38"/>
      <c r="O62" s="39" t="e">
        <f>SUMPRODUCT(SUMIF(SurtaxRatesSAS!$B$2:$B$324,$C62:$E62,SurtaxRatesSAS!$L$2:$L$324))</f>
        <v>#REF!</v>
      </c>
      <c r="P62" s="39" t="e">
        <f>SUMPRODUCT(SUMIF(SurtaxRatesSAS!$B$2:$B$324,$C62:$E62,SurtaxRatesSAS!$M$2:$M$324))</f>
        <v>#REF!</v>
      </c>
      <c r="Q62" s="39" t="e">
        <f>SUMPRODUCT(SUMIF(SurtaxRatesSAS!$B$2:$B$324,$C62:$E62,SurtaxRatesSAS!$N$2:$N$324))</f>
        <v>#REF!</v>
      </c>
      <c r="R62" s="38"/>
      <c r="S62" s="39" t="e">
        <f t="shared" si="0"/>
        <v>#REF!</v>
      </c>
      <c r="T62" s="39" t="e">
        <f t="shared" si="1"/>
        <v>#REF!</v>
      </c>
      <c r="U62" s="39" t="e">
        <f t="shared" si="2"/>
        <v>#REF!</v>
      </c>
      <c r="V62" s="29"/>
      <c r="W62" s="31" t="str">
        <f>IF(K62&gt;0,INDEX(cfo!$C$2:$I$326,MATCH(SurtaxPayment!C62,cfo!$C$2:$C$326,0),7),"")</f>
        <v>ccarstens@charter-oak-ute.k12.ia.us</v>
      </c>
      <c r="X62" s="31" t="str">
        <f>IF(IF(K62&gt;0,INDEX(cfo!$C$2:$K$326,MATCH(SurtaxPayment!C62,cfo!$C$2:$C$326,0),9),"")=0,"",IF(K62&gt;0,INDEX(cfo!$C$2:$K$326,MATCH(SurtaxPayment!C62,cfo!$C$2:$C$326,0),9),""))</f>
        <v/>
      </c>
    </row>
    <row r="63" spans="1:24" x14ac:dyDescent="0.25">
      <c r="A63" s="52">
        <v>2025</v>
      </c>
      <c r="B63" s="52" t="s">
        <v>660</v>
      </c>
      <c r="C63" s="57" t="s">
        <v>372</v>
      </c>
      <c r="D63" s="58" t="s">
        <v>693</v>
      </c>
      <c r="E63" s="58" t="s">
        <v>693</v>
      </c>
      <c r="F63" s="58" t="s">
        <v>372</v>
      </c>
      <c r="G63" s="57" t="s">
        <v>59</v>
      </c>
      <c r="H63" s="39">
        <f>SUMPRODUCT(SUMIF(SurtaxRatesSAS!$B$2:$B$324,$C63:$E63,SurtaxRatesSAS!$E$2:$E$324))</f>
        <v>0</v>
      </c>
      <c r="I63" s="39">
        <f>SUMPRODUCT(SUMIF(SurtaxRatesSAS!$B$2:$B$324,$C63:$E63,SurtaxRatesSAS!$D$2:$D$324))</f>
        <v>3</v>
      </c>
      <c r="J63" s="38"/>
      <c r="K63" s="39">
        <f>SUMPRODUCT(SUMIF(SurtaxRatesSAS!$B$2:$B$324,$C63:$E63,SurtaxRatesSAS!$G$2:$G$324))</f>
        <v>183052.42</v>
      </c>
      <c r="L63" s="39">
        <f>SUMPRODUCT(SUMIF(SurtaxRatesSAS!$B$2:$B$324,$C63:$E63,SurtaxRatesSAS!$H$2:$H$324))</f>
        <v>0</v>
      </c>
      <c r="M63" s="39">
        <f>SUMPRODUCT(SUMIF(SurtaxRatesSAS!$B$2:$B$324,$C63:$E63,SurtaxRatesSAS!$I$2:$I$324))</f>
        <v>183052.42</v>
      </c>
      <c r="N63" s="38"/>
      <c r="O63" s="39" t="e">
        <f>SUMPRODUCT(SUMIF(SurtaxRatesSAS!$B$2:$B$324,$C63:$E63,SurtaxRatesSAS!$L$2:$L$324))</f>
        <v>#REF!</v>
      </c>
      <c r="P63" s="39" t="e">
        <f>SUMPRODUCT(SUMIF(SurtaxRatesSAS!$B$2:$B$324,$C63:$E63,SurtaxRatesSAS!$M$2:$M$324))</f>
        <v>#REF!</v>
      </c>
      <c r="Q63" s="39" t="e">
        <f>SUMPRODUCT(SUMIF(SurtaxRatesSAS!$B$2:$B$324,$C63:$E63,SurtaxRatesSAS!$N$2:$N$324))</f>
        <v>#REF!</v>
      </c>
      <c r="R63" s="38"/>
      <c r="S63" s="39" t="e">
        <f t="shared" si="0"/>
        <v>#REF!</v>
      </c>
      <c r="T63" s="39" t="e">
        <f t="shared" si="1"/>
        <v>#REF!</v>
      </c>
      <c r="U63" s="39" t="e">
        <f t="shared" si="2"/>
        <v>#REF!</v>
      </c>
      <c r="V63" s="29"/>
      <c r="W63" s="31" t="str">
        <f>IF(K63&gt;0,INDEX(cfo!$C$2:$I$326,MATCH(SurtaxPayment!C63,cfo!$C$2:$C$326,0),7),"")</f>
        <v>jlundsgaard@ccsd.k12.ia.us</v>
      </c>
      <c r="X63" s="31" t="str">
        <f>IF(IF(K63&gt;0,INDEX(cfo!$C$2:$K$326,MATCH(SurtaxPayment!C63,cfo!$C$2:$C$326,0),9),"")=0,"",IF(K63&gt;0,INDEX(cfo!$C$2:$K$326,MATCH(SurtaxPayment!C63,cfo!$C$2:$C$326,0),9),""))</f>
        <v/>
      </c>
    </row>
    <row r="64" spans="1:24" x14ac:dyDescent="0.25">
      <c r="A64" s="52">
        <v>2025</v>
      </c>
      <c r="B64" s="52" t="s">
        <v>659</v>
      </c>
      <c r="C64" s="57" t="s">
        <v>373</v>
      </c>
      <c r="D64" s="58" t="s">
        <v>693</v>
      </c>
      <c r="E64" s="58" t="s">
        <v>693</v>
      </c>
      <c r="F64" s="58" t="s">
        <v>373</v>
      </c>
      <c r="G64" s="57" t="s">
        <v>60</v>
      </c>
      <c r="H64" s="39">
        <f>SUMPRODUCT(SUMIF(SurtaxRatesSAS!$B$2:$B$324,$C64:$E64,SurtaxRatesSAS!$E$2:$E$324))</f>
        <v>0</v>
      </c>
      <c r="I64" s="39">
        <f>SUMPRODUCT(SUMIF(SurtaxRatesSAS!$B$2:$B$324,$C64:$E64,SurtaxRatesSAS!$D$2:$D$324))</f>
        <v>3</v>
      </c>
      <c r="J64" s="38"/>
      <c r="K64" s="39">
        <f>SUMPRODUCT(SUMIF(SurtaxRatesSAS!$B$2:$B$324,$C64:$E64,SurtaxRatesSAS!$G$2:$G$324))</f>
        <v>164439.71</v>
      </c>
      <c r="L64" s="39">
        <f>SUMPRODUCT(SUMIF(SurtaxRatesSAS!$B$2:$B$324,$C64:$E64,SurtaxRatesSAS!$H$2:$H$324))</f>
        <v>0</v>
      </c>
      <c r="M64" s="39">
        <f>SUMPRODUCT(SUMIF(SurtaxRatesSAS!$B$2:$B$324,$C64:$E64,SurtaxRatesSAS!$I$2:$I$324))</f>
        <v>164439.71</v>
      </c>
      <c r="N64" s="38"/>
      <c r="O64" s="39" t="e">
        <f>SUMPRODUCT(SUMIF(SurtaxRatesSAS!$B$2:$B$324,$C64:$E64,SurtaxRatesSAS!$L$2:$L$324))</f>
        <v>#REF!</v>
      </c>
      <c r="P64" s="39" t="e">
        <f>SUMPRODUCT(SUMIF(SurtaxRatesSAS!$B$2:$B$324,$C64:$E64,SurtaxRatesSAS!$M$2:$M$324))</f>
        <v>#REF!</v>
      </c>
      <c r="Q64" s="39" t="e">
        <f>SUMPRODUCT(SUMIF(SurtaxRatesSAS!$B$2:$B$324,$C64:$E64,SurtaxRatesSAS!$N$2:$N$324))</f>
        <v>#REF!</v>
      </c>
      <c r="R64" s="38"/>
      <c r="S64" s="39" t="e">
        <f t="shared" si="0"/>
        <v>#REF!</v>
      </c>
      <c r="T64" s="39" t="e">
        <f t="shared" si="1"/>
        <v>#REF!</v>
      </c>
      <c r="U64" s="39" t="e">
        <f t="shared" si="2"/>
        <v>#REF!</v>
      </c>
      <c r="V64" s="29"/>
      <c r="W64" s="31" t="str">
        <f>IF(K64&gt;0,INDEX(cfo!$C$2:$I$326,MATCH(SurtaxPayment!C64,cfo!$C$2:$C$326,0),7),"")</f>
        <v>nmckinnon@clarindacsd.org</v>
      </c>
      <c r="X64" s="31" t="str">
        <f>IF(IF(K64&gt;0,INDEX(cfo!$C$2:$K$326,MATCH(SurtaxPayment!C64,cfo!$C$2:$C$326,0),9),"")=0,"",IF(K64&gt;0,INDEX(cfo!$C$2:$K$326,MATCH(SurtaxPayment!C64,cfo!$C$2:$C$326,0),9),""))</f>
        <v/>
      </c>
    </row>
    <row r="65" spans="1:24" x14ac:dyDescent="0.25">
      <c r="A65" s="52">
        <v>2025</v>
      </c>
      <c r="B65" s="52" t="s">
        <v>661</v>
      </c>
      <c r="C65" s="57" t="s">
        <v>374</v>
      </c>
      <c r="D65" s="58" t="s">
        <v>667</v>
      </c>
      <c r="E65" s="58" t="s">
        <v>693</v>
      </c>
      <c r="F65" s="58" t="s">
        <v>374</v>
      </c>
      <c r="G65" s="57" t="s">
        <v>703</v>
      </c>
      <c r="H65" s="39">
        <f>SUMPRODUCT(SUMIF(SurtaxRatesSAS!$B$2:$B$324,$C65:$E65,SurtaxRatesSAS!$E$2:$E$324))</f>
        <v>0</v>
      </c>
      <c r="I65" s="39">
        <f>SUMPRODUCT(SUMIF(SurtaxRatesSAS!$B$2:$B$324,$C65:$E65,SurtaxRatesSAS!$D$2:$D$324))</f>
        <v>8</v>
      </c>
      <c r="J65" s="38"/>
      <c r="K65" s="39">
        <f>SUMPRODUCT(SUMIF(SurtaxRatesSAS!$B$2:$B$324,$C65:$E65,SurtaxRatesSAS!$G$2:$G$324))</f>
        <v>420097.09</v>
      </c>
      <c r="L65" s="39">
        <f>SUMPRODUCT(SUMIF(SurtaxRatesSAS!$B$2:$B$324,$C65:$E65,SurtaxRatesSAS!$H$2:$H$324))</f>
        <v>0</v>
      </c>
      <c r="M65" s="39">
        <f>SUMPRODUCT(SUMIF(SurtaxRatesSAS!$B$2:$B$324,$C65:$E65,SurtaxRatesSAS!$I$2:$I$324))</f>
        <v>420097.09</v>
      </c>
      <c r="N65" s="38"/>
      <c r="O65" s="39" t="e">
        <f>SUMPRODUCT(SUMIF(SurtaxRatesSAS!$B$2:$B$324,$C65:$E65,SurtaxRatesSAS!$L$2:$L$324))</f>
        <v>#REF!</v>
      </c>
      <c r="P65" s="39" t="e">
        <f>SUMPRODUCT(SUMIF(SurtaxRatesSAS!$B$2:$B$324,$C65:$E65,SurtaxRatesSAS!$M$2:$M$324))</f>
        <v>#REF!</v>
      </c>
      <c r="Q65" s="39" t="e">
        <f>SUMPRODUCT(SUMIF(SurtaxRatesSAS!$B$2:$B$324,$C65:$E65,SurtaxRatesSAS!$N$2:$N$324))</f>
        <v>#REF!</v>
      </c>
      <c r="R65" s="38"/>
      <c r="S65" s="39" t="e">
        <f t="shared" si="0"/>
        <v>#REF!</v>
      </c>
      <c r="T65" s="39" t="e">
        <f t="shared" si="1"/>
        <v>#REF!</v>
      </c>
      <c r="U65" s="39" t="e">
        <f t="shared" si="2"/>
        <v>#REF!</v>
      </c>
      <c r="V65" s="29"/>
      <c r="W65" s="31" t="str">
        <f>IF(K65&gt;0,INDEX(cfo!$C$2:$I$326,MATCH(SurtaxPayment!C65,cfo!$C$2:$C$326,0),7),"")</f>
        <v>afrye@clargold.org</v>
      </c>
      <c r="X65" s="31" t="str">
        <f>IF(IF(K65&gt;0,INDEX(cfo!$C$2:$K$326,MATCH(SurtaxPayment!C65,cfo!$C$2:$C$326,0),9),"")=0,"",IF(K65&gt;0,INDEX(cfo!$C$2:$K$326,MATCH(SurtaxPayment!C65,cfo!$C$2:$C$326,0),9),""))</f>
        <v/>
      </c>
    </row>
    <row r="66" spans="1:24" x14ac:dyDescent="0.25">
      <c r="A66" s="52">
        <v>2025</v>
      </c>
      <c r="B66" s="52" t="s">
        <v>659</v>
      </c>
      <c r="C66" s="57" t="s">
        <v>375</v>
      </c>
      <c r="D66" s="58" t="s">
        <v>693</v>
      </c>
      <c r="E66" s="58" t="s">
        <v>693</v>
      </c>
      <c r="F66" s="58" t="s">
        <v>375</v>
      </c>
      <c r="G66" s="57" t="s">
        <v>61</v>
      </c>
      <c r="H66" s="39">
        <f>SUMPRODUCT(SUMIF(SurtaxRatesSAS!$B$2:$B$324,$C66:$E66,SurtaxRatesSAS!$E$2:$E$324))</f>
        <v>8</v>
      </c>
      <c r="I66" s="39">
        <f>SUMPRODUCT(SUMIF(SurtaxRatesSAS!$B$2:$B$324,$C66:$E66,SurtaxRatesSAS!$D$2:$D$324))</f>
        <v>9</v>
      </c>
      <c r="J66" s="38"/>
      <c r="K66" s="39">
        <f>SUMPRODUCT(SUMIF(SurtaxRatesSAS!$B$2:$B$324,$C66:$E66,SurtaxRatesSAS!$G$2:$G$324))</f>
        <v>1058377.8600000001</v>
      </c>
      <c r="L66" s="39">
        <f>SUMPRODUCT(SUMIF(SurtaxRatesSAS!$B$2:$B$324,$C66:$E66,SurtaxRatesSAS!$H$2:$H$324))</f>
        <v>498060.17</v>
      </c>
      <c r="M66" s="39">
        <f>SUMPRODUCT(SUMIF(SurtaxRatesSAS!$B$2:$B$324,$C66:$E66,SurtaxRatesSAS!$I$2:$I$324))</f>
        <v>560317.69000000018</v>
      </c>
      <c r="N66" s="38"/>
      <c r="O66" s="39" t="e">
        <f>SUMPRODUCT(SUMIF(SurtaxRatesSAS!$B$2:$B$324,$C66:$E66,SurtaxRatesSAS!$L$2:$L$324))</f>
        <v>#REF!</v>
      </c>
      <c r="P66" s="39" t="e">
        <f>SUMPRODUCT(SUMIF(SurtaxRatesSAS!$B$2:$B$324,$C66:$E66,SurtaxRatesSAS!$M$2:$M$324))</f>
        <v>#REF!</v>
      </c>
      <c r="Q66" s="39" t="e">
        <f>SUMPRODUCT(SUMIF(SurtaxRatesSAS!$B$2:$B$324,$C66:$E66,SurtaxRatesSAS!$N$2:$N$324))</f>
        <v>#REF!</v>
      </c>
      <c r="R66" s="38"/>
      <c r="S66" s="39" t="e">
        <f t="shared" si="0"/>
        <v>#REF!</v>
      </c>
      <c r="T66" s="39" t="e">
        <f t="shared" si="1"/>
        <v>#REF!</v>
      </c>
      <c r="U66" s="39" t="e">
        <f t="shared" si="2"/>
        <v>#REF!</v>
      </c>
      <c r="V66" s="29"/>
      <c r="W66" s="31" t="str">
        <f>IF(K66&gt;0,INDEX(cfo!$C$2:$I$326,MATCH(SurtaxPayment!C66,cfo!$C$2:$C$326,0),7),"")</f>
        <v>angela.williams@clarke.k12.ia.us</v>
      </c>
      <c r="X66" s="31" t="str">
        <f>IF(IF(K66&gt;0,INDEX(cfo!$C$2:$K$326,MATCH(SurtaxPayment!C66,cfo!$C$2:$C$326,0),9),"")=0,"",IF(K66&gt;0,INDEX(cfo!$C$2:$K$326,MATCH(SurtaxPayment!C66,cfo!$C$2:$C$326,0),9),""))</f>
        <v/>
      </c>
    </row>
    <row r="67" spans="1:24" x14ac:dyDescent="0.25">
      <c r="A67" s="52">
        <v>2025</v>
      </c>
      <c r="B67" s="52" t="s">
        <v>658</v>
      </c>
      <c r="C67" s="57" t="s">
        <v>376</v>
      </c>
      <c r="D67" s="58" t="s">
        <v>693</v>
      </c>
      <c r="E67" s="58" t="s">
        <v>693</v>
      </c>
      <c r="F67" s="58" t="s">
        <v>376</v>
      </c>
      <c r="G67" s="57" t="s">
        <v>62</v>
      </c>
      <c r="H67" s="39">
        <f>SUMPRODUCT(SUMIF(SurtaxRatesSAS!$B$2:$B$324,$C67:$E67,SurtaxRatesSAS!$E$2:$E$324))</f>
        <v>1</v>
      </c>
      <c r="I67" s="39">
        <f>SUMPRODUCT(SUMIF(SurtaxRatesSAS!$B$2:$B$324,$C67:$E67,SurtaxRatesSAS!$D$2:$D$324))</f>
        <v>2</v>
      </c>
      <c r="J67" s="38"/>
      <c r="K67" s="39">
        <f>SUMPRODUCT(SUMIF(SurtaxRatesSAS!$B$2:$B$324,$C67:$E67,SurtaxRatesSAS!$G$2:$G$324))</f>
        <v>52545.47</v>
      </c>
      <c r="L67" s="39">
        <f>SUMPRODUCT(SUMIF(SurtaxRatesSAS!$B$2:$B$324,$C67:$E67,SurtaxRatesSAS!$H$2:$H$324))</f>
        <v>17515.16</v>
      </c>
      <c r="M67" s="39">
        <f>SUMPRODUCT(SUMIF(SurtaxRatesSAS!$B$2:$B$324,$C67:$E67,SurtaxRatesSAS!$I$2:$I$324))</f>
        <v>35030.31</v>
      </c>
      <c r="N67" s="38"/>
      <c r="O67" s="39" t="e">
        <f>SUMPRODUCT(SUMIF(SurtaxRatesSAS!$B$2:$B$324,$C67:$E67,SurtaxRatesSAS!$L$2:$L$324))</f>
        <v>#REF!</v>
      </c>
      <c r="P67" s="39" t="e">
        <f>SUMPRODUCT(SUMIF(SurtaxRatesSAS!$B$2:$B$324,$C67:$E67,SurtaxRatesSAS!$M$2:$M$324))</f>
        <v>#REF!</v>
      </c>
      <c r="Q67" s="39" t="e">
        <f>SUMPRODUCT(SUMIF(SurtaxRatesSAS!$B$2:$B$324,$C67:$E67,SurtaxRatesSAS!$N$2:$N$324))</f>
        <v>#REF!</v>
      </c>
      <c r="R67" s="38"/>
      <c r="S67" s="39" t="e">
        <f t="shared" si="0"/>
        <v>#REF!</v>
      </c>
      <c r="T67" s="39" t="e">
        <f t="shared" si="1"/>
        <v>#REF!</v>
      </c>
      <c r="U67" s="39" t="e">
        <f t="shared" si="2"/>
        <v>#REF!</v>
      </c>
      <c r="V67" s="29"/>
      <c r="W67" s="31" t="str">
        <f>IF(K67&gt;0,INDEX(cfo!$C$2:$I$326,MATCH(SurtaxPayment!C67,cfo!$C$2:$C$326,0),7),"")</f>
        <v>sbartlett@clarksville.k12.ia.us</v>
      </c>
      <c r="X67" s="31" t="str">
        <f>IF(IF(K67&gt;0,INDEX(cfo!$C$2:$K$326,MATCH(SurtaxPayment!C67,cfo!$C$2:$C$326,0),9),"")=0,"",IF(K67&gt;0,INDEX(cfo!$C$2:$K$326,MATCH(SurtaxPayment!C67,cfo!$C$2:$C$326,0),9),""))</f>
        <v/>
      </c>
    </row>
    <row r="68" spans="1:24" x14ac:dyDescent="0.25">
      <c r="A68" s="52">
        <v>2025</v>
      </c>
      <c r="B68" s="52" t="s">
        <v>661</v>
      </c>
      <c r="C68" s="57" t="s">
        <v>377</v>
      </c>
      <c r="D68" s="58" t="s">
        <v>693</v>
      </c>
      <c r="E68" s="58" t="s">
        <v>693</v>
      </c>
      <c r="F68" s="58" t="s">
        <v>377</v>
      </c>
      <c r="G68" s="57" t="s">
        <v>63</v>
      </c>
      <c r="H68" s="39">
        <f>SUMPRODUCT(SUMIF(SurtaxRatesSAS!$B$2:$B$324,$C68:$E68,SurtaxRatesSAS!$E$2:$E$324))</f>
        <v>0</v>
      </c>
      <c r="I68" s="39">
        <f>SUMPRODUCT(SUMIF(SurtaxRatesSAS!$B$2:$B$324,$C68:$E68,SurtaxRatesSAS!$D$2:$D$324))</f>
        <v>1</v>
      </c>
      <c r="J68" s="38"/>
      <c r="K68" s="39">
        <f>SUMPRODUCT(SUMIF(SurtaxRatesSAS!$B$2:$B$324,$C68:$E68,SurtaxRatesSAS!$G$2:$G$324))</f>
        <v>22668.7</v>
      </c>
      <c r="L68" s="39">
        <f>SUMPRODUCT(SUMIF(SurtaxRatesSAS!$B$2:$B$324,$C68:$E68,SurtaxRatesSAS!$H$2:$H$324))</f>
        <v>0</v>
      </c>
      <c r="M68" s="39">
        <f>SUMPRODUCT(SUMIF(SurtaxRatesSAS!$B$2:$B$324,$C68:$E68,SurtaxRatesSAS!$I$2:$I$324))</f>
        <v>22668.7</v>
      </c>
      <c r="N68" s="38"/>
      <c r="O68" s="39" t="e">
        <f>SUMPRODUCT(SUMIF(SurtaxRatesSAS!$B$2:$B$324,$C68:$E68,SurtaxRatesSAS!$L$2:$L$324))</f>
        <v>#REF!</v>
      </c>
      <c r="P68" s="39" t="e">
        <f>SUMPRODUCT(SUMIF(SurtaxRatesSAS!$B$2:$B$324,$C68:$E68,SurtaxRatesSAS!$M$2:$M$324))</f>
        <v>#REF!</v>
      </c>
      <c r="Q68" s="39" t="e">
        <f>SUMPRODUCT(SUMIF(SurtaxRatesSAS!$B$2:$B$324,$C68:$E68,SurtaxRatesSAS!$N$2:$N$324))</f>
        <v>#REF!</v>
      </c>
      <c r="R68" s="38"/>
      <c r="S68" s="39" t="e">
        <f t="shared" si="0"/>
        <v>#REF!</v>
      </c>
      <c r="T68" s="39" t="e">
        <f t="shared" si="1"/>
        <v>#REF!</v>
      </c>
      <c r="U68" s="39" t="e">
        <f t="shared" si="2"/>
        <v>#REF!</v>
      </c>
      <c r="V68" s="29"/>
      <c r="W68" s="31" t="str">
        <f>IF(K68&gt;0,INDEX(cfo!$C$2:$I$326,MATCH(SurtaxPayment!C68,cfo!$C$2:$C$326,0),7),"")</f>
        <v>dwhite@claycentraleverly.org</v>
      </c>
      <c r="X68" s="31" t="str">
        <f>IF(IF(K68&gt;0,INDEX(cfo!$C$2:$K$326,MATCH(SurtaxPayment!C68,cfo!$C$2:$C$326,0),9),"")=0,"",IF(K68&gt;0,INDEX(cfo!$C$2:$K$326,MATCH(SurtaxPayment!C68,cfo!$C$2:$C$326,0),9),""))</f>
        <v>kmiller@siouxcentral.org</v>
      </c>
    </row>
    <row r="69" spans="1:24" x14ac:dyDescent="0.25">
      <c r="A69" s="52">
        <v>2025</v>
      </c>
      <c r="B69" s="52" t="s">
        <v>665</v>
      </c>
      <c r="C69" s="57" t="s">
        <v>440</v>
      </c>
      <c r="D69" s="58" t="s">
        <v>693</v>
      </c>
      <c r="E69" s="58" t="s">
        <v>693</v>
      </c>
      <c r="F69" s="58" t="s">
        <v>440</v>
      </c>
      <c r="G69" s="57" t="s">
        <v>704</v>
      </c>
      <c r="H69" s="39">
        <f>SUMPRODUCT(SUMIF(SurtaxRatesSAS!$B$2:$B$324,$C69:$E69,SurtaxRatesSAS!$E$2:$E$324))</f>
        <v>0</v>
      </c>
      <c r="I69" s="39">
        <f>SUMPRODUCT(SUMIF(SurtaxRatesSAS!$B$2:$B$324,$C69:$E69,SurtaxRatesSAS!$D$2:$D$324))</f>
        <v>0</v>
      </c>
      <c r="J69" s="38"/>
      <c r="K69" s="39">
        <f>SUMPRODUCT(SUMIF(SurtaxRatesSAS!$B$2:$B$324,$C69:$E69,SurtaxRatesSAS!$G$2:$G$324))</f>
        <v>0</v>
      </c>
      <c r="L69" s="39">
        <f>SUMPRODUCT(SUMIF(SurtaxRatesSAS!$B$2:$B$324,$C69:$E69,SurtaxRatesSAS!$H$2:$H$324))</f>
        <v>0</v>
      </c>
      <c r="M69" s="39">
        <f>SUMPRODUCT(SUMIF(SurtaxRatesSAS!$B$2:$B$324,$C69:$E69,SurtaxRatesSAS!$I$2:$I$324))</f>
        <v>0</v>
      </c>
      <c r="N69" s="38"/>
      <c r="O69" s="39">
        <f>SUMPRODUCT(SUMIF(SurtaxRatesSAS!$B$2:$B$324,$C69:$E69,SurtaxRatesSAS!$L$2:$L$324))</f>
        <v>0</v>
      </c>
      <c r="P69" s="39">
        <f>SUMPRODUCT(SUMIF(SurtaxRatesSAS!$B$2:$B$324,$C69:$E69,SurtaxRatesSAS!$M$2:$M$324))</f>
        <v>0</v>
      </c>
      <c r="Q69" s="39">
        <f>SUMPRODUCT(SUMIF(SurtaxRatesSAS!$B$2:$B$324,$C69:$E69,SurtaxRatesSAS!$N$2:$N$324))</f>
        <v>0</v>
      </c>
      <c r="R69" s="38"/>
      <c r="S69" s="39">
        <f t="shared" si="0"/>
        <v>0</v>
      </c>
      <c r="T69" s="39">
        <f t="shared" si="1"/>
        <v>0</v>
      </c>
      <c r="U69" s="39">
        <f t="shared" si="2"/>
        <v>0</v>
      </c>
      <c r="V69" s="29"/>
      <c r="W69" s="31" t="str">
        <f>IF(K69&gt;0,INDEX(cfo!$C$2:$I$326,MATCH(SurtaxPayment!C69,cfo!$C$2:$C$326,0),7),"")</f>
        <v/>
      </c>
      <c r="X69" s="31" t="str">
        <f>IF(IF(K69&gt;0,INDEX(cfo!$C$2:$K$326,MATCH(SurtaxPayment!C69,cfo!$C$2:$C$326,0),9),"")=0,"",IF(K69&gt;0,INDEX(cfo!$C$2:$K$326,MATCH(SurtaxPayment!C69,cfo!$C$2:$C$326,0),9),""))</f>
        <v/>
      </c>
    </row>
    <row r="70" spans="1:24" x14ac:dyDescent="0.25">
      <c r="A70" s="52">
        <v>2025</v>
      </c>
      <c r="B70" s="52" t="s">
        <v>663</v>
      </c>
      <c r="C70" s="57" t="s">
        <v>378</v>
      </c>
      <c r="D70" s="58" t="s">
        <v>668</v>
      </c>
      <c r="E70" s="58" t="s">
        <v>693</v>
      </c>
      <c r="F70" s="58" t="s">
        <v>378</v>
      </c>
      <c r="G70" s="57" t="s">
        <v>64</v>
      </c>
      <c r="H70" s="39">
        <f>SUMPRODUCT(SUMIF(SurtaxRatesSAS!$B$2:$B$324,$C70:$E70,SurtaxRatesSAS!$E$2:$E$324))</f>
        <v>4</v>
      </c>
      <c r="I70" s="39">
        <f>SUMPRODUCT(SUMIF(SurtaxRatesSAS!$B$2:$B$324,$C70:$E70,SurtaxRatesSAS!$D$2:$D$324))</f>
        <v>6</v>
      </c>
      <c r="J70" s="38"/>
      <c r="K70" s="39">
        <f>SUMPRODUCT(SUMIF(SurtaxRatesSAS!$B$2:$B$324,$C70:$E70,SurtaxRatesSAS!$G$2:$G$324))</f>
        <v>2558264.91</v>
      </c>
      <c r="L70" s="39">
        <f>SUMPRODUCT(SUMIF(SurtaxRatesSAS!$B$2:$B$324,$C70:$E70,SurtaxRatesSAS!$H$2:$H$324))</f>
        <v>1023305.96</v>
      </c>
      <c r="M70" s="39">
        <f>SUMPRODUCT(SUMIF(SurtaxRatesSAS!$B$2:$B$324,$C70:$E70,SurtaxRatesSAS!$I$2:$I$324))</f>
        <v>1534958.9500000002</v>
      </c>
      <c r="N70" s="38"/>
      <c r="O70" s="39" t="e">
        <f>SUMPRODUCT(SUMIF(SurtaxRatesSAS!$B$2:$B$324,$C70:$E70,SurtaxRatesSAS!$L$2:$L$324))</f>
        <v>#REF!</v>
      </c>
      <c r="P70" s="39" t="e">
        <f>SUMPRODUCT(SUMIF(SurtaxRatesSAS!$B$2:$B$324,$C70:$E70,SurtaxRatesSAS!$M$2:$M$324))</f>
        <v>#REF!</v>
      </c>
      <c r="Q70" s="39" t="e">
        <f>SUMPRODUCT(SUMIF(SurtaxRatesSAS!$B$2:$B$324,$C70:$E70,SurtaxRatesSAS!$N$2:$N$324))</f>
        <v>#REF!</v>
      </c>
      <c r="R70" s="38"/>
      <c r="S70" s="39" t="e">
        <f t="shared" si="0"/>
        <v>#REF!</v>
      </c>
      <c r="T70" s="39" t="e">
        <f t="shared" si="1"/>
        <v>#REF!</v>
      </c>
      <c r="U70" s="39" t="e">
        <f t="shared" si="2"/>
        <v>#REF!</v>
      </c>
      <c r="V70" s="29"/>
      <c r="W70" s="31" t="str">
        <f>IF(K70&gt;0,INDEX(cfo!$C$2:$I$326,MATCH(SurtaxPayment!C70,cfo!$C$2:$C$326,0),7),"")</f>
        <v>lorirobertson@ccaschools.org</v>
      </c>
      <c r="X70" s="31" t="str">
        <f>IF(IF(K70&gt;0,INDEX(cfo!$C$2:$K$326,MATCH(SurtaxPayment!C70,cfo!$C$2:$C$326,0),9),"")=0,"",IF(K70&gt;0,INDEX(cfo!$C$2:$K$326,MATCH(SurtaxPayment!C70,cfo!$C$2:$C$326,0),9),""))</f>
        <v/>
      </c>
    </row>
    <row r="71" spans="1:24" x14ac:dyDescent="0.25">
      <c r="A71" s="52">
        <v>2025</v>
      </c>
      <c r="B71" s="52" t="s">
        <v>658</v>
      </c>
      <c r="C71" s="57" t="s">
        <v>379</v>
      </c>
      <c r="D71" s="58" t="s">
        <v>693</v>
      </c>
      <c r="E71" s="58" t="s">
        <v>693</v>
      </c>
      <c r="F71" s="58" t="s">
        <v>379</v>
      </c>
      <c r="G71" s="57" t="s">
        <v>65</v>
      </c>
      <c r="H71" s="39">
        <f>SUMPRODUCT(SUMIF(SurtaxRatesSAS!$B$2:$B$324,$C71:$E71,SurtaxRatesSAS!$E$2:$E$324))</f>
        <v>0</v>
      </c>
      <c r="I71" s="39">
        <f>SUMPRODUCT(SUMIF(SurtaxRatesSAS!$B$2:$B$324,$C71:$E71,SurtaxRatesSAS!$D$2:$D$324))</f>
        <v>4</v>
      </c>
      <c r="J71" s="38"/>
      <c r="K71" s="39">
        <f>SUMPRODUCT(SUMIF(SurtaxRatesSAS!$B$2:$B$324,$C71:$E71,SurtaxRatesSAS!$G$2:$G$324))</f>
        <v>609122.18999999994</v>
      </c>
      <c r="L71" s="39">
        <f>SUMPRODUCT(SUMIF(SurtaxRatesSAS!$B$2:$B$324,$C71:$E71,SurtaxRatesSAS!$H$2:$H$324))</f>
        <v>0</v>
      </c>
      <c r="M71" s="39">
        <f>SUMPRODUCT(SUMIF(SurtaxRatesSAS!$B$2:$B$324,$C71:$E71,SurtaxRatesSAS!$I$2:$I$324))</f>
        <v>609122.18999999994</v>
      </c>
      <c r="N71" s="38"/>
      <c r="O71" s="39" t="e">
        <f>SUMPRODUCT(SUMIF(SurtaxRatesSAS!$B$2:$B$324,$C71:$E71,SurtaxRatesSAS!$L$2:$L$324))</f>
        <v>#REF!</v>
      </c>
      <c r="P71" s="39" t="e">
        <f>SUMPRODUCT(SUMIF(SurtaxRatesSAS!$B$2:$B$324,$C71:$E71,SurtaxRatesSAS!$M$2:$M$324))</f>
        <v>#REF!</v>
      </c>
      <c r="Q71" s="39" t="e">
        <f>SUMPRODUCT(SUMIF(SurtaxRatesSAS!$B$2:$B$324,$C71:$E71,SurtaxRatesSAS!$N$2:$N$324))</f>
        <v>#REF!</v>
      </c>
      <c r="R71" s="38"/>
      <c r="S71" s="39" t="e">
        <f t="shared" ref="S71:S134" si="3">SUM(K71,O71)</f>
        <v>#REF!</v>
      </c>
      <c r="T71" s="39" t="e">
        <f t="shared" ref="T71:T134" si="4">SUM(L71,P71)</f>
        <v>#REF!</v>
      </c>
      <c r="U71" s="39" t="e">
        <f t="shared" ref="U71:U134" si="5">SUM(M71,Q71)</f>
        <v>#REF!</v>
      </c>
      <c r="V71" s="29"/>
      <c r="W71" s="31" t="str">
        <f>IF(K71&gt;0,INDEX(cfo!$C$2:$I$326,MATCH(SurtaxPayment!C71,cfo!$C$2:$C$326,0),7),"")</f>
        <v>apfeffer@clearlakeschools.org</v>
      </c>
      <c r="X71" s="31" t="str">
        <f>IF(IF(K71&gt;0,INDEX(cfo!$C$2:$K$326,MATCH(SurtaxPayment!C71,cfo!$C$2:$C$326,0),9),"")=0,"",IF(K71&gt;0,INDEX(cfo!$C$2:$K$326,MATCH(SurtaxPayment!C71,cfo!$C$2:$C$326,0),9),""))</f>
        <v/>
      </c>
    </row>
    <row r="72" spans="1:24" x14ac:dyDescent="0.25">
      <c r="A72" s="52">
        <v>2025</v>
      </c>
      <c r="B72" s="52" t="s">
        <v>666</v>
      </c>
      <c r="C72" s="57" t="s">
        <v>380</v>
      </c>
      <c r="D72" s="58" t="s">
        <v>693</v>
      </c>
      <c r="E72" s="58" t="s">
        <v>693</v>
      </c>
      <c r="F72" s="58" t="s">
        <v>380</v>
      </c>
      <c r="G72" s="57" t="s">
        <v>66</v>
      </c>
      <c r="H72" s="39">
        <f>SUMPRODUCT(SUMIF(SurtaxRatesSAS!$B$2:$B$324,$C72:$E72,SurtaxRatesSAS!$E$2:$E$324))</f>
        <v>0</v>
      </c>
      <c r="I72" s="39">
        <f>SUMPRODUCT(SUMIF(SurtaxRatesSAS!$B$2:$B$324,$C72:$E72,SurtaxRatesSAS!$D$2:$D$324))</f>
        <v>3</v>
      </c>
      <c r="J72" s="38"/>
      <c r="K72" s="39">
        <f>SUMPRODUCT(SUMIF(SurtaxRatesSAS!$B$2:$B$324,$C72:$E72,SurtaxRatesSAS!$G$2:$G$324))</f>
        <v>548551.63</v>
      </c>
      <c r="L72" s="39">
        <f>SUMPRODUCT(SUMIF(SurtaxRatesSAS!$B$2:$B$324,$C72:$E72,SurtaxRatesSAS!$H$2:$H$324))</f>
        <v>0</v>
      </c>
      <c r="M72" s="39">
        <f>SUMPRODUCT(SUMIF(SurtaxRatesSAS!$B$2:$B$324,$C72:$E72,SurtaxRatesSAS!$I$2:$I$324))</f>
        <v>548551.63</v>
      </c>
      <c r="N72" s="38"/>
      <c r="O72" s="39" t="e">
        <f>SUMPRODUCT(SUMIF(SurtaxRatesSAS!$B$2:$B$324,$C72:$E72,SurtaxRatesSAS!$L$2:$L$324))</f>
        <v>#REF!</v>
      </c>
      <c r="P72" s="39" t="e">
        <f>SUMPRODUCT(SUMIF(SurtaxRatesSAS!$B$2:$B$324,$C72:$E72,SurtaxRatesSAS!$M$2:$M$324))</f>
        <v>#REF!</v>
      </c>
      <c r="Q72" s="39" t="e">
        <f>SUMPRODUCT(SUMIF(SurtaxRatesSAS!$B$2:$B$324,$C72:$E72,SurtaxRatesSAS!$N$2:$N$324))</f>
        <v>#REF!</v>
      </c>
      <c r="R72" s="38"/>
      <c r="S72" s="39" t="e">
        <f t="shared" si="3"/>
        <v>#REF!</v>
      </c>
      <c r="T72" s="39" t="e">
        <f t="shared" si="4"/>
        <v>#REF!</v>
      </c>
      <c r="U72" s="39" t="e">
        <f t="shared" si="5"/>
        <v>#REF!</v>
      </c>
      <c r="V72" s="29"/>
      <c r="W72" s="31" t="str">
        <f>IF(K72&gt;0,INDEX(cfo!$C$2:$I$326,MATCH(SurtaxPayment!C72,cfo!$C$2:$C$326,0),7),"")</f>
        <v>cindy.mcaleer@csdkq.org</v>
      </c>
      <c r="X72" s="31" t="str">
        <f>IF(IF(K72&gt;0,INDEX(cfo!$C$2:$K$326,MATCH(SurtaxPayment!C72,cfo!$C$2:$C$326,0),9),"")=0,"",IF(K72&gt;0,INDEX(cfo!$C$2:$K$326,MATCH(SurtaxPayment!C72,cfo!$C$2:$C$326,0),9),""))</f>
        <v/>
      </c>
    </row>
    <row r="73" spans="1:24" x14ac:dyDescent="0.25">
      <c r="A73" s="52">
        <v>2025</v>
      </c>
      <c r="B73" s="52" t="s">
        <v>657</v>
      </c>
      <c r="C73" s="57" t="s">
        <v>381</v>
      </c>
      <c r="D73" s="58" t="s">
        <v>693</v>
      </c>
      <c r="E73" s="58" t="s">
        <v>693</v>
      </c>
      <c r="F73" s="58" t="s">
        <v>381</v>
      </c>
      <c r="G73" s="57" t="s">
        <v>67</v>
      </c>
      <c r="H73" s="39">
        <f>SUMPRODUCT(SUMIF(SurtaxRatesSAS!$B$2:$B$324,$C73:$E73,SurtaxRatesSAS!$E$2:$E$324))</f>
        <v>1</v>
      </c>
      <c r="I73" s="39">
        <f>SUMPRODUCT(SUMIF(SurtaxRatesSAS!$B$2:$B$324,$C73:$E73,SurtaxRatesSAS!$D$2:$D$324))</f>
        <v>1</v>
      </c>
      <c r="J73" s="38"/>
      <c r="K73" s="39">
        <f>SUMPRODUCT(SUMIF(SurtaxRatesSAS!$B$2:$B$324,$C73:$E73,SurtaxRatesSAS!$G$2:$G$324))</f>
        <v>92945.53</v>
      </c>
      <c r="L73" s="39">
        <f>SUMPRODUCT(SUMIF(SurtaxRatesSAS!$B$2:$B$324,$C73:$E73,SurtaxRatesSAS!$H$2:$H$324))</f>
        <v>46472.77</v>
      </c>
      <c r="M73" s="39">
        <f>SUMPRODUCT(SUMIF(SurtaxRatesSAS!$B$2:$B$324,$C73:$E73,SurtaxRatesSAS!$I$2:$I$324))</f>
        <v>46472.76</v>
      </c>
      <c r="N73" s="38"/>
      <c r="O73" s="39" t="e">
        <f>SUMPRODUCT(SUMIF(SurtaxRatesSAS!$B$2:$B$324,$C73:$E73,SurtaxRatesSAS!$L$2:$L$324))</f>
        <v>#REF!</v>
      </c>
      <c r="P73" s="39" t="e">
        <f>SUMPRODUCT(SUMIF(SurtaxRatesSAS!$B$2:$B$324,$C73:$E73,SurtaxRatesSAS!$M$2:$M$324))</f>
        <v>#REF!</v>
      </c>
      <c r="Q73" s="39" t="e">
        <f>SUMPRODUCT(SUMIF(SurtaxRatesSAS!$B$2:$B$324,$C73:$E73,SurtaxRatesSAS!$N$2:$N$324))</f>
        <v>#REF!</v>
      </c>
      <c r="R73" s="38"/>
      <c r="S73" s="39" t="e">
        <f t="shared" si="3"/>
        <v>#REF!</v>
      </c>
      <c r="T73" s="39" t="e">
        <f t="shared" si="4"/>
        <v>#REF!</v>
      </c>
      <c r="U73" s="39" t="e">
        <f t="shared" si="5"/>
        <v>#REF!</v>
      </c>
      <c r="V73" s="29"/>
      <c r="W73" s="31" t="str">
        <f>IF(K73&gt;0,INDEX(cfo!$C$2:$I$326,MATCH(SurtaxPayment!C73,cfo!$C$2:$C$326,0),7),"")</f>
        <v>kdisney@colfaxmingo.org</v>
      </c>
      <c r="X73" s="31" t="str">
        <f>IF(IF(K73&gt;0,INDEX(cfo!$C$2:$K$326,MATCH(SurtaxPayment!C73,cfo!$C$2:$C$326,0),9),"")=0,"",IF(K73&gt;0,INDEX(cfo!$C$2:$K$326,MATCH(SurtaxPayment!C73,cfo!$C$2:$C$326,0),9),""))</f>
        <v/>
      </c>
    </row>
    <row r="74" spans="1:24" x14ac:dyDescent="0.25">
      <c r="A74" s="52">
        <v>2025</v>
      </c>
      <c r="B74" s="52" t="s">
        <v>663</v>
      </c>
      <c r="C74" s="57" t="s">
        <v>382</v>
      </c>
      <c r="D74" s="58" t="s">
        <v>693</v>
      </c>
      <c r="E74" s="58" t="s">
        <v>693</v>
      </c>
      <c r="F74" s="58" t="s">
        <v>382</v>
      </c>
      <c r="G74" s="57" t="s">
        <v>705</v>
      </c>
      <c r="H74" s="39">
        <f>SUMPRODUCT(SUMIF(SurtaxRatesSAS!$B$2:$B$324,$C74:$E74,SurtaxRatesSAS!$E$2:$E$324))</f>
        <v>0</v>
      </c>
      <c r="I74" s="39">
        <f>SUMPRODUCT(SUMIF(SurtaxRatesSAS!$B$2:$B$324,$C74:$E74,SurtaxRatesSAS!$D$2:$D$324))</f>
        <v>0</v>
      </c>
      <c r="J74" s="38"/>
      <c r="K74" s="39">
        <f>SUMPRODUCT(SUMIF(SurtaxRatesSAS!$B$2:$B$324,$C74:$E74,SurtaxRatesSAS!$G$2:$G$324))</f>
        <v>0</v>
      </c>
      <c r="L74" s="39">
        <f>SUMPRODUCT(SUMIF(SurtaxRatesSAS!$B$2:$B$324,$C74:$E74,SurtaxRatesSAS!$H$2:$H$324))</f>
        <v>0</v>
      </c>
      <c r="M74" s="39">
        <f>SUMPRODUCT(SUMIF(SurtaxRatesSAS!$B$2:$B$324,$C74:$E74,SurtaxRatesSAS!$I$2:$I$324))</f>
        <v>0</v>
      </c>
      <c r="N74" s="38"/>
      <c r="O74" s="39">
        <f>SUMPRODUCT(SUMIF(SurtaxRatesSAS!$B$2:$B$324,$C74:$E74,SurtaxRatesSAS!$L$2:$L$324))</f>
        <v>0</v>
      </c>
      <c r="P74" s="39">
        <f>SUMPRODUCT(SUMIF(SurtaxRatesSAS!$B$2:$B$324,$C74:$E74,SurtaxRatesSAS!$M$2:$M$324))</f>
        <v>0</v>
      </c>
      <c r="Q74" s="39">
        <f>SUMPRODUCT(SUMIF(SurtaxRatesSAS!$B$2:$B$324,$C74:$E74,SurtaxRatesSAS!$N$2:$N$324))</f>
        <v>0</v>
      </c>
      <c r="R74" s="38"/>
      <c r="S74" s="39">
        <f t="shared" si="3"/>
        <v>0</v>
      </c>
      <c r="T74" s="39">
        <f t="shared" si="4"/>
        <v>0</v>
      </c>
      <c r="U74" s="39">
        <f t="shared" si="5"/>
        <v>0</v>
      </c>
      <c r="V74" s="29"/>
      <c r="W74" s="31" t="str">
        <f>IF(K74&gt;0,INDEX(cfo!$C$2:$I$326,MATCH(SurtaxPayment!C74,cfo!$C$2:$C$326,0),7),"")</f>
        <v/>
      </c>
      <c r="X74" s="31" t="str">
        <f>IF(IF(K74&gt;0,INDEX(cfo!$C$2:$K$326,MATCH(SurtaxPayment!C74,cfo!$C$2:$C$326,0),9),"")=0,"",IF(K74&gt;0,INDEX(cfo!$C$2:$K$326,MATCH(SurtaxPayment!C74,cfo!$C$2:$C$326,0),9),""))</f>
        <v/>
      </c>
    </row>
    <row r="75" spans="1:24" x14ac:dyDescent="0.25">
      <c r="A75" s="52">
        <v>2025</v>
      </c>
      <c r="B75" s="52" t="s">
        <v>657</v>
      </c>
      <c r="C75" s="57" t="s">
        <v>383</v>
      </c>
      <c r="D75" s="58" t="s">
        <v>693</v>
      </c>
      <c r="E75" s="58" t="s">
        <v>693</v>
      </c>
      <c r="F75" s="58" t="s">
        <v>383</v>
      </c>
      <c r="G75" s="57" t="s">
        <v>68</v>
      </c>
      <c r="H75" s="39">
        <f>SUMPRODUCT(SUMIF(SurtaxRatesSAS!$B$2:$B$324,$C75:$E75,SurtaxRatesSAS!$E$2:$E$324))</f>
        <v>0</v>
      </c>
      <c r="I75" s="39">
        <f>SUMPRODUCT(SUMIF(SurtaxRatesSAS!$B$2:$B$324,$C75:$E75,SurtaxRatesSAS!$D$2:$D$324))</f>
        <v>4</v>
      </c>
      <c r="J75" s="38"/>
      <c r="K75" s="39">
        <f>SUMPRODUCT(SUMIF(SurtaxRatesSAS!$B$2:$B$324,$C75:$E75,SurtaxRatesSAS!$G$2:$G$324))</f>
        <v>142556.68</v>
      </c>
      <c r="L75" s="39">
        <f>SUMPRODUCT(SUMIF(SurtaxRatesSAS!$B$2:$B$324,$C75:$E75,SurtaxRatesSAS!$H$2:$H$324))</f>
        <v>0</v>
      </c>
      <c r="M75" s="39">
        <f>SUMPRODUCT(SUMIF(SurtaxRatesSAS!$B$2:$B$324,$C75:$E75,SurtaxRatesSAS!$I$2:$I$324))</f>
        <v>142556.68</v>
      </c>
      <c r="N75" s="38"/>
      <c r="O75" s="39" t="e">
        <f>SUMPRODUCT(SUMIF(SurtaxRatesSAS!$B$2:$B$324,$C75:$E75,SurtaxRatesSAS!$L$2:$L$324))</f>
        <v>#REF!</v>
      </c>
      <c r="P75" s="39" t="e">
        <f>SUMPRODUCT(SUMIF(SurtaxRatesSAS!$B$2:$B$324,$C75:$E75,SurtaxRatesSAS!$M$2:$M$324))</f>
        <v>#REF!</v>
      </c>
      <c r="Q75" s="39" t="e">
        <f>SUMPRODUCT(SUMIF(SurtaxRatesSAS!$B$2:$B$324,$C75:$E75,SurtaxRatesSAS!$N$2:$N$324))</f>
        <v>#REF!</v>
      </c>
      <c r="R75" s="38"/>
      <c r="S75" s="39" t="e">
        <f t="shared" si="3"/>
        <v>#REF!</v>
      </c>
      <c r="T75" s="39" t="e">
        <f t="shared" si="4"/>
        <v>#REF!</v>
      </c>
      <c r="U75" s="39" t="e">
        <f t="shared" si="5"/>
        <v>#REF!</v>
      </c>
      <c r="V75" s="29"/>
      <c r="W75" s="31" t="str">
        <f>IF(K75&gt;0,INDEX(cfo!$C$2:$I$326,MATCH(SurtaxPayment!C75,cfo!$C$2:$C$326,0),7),"")</f>
        <v>trnessa@collins-maxwell.k12.ia.us</v>
      </c>
      <c r="X75" s="31" t="str">
        <f>IF(IF(K75&gt;0,INDEX(cfo!$C$2:$K$326,MATCH(SurtaxPayment!C75,cfo!$C$2:$C$326,0),9),"")=0,"",IF(K75&gt;0,INDEX(cfo!$C$2:$K$326,MATCH(SurtaxPayment!C75,cfo!$C$2:$C$326,0),9),""))</f>
        <v/>
      </c>
    </row>
    <row r="76" spans="1:24" x14ac:dyDescent="0.25">
      <c r="A76" s="52">
        <v>2025</v>
      </c>
      <c r="B76" s="52" t="s">
        <v>657</v>
      </c>
      <c r="C76" s="57" t="s">
        <v>384</v>
      </c>
      <c r="D76" s="58" t="s">
        <v>693</v>
      </c>
      <c r="E76" s="58" t="s">
        <v>693</v>
      </c>
      <c r="F76" s="58" t="s">
        <v>384</v>
      </c>
      <c r="G76" s="57" t="s">
        <v>69</v>
      </c>
      <c r="H76" s="39">
        <f>SUMPRODUCT(SUMIF(SurtaxRatesSAS!$B$2:$B$324,$C76:$E76,SurtaxRatesSAS!$E$2:$E$324))</f>
        <v>0</v>
      </c>
      <c r="I76" s="39">
        <f>SUMPRODUCT(SUMIF(SurtaxRatesSAS!$B$2:$B$324,$C76:$E76,SurtaxRatesSAS!$D$2:$D$324))</f>
        <v>5</v>
      </c>
      <c r="J76" s="38"/>
      <c r="K76" s="39">
        <f>SUMPRODUCT(SUMIF(SurtaxRatesSAS!$B$2:$B$324,$C76:$E76,SurtaxRatesSAS!$G$2:$G$324))</f>
        <v>157112.63</v>
      </c>
      <c r="L76" s="39">
        <f>SUMPRODUCT(SUMIF(SurtaxRatesSAS!$B$2:$B$324,$C76:$E76,SurtaxRatesSAS!$H$2:$H$324))</f>
        <v>0</v>
      </c>
      <c r="M76" s="39">
        <f>SUMPRODUCT(SUMIF(SurtaxRatesSAS!$B$2:$B$324,$C76:$E76,SurtaxRatesSAS!$I$2:$I$324))</f>
        <v>157112.63</v>
      </c>
      <c r="N76" s="38"/>
      <c r="O76" s="39" t="e">
        <f>SUMPRODUCT(SUMIF(SurtaxRatesSAS!$B$2:$B$324,$C76:$E76,SurtaxRatesSAS!$L$2:$L$324))</f>
        <v>#REF!</v>
      </c>
      <c r="P76" s="39" t="e">
        <f>SUMPRODUCT(SUMIF(SurtaxRatesSAS!$B$2:$B$324,$C76:$E76,SurtaxRatesSAS!$M$2:$M$324))</f>
        <v>#REF!</v>
      </c>
      <c r="Q76" s="39" t="e">
        <f>SUMPRODUCT(SUMIF(SurtaxRatesSAS!$B$2:$B$324,$C76:$E76,SurtaxRatesSAS!$N$2:$N$324))</f>
        <v>#REF!</v>
      </c>
      <c r="R76" s="38"/>
      <c r="S76" s="39" t="e">
        <f t="shared" si="3"/>
        <v>#REF!</v>
      </c>
      <c r="T76" s="39" t="e">
        <f t="shared" si="4"/>
        <v>#REF!</v>
      </c>
      <c r="U76" s="39" t="e">
        <f t="shared" si="5"/>
        <v>#REF!</v>
      </c>
      <c r="V76" s="29"/>
      <c r="W76" s="31" t="str">
        <f>IF(K76&gt;0,INDEX(cfo!$C$2:$I$326,MATCH(SurtaxPayment!C76,cfo!$C$2:$C$326,0),7),"")</f>
        <v>trnessa@colo-nesco.k12.ia.us</v>
      </c>
      <c r="X76" s="31" t="str">
        <f>IF(IF(K76&gt;0,INDEX(cfo!$C$2:$K$326,MATCH(SurtaxPayment!C76,cfo!$C$2:$C$326,0),9),"")=0,"",IF(K76&gt;0,INDEX(cfo!$C$2:$K$326,MATCH(SurtaxPayment!C76,cfo!$C$2:$C$326,0),9),""))</f>
        <v/>
      </c>
    </row>
    <row r="77" spans="1:24" x14ac:dyDescent="0.25">
      <c r="A77" s="52">
        <v>2025</v>
      </c>
      <c r="B77" s="52" t="s">
        <v>666</v>
      </c>
      <c r="C77" s="57" t="s">
        <v>385</v>
      </c>
      <c r="D77" s="58" t="s">
        <v>693</v>
      </c>
      <c r="E77" s="58" t="s">
        <v>693</v>
      </c>
      <c r="F77" s="58" t="s">
        <v>385</v>
      </c>
      <c r="G77" s="57" t="s">
        <v>70</v>
      </c>
      <c r="H77" s="39">
        <f>SUMPRODUCT(SUMIF(SurtaxRatesSAS!$B$2:$B$324,$C77:$E77,SurtaxRatesSAS!$E$2:$E$324))</f>
        <v>0</v>
      </c>
      <c r="I77" s="39">
        <f>SUMPRODUCT(SUMIF(SurtaxRatesSAS!$B$2:$B$324,$C77:$E77,SurtaxRatesSAS!$D$2:$D$324))</f>
        <v>10</v>
      </c>
      <c r="J77" s="38"/>
      <c r="K77" s="39">
        <f>SUMPRODUCT(SUMIF(SurtaxRatesSAS!$B$2:$B$324,$C77:$E77,SurtaxRatesSAS!$G$2:$G$324))</f>
        <v>336095.17</v>
      </c>
      <c r="L77" s="39">
        <f>SUMPRODUCT(SUMIF(SurtaxRatesSAS!$B$2:$B$324,$C77:$E77,SurtaxRatesSAS!$H$2:$H$324))</f>
        <v>0</v>
      </c>
      <c r="M77" s="39">
        <f>SUMPRODUCT(SUMIF(SurtaxRatesSAS!$B$2:$B$324,$C77:$E77,SurtaxRatesSAS!$I$2:$I$324))</f>
        <v>336095.17</v>
      </c>
      <c r="N77" s="38"/>
      <c r="O77" s="39" t="e">
        <f>SUMPRODUCT(SUMIF(SurtaxRatesSAS!$B$2:$B$324,$C77:$E77,SurtaxRatesSAS!$L$2:$L$324))</f>
        <v>#REF!</v>
      </c>
      <c r="P77" s="39" t="e">
        <f>SUMPRODUCT(SUMIF(SurtaxRatesSAS!$B$2:$B$324,$C77:$E77,SurtaxRatesSAS!$M$2:$M$324))</f>
        <v>#REF!</v>
      </c>
      <c r="Q77" s="39" t="e">
        <f>SUMPRODUCT(SUMIF(SurtaxRatesSAS!$B$2:$B$324,$C77:$E77,SurtaxRatesSAS!$N$2:$N$324))</f>
        <v>#REF!</v>
      </c>
      <c r="R77" s="38"/>
      <c r="S77" s="39" t="e">
        <f t="shared" si="3"/>
        <v>#REF!</v>
      </c>
      <c r="T77" s="39" t="e">
        <f t="shared" si="4"/>
        <v>#REF!</v>
      </c>
      <c r="U77" s="39" t="e">
        <f t="shared" si="5"/>
        <v>#REF!</v>
      </c>
      <c r="V77" s="29"/>
      <c r="W77" s="31" t="str">
        <f>IF(K77&gt;0,INDEX(cfo!$C$2:$I$326,MATCH(SurtaxPayment!C77,cfo!$C$2:$C$326,0),7),"")</f>
        <v>neil.mills@columbuscsd.org</v>
      </c>
      <c r="X77" s="31" t="str">
        <f>IF(IF(K77&gt;0,INDEX(cfo!$C$2:$K$326,MATCH(SurtaxPayment!C77,cfo!$C$2:$C$326,0),9),"")=0,"",IF(K77&gt;0,INDEX(cfo!$C$2:$K$326,MATCH(SurtaxPayment!C77,cfo!$C$2:$C$326,0),9),""))</f>
        <v/>
      </c>
    </row>
    <row r="78" spans="1:24" x14ac:dyDescent="0.25">
      <c r="A78" s="52">
        <v>2025</v>
      </c>
      <c r="B78" s="52" t="s">
        <v>657</v>
      </c>
      <c r="C78" s="57" t="s">
        <v>386</v>
      </c>
      <c r="D78" s="58" t="s">
        <v>693</v>
      </c>
      <c r="E78" s="58" t="s">
        <v>693</v>
      </c>
      <c r="F78" s="58" t="s">
        <v>386</v>
      </c>
      <c r="G78" s="57" t="s">
        <v>71</v>
      </c>
      <c r="H78" s="39">
        <f>SUMPRODUCT(SUMIF(SurtaxRatesSAS!$B$2:$B$324,$C78:$E78,SurtaxRatesSAS!$E$2:$E$324))</f>
        <v>0</v>
      </c>
      <c r="I78" s="39">
        <f>SUMPRODUCT(SUMIF(SurtaxRatesSAS!$B$2:$B$324,$C78:$E78,SurtaxRatesSAS!$D$2:$D$324))</f>
        <v>7</v>
      </c>
      <c r="J78" s="38"/>
      <c r="K78" s="39">
        <f>SUMPRODUCT(SUMIF(SurtaxRatesSAS!$B$2:$B$324,$C78:$E78,SurtaxRatesSAS!$G$2:$G$324))</f>
        <v>150984.89000000001</v>
      </c>
      <c r="L78" s="39">
        <f>SUMPRODUCT(SUMIF(SurtaxRatesSAS!$B$2:$B$324,$C78:$E78,SurtaxRatesSAS!$H$2:$H$324))</f>
        <v>0</v>
      </c>
      <c r="M78" s="39">
        <f>SUMPRODUCT(SUMIF(SurtaxRatesSAS!$B$2:$B$324,$C78:$E78,SurtaxRatesSAS!$I$2:$I$324))</f>
        <v>150984.89000000001</v>
      </c>
      <c r="N78" s="38"/>
      <c r="O78" s="39" t="e">
        <f>SUMPRODUCT(SUMIF(SurtaxRatesSAS!$B$2:$B$324,$C78:$E78,SurtaxRatesSAS!$L$2:$L$324))</f>
        <v>#REF!</v>
      </c>
      <c r="P78" s="39" t="e">
        <f>SUMPRODUCT(SUMIF(SurtaxRatesSAS!$B$2:$B$324,$C78:$E78,SurtaxRatesSAS!$M$2:$M$324))</f>
        <v>#REF!</v>
      </c>
      <c r="Q78" s="39" t="e">
        <f>SUMPRODUCT(SUMIF(SurtaxRatesSAS!$B$2:$B$324,$C78:$E78,SurtaxRatesSAS!$N$2:$N$324))</f>
        <v>#REF!</v>
      </c>
      <c r="R78" s="38"/>
      <c r="S78" s="39" t="e">
        <f t="shared" si="3"/>
        <v>#REF!</v>
      </c>
      <c r="T78" s="39" t="e">
        <f t="shared" si="4"/>
        <v>#REF!</v>
      </c>
      <c r="U78" s="39" t="e">
        <f t="shared" si="5"/>
        <v>#REF!</v>
      </c>
      <c r="V78" s="29"/>
      <c r="W78" s="31" t="str">
        <f>IF(K78&gt;0,INDEX(cfo!$C$2:$I$326,MATCH(SurtaxPayment!C78,cfo!$C$2:$C$326,0),7),"")</f>
        <v>paige.lee@crbcrusaders.org</v>
      </c>
      <c r="X78" s="31" t="str">
        <f>IF(IF(K78&gt;0,INDEX(cfo!$C$2:$K$326,MATCH(SurtaxPayment!C78,cfo!$C$2:$C$326,0),9),"")=0,"",IF(K78&gt;0,INDEX(cfo!$C$2:$K$326,MATCH(SurtaxPayment!C78,cfo!$C$2:$C$326,0),9),""))</f>
        <v/>
      </c>
    </row>
    <row r="79" spans="1:24" x14ac:dyDescent="0.25">
      <c r="A79" s="52">
        <v>2025</v>
      </c>
      <c r="B79" s="52" t="s">
        <v>659</v>
      </c>
      <c r="C79" s="57" t="s">
        <v>387</v>
      </c>
      <c r="D79" s="58" t="s">
        <v>693</v>
      </c>
      <c r="E79" s="58" t="s">
        <v>693</v>
      </c>
      <c r="F79" s="58" t="s">
        <v>387</v>
      </c>
      <c r="G79" s="57" t="s">
        <v>72</v>
      </c>
      <c r="H79" s="39">
        <f>SUMPRODUCT(SUMIF(SurtaxRatesSAS!$B$2:$B$324,$C79:$E79,SurtaxRatesSAS!$E$2:$E$324))</f>
        <v>0</v>
      </c>
      <c r="I79" s="39">
        <f>SUMPRODUCT(SUMIF(SurtaxRatesSAS!$B$2:$B$324,$C79:$E79,SurtaxRatesSAS!$D$2:$D$324))</f>
        <v>7</v>
      </c>
      <c r="J79" s="38"/>
      <c r="K79" s="39">
        <f>SUMPRODUCT(SUMIF(SurtaxRatesSAS!$B$2:$B$324,$C79:$E79,SurtaxRatesSAS!$G$2:$G$324))</f>
        <v>159836.85999999999</v>
      </c>
      <c r="L79" s="39">
        <f>SUMPRODUCT(SUMIF(SurtaxRatesSAS!$B$2:$B$324,$C79:$E79,SurtaxRatesSAS!$H$2:$H$324))</f>
        <v>0</v>
      </c>
      <c r="M79" s="39">
        <f>SUMPRODUCT(SUMIF(SurtaxRatesSAS!$B$2:$B$324,$C79:$E79,SurtaxRatesSAS!$I$2:$I$324))</f>
        <v>159836.85999999999</v>
      </c>
      <c r="N79" s="38"/>
      <c r="O79" s="39" t="e">
        <f>SUMPRODUCT(SUMIF(SurtaxRatesSAS!$B$2:$B$324,$C79:$E79,SurtaxRatesSAS!$L$2:$L$324))</f>
        <v>#REF!</v>
      </c>
      <c r="P79" s="39" t="e">
        <f>SUMPRODUCT(SUMIF(SurtaxRatesSAS!$B$2:$B$324,$C79:$E79,SurtaxRatesSAS!$M$2:$M$324))</f>
        <v>#REF!</v>
      </c>
      <c r="Q79" s="39" t="e">
        <f>SUMPRODUCT(SUMIF(SurtaxRatesSAS!$B$2:$B$324,$C79:$E79,SurtaxRatesSAS!$N$2:$N$324))</f>
        <v>#REF!</v>
      </c>
      <c r="R79" s="38"/>
      <c r="S79" s="39" t="e">
        <f t="shared" si="3"/>
        <v>#REF!</v>
      </c>
      <c r="T79" s="39" t="e">
        <f t="shared" si="4"/>
        <v>#REF!</v>
      </c>
      <c r="U79" s="39" t="e">
        <f t="shared" si="5"/>
        <v>#REF!</v>
      </c>
      <c r="V79" s="29"/>
      <c r="W79" s="31" t="str">
        <f>IF(K79&gt;0,INDEX(cfo!$C$2:$I$326,MATCH(SurtaxPayment!C79,cfo!$C$2:$C$326,0),7),"")</f>
        <v>jlyddon@southwestvalley.org</v>
      </c>
      <c r="X79" s="31" t="str">
        <f>IF(IF(K79&gt;0,INDEX(cfo!$C$2:$K$326,MATCH(SurtaxPayment!C79,cfo!$C$2:$C$326,0),9),"")=0,"",IF(K79&gt;0,INDEX(cfo!$C$2:$K$326,MATCH(SurtaxPayment!C79,cfo!$C$2:$C$326,0),9),""))</f>
        <v/>
      </c>
    </row>
    <row r="80" spans="1:24" x14ac:dyDescent="0.25">
      <c r="A80" s="52">
        <v>2025</v>
      </c>
      <c r="B80" s="52" t="s">
        <v>659</v>
      </c>
      <c r="C80" s="57" t="s">
        <v>388</v>
      </c>
      <c r="D80" s="58" t="s">
        <v>693</v>
      </c>
      <c r="E80" s="58" t="s">
        <v>693</v>
      </c>
      <c r="F80" s="58" t="s">
        <v>388</v>
      </c>
      <c r="G80" s="57" t="s">
        <v>706</v>
      </c>
      <c r="H80" s="39">
        <f>SUMPRODUCT(SUMIF(SurtaxRatesSAS!$B$2:$B$324,$C80:$E80,SurtaxRatesSAS!$E$2:$E$324))</f>
        <v>0</v>
      </c>
      <c r="I80" s="39">
        <f>SUMPRODUCT(SUMIF(SurtaxRatesSAS!$B$2:$B$324,$C80:$E80,SurtaxRatesSAS!$D$2:$D$324))</f>
        <v>0</v>
      </c>
      <c r="J80" s="38"/>
      <c r="K80" s="39">
        <f>SUMPRODUCT(SUMIF(SurtaxRatesSAS!$B$2:$B$324,$C80:$E80,SurtaxRatesSAS!$G$2:$G$324))</f>
        <v>0</v>
      </c>
      <c r="L80" s="39">
        <f>SUMPRODUCT(SUMIF(SurtaxRatesSAS!$B$2:$B$324,$C80:$E80,SurtaxRatesSAS!$H$2:$H$324))</f>
        <v>0</v>
      </c>
      <c r="M80" s="39">
        <f>SUMPRODUCT(SUMIF(SurtaxRatesSAS!$B$2:$B$324,$C80:$E80,SurtaxRatesSAS!$I$2:$I$324))</f>
        <v>0</v>
      </c>
      <c r="N80" s="38"/>
      <c r="O80" s="39">
        <f>SUMPRODUCT(SUMIF(SurtaxRatesSAS!$B$2:$B$324,$C80:$E80,SurtaxRatesSAS!$L$2:$L$324))</f>
        <v>0</v>
      </c>
      <c r="P80" s="39">
        <f>SUMPRODUCT(SUMIF(SurtaxRatesSAS!$B$2:$B$324,$C80:$E80,SurtaxRatesSAS!$M$2:$M$324))</f>
        <v>0</v>
      </c>
      <c r="Q80" s="39">
        <f>SUMPRODUCT(SUMIF(SurtaxRatesSAS!$B$2:$B$324,$C80:$E80,SurtaxRatesSAS!$N$2:$N$324))</f>
        <v>0</v>
      </c>
      <c r="R80" s="38"/>
      <c r="S80" s="39">
        <f t="shared" si="3"/>
        <v>0</v>
      </c>
      <c r="T80" s="39">
        <f t="shared" si="4"/>
        <v>0</v>
      </c>
      <c r="U80" s="39">
        <f t="shared" si="5"/>
        <v>0</v>
      </c>
      <c r="V80" s="29"/>
      <c r="W80" s="31" t="str">
        <f>IF(K80&gt;0,INDEX(cfo!$C$2:$I$326,MATCH(SurtaxPayment!C80,cfo!$C$2:$C$326,0),7),"")</f>
        <v/>
      </c>
      <c r="X80" s="31" t="str">
        <f>IF(IF(K80&gt;0,INDEX(cfo!$C$2:$K$326,MATCH(SurtaxPayment!C80,cfo!$C$2:$C$326,0),9),"")=0,"",IF(K80&gt;0,INDEX(cfo!$C$2:$K$326,MATCH(SurtaxPayment!C80,cfo!$C$2:$C$326,0),9),""))</f>
        <v/>
      </c>
    </row>
    <row r="81" spans="1:24" x14ac:dyDescent="0.25">
      <c r="A81" s="52">
        <v>2025</v>
      </c>
      <c r="B81" s="52" t="s">
        <v>659</v>
      </c>
      <c r="C81" s="57" t="s">
        <v>389</v>
      </c>
      <c r="D81" s="58" t="s">
        <v>693</v>
      </c>
      <c r="E81" s="58" t="s">
        <v>693</v>
      </c>
      <c r="F81" s="58" t="s">
        <v>389</v>
      </c>
      <c r="G81" s="57" t="s">
        <v>73</v>
      </c>
      <c r="H81" s="39">
        <f>SUMPRODUCT(SUMIF(SurtaxRatesSAS!$B$2:$B$324,$C81:$E81,SurtaxRatesSAS!$E$2:$E$324))</f>
        <v>2</v>
      </c>
      <c r="I81" s="39">
        <f>SUMPRODUCT(SUMIF(SurtaxRatesSAS!$B$2:$B$324,$C81:$E81,SurtaxRatesSAS!$D$2:$D$324))</f>
        <v>6</v>
      </c>
      <c r="J81" s="38"/>
      <c r="K81" s="39">
        <f>SUMPRODUCT(SUMIF(SurtaxRatesSAS!$B$2:$B$324,$C81:$E81,SurtaxRatesSAS!$G$2:$G$324))</f>
        <v>622412</v>
      </c>
      <c r="L81" s="39">
        <f>SUMPRODUCT(SUMIF(SurtaxRatesSAS!$B$2:$B$324,$C81:$E81,SurtaxRatesSAS!$H$2:$H$324))</f>
        <v>155603</v>
      </c>
      <c r="M81" s="39">
        <f>SUMPRODUCT(SUMIF(SurtaxRatesSAS!$B$2:$B$324,$C81:$E81,SurtaxRatesSAS!$I$2:$I$324))</f>
        <v>466809</v>
      </c>
      <c r="N81" s="38"/>
      <c r="O81" s="39" t="e">
        <f>SUMPRODUCT(SUMIF(SurtaxRatesSAS!$B$2:$B$324,$C81:$E81,SurtaxRatesSAS!$L$2:$L$324))</f>
        <v>#REF!</v>
      </c>
      <c r="P81" s="39" t="e">
        <f>SUMPRODUCT(SUMIF(SurtaxRatesSAS!$B$2:$B$324,$C81:$E81,SurtaxRatesSAS!$M$2:$M$324))</f>
        <v>#REF!</v>
      </c>
      <c r="Q81" s="39" t="e">
        <f>SUMPRODUCT(SUMIF(SurtaxRatesSAS!$B$2:$B$324,$C81:$E81,SurtaxRatesSAS!$N$2:$N$324))</f>
        <v>#REF!</v>
      </c>
      <c r="R81" s="38"/>
      <c r="S81" s="39" t="e">
        <f t="shared" si="3"/>
        <v>#REF!</v>
      </c>
      <c r="T81" s="39" t="e">
        <f t="shared" si="4"/>
        <v>#REF!</v>
      </c>
      <c r="U81" s="39" t="e">
        <f t="shared" si="5"/>
        <v>#REF!</v>
      </c>
      <c r="V81" s="29"/>
      <c r="W81" s="31" t="str">
        <f>IF(K81&gt;0,INDEX(cfo!$C$2:$I$326,MATCH(SurtaxPayment!C81,cfo!$C$2:$C$326,0),7),"")</f>
        <v>bgreene@crestonschools.org</v>
      </c>
      <c r="X81" s="31" t="str">
        <f>IF(IF(K81&gt;0,INDEX(cfo!$C$2:$K$326,MATCH(SurtaxPayment!C81,cfo!$C$2:$C$326,0),9),"")=0,"",IF(K81&gt;0,INDEX(cfo!$C$2:$K$326,MATCH(SurtaxPayment!C81,cfo!$C$2:$C$326,0),9),""))</f>
        <v/>
      </c>
    </row>
    <row r="82" spans="1:24" x14ac:dyDescent="0.25">
      <c r="A82" s="52">
        <v>2025</v>
      </c>
      <c r="B82" s="52" t="s">
        <v>657</v>
      </c>
      <c r="C82" s="57" t="s">
        <v>390</v>
      </c>
      <c r="D82" s="58" t="s">
        <v>693</v>
      </c>
      <c r="E82" s="58" t="s">
        <v>693</v>
      </c>
      <c r="F82" s="58" t="s">
        <v>390</v>
      </c>
      <c r="G82" s="57" t="s">
        <v>707</v>
      </c>
      <c r="H82" s="39">
        <f>SUMPRODUCT(SUMIF(SurtaxRatesSAS!$B$2:$B$324,$C82:$E82,SurtaxRatesSAS!$E$2:$E$324))</f>
        <v>0</v>
      </c>
      <c r="I82" s="39">
        <f>SUMPRODUCT(SUMIF(SurtaxRatesSAS!$B$2:$B$324,$C82:$E82,SurtaxRatesSAS!$D$2:$D$324))</f>
        <v>0</v>
      </c>
      <c r="J82" s="38"/>
      <c r="K82" s="39">
        <f>SUMPRODUCT(SUMIF(SurtaxRatesSAS!$B$2:$B$324,$C82:$E82,SurtaxRatesSAS!$G$2:$G$324))</f>
        <v>0</v>
      </c>
      <c r="L82" s="39">
        <f>SUMPRODUCT(SUMIF(SurtaxRatesSAS!$B$2:$B$324,$C82:$E82,SurtaxRatesSAS!$H$2:$H$324))</f>
        <v>0</v>
      </c>
      <c r="M82" s="39">
        <f>SUMPRODUCT(SUMIF(SurtaxRatesSAS!$B$2:$B$324,$C82:$E82,SurtaxRatesSAS!$I$2:$I$324))</f>
        <v>0</v>
      </c>
      <c r="N82" s="38"/>
      <c r="O82" s="39">
        <f>SUMPRODUCT(SUMIF(SurtaxRatesSAS!$B$2:$B$324,$C82:$E82,SurtaxRatesSAS!$L$2:$L$324))</f>
        <v>0</v>
      </c>
      <c r="P82" s="39">
        <f>SUMPRODUCT(SUMIF(SurtaxRatesSAS!$B$2:$B$324,$C82:$E82,SurtaxRatesSAS!$M$2:$M$324))</f>
        <v>0</v>
      </c>
      <c r="Q82" s="39">
        <f>SUMPRODUCT(SUMIF(SurtaxRatesSAS!$B$2:$B$324,$C82:$E82,SurtaxRatesSAS!$N$2:$N$324))</f>
        <v>0</v>
      </c>
      <c r="R82" s="38"/>
      <c r="S82" s="39">
        <f t="shared" si="3"/>
        <v>0</v>
      </c>
      <c r="T82" s="39">
        <f t="shared" si="4"/>
        <v>0</v>
      </c>
      <c r="U82" s="39">
        <f t="shared" si="5"/>
        <v>0</v>
      </c>
      <c r="V82" s="29"/>
      <c r="W82" s="31" t="str">
        <f>IF(K82&gt;0,INDEX(cfo!$C$2:$I$326,MATCH(SurtaxPayment!C82,cfo!$C$2:$C$326,0),7),"")</f>
        <v/>
      </c>
      <c r="X82" s="31" t="str">
        <f>IF(IF(K82&gt;0,INDEX(cfo!$C$2:$K$326,MATCH(SurtaxPayment!C82,cfo!$C$2:$C$326,0),9),"")=0,"",IF(K82&gt;0,INDEX(cfo!$C$2:$K$326,MATCH(SurtaxPayment!C82,cfo!$C$2:$C$326,0),9),""))</f>
        <v/>
      </c>
    </row>
    <row r="83" spans="1:24" x14ac:dyDescent="0.25">
      <c r="A83" s="52">
        <v>2025</v>
      </c>
      <c r="B83" s="52" t="s">
        <v>662</v>
      </c>
      <c r="C83" s="57" t="s">
        <v>391</v>
      </c>
      <c r="D83" s="58" t="s">
        <v>693</v>
      </c>
      <c r="E83" s="58" t="s">
        <v>693</v>
      </c>
      <c r="F83" s="58" t="s">
        <v>391</v>
      </c>
      <c r="G83" s="57" t="s">
        <v>74</v>
      </c>
      <c r="H83" s="39">
        <f>SUMPRODUCT(SUMIF(SurtaxRatesSAS!$B$2:$B$324,$C83:$E83,SurtaxRatesSAS!$E$2:$E$324))</f>
        <v>0</v>
      </c>
      <c r="I83" s="39">
        <f>SUMPRODUCT(SUMIF(SurtaxRatesSAS!$B$2:$B$324,$C83:$E83,SurtaxRatesSAS!$D$2:$D$324))</f>
        <v>7</v>
      </c>
      <c r="J83" s="38"/>
      <c r="K83" s="39">
        <f>SUMPRODUCT(SUMIF(SurtaxRatesSAS!$B$2:$B$324,$C83:$E83,SurtaxRatesSAS!$G$2:$G$324))</f>
        <v>209532.57</v>
      </c>
      <c r="L83" s="39">
        <f>SUMPRODUCT(SUMIF(SurtaxRatesSAS!$B$2:$B$324,$C83:$E83,SurtaxRatesSAS!$H$2:$H$324))</f>
        <v>0</v>
      </c>
      <c r="M83" s="39">
        <f>SUMPRODUCT(SUMIF(SurtaxRatesSAS!$B$2:$B$324,$C83:$E83,SurtaxRatesSAS!$I$2:$I$324))</f>
        <v>209532.57</v>
      </c>
      <c r="N83" s="38"/>
      <c r="O83" s="39" t="e">
        <f>SUMPRODUCT(SUMIF(SurtaxRatesSAS!$B$2:$B$324,$C83:$E83,SurtaxRatesSAS!$L$2:$L$324))</f>
        <v>#REF!</v>
      </c>
      <c r="P83" s="39" t="e">
        <f>SUMPRODUCT(SUMIF(SurtaxRatesSAS!$B$2:$B$324,$C83:$E83,SurtaxRatesSAS!$M$2:$M$324))</f>
        <v>#REF!</v>
      </c>
      <c r="Q83" s="39" t="e">
        <f>SUMPRODUCT(SUMIF(SurtaxRatesSAS!$B$2:$B$324,$C83:$E83,SurtaxRatesSAS!$N$2:$N$324))</f>
        <v>#REF!</v>
      </c>
      <c r="R83" s="38"/>
      <c r="S83" s="39" t="e">
        <f t="shared" si="3"/>
        <v>#REF!</v>
      </c>
      <c r="T83" s="39" t="e">
        <f t="shared" si="4"/>
        <v>#REF!</v>
      </c>
      <c r="U83" s="39" t="e">
        <f t="shared" si="5"/>
        <v>#REF!</v>
      </c>
      <c r="V83" s="29"/>
      <c r="W83" s="31" t="str">
        <f>IF(K83&gt;0,INDEX(cfo!$C$2:$I$326,MATCH(SurtaxPayment!C83,cfo!$C$2:$C$326,0),7),"")</f>
        <v>janelle.schneiderman@danvillecsd.org</v>
      </c>
      <c r="X83" s="31" t="str">
        <f>IF(IF(K83&gt;0,INDEX(cfo!$C$2:$K$326,MATCH(SurtaxPayment!C83,cfo!$C$2:$C$326,0),9),"")=0,"",IF(K83&gt;0,INDEX(cfo!$C$2:$K$326,MATCH(SurtaxPayment!C83,cfo!$C$2:$C$326,0),9),""))</f>
        <v/>
      </c>
    </row>
    <row r="84" spans="1:24" x14ac:dyDescent="0.25">
      <c r="A84" s="52">
        <v>2025</v>
      </c>
      <c r="B84" s="52" t="s">
        <v>666</v>
      </c>
      <c r="C84" s="57" t="s">
        <v>392</v>
      </c>
      <c r="D84" s="58" t="s">
        <v>693</v>
      </c>
      <c r="E84" s="58" t="s">
        <v>693</v>
      </c>
      <c r="F84" s="58" t="s">
        <v>392</v>
      </c>
      <c r="G84" s="57" t="s">
        <v>708</v>
      </c>
      <c r="H84" s="39">
        <f>SUMPRODUCT(SUMIF(SurtaxRatesSAS!$B$2:$B$324,$C84:$E84,SurtaxRatesSAS!$E$2:$E$324))</f>
        <v>0</v>
      </c>
      <c r="I84" s="39">
        <f>SUMPRODUCT(SUMIF(SurtaxRatesSAS!$B$2:$B$324,$C84:$E84,SurtaxRatesSAS!$D$2:$D$324))</f>
        <v>0</v>
      </c>
      <c r="J84" s="38"/>
      <c r="K84" s="39">
        <f>SUMPRODUCT(SUMIF(SurtaxRatesSAS!$B$2:$B$324,$C84:$E84,SurtaxRatesSAS!$G$2:$G$324))</f>
        <v>0</v>
      </c>
      <c r="L84" s="39">
        <f>SUMPRODUCT(SUMIF(SurtaxRatesSAS!$B$2:$B$324,$C84:$E84,SurtaxRatesSAS!$H$2:$H$324))</f>
        <v>0</v>
      </c>
      <c r="M84" s="39">
        <f>SUMPRODUCT(SUMIF(SurtaxRatesSAS!$B$2:$B$324,$C84:$E84,SurtaxRatesSAS!$I$2:$I$324))</f>
        <v>0</v>
      </c>
      <c r="N84" s="38"/>
      <c r="O84" s="39">
        <f>SUMPRODUCT(SUMIF(SurtaxRatesSAS!$B$2:$B$324,$C84:$E84,SurtaxRatesSAS!$L$2:$L$324))</f>
        <v>0</v>
      </c>
      <c r="P84" s="39">
        <f>SUMPRODUCT(SUMIF(SurtaxRatesSAS!$B$2:$B$324,$C84:$E84,SurtaxRatesSAS!$M$2:$M$324))</f>
        <v>0</v>
      </c>
      <c r="Q84" s="39">
        <f>SUMPRODUCT(SUMIF(SurtaxRatesSAS!$B$2:$B$324,$C84:$E84,SurtaxRatesSAS!$N$2:$N$324))</f>
        <v>0</v>
      </c>
      <c r="R84" s="38"/>
      <c r="S84" s="39">
        <f t="shared" si="3"/>
        <v>0</v>
      </c>
      <c r="T84" s="39">
        <f t="shared" si="4"/>
        <v>0</v>
      </c>
      <c r="U84" s="39">
        <f t="shared" si="5"/>
        <v>0</v>
      </c>
      <c r="V84" s="29"/>
      <c r="W84" s="31" t="str">
        <f>IF(K84&gt;0,INDEX(cfo!$C$2:$I$326,MATCH(SurtaxPayment!C84,cfo!$C$2:$C$326,0),7),"")</f>
        <v/>
      </c>
      <c r="X84" s="31" t="str">
        <f>IF(IF(K84&gt;0,INDEX(cfo!$C$2:$K$326,MATCH(SurtaxPayment!C84,cfo!$C$2:$C$326,0),9),"")=0,"",IF(K84&gt;0,INDEX(cfo!$C$2:$K$326,MATCH(SurtaxPayment!C84,cfo!$C$2:$C$326,0),9),""))</f>
        <v/>
      </c>
    </row>
    <row r="85" spans="1:24" x14ac:dyDescent="0.25">
      <c r="A85" s="52">
        <v>2025</v>
      </c>
      <c r="B85" s="52" t="s">
        <v>662</v>
      </c>
      <c r="C85" s="57" t="s">
        <v>393</v>
      </c>
      <c r="D85" s="58" t="s">
        <v>693</v>
      </c>
      <c r="E85" s="58" t="s">
        <v>693</v>
      </c>
      <c r="F85" s="58" t="s">
        <v>393</v>
      </c>
      <c r="G85" s="57" t="s">
        <v>75</v>
      </c>
      <c r="H85" s="39">
        <f>SUMPRODUCT(SUMIF(SurtaxRatesSAS!$B$2:$B$324,$C85:$E85,SurtaxRatesSAS!$E$2:$E$324))</f>
        <v>0</v>
      </c>
      <c r="I85" s="39">
        <f>SUMPRODUCT(SUMIF(SurtaxRatesSAS!$B$2:$B$324,$C85:$E85,SurtaxRatesSAS!$D$2:$D$324))</f>
        <v>1</v>
      </c>
      <c r="J85" s="38"/>
      <c r="K85" s="39">
        <f>SUMPRODUCT(SUMIF(SurtaxRatesSAS!$B$2:$B$324,$C85:$E85,SurtaxRatesSAS!$G$2:$G$324))</f>
        <v>68647.320000000007</v>
      </c>
      <c r="L85" s="39">
        <f>SUMPRODUCT(SUMIF(SurtaxRatesSAS!$B$2:$B$324,$C85:$E85,SurtaxRatesSAS!$H$2:$H$324))</f>
        <v>0</v>
      </c>
      <c r="M85" s="39">
        <f>SUMPRODUCT(SUMIF(SurtaxRatesSAS!$B$2:$B$324,$C85:$E85,SurtaxRatesSAS!$I$2:$I$324))</f>
        <v>68647.320000000007</v>
      </c>
      <c r="N85" s="38"/>
      <c r="O85" s="39" t="e">
        <f>SUMPRODUCT(SUMIF(SurtaxRatesSAS!$B$2:$B$324,$C85:$E85,SurtaxRatesSAS!$L$2:$L$324))</f>
        <v>#REF!</v>
      </c>
      <c r="P85" s="39" t="e">
        <f>SUMPRODUCT(SUMIF(SurtaxRatesSAS!$B$2:$B$324,$C85:$E85,SurtaxRatesSAS!$M$2:$M$324))</f>
        <v>#REF!</v>
      </c>
      <c r="Q85" s="39" t="e">
        <f>SUMPRODUCT(SUMIF(SurtaxRatesSAS!$B$2:$B$324,$C85:$E85,SurtaxRatesSAS!$N$2:$N$324))</f>
        <v>#REF!</v>
      </c>
      <c r="R85" s="38"/>
      <c r="S85" s="39" t="e">
        <f t="shared" si="3"/>
        <v>#REF!</v>
      </c>
      <c r="T85" s="39" t="e">
        <f t="shared" si="4"/>
        <v>#REF!</v>
      </c>
      <c r="U85" s="39" t="e">
        <f t="shared" si="5"/>
        <v>#REF!</v>
      </c>
      <c r="V85" s="29"/>
      <c r="W85" s="31" t="str">
        <f>IF(K85&gt;0,INDEX(cfo!$C$2:$I$326,MATCH(SurtaxPayment!C85,cfo!$C$2:$C$326,0),7),"")</f>
        <v>cole.rushing@dcmustangs.com</v>
      </c>
      <c r="X85" s="31" t="str">
        <f>IF(IF(K85&gt;0,INDEX(cfo!$C$2:$K$326,MATCH(SurtaxPayment!C85,cfo!$C$2:$C$326,0),9),"")=0,"",IF(K85&gt;0,INDEX(cfo!$C$2:$K$326,MATCH(SurtaxPayment!C85,cfo!$C$2:$C$326,0),9),""))</f>
        <v/>
      </c>
    </row>
    <row r="86" spans="1:24" x14ac:dyDescent="0.25">
      <c r="A86" s="52">
        <v>2025</v>
      </c>
      <c r="B86" s="52" t="s">
        <v>665</v>
      </c>
      <c r="C86" s="57" t="s">
        <v>394</v>
      </c>
      <c r="D86" s="58" t="s">
        <v>693</v>
      </c>
      <c r="E86" s="58" t="s">
        <v>693</v>
      </c>
      <c r="F86" s="58" t="s">
        <v>394</v>
      </c>
      <c r="G86" s="57" t="s">
        <v>76</v>
      </c>
      <c r="H86" s="39">
        <f>SUMPRODUCT(SUMIF(SurtaxRatesSAS!$B$2:$B$324,$C86:$E86,SurtaxRatesSAS!$E$2:$E$324))</f>
        <v>0</v>
      </c>
      <c r="I86" s="39">
        <f>SUMPRODUCT(SUMIF(SurtaxRatesSAS!$B$2:$B$324,$C86:$E86,SurtaxRatesSAS!$D$2:$D$324))</f>
        <v>6</v>
      </c>
      <c r="J86" s="38"/>
      <c r="K86" s="39">
        <f>SUMPRODUCT(SUMIF(SurtaxRatesSAS!$B$2:$B$324,$C86:$E86,SurtaxRatesSAS!$G$2:$G$324))</f>
        <v>834449.68</v>
      </c>
      <c r="L86" s="39">
        <f>SUMPRODUCT(SUMIF(SurtaxRatesSAS!$B$2:$B$324,$C86:$E86,SurtaxRatesSAS!$H$2:$H$324))</f>
        <v>0</v>
      </c>
      <c r="M86" s="39">
        <f>SUMPRODUCT(SUMIF(SurtaxRatesSAS!$B$2:$B$324,$C86:$E86,SurtaxRatesSAS!$I$2:$I$324))</f>
        <v>834449.68</v>
      </c>
      <c r="N86" s="38"/>
      <c r="O86" s="39" t="e">
        <f>SUMPRODUCT(SUMIF(SurtaxRatesSAS!$B$2:$B$324,$C86:$E86,SurtaxRatesSAS!$L$2:$L$324))</f>
        <v>#REF!</v>
      </c>
      <c r="P86" s="39" t="e">
        <f>SUMPRODUCT(SUMIF(SurtaxRatesSAS!$B$2:$B$324,$C86:$E86,SurtaxRatesSAS!$M$2:$M$324))</f>
        <v>#REF!</v>
      </c>
      <c r="Q86" s="39" t="e">
        <f>SUMPRODUCT(SUMIF(SurtaxRatesSAS!$B$2:$B$324,$C86:$E86,SurtaxRatesSAS!$N$2:$N$324))</f>
        <v>#REF!</v>
      </c>
      <c r="R86" s="38"/>
      <c r="S86" s="39" t="e">
        <f t="shared" si="3"/>
        <v>#REF!</v>
      </c>
      <c r="T86" s="39" t="e">
        <f t="shared" si="4"/>
        <v>#REF!</v>
      </c>
      <c r="U86" s="39" t="e">
        <f t="shared" si="5"/>
        <v>#REF!</v>
      </c>
      <c r="V86" s="29"/>
      <c r="W86" s="31" t="str">
        <f>IF(K86&gt;0,INDEX(cfo!$C$2:$I$326,MATCH(SurtaxPayment!C86,cfo!$C$2:$C$326,0),7),"")</f>
        <v>cathy.dietzenbach@decorah.k12.ia.us</v>
      </c>
      <c r="X86" s="31" t="str">
        <f>IF(IF(K86&gt;0,INDEX(cfo!$C$2:$K$326,MATCH(SurtaxPayment!C86,cfo!$C$2:$C$326,0),9),"")=0,"",IF(K86&gt;0,INDEX(cfo!$C$2:$K$326,MATCH(SurtaxPayment!C86,cfo!$C$2:$C$326,0),9),""))</f>
        <v/>
      </c>
    </row>
    <row r="87" spans="1:24" x14ac:dyDescent="0.25">
      <c r="A87" s="52">
        <v>2025</v>
      </c>
      <c r="B87" s="52" t="s">
        <v>666</v>
      </c>
      <c r="C87" s="57" t="s">
        <v>395</v>
      </c>
      <c r="D87" s="58" t="s">
        <v>693</v>
      </c>
      <c r="E87" s="58" t="s">
        <v>693</v>
      </c>
      <c r="F87" s="58" t="s">
        <v>395</v>
      </c>
      <c r="G87" s="57" t="s">
        <v>77</v>
      </c>
      <c r="H87" s="39">
        <f>SUMPRODUCT(SUMIF(SurtaxRatesSAS!$B$2:$B$324,$C87:$E87,SurtaxRatesSAS!$E$2:$E$324))</f>
        <v>0</v>
      </c>
      <c r="I87" s="39">
        <f>SUMPRODUCT(SUMIF(SurtaxRatesSAS!$B$2:$B$324,$C87:$E87,SurtaxRatesSAS!$D$2:$D$324))</f>
        <v>9</v>
      </c>
      <c r="J87" s="38"/>
      <c r="K87" s="39">
        <f>SUMPRODUCT(SUMIF(SurtaxRatesSAS!$B$2:$B$324,$C87:$E87,SurtaxRatesSAS!$G$2:$G$324))</f>
        <v>100855.65</v>
      </c>
      <c r="L87" s="39">
        <f>SUMPRODUCT(SUMIF(SurtaxRatesSAS!$B$2:$B$324,$C87:$E87,SurtaxRatesSAS!$H$2:$H$324))</f>
        <v>0</v>
      </c>
      <c r="M87" s="39">
        <f>SUMPRODUCT(SUMIF(SurtaxRatesSAS!$B$2:$B$324,$C87:$E87,SurtaxRatesSAS!$I$2:$I$324))</f>
        <v>100855.65</v>
      </c>
      <c r="N87" s="38"/>
      <c r="O87" s="39" t="e">
        <f>SUMPRODUCT(SUMIF(SurtaxRatesSAS!$B$2:$B$324,$C87:$E87,SurtaxRatesSAS!$L$2:$L$324))</f>
        <v>#REF!</v>
      </c>
      <c r="P87" s="39" t="e">
        <f>SUMPRODUCT(SUMIF(SurtaxRatesSAS!$B$2:$B$324,$C87:$E87,SurtaxRatesSAS!$M$2:$M$324))</f>
        <v>#REF!</v>
      </c>
      <c r="Q87" s="39" t="e">
        <f>SUMPRODUCT(SUMIF(SurtaxRatesSAS!$B$2:$B$324,$C87:$E87,SurtaxRatesSAS!$N$2:$N$324))</f>
        <v>#REF!</v>
      </c>
      <c r="R87" s="38"/>
      <c r="S87" s="39" t="e">
        <f t="shared" si="3"/>
        <v>#REF!</v>
      </c>
      <c r="T87" s="39" t="e">
        <f t="shared" si="4"/>
        <v>#REF!</v>
      </c>
      <c r="U87" s="39" t="e">
        <f t="shared" si="5"/>
        <v>#REF!</v>
      </c>
      <c r="V87" s="29"/>
      <c r="W87" s="31" t="str">
        <f>IF(K87&gt;0,INDEX(cfo!$C$2:$I$326,MATCH(SurtaxPayment!C87,cfo!$C$2:$C$326,0),7),"")</f>
        <v>acrigger@delwood.k12.ia.us</v>
      </c>
      <c r="X87" s="31" t="str">
        <f>IF(IF(K87&gt;0,INDEX(cfo!$C$2:$K$326,MATCH(SurtaxPayment!C87,cfo!$C$2:$C$326,0),9),"")=0,"",IF(K87&gt;0,INDEX(cfo!$C$2:$K$326,MATCH(SurtaxPayment!C87,cfo!$C$2:$C$326,0),9),""))</f>
        <v/>
      </c>
    </row>
    <row r="88" spans="1:24" x14ac:dyDescent="0.25">
      <c r="A88" s="52">
        <v>2025</v>
      </c>
      <c r="B88" s="52" t="s">
        <v>660</v>
      </c>
      <c r="C88" s="57" t="s">
        <v>396</v>
      </c>
      <c r="D88" s="58" t="s">
        <v>693</v>
      </c>
      <c r="E88" s="58" t="s">
        <v>693</v>
      </c>
      <c r="F88" s="58" t="s">
        <v>396</v>
      </c>
      <c r="G88" s="57" t="s">
        <v>78</v>
      </c>
      <c r="H88" s="39">
        <f>SUMPRODUCT(SUMIF(SurtaxRatesSAS!$B$2:$B$324,$C88:$E88,SurtaxRatesSAS!$E$2:$E$324))</f>
        <v>0</v>
      </c>
      <c r="I88" s="39">
        <f>SUMPRODUCT(SUMIF(SurtaxRatesSAS!$B$2:$B$324,$C88:$E88,SurtaxRatesSAS!$D$2:$D$324))</f>
        <v>3</v>
      </c>
      <c r="J88" s="38"/>
      <c r="K88" s="39">
        <f>SUMPRODUCT(SUMIF(SurtaxRatesSAS!$B$2:$B$324,$C88:$E88,SurtaxRatesSAS!$G$2:$G$324))</f>
        <v>278598.93</v>
      </c>
      <c r="L88" s="39">
        <f>SUMPRODUCT(SUMIF(SurtaxRatesSAS!$B$2:$B$324,$C88:$E88,SurtaxRatesSAS!$H$2:$H$324))</f>
        <v>0</v>
      </c>
      <c r="M88" s="39">
        <f>SUMPRODUCT(SUMIF(SurtaxRatesSAS!$B$2:$B$324,$C88:$E88,SurtaxRatesSAS!$I$2:$I$324))</f>
        <v>278598.93</v>
      </c>
      <c r="N88" s="38"/>
      <c r="O88" s="39" t="e">
        <f>SUMPRODUCT(SUMIF(SurtaxRatesSAS!$B$2:$B$324,$C88:$E88,SurtaxRatesSAS!$L$2:$L$324))</f>
        <v>#REF!</v>
      </c>
      <c r="P88" s="39" t="e">
        <f>SUMPRODUCT(SUMIF(SurtaxRatesSAS!$B$2:$B$324,$C88:$E88,SurtaxRatesSAS!$M$2:$M$324))</f>
        <v>#REF!</v>
      </c>
      <c r="Q88" s="39" t="e">
        <f>SUMPRODUCT(SUMIF(SurtaxRatesSAS!$B$2:$B$324,$C88:$E88,SurtaxRatesSAS!$N$2:$N$324))</f>
        <v>#REF!</v>
      </c>
      <c r="R88" s="38"/>
      <c r="S88" s="39" t="e">
        <f t="shared" si="3"/>
        <v>#REF!</v>
      </c>
      <c r="T88" s="39" t="e">
        <f t="shared" si="4"/>
        <v>#REF!</v>
      </c>
      <c r="U88" s="39" t="e">
        <f t="shared" si="5"/>
        <v>#REF!</v>
      </c>
      <c r="V88" s="29"/>
      <c r="W88" s="31" t="str">
        <f>IF(K88&gt;0,INDEX(cfo!$C$2:$I$326,MATCH(SurtaxPayment!C88,cfo!$C$2:$C$326,0),7),"")</f>
        <v>mmeyer@denisoncsd.org</v>
      </c>
      <c r="X88" s="31" t="str">
        <f>IF(IF(K88&gt;0,INDEX(cfo!$C$2:$K$326,MATCH(SurtaxPayment!C88,cfo!$C$2:$C$326,0),9),"")=0,"",IF(K88&gt;0,INDEX(cfo!$C$2:$K$326,MATCH(SurtaxPayment!C88,cfo!$C$2:$C$326,0),9),""))</f>
        <v>lpromes@denisoncsd.org</v>
      </c>
    </row>
    <row r="89" spans="1:24" x14ac:dyDescent="0.25">
      <c r="A89" s="52">
        <v>2025</v>
      </c>
      <c r="B89" s="52" t="s">
        <v>658</v>
      </c>
      <c r="C89" s="57" t="s">
        <v>397</v>
      </c>
      <c r="D89" s="58" t="s">
        <v>693</v>
      </c>
      <c r="E89" s="58" t="s">
        <v>693</v>
      </c>
      <c r="F89" s="58" t="s">
        <v>397</v>
      </c>
      <c r="G89" s="57" t="s">
        <v>79</v>
      </c>
      <c r="H89" s="39">
        <f>SUMPRODUCT(SUMIF(SurtaxRatesSAS!$B$2:$B$324,$C89:$E89,SurtaxRatesSAS!$E$2:$E$324))</f>
        <v>0</v>
      </c>
      <c r="I89" s="39">
        <f>SUMPRODUCT(SUMIF(SurtaxRatesSAS!$B$2:$B$324,$C89:$E89,SurtaxRatesSAS!$D$2:$D$324))</f>
        <v>4</v>
      </c>
      <c r="J89" s="38"/>
      <c r="K89" s="39">
        <f>SUMPRODUCT(SUMIF(SurtaxRatesSAS!$B$2:$B$324,$C89:$E89,SurtaxRatesSAS!$G$2:$G$324))</f>
        <v>246807.91</v>
      </c>
      <c r="L89" s="39">
        <f>SUMPRODUCT(SUMIF(SurtaxRatesSAS!$B$2:$B$324,$C89:$E89,SurtaxRatesSAS!$H$2:$H$324))</f>
        <v>0</v>
      </c>
      <c r="M89" s="39">
        <f>SUMPRODUCT(SUMIF(SurtaxRatesSAS!$B$2:$B$324,$C89:$E89,SurtaxRatesSAS!$I$2:$I$324))</f>
        <v>246807.91</v>
      </c>
      <c r="N89" s="38"/>
      <c r="O89" s="39" t="e">
        <f>SUMPRODUCT(SUMIF(SurtaxRatesSAS!$B$2:$B$324,$C89:$E89,SurtaxRatesSAS!$L$2:$L$324))</f>
        <v>#REF!</v>
      </c>
      <c r="P89" s="39" t="e">
        <f>SUMPRODUCT(SUMIF(SurtaxRatesSAS!$B$2:$B$324,$C89:$E89,SurtaxRatesSAS!$M$2:$M$324))</f>
        <v>#REF!</v>
      </c>
      <c r="Q89" s="39" t="e">
        <f>SUMPRODUCT(SUMIF(SurtaxRatesSAS!$B$2:$B$324,$C89:$E89,SurtaxRatesSAS!$N$2:$N$324))</f>
        <v>#REF!</v>
      </c>
      <c r="R89" s="38"/>
      <c r="S89" s="39" t="e">
        <f t="shared" si="3"/>
        <v>#REF!</v>
      </c>
      <c r="T89" s="39" t="e">
        <f t="shared" si="4"/>
        <v>#REF!</v>
      </c>
      <c r="U89" s="39" t="e">
        <f t="shared" si="5"/>
        <v>#REF!</v>
      </c>
      <c r="V89" s="29"/>
      <c r="W89" s="31" t="str">
        <f>IF(K89&gt;0,INDEX(cfo!$C$2:$I$326,MATCH(SurtaxPayment!C89,cfo!$C$2:$C$326,0),7),"")</f>
        <v>bwalters@denver.k12.ia.us</v>
      </c>
      <c r="X89" s="31" t="str">
        <f>IF(IF(K89&gt;0,INDEX(cfo!$C$2:$K$326,MATCH(SurtaxPayment!C89,cfo!$C$2:$C$326,0),9),"")=0,"",IF(K89&gt;0,INDEX(cfo!$C$2:$K$326,MATCH(SurtaxPayment!C89,cfo!$C$2:$C$326,0),9),""))</f>
        <v/>
      </c>
    </row>
    <row r="90" spans="1:24" x14ac:dyDescent="0.25">
      <c r="A90" s="52">
        <v>2025</v>
      </c>
      <c r="B90" s="52" t="s">
        <v>657</v>
      </c>
      <c r="C90" s="57" t="s">
        <v>398</v>
      </c>
      <c r="D90" s="58" t="s">
        <v>693</v>
      </c>
      <c r="E90" s="58" t="s">
        <v>693</v>
      </c>
      <c r="F90" s="58" t="s">
        <v>398</v>
      </c>
      <c r="G90" s="57" t="s">
        <v>709</v>
      </c>
      <c r="H90" s="39">
        <f>SUMPRODUCT(SUMIF(SurtaxRatesSAS!$B$2:$B$324,$C90:$E90,SurtaxRatesSAS!$E$2:$E$324))</f>
        <v>0</v>
      </c>
      <c r="I90" s="39">
        <f>SUMPRODUCT(SUMIF(SurtaxRatesSAS!$B$2:$B$324,$C90:$E90,SurtaxRatesSAS!$D$2:$D$324))</f>
        <v>0</v>
      </c>
      <c r="J90" s="38"/>
      <c r="K90" s="39">
        <f>SUMPRODUCT(SUMIF(SurtaxRatesSAS!$B$2:$B$324,$C90:$E90,SurtaxRatesSAS!$G$2:$G$324))</f>
        <v>0</v>
      </c>
      <c r="L90" s="39">
        <f>SUMPRODUCT(SUMIF(SurtaxRatesSAS!$B$2:$B$324,$C90:$E90,SurtaxRatesSAS!$H$2:$H$324))</f>
        <v>0</v>
      </c>
      <c r="M90" s="39">
        <f>SUMPRODUCT(SUMIF(SurtaxRatesSAS!$B$2:$B$324,$C90:$E90,SurtaxRatesSAS!$I$2:$I$324))</f>
        <v>0</v>
      </c>
      <c r="N90" s="38"/>
      <c r="O90" s="39">
        <f>SUMPRODUCT(SUMIF(SurtaxRatesSAS!$B$2:$B$324,$C90:$E90,SurtaxRatesSAS!$L$2:$L$324))</f>
        <v>0</v>
      </c>
      <c r="P90" s="39">
        <f>SUMPRODUCT(SUMIF(SurtaxRatesSAS!$B$2:$B$324,$C90:$E90,SurtaxRatesSAS!$M$2:$M$324))</f>
        <v>0</v>
      </c>
      <c r="Q90" s="39">
        <f>SUMPRODUCT(SUMIF(SurtaxRatesSAS!$B$2:$B$324,$C90:$E90,SurtaxRatesSAS!$N$2:$N$324))</f>
        <v>0</v>
      </c>
      <c r="R90" s="38"/>
      <c r="S90" s="39">
        <f t="shared" si="3"/>
        <v>0</v>
      </c>
      <c r="T90" s="39">
        <f t="shared" si="4"/>
        <v>0</v>
      </c>
      <c r="U90" s="39">
        <f t="shared" si="5"/>
        <v>0</v>
      </c>
      <c r="V90" s="29"/>
      <c r="W90" s="31" t="str">
        <f>IF(K90&gt;0,INDEX(cfo!$C$2:$I$326,MATCH(SurtaxPayment!C90,cfo!$C$2:$C$326,0),7),"")</f>
        <v/>
      </c>
      <c r="X90" s="31" t="str">
        <f>IF(IF(K90&gt;0,INDEX(cfo!$C$2:$K$326,MATCH(SurtaxPayment!C90,cfo!$C$2:$C$326,0),9),"")=0,"",IF(K90&gt;0,INDEX(cfo!$C$2:$K$326,MATCH(SurtaxPayment!C90,cfo!$C$2:$C$326,0),9),""))</f>
        <v/>
      </c>
    </row>
    <row r="91" spans="1:24" x14ac:dyDescent="0.25">
      <c r="A91" s="52">
        <v>2025</v>
      </c>
      <c r="B91" s="52" t="s">
        <v>659</v>
      </c>
      <c r="C91" s="57" t="s">
        <v>399</v>
      </c>
      <c r="D91" s="58" t="s">
        <v>693</v>
      </c>
      <c r="E91" s="58" t="s">
        <v>693</v>
      </c>
      <c r="F91" s="58" t="s">
        <v>399</v>
      </c>
      <c r="G91" s="57" t="s">
        <v>80</v>
      </c>
      <c r="H91" s="39">
        <f>SUMPRODUCT(SUMIF(SurtaxRatesSAS!$B$2:$B$324,$C91:$E91,SurtaxRatesSAS!$E$2:$E$324))</f>
        <v>0</v>
      </c>
      <c r="I91" s="39">
        <f>SUMPRODUCT(SUMIF(SurtaxRatesSAS!$B$2:$B$324,$C91:$E91,SurtaxRatesSAS!$D$2:$D$324))</f>
        <v>8</v>
      </c>
      <c r="J91" s="38"/>
      <c r="K91" s="39">
        <f>SUMPRODUCT(SUMIF(SurtaxRatesSAS!$B$2:$B$324,$C91:$E91,SurtaxRatesSAS!$G$2:$G$324))</f>
        <v>32685.51</v>
      </c>
      <c r="L91" s="39">
        <f>SUMPRODUCT(SUMIF(SurtaxRatesSAS!$B$2:$B$324,$C91:$E91,SurtaxRatesSAS!$H$2:$H$324))</f>
        <v>0</v>
      </c>
      <c r="M91" s="39">
        <f>SUMPRODUCT(SUMIF(SurtaxRatesSAS!$B$2:$B$324,$C91:$E91,SurtaxRatesSAS!$I$2:$I$324))</f>
        <v>32685.51</v>
      </c>
      <c r="N91" s="38"/>
      <c r="O91" s="39" t="e">
        <f>SUMPRODUCT(SUMIF(SurtaxRatesSAS!$B$2:$B$324,$C91:$E91,SurtaxRatesSAS!$L$2:$L$324))</f>
        <v>#REF!</v>
      </c>
      <c r="P91" s="39" t="e">
        <f>SUMPRODUCT(SUMIF(SurtaxRatesSAS!$B$2:$B$324,$C91:$E91,SurtaxRatesSAS!$M$2:$M$324))</f>
        <v>#REF!</v>
      </c>
      <c r="Q91" s="39" t="e">
        <f>SUMPRODUCT(SUMIF(SurtaxRatesSAS!$B$2:$B$324,$C91:$E91,SurtaxRatesSAS!$N$2:$N$324))</f>
        <v>#REF!</v>
      </c>
      <c r="R91" s="38"/>
      <c r="S91" s="39" t="e">
        <f t="shared" si="3"/>
        <v>#REF!</v>
      </c>
      <c r="T91" s="39" t="e">
        <f t="shared" si="4"/>
        <v>#REF!</v>
      </c>
      <c r="U91" s="39" t="e">
        <f t="shared" si="5"/>
        <v>#REF!</v>
      </c>
      <c r="V91" s="29"/>
      <c r="W91" s="31" t="str">
        <f>IF(K91&gt;0,INDEX(cfo!$C$2:$I$326,MATCH(SurtaxPayment!C91,cfo!$C$2:$C$326,0),7),"")</f>
        <v>rtessum@eastunionschools.org</v>
      </c>
      <c r="X91" s="31" t="str">
        <f>IF(IF(K91&gt;0,INDEX(cfo!$C$2:$K$326,MATCH(SurtaxPayment!C91,cfo!$C$2:$C$326,0),9),"")=0,"",IF(K91&gt;0,INDEX(cfo!$C$2:$K$326,MATCH(SurtaxPayment!C91,cfo!$C$2:$C$326,0),9),""))</f>
        <v/>
      </c>
    </row>
    <row r="92" spans="1:24" x14ac:dyDescent="0.25">
      <c r="A92" s="52">
        <v>2025</v>
      </c>
      <c r="B92" s="52" t="s">
        <v>658</v>
      </c>
      <c r="C92" s="57" t="s">
        <v>400</v>
      </c>
      <c r="D92" s="58" t="s">
        <v>693</v>
      </c>
      <c r="E92" s="58" t="s">
        <v>693</v>
      </c>
      <c r="F92" s="58" t="s">
        <v>400</v>
      </c>
      <c r="G92" s="57" t="s">
        <v>81</v>
      </c>
      <c r="H92" s="39">
        <f>SUMPRODUCT(SUMIF(SurtaxRatesSAS!$B$2:$B$324,$C92:$E92,SurtaxRatesSAS!$E$2:$E$324))</f>
        <v>0</v>
      </c>
      <c r="I92" s="39">
        <f>SUMPRODUCT(SUMIF(SurtaxRatesSAS!$B$2:$B$324,$C92:$E92,SurtaxRatesSAS!$D$2:$D$324))</f>
        <v>7</v>
      </c>
      <c r="J92" s="38"/>
      <c r="K92" s="39">
        <f>SUMPRODUCT(SUMIF(SurtaxRatesSAS!$B$2:$B$324,$C92:$E92,SurtaxRatesSAS!$G$2:$G$324))</f>
        <v>427459.09</v>
      </c>
      <c r="L92" s="39">
        <f>SUMPRODUCT(SUMIF(SurtaxRatesSAS!$B$2:$B$324,$C92:$E92,SurtaxRatesSAS!$H$2:$H$324))</f>
        <v>0</v>
      </c>
      <c r="M92" s="39">
        <f>SUMPRODUCT(SUMIF(SurtaxRatesSAS!$B$2:$B$324,$C92:$E92,SurtaxRatesSAS!$I$2:$I$324))</f>
        <v>427459.09</v>
      </c>
      <c r="N92" s="38"/>
      <c r="O92" s="39" t="e">
        <f>SUMPRODUCT(SUMIF(SurtaxRatesSAS!$B$2:$B$324,$C92:$E92,SurtaxRatesSAS!$L$2:$L$324))</f>
        <v>#REF!</v>
      </c>
      <c r="P92" s="39" t="e">
        <f>SUMPRODUCT(SUMIF(SurtaxRatesSAS!$B$2:$B$324,$C92:$E92,SurtaxRatesSAS!$M$2:$M$324))</f>
        <v>#REF!</v>
      </c>
      <c r="Q92" s="39" t="e">
        <f>SUMPRODUCT(SUMIF(SurtaxRatesSAS!$B$2:$B$324,$C92:$E92,SurtaxRatesSAS!$N$2:$N$324))</f>
        <v>#REF!</v>
      </c>
      <c r="R92" s="38"/>
      <c r="S92" s="39" t="e">
        <f t="shared" si="3"/>
        <v>#REF!</v>
      </c>
      <c r="T92" s="39" t="e">
        <f t="shared" si="4"/>
        <v>#REF!</v>
      </c>
      <c r="U92" s="39" t="e">
        <f t="shared" si="5"/>
        <v>#REF!</v>
      </c>
      <c r="V92" s="29"/>
      <c r="W92" s="31" t="str">
        <f>IF(K92&gt;0,INDEX(cfo!$C$2:$I$326,MATCH(SurtaxPayment!C92,cfo!$C$2:$C$326,0),7),"")</f>
        <v>kayla.sabbah@dnhcsd.org</v>
      </c>
      <c r="X92" s="31" t="str">
        <f>IF(IF(K92&gt;0,INDEX(cfo!$C$2:$K$326,MATCH(SurtaxPayment!C92,cfo!$C$2:$C$326,0),9),"")=0,"",IF(K92&gt;0,INDEX(cfo!$C$2:$K$326,MATCH(SurtaxPayment!C92,cfo!$C$2:$C$326,0),9),""))</f>
        <v>annie.lucas@dnhcsd.org</v>
      </c>
    </row>
    <row r="93" spans="1:24" x14ac:dyDescent="0.25">
      <c r="A93" s="52">
        <v>2025</v>
      </c>
      <c r="B93" s="52" t="s">
        <v>665</v>
      </c>
      <c r="C93" s="57" t="s">
        <v>401</v>
      </c>
      <c r="D93" s="58" t="s">
        <v>693</v>
      </c>
      <c r="E93" s="58" t="s">
        <v>693</v>
      </c>
      <c r="F93" s="58" t="s">
        <v>401</v>
      </c>
      <c r="G93" s="57" t="s">
        <v>710</v>
      </c>
      <c r="H93" s="39">
        <f>SUMPRODUCT(SUMIF(SurtaxRatesSAS!$B$2:$B$324,$C93:$E93,SurtaxRatesSAS!$E$2:$E$324))</f>
        <v>0</v>
      </c>
      <c r="I93" s="39">
        <f>SUMPRODUCT(SUMIF(SurtaxRatesSAS!$B$2:$B$324,$C93:$E93,SurtaxRatesSAS!$D$2:$D$324))</f>
        <v>0</v>
      </c>
      <c r="J93" s="38"/>
      <c r="K93" s="39">
        <f>SUMPRODUCT(SUMIF(SurtaxRatesSAS!$B$2:$B$324,$C93:$E93,SurtaxRatesSAS!$G$2:$G$324))</f>
        <v>0</v>
      </c>
      <c r="L93" s="39">
        <f>SUMPRODUCT(SUMIF(SurtaxRatesSAS!$B$2:$B$324,$C93:$E93,SurtaxRatesSAS!$H$2:$H$324))</f>
        <v>0</v>
      </c>
      <c r="M93" s="39">
        <f>SUMPRODUCT(SUMIF(SurtaxRatesSAS!$B$2:$B$324,$C93:$E93,SurtaxRatesSAS!$I$2:$I$324))</f>
        <v>0</v>
      </c>
      <c r="N93" s="38"/>
      <c r="O93" s="39">
        <f>SUMPRODUCT(SUMIF(SurtaxRatesSAS!$B$2:$B$324,$C93:$E93,SurtaxRatesSAS!$L$2:$L$324))</f>
        <v>0</v>
      </c>
      <c r="P93" s="39">
        <f>SUMPRODUCT(SUMIF(SurtaxRatesSAS!$B$2:$B$324,$C93:$E93,SurtaxRatesSAS!$M$2:$M$324))</f>
        <v>0</v>
      </c>
      <c r="Q93" s="39">
        <f>SUMPRODUCT(SUMIF(SurtaxRatesSAS!$B$2:$B$324,$C93:$E93,SurtaxRatesSAS!$N$2:$N$324))</f>
        <v>0</v>
      </c>
      <c r="R93" s="38"/>
      <c r="S93" s="39">
        <f t="shared" si="3"/>
        <v>0</v>
      </c>
      <c r="T93" s="39">
        <f t="shared" si="4"/>
        <v>0</v>
      </c>
      <c r="U93" s="39">
        <f t="shared" si="5"/>
        <v>0</v>
      </c>
      <c r="V93" s="29"/>
      <c r="W93" s="31" t="str">
        <f>IF(K93&gt;0,INDEX(cfo!$C$2:$I$326,MATCH(SurtaxPayment!C93,cfo!$C$2:$C$326,0),7),"")</f>
        <v/>
      </c>
      <c r="X93" s="31" t="str">
        <f>IF(IF(K93&gt;0,INDEX(cfo!$C$2:$K$326,MATCH(SurtaxPayment!C93,cfo!$C$2:$C$326,0),9),"")=0,"",IF(K93&gt;0,INDEX(cfo!$C$2:$K$326,MATCH(SurtaxPayment!C93,cfo!$C$2:$C$326,0),9),""))</f>
        <v/>
      </c>
    </row>
    <row r="94" spans="1:24" x14ac:dyDescent="0.25">
      <c r="A94" s="52">
        <v>2025</v>
      </c>
      <c r="B94" s="52" t="s">
        <v>658</v>
      </c>
      <c r="C94" s="57" t="s">
        <v>402</v>
      </c>
      <c r="D94" s="58" t="s">
        <v>693</v>
      </c>
      <c r="E94" s="58" t="s">
        <v>693</v>
      </c>
      <c r="F94" s="58" t="s">
        <v>402</v>
      </c>
      <c r="G94" s="57" t="s">
        <v>82</v>
      </c>
      <c r="H94" s="39">
        <f>SUMPRODUCT(SUMIF(SurtaxRatesSAS!$B$2:$B$324,$C94:$E94,SurtaxRatesSAS!$E$2:$E$324))</f>
        <v>0</v>
      </c>
      <c r="I94" s="39">
        <f>SUMPRODUCT(SUMIF(SurtaxRatesSAS!$B$2:$B$324,$C94:$E94,SurtaxRatesSAS!$D$2:$D$324))</f>
        <v>5</v>
      </c>
      <c r="J94" s="38"/>
      <c r="K94" s="39">
        <f>SUMPRODUCT(SUMIF(SurtaxRatesSAS!$B$2:$B$324,$C94:$E94,SurtaxRatesSAS!$G$2:$G$324))</f>
        <v>134165.5</v>
      </c>
      <c r="L94" s="39">
        <f>SUMPRODUCT(SUMIF(SurtaxRatesSAS!$B$2:$B$324,$C94:$E94,SurtaxRatesSAS!$H$2:$H$324))</f>
        <v>0</v>
      </c>
      <c r="M94" s="39">
        <f>SUMPRODUCT(SUMIF(SurtaxRatesSAS!$B$2:$B$324,$C94:$E94,SurtaxRatesSAS!$I$2:$I$324))</f>
        <v>134165.5</v>
      </c>
      <c r="N94" s="38"/>
      <c r="O94" s="39" t="e">
        <f>SUMPRODUCT(SUMIF(SurtaxRatesSAS!$B$2:$B$324,$C94:$E94,SurtaxRatesSAS!$L$2:$L$324))</f>
        <v>#REF!</v>
      </c>
      <c r="P94" s="39" t="e">
        <f>SUMPRODUCT(SUMIF(SurtaxRatesSAS!$B$2:$B$324,$C94:$E94,SurtaxRatesSAS!$M$2:$M$324))</f>
        <v>#REF!</v>
      </c>
      <c r="Q94" s="39" t="e">
        <f>SUMPRODUCT(SUMIF(SurtaxRatesSAS!$B$2:$B$324,$C94:$E94,SurtaxRatesSAS!$N$2:$N$324))</f>
        <v>#REF!</v>
      </c>
      <c r="R94" s="38"/>
      <c r="S94" s="39" t="e">
        <f t="shared" si="3"/>
        <v>#REF!</v>
      </c>
      <c r="T94" s="39" t="e">
        <f t="shared" si="4"/>
        <v>#REF!</v>
      </c>
      <c r="U94" s="39" t="e">
        <f t="shared" si="5"/>
        <v>#REF!</v>
      </c>
      <c r="V94" s="29"/>
      <c r="W94" s="31" t="str">
        <f>IF(K94&gt;0,INDEX(cfo!$C$2:$I$326,MATCH(SurtaxPayment!C94,cfo!$C$2:$C$326,0),7),"")</f>
        <v>lmcintosh@dunkertonschools.org</v>
      </c>
      <c r="X94" s="31" t="str">
        <f>IF(IF(K94&gt;0,INDEX(cfo!$C$2:$K$326,MATCH(SurtaxPayment!C94,cfo!$C$2:$C$326,0),9),"")=0,"",IF(K94&gt;0,INDEX(cfo!$C$2:$K$326,MATCH(SurtaxPayment!C94,cfo!$C$2:$C$326,0),9),""))</f>
        <v/>
      </c>
    </row>
    <row r="95" spans="1:24" x14ac:dyDescent="0.25">
      <c r="A95" s="52">
        <v>2025</v>
      </c>
      <c r="B95" s="52" t="s">
        <v>666</v>
      </c>
      <c r="C95" s="57" t="s">
        <v>404</v>
      </c>
      <c r="D95" s="58" t="s">
        <v>693</v>
      </c>
      <c r="E95" s="58" t="s">
        <v>693</v>
      </c>
      <c r="F95" s="58" t="s">
        <v>404</v>
      </c>
      <c r="G95" s="57" t="s">
        <v>83</v>
      </c>
      <c r="H95" s="39">
        <f>SUMPRODUCT(SUMIF(SurtaxRatesSAS!$B$2:$B$324,$C95:$E95,SurtaxRatesSAS!$E$2:$E$324))</f>
        <v>0</v>
      </c>
      <c r="I95" s="39">
        <f>SUMPRODUCT(SUMIF(SurtaxRatesSAS!$B$2:$B$324,$C95:$E95,SurtaxRatesSAS!$D$2:$D$324))</f>
        <v>7</v>
      </c>
      <c r="J95" s="38"/>
      <c r="K95" s="39">
        <f>SUMPRODUCT(SUMIF(SurtaxRatesSAS!$B$2:$B$324,$C95:$E95,SurtaxRatesSAS!$G$2:$G$324))</f>
        <v>261805.4</v>
      </c>
      <c r="L95" s="39">
        <f>SUMPRODUCT(SUMIF(SurtaxRatesSAS!$B$2:$B$324,$C95:$E95,SurtaxRatesSAS!$H$2:$H$324))</f>
        <v>0</v>
      </c>
      <c r="M95" s="39">
        <f>SUMPRODUCT(SUMIF(SurtaxRatesSAS!$B$2:$B$324,$C95:$E95,SurtaxRatesSAS!$I$2:$I$324))</f>
        <v>261805.4</v>
      </c>
      <c r="N95" s="38"/>
      <c r="O95" s="39" t="e">
        <f>SUMPRODUCT(SUMIF(SurtaxRatesSAS!$B$2:$B$324,$C95:$E95,SurtaxRatesSAS!$L$2:$L$324))</f>
        <v>#REF!</v>
      </c>
      <c r="P95" s="39" t="e">
        <f>SUMPRODUCT(SUMIF(SurtaxRatesSAS!$B$2:$B$324,$C95:$E95,SurtaxRatesSAS!$M$2:$M$324))</f>
        <v>#REF!</v>
      </c>
      <c r="Q95" s="39" t="e">
        <f>SUMPRODUCT(SUMIF(SurtaxRatesSAS!$B$2:$B$324,$C95:$E95,SurtaxRatesSAS!$N$2:$N$324))</f>
        <v>#REF!</v>
      </c>
      <c r="R95" s="38"/>
      <c r="S95" s="39" t="e">
        <f t="shared" si="3"/>
        <v>#REF!</v>
      </c>
      <c r="T95" s="39" t="e">
        <f t="shared" si="4"/>
        <v>#REF!</v>
      </c>
      <c r="U95" s="39" t="e">
        <f t="shared" si="5"/>
        <v>#REF!</v>
      </c>
      <c r="V95" s="29"/>
      <c r="W95" s="31" t="str">
        <f>IF(K95&gt;0,INDEX(cfo!$C$2:$I$326,MATCH(SurtaxPayment!C95,cfo!$C$2:$C$326,0),7),"")</f>
        <v>gabrielle.speth@durant.k12.ia.us</v>
      </c>
      <c r="X95" s="31" t="str">
        <f>IF(IF(K95&gt;0,INDEX(cfo!$C$2:$K$326,MATCH(SurtaxPayment!C95,cfo!$C$2:$C$326,0),9),"")=0,"",IF(K95&gt;0,INDEX(cfo!$C$2:$K$326,MATCH(SurtaxPayment!C95,cfo!$C$2:$C$326,0),9),""))</f>
        <v/>
      </c>
    </row>
    <row r="96" spans="1:24" x14ac:dyDescent="0.25">
      <c r="A96" s="52">
        <v>2025</v>
      </c>
      <c r="B96" s="52" t="s">
        <v>661</v>
      </c>
      <c r="C96" s="57" t="s">
        <v>406</v>
      </c>
      <c r="D96" s="58" t="s">
        <v>693</v>
      </c>
      <c r="E96" s="58" t="s">
        <v>693</v>
      </c>
      <c r="F96" s="58" t="s">
        <v>406</v>
      </c>
      <c r="G96" s="57" t="s">
        <v>84</v>
      </c>
      <c r="H96" s="39">
        <f>SUMPRODUCT(SUMIF(SurtaxRatesSAS!$B$2:$B$324,$C96:$E96,SurtaxRatesSAS!$E$2:$E$324))</f>
        <v>0</v>
      </c>
      <c r="I96" s="39">
        <f>SUMPRODUCT(SUMIF(SurtaxRatesSAS!$B$2:$B$324,$C96:$E96,SurtaxRatesSAS!$D$2:$D$324))</f>
        <v>1</v>
      </c>
      <c r="J96" s="38"/>
      <c r="K96" s="39">
        <f>SUMPRODUCT(SUMIF(SurtaxRatesSAS!$B$2:$B$324,$C96:$E96,SurtaxRatesSAS!$G$2:$G$324))</f>
        <v>37503.99</v>
      </c>
      <c r="L96" s="39">
        <f>SUMPRODUCT(SUMIF(SurtaxRatesSAS!$B$2:$B$324,$C96:$E96,SurtaxRatesSAS!$H$2:$H$324))</f>
        <v>0</v>
      </c>
      <c r="M96" s="39">
        <f>SUMPRODUCT(SUMIF(SurtaxRatesSAS!$B$2:$B$324,$C96:$E96,SurtaxRatesSAS!$I$2:$I$324))</f>
        <v>37503.99</v>
      </c>
      <c r="N96" s="38"/>
      <c r="O96" s="39" t="e">
        <f>SUMPRODUCT(SUMIF(SurtaxRatesSAS!$B$2:$B$324,$C96:$E96,SurtaxRatesSAS!$L$2:$L$324))</f>
        <v>#REF!</v>
      </c>
      <c r="P96" s="39" t="e">
        <f>SUMPRODUCT(SUMIF(SurtaxRatesSAS!$B$2:$B$324,$C96:$E96,SurtaxRatesSAS!$M$2:$M$324))</f>
        <v>#REF!</v>
      </c>
      <c r="Q96" s="39" t="e">
        <f>SUMPRODUCT(SUMIF(SurtaxRatesSAS!$B$2:$B$324,$C96:$E96,SurtaxRatesSAS!$N$2:$N$324))</f>
        <v>#REF!</v>
      </c>
      <c r="R96" s="38"/>
      <c r="S96" s="39" t="e">
        <f t="shared" si="3"/>
        <v>#REF!</v>
      </c>
      <c r="T96" s="39" t="e">
        <f t="shared" si="4"/>
        <v>#REF!</v>
      </c>
      <c r="U96" s="39" t="e">
        <f t="shared" si="5"/>
        <v>#REF!</v>
      </c>
      <c r="V96" s="29"/>
      <c r="W96" s="31" t="str">
        <f>IF(K96&gt;0,INDEX(cfo!$C$2:$I$326,MATCH(SurtaxPayment!C96,cfo!$C$2:$C$326,0),7),"")</f>
        <v>nboyer@eagle-grove.k12.ia.us</v>
      </c>
      <c r="X96" s="31" t="str">
        <f>IF(IF(K96&gt;0,INDEX(cfo!$C$2:$K$326,MATCH(SurtaxPayment!C96,cfo!$C$2:$C$326,0),9),"")=0,"",IF(K96&gt;0,INDEX(cfo!$C$2:$K$326,MATCH(SurtaxPayment!C96,cfo!$C$2:$C$326,0),9),""))</f>
        <v/>
      </c>
    </row>
    <row r="97" spans="1:24" x14ac:dyDescent="0.25">
      <c r="A97" s="52">
        <v>2025</v>
      </c>
      <c r="B97" s="52" t="s">
        <v>657</v>
      </c>
      <c r="C97" s="57" t="s">
        <v>407</v>
      </c>
      <c r="D97" s="58" t="s">
        <v>693</v>
      </c>
      <c r="E97" s="58" t="s">
        <v>693</v>
      </c>
      <c r="F97" s="58" t="s">
        <v>407</v>
      </c>
      <c r="G97" s="57" t="s">
        <v>711</v>
      </c>
      <c r="H97" s="39">
        <f>SUMPRODUCT(SUMIF(SurtaxRatesSAS!$B$2:$B$324,$C97:$E97,SurtaxRatesSAS!$E$2:$E$324))</f>
        <v>0</v>
      </c>
      <c r="I97" s="39">
        <f>SUMPRODUCT(SUMIF(SurtaxRatesSAS!$B$2:$B$324,$C97:$E97,SurtaxRatesSAS!$D$2:$D$324))</f>
        <v>0</v>
      </c>
      <c r="J97" s="38"/>
      <c r="K97" s="39">
        <f>SUMPRODUCT(SUMIF(SurtaxRatesSAS!$B$2:$B$324,$C97:$E97,SurtaxRatesSAS!$G$2:$G$324))</f>
        <v>0</v>
      </c>
      <c r="L97" s="39">
        <f>SUMPRODUCT(SUMIF(SurtaxRatesSAS!$B$2:$B$324,$C97:$E97,SurtaxRatesSAS!$H$2:$H$324))</f>
        <v>0</v>
      </c>
      <c r="M97" s="39">
        <f>SUMPRODUCT(SUMIF(SurtaxRatesSAS!$B$2:$B$324,$C97:$E97,SurtaxRatesSAS!$I$2:$I$324))</f>
        <v>0</v>
      </c>
      <c r="N97" s="38"/>
      <c r="O97" s="39">
        <f>SUMPRODUCT(SUMIF(SurtaxRatesSAS!$B$2:$B$324,$C97:$E97,SurtaxRatesSAS!$L$2:$L$324))</f>
        <v>0</v>
      </c>
      <c r="P97" s="39">
        <f>SUMPRODUCT(SUMIF(SurtaxRatesSAS!$B$2:$B$324,$C97:$E97,SurtaxRatesSAS!$M$2:$M$324))</f>
        <v>0</v>
      </c>
      <c r="Q97" s="39">
        <f>SUMPRODUCT(SUMIF(SurtaxRatesSAS!$B$2:$B$324,$C97:$E97,SurtaxRatesSAS!$N$2:$N$324))</f>
        <v>0</v>
      </c>
      <c r="R97" s="38"/>
      <c r="S97" s="39">
        <f t="shared" si="3"/>
        <v>0</v>
      </c>
      <c r="T97" s="39">
        <f t="shared" si="4"/>
        <v>0</v>
      </c>
      <c r="U97" s="39">
        <f t="shared" si="5"/>
        <v>0</v>
      </c>
      <c r="V97" s="29"/>
      <c r="W97" s="31" t="str">
        <f>IF(K97&gt;0,INDEX(cfo!$C$2:$I$326,MATCH(SurtaxPayment!C97,cfo!$C$2:$C$326,0),7),"")</f>
        <v/>
      </c>
      <c r="X97" s="31" t="str">
        <f>IF(IF(K97&gt;0,INDEX(cfo!$C$2:$K$326,MATCH(SurtaxPayment!C97,cfo!$C$2:$C$326,0),9),"")=0,"",IF(K97&gt;0,INDEX(cfo!$C$2:$K$326,MATCH(SurtaxPayment!C97,cfo!$C$2:$C$326,0),9),""))</f>
        <v/>
      </c>
    </row>
    <row r="98" spans="1:24" x14ac:dyDescent="0.25">
      <c r="A98" s="52">
        <v>2025</v>
      </c>
      <c r="B98" s="52" t="s">
        <v>658</v>
      </c>
      <c r="C98" s="57" t="s">
        <v>408</v>
      </c>
      <c r="D98" s="58" t="s">
        <v>693</v>
      </c>
      <c r="E98" s="58" t="s">
        <v>693</v>
      </c>
      <c r="F98" s="58" t="s">
        <v>408</v>
      </c>
      <c r="G98" s="57" t="s">
        <v>85</v>
      </c>
      <c r="H98" s="39">
        <f>SUMPRODUCT(SUMIF(SurtaxRatesSAS!$B$2:$B$324,$C98:$E98,SurtaxRatesSAS!$E$2:$E$324))</f>
        <v>0</v>
      </c>
      <c r="I98" s="39">
        <f>SUMPRODUCT(SUMIF(SurtaxRatesSAS!$B$2:$B$324,$C98:$E98,SurtaxRatesSAS!$D$2:$D$324))</f>
        <v>7</v>
      </c>
      <c r="J98" s="38"/>
      <c r="K98" s="39">
        <f>SUMPRODUCT(SUMIF(SurtaxRatesSAS!$B$2:$B$324,$C98:$E98,SurtaxRatesSAS!$G$2:$G$324))</f>
        <v>210982.31</v>
      </c>
      <c r="L98" s="39">
        <f>SUMPRODUCT(SUMIF(SurtaxRatesSAS!$B$2:$B$324,$C98:$E98,SurtaxRatesSAS!$H$2:$H$324))</f>
        <v>0</v>
      </c>
      <c r="M98" s="39">
        <f>SUMPRODUCT(SUMIF(SurtaxRatesSAS!$B$2:$B$324,$C98:$E98,SurtaxRatesSAS!$I$2:$I$324))</f>
        <v>210982.31</v>
      </c>
      <c r="N98" s="38"/>
      <c r="O98" s="39" t="e">
        <f>SUMPRODUCT(SUMIF(SurtaxRatesSAS!$B$2:$B$324,$C98:$E98,SurtaxRatesSAS!$L$2:$L$324))</f>
        <v>#REF!</v>
      </c>
      <c r="P98" s="39" t="e">
        <f>SUMPRODUCT(SUMIF(SurtaxRatesSAS!$B$2:$B$324,$C98:$E98,SurtaxRatesSAS!$M$2:$M$324))</f>
        <v>#REF!</v>
      </c>
      <c r="Q98" s="39" t="e">
        <f>SUMPRODUCT(SUMIF(SurtaxRatesSAS!$B$2:$B$324,$C98:$E98,SurtaxRatesSAS!$N$2:$N$324))</f>
        <v>#REF!</v>
      </c>
      <c r="R98" s="38"/>
      <c r="S98" s="39" t="e">
        <f t="shared" si="3"/>
        <v>#REF!</v>
      </c>
      <c r="T98" s="39" t="e">
        <f t="shared" si="4"/>
        <v>#REF!</v>
      </c>
      <c r="U98" s="39" t="e">
        <f t="shared" si="5"/>
        <v>#REF!</v>
      </c>
      <c r="V98" s="29"/>
      <c r="W98" s="31" t="str">
        <f>IF(K98&gt;0,INDEX(cfo!$C$2:$I$326,MATCH(SurtaxPayment!C98,cfo!$C$2:$C$326,0),7),"")</f>
        <v>tknipper@east-buc.k12.ia.us</v>
      </c>
      <c r="X98" s="31" t="str">
        <f>IF(IF(K98&gt;0,INDEX(cfo!$C$2:$K$326,MATCH(SurtaxPayment!C98,cfo!$C$2:$C$326,0),9),"")=0,"",IF(K98&gt;0,INDEX(cfo!$C$2:$K$326,MATCH(SurtaxPayment!C98,cfo!$C$2:$C$326,0),9),""))</f>
        <v/>
      </c>
    </row>
    <row r="99" spans="1:24" x14ac:dyDescent="0.25">
      <c r="A99" s="52">
        <v>2025</v>
      </c>
      <c r="B99" s="52" t="s">
        <v>658</v>
      </c>
      <c r="C99" s="57" t="s">
        <v>472</v>
      </c>
      <c r="D99" s="58" t="s">
        <v>693</v>
      </c>
      <c r="E99" s="58" t="s">
        <v>693</v>
      </c>
      <c r="F99" s="58" t="s">
        <v>670</v>
      </c>
      <c r="G99" s="57" t="s">
        <v>86</v>
      </c>
      <c r="H99" s="39">
        <f>SUMPRODUCT(SUMIF(SurtaxRatesSAS!$B$2:$B$324,$C99:$E99,SurtaxRatesSAS!$E$2:$E$324))</f>
        <v>0</v>
      </c>
      <c r="I99" s="39">
        <f>SUMPRODUCT(SUMIF(SurtaxRatesSAS!$B$2:$B$324,$C99:$E99,SurtaxRatesSAS!$D$2:$D$324))</f>
        <v>9</v>
      </c>
      <c r="J99" s="38"/>
      <c r="K99" s="39">
        <f>SUMPRODUCT(SUMIF(SurtaxRatesSAS!$B$2:$B$324,$C99:$E99,SurtaxRatesSAS!$G$2:$G$324))</f>
        <v>309786.62</v>
      </c>
      <c r="L99" s="39">
        <f>SUMPRODUCT(SUMIF(SurtaxRatesSAS!$B$2:$B$324,$C99:$E99,SurtaxRatesSAS!$H$2:$H$324))</f>
        <v>0</v>
      </c>
      <c r="M99" s="39">
        <f>SUMPRODUCT(SUMIF(SurtaxRatesSAS!$B$2:$B$324,$C99:$E99,SurtaxRatesSAS!$I$2:$I$324))</f>
        <v>309786.62</v>
      </c>
      <c r="N99" s="38"/>
      <c r="O99" s="39" t="e">
        <f>SUMPRODUCT(SUMIF(SurtaxRatesSAS!$B$2:$B$324,$C99:$E99,SurtaxRatesSAS!$L$2:$L$324))</f>
        <v>#REF!</v>
      </c>
      <c r="P99" s="39" t="e">
        <f>SUMPRODUCT(SUMIF(SurtaxRatesSAS!$B$2:$B$324,$C99:$E99,SurtaxRatesSAS!$M$2:$M$324))</f>
        <v>#REF!</v>
      </c>
      <c r="Q99" s="39" t="e">
        <f>SUMPRODUCT(SUMIF(SurtaxRatesSAS!$B$2:$B$324,$C99:$E99,SurtaxRatesSAS!$N$2:$N$324))</f>
        <v>#REF!</v>
      </c>
      <c r="R99" s="38"/>
      <c r="S99" s="39" t="e">
        <f t="shared" si="3"/>
        <v>#REF!</v>
      </c>
      <c r="T99" s="39" t="e">
        <f t="shared" si="4"/>
        <v>#REF!</v>
      </c>
      <c r="U99" s="39" t="e">
        <f t="shared" si="5"/>
        <v>#REF!</v>
      </c>
      <c r="V99" s="29"/>
      <c r="W99" s="31" t="str">
        <f>IF(K99&gt;0,INDEX(cfo!$C$2:$I$326,MATCH(SurtaxPayment!C99,cfo!$C$2:$C$326,0),7),"")</f>
        <v>afrost@e-marshall.k12.ia.us</v>
      </c>
      <c r="X99" s="31" t="str">
        <f>IF(IF(K99&gt;0,INDEX(cfo!$C$2:$K$326,MATCH(SurtaxPayment!C99,cfo!$C$2:$C$326,0),9),"")=0,"",IF(K99&gt;0,INDEX(cfo!$C$2:$K$326,MATCH(SurtaxPayment!C99,cfo!$C$2:$C$326,0),9),""))</f>
        <v/>
      </c>
    </row>
    <row r="100" spans="1:24" x14ac:dyDescent="0.25">
      <c r="A100" s="52">
        <v>2025</v>
      </c>
      <c r="B100" s="52" t="s">
        <v>659</v>
      </c>
      <c r="C100" s="57" t="s">
        <v>485</v>
      </c>
      <c r="D100" s="58" t="s">
        <v>693</v>
      </c>
      <c r="E100" s="58" t="s">
        <v>693</v>
      </c>
      <c r="F100" s="58" t="s">
        <v>485</v>
      </c>
      <c r="G100" s="57" t="s">
        <v>87</v>
      </c>
      <c r="H100" s="39">
        <f>SUMPRODUCT(SUMIF(SurtaxRatesSAS!$B$2:$B$324,$C100:$E100,SurtaxRatesSAS!$E$2:$E$324))</f>
        <v>10</v>
      </c>
      <c r="I100" s="39">
        <f>SUMPRODUCT(SUMIF(SurtaxRatesSAS!$B$2:$B$324,$C100:$E100,SurtaxRatesSAS!$D$2:$D$324))</f>
        <v>10</v>
      </c>
      <c r="J100" s="38"/>
      <c r="K100" s="39">
        <f>SUMPRODUCT(SUMIF(SurtaxRatesSAS!$B$2:$B$324,$C100:$E100,SurtaxRatesSAS!$G$2:$G$324))</f>
        <v>528441.53</v>
      </c>
      <c r="L100" s="39">
        <f>SUMPRODUCT(SUMIF(SurtaxRatesSAS!$B$2:$B$324,$C100:$E100,SurtaxRatesSAS!$H$2:$H$324))</f>
        <v>264220.77</v>
      </c>
      <c r="M100" s="39">
        <f>SUMPRODUCT(SUMIF(SurtaxRatesSAS!$B$2:$B$324,$C100:$E100,SurtaxRatesSAS!$I$2:$I$324))</f>
        <v>264220.76</v>
      </c>
      <c r="N100" s="38"/>
      <c r="O100" s="39" t="e">
        <f>SUMPRODUCT(SUMIF(SurtaxRatesSAS!$B$2:$B$324,$C100:$E100,SurtaxRatesSAS!$L$2:$L$324))</f>
        <v>#REF!</v>
      </c>
      <c r="P100" s="39" t="e">
        <f>SUMPRODUCT(SUMIF(SurtaxRatesSAS!$B$2:$B$324,$C100:$E100,SurtaxRatesSAS!$M$2:$M$324))</f>
        <v>#REF!</v>
      </c>
      <c r="Q100" s="39" t="e">
        <f>SUMPRODUCT(SUMIF(SurtaxRatesSAS!$B$2:$B$324,$C100:$E100,SurtaxRatesSAS!$N$2:$N$324))</f>
        <v>#REF!</v>
      </c>
      <c r="R100" s="38"/>
      <c r="S100" s="39" t="e">
        <f t="shared" si="3"/>
        <v>#REF!</v>
      </c>
      <c r="T100" s="39" t="e">
        <f t="shared" si="4"/>
        <v>#REF!</v>
      </c>
      <c r="U100" s="39" t="e">
        <f t="shared" si="5"/>
        <v>#REF!</v>
      </c>
      <c r="V100" s="29"/>
      <c r="W100" s="31" t="str">
        <f>IF(K100&gt;0,INDEX(cfo!$C$2:$I$326,MATCH(SurtaxPayment!C100,cfo!$C$2:$C$326,0),7),"")</f>
        <v>dkirkpatrick@emschools.org</v>
      </c>
      <c r="X100" s="31" t="str">
        <f>IF(IF(K100&gt;0,INDEX(cfo!$C$2:$K$326,MATCH(SurtaxPayment!C100,cfo!$C$2:$C$326,0),9),"")=0,"",IF(K100&gt;0,INDEX(cfo!$C$2:$K$326,MATCH(SurtaxPayment!C100,cfo!$C$2:$C$326,0),9),""))</f>
        <v/>
      </c>
    </row>
    <row r="101" spans="1:24" x14ac:dyDescent="0.25">
      <c r="A101" s="52">
        <v>2025</v>
      </c>
      <c r="B101" s="52" t="s">
        <v>661</v>
      </c>
      <c r="C101" s="57" t="s">
        <v>608</v>
      </c>
      <c r="D101" s="58" t="s">
        <v>693</v>
      </c>
      <c r="E101" s="58" t="s">
        <v>693</v>
      </c>
      <c r="F101" s="58" t="s">
        <v>608</v>
      </c>
      <c r="G101" s="57" t="s">
        <v>88</v>
      </c>
      <c r="H101" s="39">
        <f>SUMPRODUCT(SUMIF(SurtaxRatesSAS!$B$2:$B$324,$C101:$E101,SurtaxRatesSAS!$E$2:$E$324))</f>
        <v>0</v>
      </c>
      <c r="I101" s="39">
        <f>SUMPRODUCT(SUMIF(SurtaxRatesSAS!$B$2:$B$324,$C101:$E101,SurtaxRatesSAS!$D$2:$D$324))</f>
        <v>1</v>
      </c>
      <c r="J101" s="38"/>
      <c r="K101" s="39">
        <f>SUMPRODUCT(SUMIF(SurtaxRatesSAS!$B$2:$B$324,$C101:$E101,SurtaxRatesSAS!$G$2:$G$324))</f>
        <v>64027.93</v>
      </c>
      <c r="L101" s="39">
        <f>SUMPRODUCT(SUMIF(SurtaxRatesSAS!$B$2:$B$324,$C101:$E101,SurtaxRatesSAS!$H$2:$H$324))</f>
        <v>0</v>
      </c>
      <c r="M101" s="39">
        <f>SUMPRODUCT(SUMIF(SurtaxRatesSAS!$B$2:$B$324,$C101:$E101,SurtaxRatesSAS!$I$2:$I$324))</f>
        <v>64027.93</v>
      </c>
      <c r="N101" s="38"/>
      <c r="O101" s="39" t="e">
        <f>SUMPRODUCT(SUMIF(SurtaxRatesSAS!$B$2:$B$324,$C101:$E101,SurtaxRatesSAS!$L$2:$L$324))</f>
        <v>#REF!</v>
      </c>
      <c r="P101" s="39" t="e">
        <f>SUMPRODUCT(SUMIF(SurtaxRatesSAS!$B$2:$B$324,$C101:$E101,SurtaxRatesSAS!$M$2:$M$324))</f>
        <v>#REF!</v>
      </c>
      <c r="Q101" s="39" t="e">
        <f>SUMPRODUCT(SUMIF(SurtaxRatesSAS!$B$2:$B$324,$C101:$E101,SurtaxRatesSAS!$N$2:$N$324))</f>
        <v>#REF!</v>
      </c>
      <c r="R101" s="38"/>
      <c r="S101" s="39" t="e">
        <f t="shared" si="3"/>
        <v>#REF!</v>
      </c>
      <c r="T101" s="39" t="e">
        <f t="shared" si="4"/>
        <v>#REF!</v>
      </c>
      <c r="U101" s="39" t="e">
        <f t="shared" si="5"/>
        <v>#REF!</v>
      </c>
      <c r="V101" s="29"/>
      <c r="W101" s="31" t="str">
        <f>IF(K101&gt;0,INDEX(cfo!$C$2:$I$326,MATCH(SurtaxPayment!C101,cfo!$C$2:$C$326,0),7),"")</f>
        <v>truse@eastsac.k12.ia.us</v>
      </c>
      <c r="X101" s="31" t="str">
        <f>IF(IF(K101&gt;0,INDEX(cfo!$C$2:$K$326,MATCH(SurtaxPayment!C101,cfo!$C$2:$C$326,0),9),"")=0,"",IF(K101&gt;0,INDEX(cfo!$C$2:$K$326,MATCH(SurtaxPayment!C101,cfo!$C$2:$C$326,0),9),""))</f>
        <v>akmeredith@eastsac.k12.ia.us</v>
      </c>
    </row>
    <row r="102" spans="1:24" x14ac:dyDescent="0.25">
      <c r="A102" s="52">
        <v>2025</v>
      </c>
      <c r="B102" s="52" t="s">
        <v>659</v>
      </c>
      <c r="C102" s="57" t="s">
        <v>410</v>
      </c>
      <c r="D102" s="58" t="s">
        <v>693</v>
      </c>
      <c r="E102" s="58" t="s">
        <v>693</v>
      </c>
      <c r="F102" s="58" t="s">
        <v>410</v>
      </c>
      <c r="G102" s="57" t="s">
        <v>89</v>
      </c>
      <c r="H102" s="39">
        <f>SUMPRODUCT(SUMIF(SurtaxRatesSAS!$B$2:$B$324,$C102:$E102,SurtaxRatesSAS!$E$2:$E$324))</f>
        <v>0</v>
      </c>
      <c r="I102" s="39">
        <f>SUMPRODUCT(SUMIF(SurtaxRatesSAS!$B$2:$B$324,$C102:$E102,SurtaxRatesSAS!$D$2:$D$324))</f>
        <v>10</v>
      </c>
      <c r="J102" s="38"/>
      <c r="K102" s="39">
        <f>SUMPRODUCT(SUMIF(SurtaxRatesSAS!$B$2:$B$324,$C102:$E102,SurtaxRatesSAS!$G$2:$G$324))</f>
        <v>232769.23</v>
      </c>
      <c r="L102" s="39">
        <f>SUMPRODUCT(SUMIF(SurtaxRatesSAS!$B$2:$B$324,$C102:$E102,SurtaxRatesSAS!$H$2:$H$324))</f>
        <v>0</v>
      </c>
      <c r="M102" s="39">
        <f>SUMPRODUCT(SUMIF(SurtaxRatesSAS!$B$2:$B$324,$C102:$E102,SurtaxRatesSAS!$I$2:$I$324))</f>
        <v>232769.23</v>
      </c>
      <c r="N102" s="38"/>
      <c r="O102" s="39" t="e">
        <f>SUMPRODUCT(SUMIF(SurtaxRatesSAS!$B$2:$B$324,$C102:$E102,SurtaxRatesSAS!$L$2:$L$324))</f>
        <v>#REF!</v>
      </c>
      <c r="P102" s="39" t="e">
        <f>SUMPRODUCT(SUMIF(SurtaxRatesSAS!$B$2:$B$324,$C102:$E102,SurtaxRatesSAS!$M$2:$M$324))</f>
        <v>#REF!</v>
      </c>
      <c r="Q102" s="39" t="e">
        <f>SUMPRODUCT(SUMIF(SurtaxRatesSAS!$B$2:$B$324,$C102:$E102,SurtaxRatesSAS!$N$2:$N$324))</f>
        <v>#REF!</v>
      </c>
      <c r="R102" s="38"/>
      <c r="S102" s="39" t="e">
        <f t="shared" si="3"/>
        <v>#REF!</v>
      </c>
      <c r="T102" s="39" t="e">
        <f t="shared" si="4"/>
        <v>#REF!</v>
      </c>
      <c r="U102" s="39" t="e">
        <f t="shared" si="5"/>
        <v>#REF!</v>
      </c>
      <c r="V102" s="29"/>
      <c r="W102" s="31" t="str">
        <f>IF(K102&gt;0,INDEX(cfo!$C$2:$I$326,MATCH(SurtaxPayment!C102,cfo!$C$2:$C$326,0),7),"")</f>
        <v>rtessum@eastunionschools.org</v>
      </c>
      <c r="X102" s="31" t="str">
        <f>IF(IF(K102&gt;0,INDEX(cfo!$C$2:$K$326,MATCH(SurtaxPayment!C102,cfo!$C$2:$C$326,0),9),"")=0,"",IF(K102&gt;0,INDEX(cfo!$C$2:$K$326,MATCH(SurtaxPayment!C102,cfo!$C$2:$C$326,0),9),""))</f>
        <v/>
      </c>
    </row>
    <row r="103" spans="1:24" x14ac:dyDescent="0.25">
      <c r="A103" s="52">
        <v>2025</v>
      </c>
      <c r="B103" s="52" t="s">
        <v>665</v>
      </c>
      <c r="C103" s="57" t="s">
        <v>411</v>
      </c>
      <c r="D103" s="58" t="s">
        <v>693</v>
      </c>
      <c r="E103" s="58" t="s">
        <v>693</v>
      </c>
      <c r="F103" s="58" t="s">
        <v>411</v>
      </c>
      <c r="G103" s="57" t="s">
        <v>90</v>
      </c>
      <c r="H103" s="39">
        <f>SUMPRODUCT(SUMIF(SurtaxRatesSAS!$B$2:$B$324,$C103:$E103,SurtaxRatesSAS!$E$2:$E$324))</f>
        <v>0</v>
      </c>
      <c r="I103" s="39">
        <f>SUMPRODUCT(SUMIF(SurtaxRatesSAS!$B$2:$B$324,$C103:$E103,SurtaxRatesSAS!$D$2:$D$324))</f>
        <v>6</v>
      </c>
      <c r="J103" s="38"/>
      <c r="K103" s="39">
        <f>SUMPRODUCT(SUMIF(SurtaxRatesSAS!$B$2:$B$324,$C103:$E103,SurtaxRatesSAS!$G$2:$G$324))</f>
        <v>98026.89</v>
      </c>
      <c r="L103" s="39">
        <f>SUMPRODUCT(SUMIF(SurtaxRatesSAS!$B$2:$B$324,$C103:$E103,SurtaxRatesSAS!$H$2:$H$324))</f>
        <v>0</v>
      </c>
      <c r="M103" s="39">
        <f>SUMPRODUCT(SUMIF(SurtaxRatesSAS!$B$2:$B$324,$C103:$E103,SurtaxRatesSAS!$I$2:$I$324))</f>
        <v>98026.89</v>
      </c>
      <c r="N103" s="38"/>
      <c r="O103" s="39" t="e">
        <f>SUMPRODUCT(SUMIF(SurtaxRatesSAS!$B$2:$B$324,$C103:$E103,SurtaxRatesSAS!$L$2:$L$324))</f>
        <v>#REF!</v>
      </c>
      <c r="P103" s="39" t="e">
        <f>SUMPRODUCT(SUMIF(SurtaxRatesSAS!$B$2:$B$324,$C103:$E103,SurtaxRatesSAS!$M$2:$M$324))</f>
        <v>#REF!</v>
      </c>
      <c r="Q103" s="39" t="e">
        <f>SUMPRODUCT(SUMIF(SurtaxRatesSAS!$B$2:$B$324,$C103:$E103,SurtaxRatesSAS!$N$2:$N$324))</f>
        <v>#REF!</v>
      </c>
      <c r="R103" s="38"/>
      <c r="S103" s="39" t="e">
        <f t="shared" si="3"/>
        <v>#REF!</v>
      </c>
      <c r="T103" s="39" t="e">
        <f t="shared" si="4"/>
        <v>#REF!</v>
      </c>
      <c r="U103" s="39" t="e">
        <f t="shared" si="5"/>
        <v>#REF!</v>
      </c>
      <c r="V103" s="29"/>
      <c r="W103" s="31" t="str">
        <f>IF(K103&gt;0,INDEX(cfo!$C$2:$I$326,MATCH(SurtaxPayment!C103,cfo!$C$2:$C$326,0),7),"")</f>
        <v>ksmith@kee.k12.ia.us</v>
      </c>
      <c r="X103" s="31" t="str">
        <f>IF(IF(K103&gt;0,INDEX(cfo!$C$2:$K$326,MATCH(SurtaxPayment!C103,cfo!$C$2:$C$326,0),9),"")=0,"",IF(K103&gt;0,INDEX(cfo!$C$2:$K$326,MATCH(SurtaxPayment!C103,cfo!$C$2:$C$326,0),9),""))</f>
        <v>jheiderscheit@kee.k12.ia.us</v>
      </c>
    </row>
    <row r="104" spans="1:24" x14ac:dyDescent="0.25">
      <c r="A104" s="52">
        <v>2025</v>
      </c>
      <c r="B104" s="52" t="s">
        <v>666</v>
      </c>
      <c r="C104" s="57" t="s">
        <v>409</v>
      </c>
      <c r="D104" s="58" t="s">
        <v>693</v>
      </c>
      <c r="E104" s="58" t="s">
        <v>693</v>
      </c>
      <c r="F104" s="58" t="s">
        <v>409</v>
      </c>
      <c r="G104" s="57" t="s">
        <v>639</v>
      </c>
      <c r="H104" s="39">
        <f>SUMPRODUCT(SUMIF(SurtaxRatesSAS!$B$2:$B$324,$C104:$E104,SurtaxRatesSAS!$E$2:$E$324))</f>
        <v>0</v>
      </c>
      <c r="I104" s="39">
        <f>SUMPRODUCT(SUMIF(SurtaxRatesSAS!$B$2:$B$324,$C104:$E104,SurtaxRatesSAS!$D$2:$D$324))</f>
        <v>4</v>
      </c>
      <c r="J104" s="38"/>
      <c r="K104" s="39">
        <f>SUMPRODUCT(SUMIF(SurtaxRatesSAS!$B$2:$B$324,$C104:$E104,SurtaxRatesSAS!$G$2:$G$324))</f>
        <v>133403.24</v>
      </c>
      <c r="L104" s="39">
        <f>SUMPRODUCT(SUMIF(SurtaxRatesSAS!$B$2:$B$324,$C104:$E104,SurtaxRatesSAS!$H$2:$H$324))</f>
        <v>0</v>
      </c>
      <c r="M104" s="39">
        <f>SUMPRODUCT(SUMIF(SurtaxRatesSAS!$B$2:$B$324,$C104:$E104,SurtaxRatesSAS!$I$2:$I$324))</f>
        <v>133403.24</v>
      </c>
      <c r="N104" s="38"/>
      <c r="O104" s="39" t="e">
        <f>SUMPRODUCT(SUMIF(SurtaxRatesSAS!$B$2:$B$324,$C104:$E104,SurtaxRatesSAS!$L$2:$L$324))</f>
        <v>#REF!</v>
      </c>
      <c r="P104" s="39" t="e">
        <f>SUMPRODUCT(SUMIF(SurtaxRatesSAS!$B$2:$B$324,$C104:$E104,SurtaxRatesSAS!$M$2:$M$324))</f>
        <v>#REF!</v>
      </c>
      <c r="Q104" s="39" t="e">
        <f>SUMPRODUCT(SUMIF(SurtaxRatesSAS!$B$2:$B$324,$C104:$E104,SurtaxRatesSAS!$N$2:$N$324))</f>
        <v>#REF!</v>
      </c>
      <c r="R104" s="38"/>
      <c r="S104" s="39" t="e">
        <f t="shared" si="3"/>
        <v>#REF!</v>
      </c>
      <c r="T104" s="39" t="e">
        <f t="shared" si="4"/>
        <v>#REF!</v>
      </c>
      <c r="U104" s="39" t="e">
        <f t="shared" si="5"/>
        <v>#REF!</v>
      </c>
      <c r="V104" s="29"/>
      <c r="W104" s="31" t="str">
        <f>IF(K104&gt;0,INDEX(cfo!$C$2:$I$326,MATCH(SurtaxPayment!C104,cfo!$C$2:$C$326,0),7),"")</f>
        <v>adam.crigger@eastonvalleycsd.com</v>
      </c>
      <c r="X104" s="31" t="str">
        <f>IF(IF(K104&gt;0,INDEX(cfo!$C$2:$K$326,MATCH(SurtaxPayment!C104,cfo!$C$2:$C$326,0),9),"")=0,"",IF(K104&gt;0,INDEX(cfo!$C$2:$K$326,MATCH(SurtaxPayment!C104,cfo!$C$2:$C$326,0),9),""))</f>
        <v/>
      </c>
    </row>
    <row r="105" spans="1:24" x14ac:dyDescent="0.25">
      <c r="A105" s="52">
        <v>2025</v>
      </c>
      <c r="B105" s="52" t="s">
        <v>662</v>
      </c>
      <c r="C105" s="57" t="s">
        <v>344</v>
      </c>
      <c r="D105" s="58" t="s">
        <v>693</v>
      </c>
      <c r="E105" s="58" t="s">
        <v>693</v>
      </c>
      <c r="F105" s="58" t="s">
        <v>344</v>
      </c>
      <c r="G105" s="57" t="s">
        <v>91</v>
      </c>
      <c r="H105" s="39">
        <f>SUMPRODUCT(SUMIF(SurtaxRatesSAS!$B$2:$B$324,$C105:$E105,SurtaxRatesSAS!$E$2:$E$324))</f>
        <v>0</v>
      </c>
      <c r="I105" s="39">
        <f>SUMPRODUCT(SUMIF(SurtaxRatesSAS!$B$2:$B$324,$C105:$E105,SurtaxRatesSAS!$D$2:$D$324))</f>
        <v>5</v>
      </c>
      <c r="J105" s="38"/>
      <c r="K105" s="39">
        <f>SUMPRODUCT(SUMIF(SurtaxRatesSAS!$B$2:$B$324,$C105:$E105,SurtaxRatesSAS!$G$2:$G$324))</f>
        <v>230353.42</v>
      </c>
      <c r="L105" s="39">
        <f>SUMPRODUCT(SUMIF(SurtaxRatesSAS!$B$2:$B$324,$C105:$E105,SurtaxRatesSAS!$H$2:$H$324))</f>
        <v>0</v>
      </c>
      <c r="M105" s="39">
        <f>SUMPRODUCT(SUMIF(SurtaxRatesSAS!$B$2:$B$324,$C105:$E105,SurtaxRatesSAS!$I$2:$I$324))</f>
        <v>230353.42</v>
      </c>
      <c r="N105" s="38"/>
      <c r="O105" s="39" t="e">
        <f>SUMPRODUCT(SUMIF(SurtaxRatesSAS!$B$2:$B$324,$C105:$E105,SurtaxRatesSAS!$L$2:$L$324))</f>
        <v>#REF!</v>
      </c>
      <c r="P105" s="39" t="e">
        <f>SUMPRODUCT(SUMIF(SurtaxRatesSAS!$B$2:$B$324,$C105:$E105,SurtaxRatesSAS!$M$2:$M$324))</f>
        <v>#REF!</v>
      </c>
      <c r="Q105" s="39" t="e">
        <f>SUMPRODUCT(SUMIF(SurtaxRatesSAS!$B$2:$B$324,$C105:$E105,SurtaxRatesSAS!$N$2:$N$324))</f>
        <v>#REF!</v>
      </c>
      <c r="R105" s="38"/>
      <c r="S105" s="39" t="e">
        <f t="shared" si="3"/>
        <v>#REF!</v>
      </c>
      <c r="T105" s="39" t="e">
        <f t="shared" si="4"/>
        <v>#REF!</v>
      </c>
      <c r="U105" s="39" t="e">
        <f t="shared" si="5"/>
        <v>#REF!</v>
      </c>
      <c r="V105" s="29"/>
      <c r="W105" s="31" t="str">
        <f>IF(K105&gt;0,INDEX(cfo!$C$2:$I$326,MATCH(SurtaxPayment!C105,cfo!$C$2:$C$326,0),7),"")</f>
        <v>mary.mccrea@rocketsk12.org</v>
      </c>
      <c r="X105" s="31" t="str">
        <f>IF(IF(K105&gt;0,INDEX(cfo!$C$2:$K$326,MATCH(SurtaxPayment!C105,cfo!$C$2:$C$326,0),9),"")=0,"",IF(K105&gt;0,INDEX(cfo!$C$2:$K$326,MATCH(SurtaxPayment!C105,cfo!$C$2:$C$326,0),9),""))</f>
        <v>sherry.mattson@rocketsk12.org</v>
      </c>
    </row>
    <row r="106" spans="1:24" x14ac:dyDescent="0.25">
      <c r="A106" s="52">
        <v>2025</v>
      </c>
      <c r="B106" s="52" t="s">
        <v>665</v>
      </c>
      <c r="C106" s="57" t="s">
        <v>413</v>
      </c>
      <c r="D106" s="58" t="s">
        <v>693</v>
      </c>
      <c r="E106" s="58" t="s">
        <v>693</v>
      </c>
      <c r="F106" s="58" t="s">
        <v>413</v>
      </c>
      <c r="G106" s="57" t="s">
        <v>92</v>
      </c>
      <c r="H106" s="39">
        <f>SUMPRODUCT(SUMIF(SurtaxRatesSAS!$B$2:$B$324,$C106:$E106,SurtaxRatesSAS!$E$2:$E$324))</f>
        <v>3</v>
      </c>
      <c r="I106" s="39">
        <f>SUMPRODUCT(SUMIF(SurtaxRatesSAS!$B$2:$B$324,$C106:$E106,SurtaxRatesSAS!$D$2:$D$324))</f>
        <v>1</v>
      </c>
      <c r="J106" s="38"/>
      <c r="K106" s="39">
        <f>SUMPRODUCT(SUMIF(SurtaxRatesSAS!$B$2:$B$324,$C106:$E106,SurtaxRatesSAS!$G$2:$G$324))</f>
        <v>108274.89</v>
      </c>
      <c r="L106" s="39">
        <f>SUMPRODUCT(SUMIF(SurtaxRatesSAS!$B$2:$B$324,$C106:$E106,SurtaxRatesSAS!$H$2:$H$324))</f>
        <v>81206.17</v>
      </c>
      <c r="M106" s="39">
        <f>SUMPRODUCT(SUMIF(SurtaxRatesSAS!$B$2:$B$324,$C106:$E106,SurtaxRatesSAS!$I$2:$I$324))</f>
        <v>27068.720000000001</v>
      </c>
      <c r="N106" s="38"/>
      <c r="O106" s="39" t="e">
        <f>SUMPRODUCT(SUMIF(SurtaxRatesSAS!$B$2:$B$324,$C106:$E106,SurtaxRatesSAS!$L$2:$L$324))</f>
        <v>#REF!</v>
      </c>
      <c r="P106" s="39" t="e">
        <f>SUMPRODUCT(SUMIF(SurtaxRatesSAS!$B$2:$B$324,$C106:$E106,SurtaxRatesSAS!$M$2:$M$324))</f>
        <v>#REF!</v>
      </c>
      <c r="Q106" s="39" t="e">
        <f>SUMPRODUCT(SUMIF(SurtaxRatesSAS!$B$2:$B$324,$C106:$E106,SurtaxRatesSAS!$N$2:$N$324))</f>
        <v>#REF!</v>
      </c>
      <c r="R106" s="38"/>
      <c r="S106" s="39" t="e">
        <f t="shared" si="3"/>
        <v>#REF!</v>
      </c>
      <c r="T106" s="39" t="e">
        <f t="shared" si="4"/>
        <v>#REF!</v>
      </c>
      <c r="U106" s="39" t="e">
        <f t="shared" si="5"/>
        <v>#REF!</v>
      </c>
      <c r="V106" s="29"/>
      <c r="W106" s="31" t="str">
        <f>IF(K106&gt;0,INDEX(cfo!$C$2:$I$326,MATCH(SurtaxPayment!C106,cfo!$C$2:$C$326,0),7),"")</f>
        <v>erikaimler@maquoketa-v.k12.ia.us</v>
      </c>
      <c r="X106" s="31" t="str">
        <f>IF(IF(K106&gt;0,INDEX(cfo!$C$2:$K$326,MATCH(SurtaxPayment!C106,cfo!$C$2:$C$326,0),9),"")=0,"",IF(K106&gt;0,INDEX(cfo!$C$2:$K$326,MATCH(SurtaxPayment!C106,cfo!$C$2:$C$326,0),9),""))</f>
        <v>mconner@edge-cole.k12.ia.us</v>
      </c>
    </row>
    <row r="107" spans="1:24" x14ac:dyDescent="0.25">
      <c r="A107" s="52">
        <v>2025</v>
      </c>
      <c r="B107" s="52" t="s">
        <v>658</v>
      </c>
      <c r="C107" s="57" t="s">
        <v>414</v>
      </c>
      <c r="D107" s="58" t="s">
        <v>693</v>
      </c>
      <c r="E107" s="58" t="s">
        <v>693</v>
      </c>
      <c r="F107" s="58" t="s">
        <v>414</v>
      </c>
      <c r="G107" s="57" t="s">
        <v>93</v>
      </c>
      <c r="H107" s="39">
        <f>SUMPRODUCT(SUMIF(SurtaxRatesSAS!$B$2:$B$324,$C107:$E107,SurtaxRatesSAS!$E$2:$E$324))</f>
        <v>0</v>
      </c>
      <c r="I107" s="39">
        <f>SUMPRODUCT(SUMIF(SurtaxRatesSAS!$B$2:$B$324,$C107:$E107,SurtaxRatesSAS!$D$2:$D$324))</f>
        <v>2</v>
      </c>
      <c r="J107" s="38"/>
      <c r="K107" s="39">
        <f>SUMPRODUCT(SUMIF(SurtaxRatesSAS!$B$2:$B$324,$C107:$E107,SurtaxRatesSAS!$G$2:$G$324))</f>
        <v>63738.37</v>
      </c>
      <c r="L107" s="39">
        <f>SUMPRODUCT(SUMIF(SurtaxRatesSAS!$B$2:$B$324,$C107:$E107,SurtaxRatesSAS!$H$2:$H$324))</f>
        <v>0</v>
      </c>
      <c r="M107" s="39">
        <f>SUMPRODUCT(SUMIF(SurtaxRatesSAS!$B$2:$B$324,$C107:$E107,SurtaxRatesSAS!$I$2:$I$324))</f>
        <v>63738.37</v>
      </c>
      <c r="N107" s="38"/>
      <c r="O107" s="39" t="e">
        <f>SUMPRODUCT(SUMIF(SurtaxRatesSAS!$B$2:$B$324,$C107:$E107,SurtaxRatesSAS!$L$2:$L$324))</f>
        <v>#REF!</v>
      </c>
      <c r="P107" s="39" t="e">
        <f>SUMPRODUCT(SUMIF(SurtaxRatesSAS!$B$2:$B$324,$C107:$E107,SurtaxRatesSAS!$M$2:$M$324))</f>
        <v>#REF!</v>
      </c>
      <c r="Q107" s="39" t="e">
        <f>SUMPRODUCT(SUMIF(SurtaxRatesSAS!$B$2:$B$324,$C107:$E107,SurtaxRatesSAS!$N$2:$N$324))</f>
        <v>#REF!</v>
      </c>
      <c r="R107" s="38"/>
      <c r="S107" s="39" t="e">
        <f t="shared" si="3"/>
        <v>#REF!</v>
      </c>
      <c r="T107" s="39" t="e">
        <f t="shared" si="4"/>
        <v>#REF!</v>
      </c>
      <c r="U107" s="39" t="e">
        <f t="shared" si="5"/>
        <v>#REF!</v>
      </c>
      <c r="V107" s="29"/>
      <c r="W107" s="31" t="str">
        <f>IF(K107&gt;0,INDEX(cfo!$C$2:$I$326,MATCH(SurtaxPayment!C107,cfo!$C$2:$C$326,0),7),"")</f>
        <v>jkies@eldoranp.org</v>
      </c>
      <c r="X107" s="31" t="str">
        <f>IF(IF(K107&gt;0,INDEX(cfo!$C$2:$K$326,MATCH(SurtaxPayment!C107,cfo!$C$2:$C$326,0),9),"")=0,"",IF(K107&gt;0,INDEX(cfo!$C$2:$K$326,MATCH(SurtaxPayment!C107,cfo!$C$2:$C$326,0),9),""))</f>
        <v/>
      </c>
    </row>
    <row r="108" spans="1:24" x14ac:dyDescent="0.25">
      <c r="A108" s="52">
        <v>2025</v>
      </c>
      <c r="B108" s="52" t="s">
        <v>661</v>
      </c>
      <c r="C108" s="57" t="s">
        <v>415</v>
      </c>
      <c r="D108" s="58" t="s">
        <v>693</v>
      </c>
      <c r="E108" s="58" t="s">
        <v>693</v>
      </c>
      <c r="F108" s="58" t="s">
        <v>415</v>
      </c>
      <c r="G108" s="57" t="s">
        <v>94</v>
      </c>
      <c r="H108" s="39">
        <f>SUMPRODUCT(SUMIF(SurtaxRatesSAS!$B$2:$B$324,$C108:$E108,SurtaxRatesSAS!$E$2:$E$324))</f>
        <v>3</v>
      </c>
      <c r="I108" s="39">
        <f>SUMPRODUCT(SUMIF(SurtaxRatesSAS!$B$2:$B$324,$C108:$E108,SurtaxRatesSAS!$D$2:$D$324))</f>
        <v>4</v>
      </c>
      <c r="J108" s="38"/>
      <c r="K108" s="39">
        <f>SUMPRODUCT(SUMIF(SurtaxRatesSAS!$B$2:$B$324,$C108:$E108,SurtaxRatesSAS!$G$2:$G$324))</f>
        <v>310844.59000000003</v>
      </c>
      <c r="L108" s="39">
        <f>SUMPRODUCT(SUMIF(SurtaxRatesSAS!$B$2:$B$324,$C108:$E108,SurtaxRatesSAS!$H$2:$H$324))</f>
        <v>133219.10999999999</v>
      </c>
      <c r="M108" s="39">
        <f>SUMPRODUCT(SUMIF(SurtaxRatesSAS!$B$2:$B$324,$C108:$E108,SurtaxRatesSAS!$I$2:$I$324))</f>
        <v>177625.48000000004</v>
      </c>
      <c r="N108" s="38"/>
      <c r="O108" s="39" t="e">
        <f>SUMPRODUCT(SUMIF(SurtaxRatesSAS!$B$2:$B$324,$C108:$E108,SurtaxRatesSAS!$L$2:$L$324))</f>
        <v>#REF!</v>
      </c>
      <c r="P108" s="39" t="e">
        <f>SUMPRODUCT(SUMIF(SurtaxRatesSAS!$B$2:$B$324,$C108:$E108,SurtaxRatesSAS!$M$2:$M$324))</f>
        <v>#REF!</v>
      </c>
      <c r="Q108" s="39" t="e">
        <f>SUMPRODUCT(SUMIF(SurtaxRatesSAS!$B$2:$B$324,$C108:$E108,SurtaxRatesSAS!$N$2:$N$324))</f>
        <v>#REF!</v>
      </c>
      <c r="R108" s="38"/>
      <c r="S108" s="39" t="e">
        <f t="shared" si="3"/>
        <v>#REF!</v>
      </c>
      <c r="T108" s="39" t="e">
        <f t="shared" si="4"/>
        <v>#REF!</v>
      </c>
      <c r="U108" s="39" t="e">
        <f t="shared" si="5"/>
        <v>#REF!</v>
      </c>
      <c r="V108" s="29"/>
      <c r="W108" s="31" t="str">
        <f>IF(K108&gt;0,INDEX(cfo!$C$2:$I$326,MATCH(SurtaxPayment!C108,cfo!$C$2:$C$326,0),7),"")</f>
        <v>aenderson@e-hawks.org</v>
      </c>
      <c r="X108" s="31" t="str">
        <f>IF(IF(K108&gt;0,INDEX(cfo!$C$2:$K$326,MATCH(SurtaxPayment!C108,cfo!$C$2:$C$326,0),9),"")=0,"",IF(K108&gt;0,INDEX(cfo!$C$2:$K$326,MATCH(SurtaxPayment!C108,cfo!$C$2:$C$326,0),9),""))</f>
        <v/>
      </c>
    </row>
    <row r="109" spans="1:24" x14ac:dyDescent="0.25">
      <c r="A109" s="52">
        <v>2025</v>
      </c>
      <c r="B109" s="52" t="s">
        <v>663</v>
      </c>
      <c r="C109" s="57" t="s">
        <v>416</v>
      </c>
      <c r="D109" s="58" t="s">
        <v>693</v>
      </c>
      <c r="E109" s="58" t="s">
        <v>693</v>
      </c>
      <c r="F109" s="58" t="s">
        <v>416</v>
      </c>
      <c r="G109" s="57" t="s">
        <v>95</v>
      </c>
      <c r="H109" s="39">
        <f>SUMPRODUCT(SUMIF(SurtaxRatesSAS!$B$2:$B$324,$C109:$E109,SurtaxRatesSAS!$E$2:$E$324))</f>
        <v>4</v>
      </c>
      <c r="I109" s="39">
        <f>SUMPRODUCT(SUMIF(SurtaxRatesSAS!$B$2:$B$324,$C109:$E109,SurtaxRatesSAS!$D$2:$D$324))</f>
        <v>4</v>
      </c>
      <c r="J109" s="38"/>
      <c r="K109" s="39">
        <f>SUMPRODUCT(SUMIF(SurtaxRatesSAS!$B$2:$B$324,$C109:$E109,SurtaxRatesSAS!$G$2:$G$324))</f>
        <v>180326.51</v>
      </c>
      <c r="L109" s="39">
        <f>SUMPRODUCT(SUMIF(SurtaxRatesSAS!$B$2:$B$324,$C109:$E109,SurtaxRatesSAS!$H$2:$H$324))</f>
        <v>90163.26</v>
      </c>
      <c r="M109" s="39">
        <f>SUMPRODUCT(SUMIF(SurtaxRatesSAS!$B$2:$B$324,$C109:$E109,SurtaxRatesSAS!$I$2:$I$324))</f>
        <v>90163.250000000015</v>
      </c>
      <c r="N109" s="38"/>
      <c r="O109" s="39" t="e">
        <f>SUMPRODUCT(SUMIF(SurtaxRatesSAS!$B$2:$B$324,$C109:$E109,SurtaxRatesSAS!$L$2:$L$324))</f>
        <v>#REF!</v>
      </c>
      <c r="P109" s="39" t="e">
        <f>SUMPRODUCT(SUMIF(SurtaxRatesSAS!$B$2:$B$324,$C109:$E109,SurtaxRatesSAS!$M$2:$M$324))</f>
        <v>#REF!</v>
      </c>
      <c r="Q109" s="39" t="e">
        <f>SUMPRODUCT(SUMIF(SurtaxRatesSAS!$B$2:$B$324,$C109:$E109,SurtaxRatesSAS!$N$2:$N$324))</f>
        <v>#REF!</v>
      </c>
      <c r="R109" s="38"/>
      <c r="S109" s="39" t="e">
        <f t="shared" si="3"/>
        <v>#REF!</v>
      </c>
      <c r="T109" s="39" t="e">
        <f t="shared" si="4"/>
        <v>#REF!</v>
      </c>
      <c r="U109" s="39" t="e">
        <f t="shared" si="5"/>
        <v>#REF!</v>
      </c>
      <c r="V109" s="29"/>
      <c r="W109" s="31" t="str">
        <f>IF(K109&gt;0,INDEX(cfo!$C$2:$I$326,MATCH(SurtaxPayment!C109,cfo!$C$2:$C$326,0),7),"")</f>
        <v>wayers@english-valleys.k12.ia.us</v>
      </c>
      <c r="X109" s="31" t="str">
        <f>IF(IF(K109&gt;0,INDEX(cfo!$C$2:$K$326,MATCH(SurtaxPayment!C109,cfo!$C$2:$C$326,0),9),"")=0,"",IF(K109&gt;0,INDEX(cfo!$C$2:$K$326,MATCH(SurtaxPayment!C109,cfo!$C$2:$C$326,0),9),""))</f>
        <v/>
      </c>
    </row>
    <row r="110" spans="1:24" x14ac:dyDescent="0.25">
      <c r="A110" s="52">
        <v>2025</v>
      </c>
      <c r="B110" s="52" t="s">
        <v>659</v>
      </c>
      <c r="C110" s="57" t="s">
        <v>417</v>
      </c>
      <c r="D110" s="58" t="s">
        <v>693</v>
      </c>
      <c r="E110" s="58" t="s">
        <v>693</v>
      </c>
      <c r="F110" s="58" t="s">
        <v>417</v>
      </c>
      <c r="G110" s="57" t="s">
        <v>96</v>
      </c>
      <c r="H110" s="39">
        <f>SUMPRODUCT(SUMIF(SurtaxRatesSAS!$B$2:$B$324,$C110:$E110,SurtaxRatesSAS!$E$2:$E$324))</f>
        <v>0</v>
      </c>
      <c r="I110" s="39">
        <f>SUMPRODUCT(SUMIF(SurtaxRatesSAS!$B$2:$B$324,$C110:$E110,SurtaxRatesSAS!$D$2:$D$324))</f>
        <v>9</v>
      </c>
      <c r="J110" s="38"/>
      <c r="K110" s="39">
        <f>SUMPRODUCT(SUMIF(SurtaxRatesSAS!$B$2:$B$324,$C110:$E110,SurtaxRatesSAS!$G$2:$G$324))</f>
        <v>87117.57</v>
      </c>
      <c r="L110" s="39">
        <f>SUMPRODUCT(SUMIF(SurtaxRatesSAS!$B$2:$B$324,$C110:$E110,SurtaxRatesSAS!$H$2:$H$324))</f>
        <v>0</v>
      </c>
      <c r="M110" s="39">
        <f>SUMPRODUCT(SUMIF(SurtaxRatesSAS!$B$2:$B$324,$C110:$E110,SurtaxRatesSAS!$I$2:$I$324))</f>
        <v>87117.57</v>
      </c>
      <c r="N110" s="38"/>
      <c r="O110" s="39" t="e">
        <f>SUMPRODUCT(SUMIF(SurtaxRatesSAS!$B$2:$B$324,$C110:$E110,SurtaxRatesSAS!$L$2:$L$324))</f>
        <v>#REF!</v>
      </c>
      <c r="P110" s="39" t="e">
        <f>SUMPRODUCT(SUMIF(SurtaxRatesSAS!$B$2:$B$324,$C110:$E110,SurtaxRatesSAS!$M$2:$M$324))</f>
        <v>#REF!</v>
      </c>
      <c r="Q110" s="39" t="e">
        <f>SUMPRODUCT(SUMIF(SurtaxRatesSAS!$B$2:$B$324,$C110:$E110,SurtaxRatesSAS!$N$2:$N$324))</f>
        <v>#REF!</v>
      </c>
      <c r="R110" s="38"/>
      <c r="S110" s="39" t="e">
        <f t="shared" si="3"/>
        <v>#REF!</v>
      </c>
      <c r="T110" s="39" t="e">
        <f t="shared" si="4"/>
        <v>#REF!</v>
      </c>
      <c r="U110" s="39" t="e">
        <f t="shared" si="5"/>
        <v>#REF!</v>
      </c>
      <c r="V110" s="29"/>
      <c r="W110" s="31" t="str">
        <f>IF(K110&gt;0,INDEX(cfo!$C$2:$I$326,MATCH(SurtaxPayment!C110,cfo!$C$2:$C$326,0),7),"")</f>
        <v>chambersm@essex.k12.ia.us</v>
      </c>
      <c r="X110" s="31" t="str">
        <f>IF(IF(K110&gt;0,INDEX(cfo!$C$2:$K$326,MATCH(SurtaxPayment!C110,cfo!$C$2:$C$326,0),9),"")=0,"",IF(K110&gt;0,INDEX(cfo!$C$2:$K$326,MATCH(SurtaxPayment!C110,cfo!$C$2:$C$326,0),9),""))</f>
        <v/>
      </c>
    </row>
    <row r="111" spans="1:24" x14ac:dyDescent="0.25">
      <c r="A111" s="52">
        <v>2025</v>
      </c>
      <c r="B111" s="52" t="s">
        <v>661</v>
      </c>
      <c r="C111" s="57" t="s">
        <v>418</v>
      </c>
      <c r="D111" s="58" t="s">
        <v>693</v>
      </c>
      <c r="E111" s="58" t="s">
        <v>693</v>
      </c>
      <c r="F111" s="58" t="s">
        <v>418</v>
      </c>
      <c r="G111" s="57" t="s">
        <v>640</v>
      </c>
      <c r="H111" s="39">
        <f>SUMPRODUCT(SUMIF(SurtaxRatesSAS!$B$2:$B$324,$C111:$E111,SurtaxRatesSAS!$E$2:$E$324))</f>
        <v>0</v>
      </c>
      <c r="I111" s="39">
        <f>SUMPRODUCT(SUMIF(SurtaxRatesSAS!$B$2:$B$324,$C111:$E111,SurtaxRatesSAS!$D$2:$D$324))</f>
        <v>9</v>
      </c>
      <c r="J111" s="38"/>
      <c r="K111" s="39">
        <f>SUMPRODUCT(SUMIF(SurtaxRatesSAS!$B$2:$B$324,$C111:$E111,SurtaxRatesSAS!$G$2:$G$324))</f>
        <v>521991.3</v>
      </c>
      <c r="L111" s="39">
        <f>SUMPRODUCT(SUMIF(SurtaxRatesSAS!$B$2:$B$324,$C111:$E111,SurtaxRatesSAS!$H$2:$H$324))</f>
        <v>0</v>
      </c>
      <c r="M111" s="39">
        <f>SUMPRODUCT(SUMIF(SurtaxRatesSAS!$B$2:$B$324,$C111:$E111,SurtaxRatesSAS!$I$2:$I$324))</f>
        <v>521991.3</v>
      </c>
      <c r="N111" s="38"/>
      <c r="O111" s="39" t="e">
        <f>SUMPRODUCT(SUMIF(SurtaxRatesSAS!$B$2:$B$324,$C111:$E111,SurtaxRatesSAS!$L$2:$L$324))</f>
        <v>#REF!</v>
      </c>
      <c r="P111" s="39" t="e">
        <f>SUMPRODUCT(SUMIF(SurtaxRatesSAS!$B$2:$B$324,$C111:$E111,SurtaxRatesSAS!$M$2:$M$324))</f>
        <v>#REF!</v>
      </c>
      <c r="Q111" s="39" t="e">
        <f>SUMPRODUCT(SUMIF(SurtaxRatesSAS!$B$2:$B$324,$C111:$E111,SurtaxRatesSAS!$N$2:$N$324))</f>
        <v>#REF!</v>
      </c>
      <c r="R111" s="38"/>
      <c r="S111" s="39" t="e">
        <f t="shared" si="3"/>
        <v>#REF!</v>
      </c>
      <c r="T111" s="39" t="e">
        <f t="shared" si="4"/>
        <v>#REF!</v>
      </c>
      <c r="U111" s="39" t="e">
        <f t="shared" si="5"/>
        <v>#REF!</v>
      </c>
      <c r="V111" s="29"/>
      <c r="W111" s="31" t="str">
        <f>IF(K111&gt;0,INDEX(cfo!$C$2:$I$326,MATCH(SurtaxPayment!C111,cfo!$C$2:$C$326,0),7),"")</f>
        <v>kate.woods@elc-csd.org</v>
      </c>
      <c r="X111" s="31" t="str">
        <f>IF(IF(K111&gt;0,INDEX(cfo!$C$2:$K$326,MATCH(SurtaxPayment!C111,cfo!$C$2:$C$326,0),9),"")=0,"",IF(K111&gt;0,INDEX(cfo!$C$2:$K$326,MATCH(SurtaxPayment!C111,cfo!$C$2:$C$326,0),9),""))</f>
        <v/>
      </c>
    </row>
    <row r="112" spans="1:24" x14ac:dyDescent="0.25">
      <c r="A112" s="52">
        <v>2025</v>
      </c>
      <c r="B112" s="52" t="s">
        <v>657</v>
      </c>
      <c r="C112" s="57" t="s">
        <v>419</v>
      </c>
      <c r="D112" s="58" t="s">
        <v>693</v>
      </c>
      <c r="E112" s="58" t="s">
        <v>693</v>
      </c>
      <c r="F112" s="58" t="s">
        <v>419</v>
      </c>
      <c r="G112" s="57" t="s">
        <v>98</v>
      </c>
      <c r="H112" s="39">
        <f>SUMPRODUCT(SUMIF(SurtaxRatesSAS!$B$2:$B$324,$C112:$E112,SurtaxRatesSAS!$E$2:$E$324))</f>
        <v>0</v>
      </c>
      <c r="I112" s="39">
        <f>SUMPRODUCT(SUMIF(SurtaxRatesSAS!$B$2:$B$324,$C112:$E112,SurtaxRatesSAS!$D$2:$D$324))</f>
        <v>5</v>
      </c>
      <c r="J112" s="38"/>
      <c r="K112" s="39">
        <f>SUMPRODUCT(SUMIF(SurtaxRatesSAS!$B$2:$B$324,$C112:$E112,SurtaxRatesSAS!$G$2:$G$324))</f>
        <v>124562.35</v>
      </c>
      <c r="L112" s="39">
        <f>SUMPRODUCT(SUMIF(SurtaxRatesSAS!$B$2:$B$324,$C112:$E112,SurtaxRatesSAS!$H$2:$H$324))</f>
        <v>0</v>
      </c>
      <c r="M112" s="39">
        <f>SUMPRODUCT(SUMIF(SurtaxRatesSAS!$B$2:$B$324,$C112:$E112,SurtaxRatesSAS!$I$2:$I$324))</f>
        <v>124562.35</v>
      </c>
      <c r="N112" s="38"/>
      <c r="O112" s="39" t="e">
        <f>SUMPRODUCT(SUMIF(SurtaxRatesSAS!$B$2:$B$324,$C112:$E112,SurtaxRatesSAS!$L$2:$L$324))</f>
        <v>#REF!</v>
      </c>
      <c r="P112" s="39" t="e">
        <f>SUMPRODUCT(SUMIF(SurtaxRatesSAS!$B$2:$B$324,$C112:$E112,SurtaxRatesSAS!$M$2:$M$324))</f>
        <v>#REF!</v>
      </c>
      <c r="Q112" s="39" t="e">
        <f>SUMPRODUCT(SUMIF(SurtaxRatesSAS!$B$2:$B$324,$C112:$E112,SurtaxRatesSAS!$N$2:$N$324))</f>
        <v>#REF!</v>
      </c>
      <c r="R112" s="38"/>
      <c r="S112" s="39" t="e">
        <f t="shared" si="3"/>
        <v>#REF!</v>
      </c>
      <c r="T112" s="39" t="e">
        <f t="shared" si="4"/>
        <v>#REF!</v>
      </c>
      <c r="U112" s="39" t="e">
        <f t="shared" si="5"/>
        <v>#REF!</v>
      </c>
      <c r="V112" s="29"/>
      <c r="W112" s="31" t="str">
        <f>IF(K112&gt;0,INDEX(cfo!$C$2:$I$326,MATCH(SurtaxPayment!C112,cfo!$C$2:$C$326,0),7),"")</f>
        <v>cchristensen@eehkspartans.org</v>
      </c>
      <c r="X112" s="31" t="str">
        <f>IF(IF(K112&gt;0,INDEX(cfo!$C$2:$K$326,MATCH(SurtaxPayment!C112,cfo!$C$2:$C$326,0),9),"")=0,"",IF(K112&gt;0,INDEX(cfo!$C$2:$K$326,MATCH(SurtaxPayment!C112,cfo!$C$2:$C$326,0),9),""))</f>
        <v/>
      </c>
    </row>
    <row r="113" spans="1:24" x14ac:dyDescent="0.25">
      <c r="A113" s="52">
        <v>2025</v>
      </c>
      <c r="B113" s="52" t="s">
        <v>662</v>
      </c>
      <c r="C113" s="57" t="s">
        <v>420</v>
      </c>
      <c r="D113" s="58" t="s">
        <v>693</v>
      </c>
      <c r="E113" s="58" t="s">
        <v>693</v>
      </c>
      <c r="F113" s="58" t="s">
        <v>420</v>
      </c>
      <c r="G113" s="57" t="s">
        <v>99</v>
      </c>
      <c r="H113" s="39">
        <f>SUMPRODUCT(SUMIF(SurtaxRatesSAS!$B$2:$B$324,$C113:$E113,SurtaxRatesSAS!$E$2:$E$324))</f>
        <v>0</v>
      </c>
      <c r="I113" s="39">
        <f>SUMPRODUCT(SUMIF(SurtaxRatesSAS!$B$2:$B$324,$C113:$E113,SurtaxRatesSAS!$D$2:$D$324))</f>
        <v>1</v>
      </c>
      <c r="J113" s="38"/>
      <c r="K113" s="39">
        <f>SUMPRODUCT(SUMIF(SurtaxRatesSAS!$B$2:$B$324,$C113:$E113,SurtaxRatesSAS!$G$2:$G$324))</f>
        <v>126538.03</v>
      </c>
      <c r="L113" s="39">
        <f>SUMPRODUCT(SUMIF(SurtaxRatesSAS!$B$2:$B$324,$C113:$E113,SurtaxRatesSAS!$H$2:$H$324))</f>
        <v>0</v>
      </c>
      <c r="M113" s="39">
        <f>SUMPRODUCT(SUMIF(SurtaxRatesSAS!$B$2:$B$324,$C113:$E113,SurtaxRatesSAS!$I$2:$I$324))</f>
        <v>126538.03</v>
      </c>
      <c r="N113" s="38"/>
      <c r="O113" s="39" t="e">
        <f>SUMPRODUCT(SUMIF(SurtaxRatesSAS!$B$2:$B$324,$C113:$E113,SurtaxRatesSAS!$L$2:$L$324))</f>
        <v>#REF!</v>
      </c>
      <c r="P113" s="39" t="e">
        <f>SUMPRODUCT(SUMIF(SurtaxRatesSAS!$B$2:$B$324,$C113:$E113,SurtaxRatesSAS!$M$2:$M$324))</f>
        <v>#REF!</v>
      </c>
      <c r="Q113" s="39" t="e">
        <f>SUMPRODUCT(SUMIF(SurtaxRatesSAS!$B$2:$B$324,$C113:$E113,SurtaxRatesSAS!$N$2:$N$324))</f>
        <v>#REF!</v>
      </c>
      <c r="R113" s="38"/>
      <c r="S113" s="39" t="e">
        <f t="shared" si="3"/>
        <v>#REF!</v>
      </c>
      <c r="T113" s="39" t="e">
        <f t="shared" si="4"/>
        <v>#REF!</v>
      </c>
      <c r="U113" s="39" t="e">
        <f t="shared" si="5"/>
        <v>#REF!</v>
      </c>
      <c r="V113" s="29"/>
      <c r="W113" s="31" t="str">
        <f>IF(K113&gt;0,INDEX(cfo!$C$2:$I$326,MATCH(SurtaxPayment!C113,cfo!$C$2:$C$326,0),7),"")</f>
        <v>evan.marten@fairfieldsfuture.org</v>
      </c>
      <c r="X113" s="31" t="str">
        <f>IF(IF(K113&gt;0,INDEX(cfo!$C$2:$K$326,MATCH(SurtaxPayment!C113,cfo!$C$2:$C$326,0),9),"")=0,"",IF(K113&gt;0,INDEX(cfo!$C$2:$K$326,MATCH(SurtaxPayment!C113,cfo!$C$2:$C$326,0),9),""))</f>
        <v/>
      </c>
    </row>
    <row r="114" spans="1:24" x14ac:dyDescent="0.25">
      <c r="A114" s="52">
        <v>2025</v>
      </c>
      <c r="B114" s="52" t="s">
        <v>658</v>
      </c>
      <c r="C114" s="57" t="s">
        <v>421</v>
      </c>
      <c r="D114" s="58" t="s">
        <v>693</v>
      </c>
      <c r="E114" s="58" t="s">
        <v>693</v>
      </c>
      <c r="F114" s="58" t="s">
        <v>421</v>
      </c>
      <c r="G114" s="57" t="s">
        <v>101</v>
      </c>
      <c r="H114" s="39">
        <f>SUMPRODUCT(SUMIF(SurtaxRatesSAS!$B$2:$B$324,$C114:$E114,SurtaxRatesSAS!$E$2:$E$324))</f>
        <v>2</v>
      </c>
      <c r="I114" s="39">
        <f>SUMPRODUCT(SUMIF(SurtaxRatesSAS!$B$2:$B$324,$C114:$E114,SurtaxRatesSAS!$D$2:$D$324))</f>
        <v>6</v>
      </c>
      <c r="J114" s="38"/>
      <c r="K114" s="39">
        <f>SUMPRODUCT(SUMIF(SurtaxRatesSAS!$B$2:$B$324,$C114:$E114,SurtaxRatesSAS!$G$2:$G$324))</f>
        <v>558281.51</v>
      </c>
      <c r="L114" s="39">
        <f>SUMPRODUCT(SUMIF(SurtaxRatesSAS!$B$2:$B$324,$C114:$E114,SurtaxRatesSAS!$H$2:$H$324))</f>
        <v>139570.38</v>
      </c>
      <c r="M114" s="39">
        <f>SUMPRODUCT(SUMIF(SurtaxRatesSAS!$B$2:$B$324,$C114:$E114,SurtaxRatesSAS!$I$2:$I$324))</f>
        <v>418711.13</v>
      </c>
      <c r="N114" s="38"/>
      <c r="O114" s="39" t="e">
        <f>SUMPRODUCT(SUMIF(SurtaxRatesSAS!$B$2:$B$324,$C114:$E114,SurtaxRatesSAS!$L$2:$L$324))</f>
        <v>#REF!</v>
      </c>
      <c r="P114" s="39" t="e">
        <f>SUMPRODUCT(SUMIF(SurtaxRatesSAS!$B$2:$B$324,$C114:$E114,SurtaxRatesSAS!$M$2:$M$324))</f>
        <v>#REF!</v>
      </c>
      <c r="Q114" s="39" t="e">
        <f>SUMPRODUCT(SUMIF(SurtaxRatesSAS!$B$2:$B$324,$C114:$E114,SurtaxRatesSAS!$N$2:$N$324))</f>
        <v>#REF!</v>
      </c>
      <c r="R114" s="38"/>
      <c r="S114" s="39" t="e">
        <f t="shared" si="3"/>
        <v>#REF!</v>
      </c>
      <c r="T114" s="39" t="e">
        <f t="shared" si="4"/>
        <v>#REF!</v>
      </c>
      <c r="U114" s="39" t="e">
        <f t="shared" si="5"/>
        <v>#REF!</v>
      </c>
      <c r="V114" s="29"/>
      <c r="W114" s="31" t="str">
        <f>IF(K114&gt;0,INDEX(cfo!$C$2:$I$326,MATCH(SurtaxPayment!C114,cfo!$C$2:$C$326,0),7),"")</f>
        <v>smeinders@forestcity.k12.ia.us</v>
      </c>
      <c r="X114" s="31" t="str">
        <f>IF(IF(K114&gt;0,INDEX(cfo!$C$2:$K$326,MATCH(SurtaxPayment!C114,cfo!$C$2:$C$326,0),9),"")=0,"",IF(K114&gt;0,INDEX(cfo!$C$2:$K$326,MATCH(SurtaxPayment!C114,cfo!$C$2:$C$326,0),9),""))</f>
        <v/>
      </c>
    </row>
    <row r="115" spans="1:24" x14ac:dyDescent="0.25">
      <c r="A115" s="52">
        <v>2025</v>
      </c>
      <c r="B115" s="52" t="s">
        <v>661</v>
      </c>
      <c r="C115" s="57" t="s">
        <v>422</v>
      </c>
      <c r="D115" s="58" t="s">
        <v>693</v>
      </c>
      <c r="E115" s="58" t="s">
        <v>693</v>
      </c>
      <c r="F115" s="58" t="s">
        <v>422</v>
      </c>
      <c r="G115" s="57" t="s">
        <v>102</v>
      </c>
      <c r="H115" s="39">
        <f>SUMPRODUCT(SUMIF(SurtaxRatesSAS!$B$2:$B$324,$C115:$E115,SurtaxRatesSAS!$E$2:$E$324))</f>
        <v>1</v>
      </c>
      <c r="I115" s="39">
        <f>SUMPRODUCT(SUMIF(SurtaxRatesSAS!$B$2:$B$324,$C115:$E115,SurtaxRatesSAS!$D$2:$D$324))</f>
        <v>1</v>
      </c>
      <c r="J115" s="38"/>
      <c r="K115" s="39">
        <f>SUMPRODUCT(SUMIF(SurtaxRatesSAS!$B$2:$B$324,$C115:$E115,SurtaxRatesSAS!$G$2:$G$324))</f>
        <v>482446.71</v>
      </c>
      <c r="L115" s="39">
        <f>SUMPRODUCT(SUMIF(SurtaxRatesSAS!$B$2:$B$324,$C115:$E115,SurtaxRatesSAS!$H$2:$H$324))</f>
        <v>241223.36</v>
      </c>
      <c r="M115" s="39">
        <f>SUMPRODUCT(SUMIF(SurtaxRatesSAS!$B$2:$B$324,$C115:$E115,SurtaxRatesSAS!$I$2:$I$324))</f>
        <v>241223.35000000003</v>
      </c>
      <c r="N115" s="38"/>
      <c r="O115" s="39" t="e">
        <f>SUMPRODUCT(SUMIF(SurtaxRatesSAS!$B$2:$B$324,$C115:$E115,SurtaxRatesSAS!$L$2:$L$324))</f>
        <v>#REF!</v>
      </c>
      <c r="P115" s="39" t="e">
        <f>SUMPRODUCT(SUMIF(SurtaxRatesSAS!$B$2:$B$324,$C115:$E115,SurtaxRatesSAS!$M$2:$M$324))</f>
        <v>#REF!</v>
      </c>
      <c r="Q115" s="39" t="e">
        <f>SUMPRODUCT(SUMIF(SurtaxRatesSAS!$B$2:$B$324,$C115:$E115,SurtaxRatesSAS!$N$2:$N$324))</f>
        <v>#REF!</v>
      </c>
      <c r="R115" s="38"/>
      <c r="S115" s="39" t="e">
        <f t="shared" si="3"/>
        <v>#REF!</v>
      </c>
      <c r="T115" s="39" t="e">
        <f t="shared" si="4"/>
        <v>#REF!</v>
      </c>
      <c r="U115" s="39" t="e">
        <f t="shared" si="5"/>
        <v>#REF!</v>
      </c>
      <c r="V115" s="29"/>
      <c r="W115" s="31" t="str">
        <f>IF(K115&gt;0,INDEX(cfo!$C$2:$I$326,MATCH(SurtaxPayment!C115,cfo!$C$2:$C$326,0),7),"")</f>
        <v>bhansel@fdschools.org</v>
      </c>
      <c r="X115" s="31" t="str">
        <f>IF(IF(K115&gt;0,INDEX(cfo!$C$2:$K$326,MATCH(SurtaxPayment!C115,cfo!$C$2:$C$326,0),9),"")=0,"",IF(K115&gt;0,INDEX(cfo!$C$2:$K$326,MATCH(SurtaxPayment!C115,cfo!$C$2:$C$326,0),9),""))</f>
        <v>atoohey@fort-dodge.k12.ia.us</v>
      </c>
    </row>
    <row r="116" spans="1:24" x14ac:dyDescent="0.25">
      <c r="A116" s="52">
        <v>2025</v>
      </c>
      <c r="B116" s="52" t="s">
        <v>662</v>
      </c>
      <c r="C116" s="57" t="s">
        <v>423</v>
      </c>
      <c r="D116" s="58" t="s">
        <v>693</v>
      </c>
      <c r="E116" s="58" t="s">
        <v>693</v>
      </c>
      <c r="F116" s="58" t="s">
        <v>423</v>
      </c>
      <c r="G116" s="57" t="s">
        <v>650</v>
      </c>
      <c r="H116" s="39">
        <f>SUMPRODUCT(SUMIF(SurtaxRatesSAS!$B$2:$B$324,$C116:$E116,SurtaxRatesSAS!$E$2:$E$324))</f>
        <v>0</v>
      </c>
      <c r="I116" s="39">
        <f>SUMPRODUCT(SUMIF(SurtaxRatesSAS!$B$2:$B$324,$C116:$E116,SurtaxRatesSAS!$D$2:$D$324))</f>
        <v>3</v>
      </c>
      <c r="J116" s="38"/>
      <c r="K116" s="39">
        <f>SUMPRODUCT(SUMIF(SurtaxRatesSAS!$B$2:$B$324,$C116:$E116,SurtaxRatesSAS!$G$2:$G$324))</f>
        <v>450821.13</v>
      </c>
      <c r="L116" s="39">
        <f>SUMPRODUCT(SUMIF(SurtaxRatesSAS!$B$2:$B$324,$C116:$E116,SurtaxRatesSAS!$H$2:$H$324))</f>
        <v>0</v>
      </c>
      <c r="M116" s="39">
        <f>SUMPRODUCT(SUMIF(SurtaxRatesSAS!$B$2:$B$324,$C116:$E116,SurtaxRatesSAS!$I$2:$I$324))</f>
        <v>450821.13</v>
      </c>
      <c r="N116" s="38"/>
      <c r="O116" s="39" t="e">
        <f>SUMPRODUCT(SUMIF(SurtaxRatesSAS!$B$2:$B$324,$C116:$E116,SurtaxRatesSAS!$L$2:$L$324))</f>
        <v>#REF!</v>
      </c>
      <c r="P116" s="39" t="e">
        <f>SUMPRODUCT(SUMIF(SurtaxRatesSAS!$B$2:$B$324,$C116:$E116,SurtaxRatesSAS!$M$2:$M$324))</f>
        <v>#REF!</v>
      </c>
      <c r="Q116" s="39" t="e">
        <f>SUMPRODUCT(SUMIF(SurtaxRatesSAS!$B$2:$B$324,$C116:$E116,SurtaxRatesSAS!$N$2:$N$324))</f>
        <v>#REF!</v>
      </c>
      <c r="R116" s="38"/>
      <c r="S116" s="39" t="e">
        <f t="shared" si="3"/>
        <v>#REF!</v>
      </c>
      <c r="T116" s="39" t="e">
        <f t="shared" si="4"/>
        <v>#REF!</v>
      </c>
      <c r="U116" s="39" t="e">
        <f t="shared" si="5"/>
        <v>#REF!</v>
      </c>
      <c r="V116" s="29"/>
      <c r="W116" s="31" t="str">
        <f>IF(K116&gt;0,INDEX(cfo!$C$2:$I$326,MATCH(SurtaxPayment!C116,cfo!$C$2:$C$326,0),7),"")</f>
        <v>Sandy.Elmore@fmcsd.org</v>
      </c>
      <c r="X116" s="31" t="str">
        <f>IF(IF(K116&gt;0,INDEX(cfo!$C$2:$K$326,MATCH(SurtaxPayment!C116,cfo!$C$2:$C$326,0),9),"")=0,"",IF(K116&gt;0,INDEX(cfo!$C$2:$K$326,MATCH(SurtaxPayment!C116,cfo!$C$2:$C$326,0),9),""))</f>
        <v/>
      </c>
    </row>
    <row r="117" spans="1:24" x14ac:dyDescent="0.25">
      <c r="A117" s="52">
        <v>2025</v>
      </c>
      <c r="B117" s="52" t="s">
        <v>659</v>
      </c>
      <c r="C117" s="57" t="s">
        <v>424</v>
      </c>
      <c r="D117" s="58" t="s">
        <v>693</v>
      </c>
      <c r="E117" s="58" t="s">
        <v>693</v>
      </c>
      <c r="F117" s="58" t="s">
        <v>424</v>
      </c>
      <c r="G117" s="57" t="s">
        <v>103</v>
      </c>
      <c r="H117" s="39">
        <f>SUMPRODUCT(SUMIF(SurtaxRatesSAS!$B$2:$B$324,$C117:$E117,SurtaxRatesSAS!$E$2:$E$324))</f>
        <v>8</v>
      </c>
      <c r="I117" s="39">
        <f>SUMPRODUCT(SUMIF(SurtaxRatesSAS!$B$2:$B$324,$C117:$E117,SurtaxRatesSAS!$D$2:$D$324))</f>
        <v>10</v>
      </c>
      <c r="J117" s="38"/>
      <c r="K117" s="39">
        <f>SUMPRODUCT(SUMIF(SurtaxRatesSAS!$B$2:$B$324,$C117:$E117,SurtaxRatesSAS!$G$2:$G$324))</f>
        <v>371755.75</v>
      </c>
      <c r="L117" s="39">
        <f>SUMPRODUCT(SUMIF(SurtaxRatesSAS!$B$2:$B$324,$C117:$E117,SurtaxRatesSAS!$H$2:$H$324))</f>
        <v>165224.78</v>
      </c>
      <c r="M117" s="39">
        <f>SUMPRODUCT(SUMIF(SurtaxRatesSAS!$B$2:$B$324,$C117:$E117,SurtaxRatesSAS!$I$2:$I$324))</f>
        <v>206530.97</v>
      </c>
      <c r="N117" s="38"/>
      <c r="O117" s="39" t="e">
        <f>SUMPRODUCT(SUMIF(SurtaxRatesSAS!$B$2:$B$324,$C117:$E117,SurtaxRatesSAS!$L$2:$L$324))</f>
        <v>#REF!</v>
      </c>
      <c r="P117" s="39" t="e">
        <f>SUMPRODUCT(SUMIF(SurtaxRatesSAS!$B$2:$B$324,$C117:$E117,SurtaxRatesSAS!$M$2:$M$324))</f>
        <v>#REF!</v>
      </c>
      <c r="Q117" s="39" t="e">
        <f>SUMPRODUCT(SUMIF(SurtaxRatesSAS!$B$2:$B$324,$C117:$E117,SurtaxRatesSAS!$N$2:$N$324))</f>
        <v>#REF!</v>
      </c>
      <c r="R117" s="38"/>
      <c r="S117" s="39" t="e">
        <f t="shared" si="3"/>
        <v>#REF!</v>
      </c>
      <c r="T117" s="39" t="e">
        <f t="shared" si="4"/>
        <v>#REF!</v>
      </c>
      <c r="U117" s="39" t="e">
        <f t="shared" si="5"/>
        <v>#REF!</v>
      </c>
      <c r="V117" s="29"/>
      <c r="W117" s="31" t="str">
        <f>IF(K117&gt;0,INDEX(cfo!$C$2:$I$326,MATCH(SurtaxPayment!C117,cfo!$C$2:$C$326,0),7),"")</f>
        <v>kvanmeter@fmtabor.org</v>
      </c>
      <c r="X117" s="31" t="str">
        <f>IF(IF(K117&gt;0,INDEX(cfo!$C$2:$K$326,MATCH(SurtaxPayment!C117,cfo!$C$2:$C$326,0),9),"")=0,"",IF(K117&gt;0,INDEX(cfo!$C$2:$K$326,MATCH(SurtaxPayment!C117,cfo!$C$2:$C$326,0),9),""))</f>
        <v/>
      </c>
    </row>
    <row r="118" spans="1:24" x14ac:dyDescent="0.25">
      <c r="A118" s="52">
        <v>2025</v>
      </c>
      <c r="B118" s="52" t="s">
        <v>660</v>
      </c>
      <c r="C118" s="57" t="s">
        <v>425</v>
      </c>
      <c r="D118" s="58" t="s">
        <v>693</v>
      </c>
      <c r="E118" s="58" t="s">
        <v>693</v>
      </c>
      <c r="F118" s="58" t="s">
        <v>425</v>
      </c>
      <c r="G118" s="57" t="s">
        <v>104</v>
      </c>
      <c r="H118" s="39">
        <f>SUMPRODUCT(SUMIF(SurtaxRatesSAS!$B$2:$B$324,$C118:$E118,SurtaxRatesSAS!$E$2:$E$324))</f>
        <v>5</v>
      </c>
      <c r="I118" s="39">
        <f>SUMPRODUCT(SUMIF(SurtaxRatesSAS!$B$2:$B$324,$C118:$E118,SurtaxRatesSAS!$D$2:$D$324))</f>
        <v>5</v>
      </c>
      <c r="J118" s="38"/>
      <c r="K118" s="39">
        <f>SUMPRODUCT(SUMIF(SurtaxRatesSAS!$B$2:$B$324,$C118:$E118,SurtaxRatesSAS!$G$2:$G$324))</f>
        <v>343453.8</v>
      </c>
      <c r="L118" s="39">
        <f>SUMPRODUCT(SUMIF(SurtaxRatesSAS!$B$2:$B$324,$C118:$E118,SurtaxRatesSAS!$H$2:$H$324))</f>
        <v>171726.9</v>
      </c>
      <c r="M118" s="39">
        <f>SUMPRODUCT(SUMIF(SurtaxRatesSAS!$B$2:$B$324,$C118:$E118,SurtaxRatesSAS!$I$2:$I$324))</f>
        <v>171726.9</v>
      </c>
      <c r="N118" s="38"/>
      <c r="O118" s="39" t="e">
        <f>SUMPRODUCT(SUMIF(SurtaxRatesSAS!$B$2:$B$324,$C118:$E118,SurtaxRatesSAS!$L$2:$L$324))</f>
        <v>#REF!</v>
      </c>
      <c r="P118" s="39" t="e">
        <f>SUMPRODUCT(SUMIF(SurtaxRatesSAS!$B$2:$B$324,$C118:$E118,SurtaxRatesSAS!$M$2:$M$324))</f>
        <v>#REF!</v>
      </c>
      <c r="Q118" s="39" t="e">
        <f>SUMPRODUCT(SUMIF(SurtaxRatesSAS!$B$2:$B$324,$C118:$E118,SurtaxRatesSAS!$N$2:$N$324))</f>
        <v>#REF!</v>
      </c>
      <c r="R118" s="38"/>
      <c r="S118" s="39" t="e">
        <f t="shared" si="3"/>
        <v>#REF!</v>
      </c>
      <c r="T118" s="39" t="e">
        <f t="shared" si="4"/>
        <v>#REF!</v>
      </c>
      <c r="U118" s="39" t="e">
        <f t="shared" si="5"/>
        <v>#REF!</v>
      </c>
      <c r="V118" s="29"/>
      <c r="W118" s="31" t="str">
        <f>IF(K118&gt;0,INDEX(cfo!$C$2:$I$326,MATCH(SurtaxPayment!C118,cfo!$C$2:$C$326,0),7),"")</f>
        <v>nkliegl@rvraptors.org</v>
      </c>
      <c r="X118" s="31" t="str">
        <f>IF(IF(K118&gt;0,INDEX(cfo!$C$2:$K$326,MATCH(SurtaxPayment!C118,cfo!$C$2:$C$326,0),9),"")=0,"",IF(K118&gt;0,INDEX(cfo!$C$2:$K$326,MATCH(SurtaxPayment!C118,cfo!$C$2:$C$326,0),9),""))</f>
        <v/>
      </c>
    </row>
    <row r="119" spans="1:24" x14ac:dyDescent="0.25">
      <c r="A119" s="52">
        <v>2025</v>
      </c>
      <c r="B119" s="52" t="s">
        <v>658</v>
      </c>
      <c r="C119" s="57" t="s">
        <v>426</v>
      </c>
      <c r="D119" s="58" t="s">
        <v>693</v>
      </c>
      <c r="E119" s="58" t="s">
        <v>693</v>
      </c>
      <c r="F119" s="58" t="s">
        <v>426</v>
      </c>
      <c r="G119" s="57" t="s">
        <v>105</v>
      </c>
      <c r="H119" s="39">
        <f>SUMPRODUCT(SUMIF(SurtaxRatesSAS!$B$2:$B$324,$C119:$E119,SurtaxRatesSAS!$E$2:$E$324))</f>
        <v>1</v>
      </c>
      <c r="I119" s="39">
        <f>SUMPRODUCT(SUMIF(SurtaxRatesSAS!$B$2:$B$324,$C119:$E119,SurtaxRatesSAS!$D$2:$D$324))</f>
        <v>1</v>
      </c>
      <c r="J119" s="38"/>
      <c r="K119" s="39">
        <f>SUMPRODUCT(SUMIF(SurtaxRatesSAS!$B$2:$B$324,$C119:$E119,SurtaxRatesSAS!$G$2:$G$324))</f>
        <v>142328.51999999999</v>
      </c>
      <c r="L119" s="39">
        <f>SUMPRODUCT(SUMIF(SurtaxRatesSAS!$B$2:$B$324,$C119:$E119,SurtaxRatesSAS!$H$2:$H$324))</f>
        <v>71164.259999999995</v>
      </c>
      <c r="M119" s="39">
        <f>SUMPRODUCT(SUMIF(SurtaxRatesSAS!$B$2:$B$324,$C119:$E119,SurtaxRatesSAS!$I$2:$I$324))</f>
        <v>71164.259999999995</v>
      </c>
      <c r="N119" s="38"/>
      <c r="O119" s="39" t="e">
        <f>SUMPRODUCT(SUMIF(SurtaxRatesSAS!$B$2:$B$324,$C119:$E119,SurtaxRatesSAS!$L$2:$L$324))</f>
        <v>#REF!</v>
      </c>
      <c r="P119" s="39" t="e">
        <f>SUMPRODUCT(SUMIF(SurtaxRatesSAS!$B$2:$B$324,$C119:$E119,SurtaxRatesSAS!$M$2:$M$324))</f>
        <v>#REF!</v>
      </c>
      <c r="Q119" s="39" t="e">
        <f>SUMPRODUCT(SUMIF(SurtaxRatesSAS!$B$2:$B$324,$C119:$E119,SurtaxRatesSAS!$N$2:$N$324))</f>
        <v>#REF!</v>
      </c>
      <c r="R119" s="38"/>
      <c r="S119" s="39" t="e">
        <f t="shared" si="3"/>
        <v>#REF!</v>
      </c>
      <c r="T119" s="39" t="e">
        <f t="shared" si="4"/>
        <v>#REF!</v>
      </c>
      <c r="U119" s="39" t="e">
        <f t="shared" si="5"/>
        <v>#REF!</v>
      </c>
      <c r="V119" s="29"/>
      <c r="W119" s="31" t="str">
        <f>IF(K119&gt;0,INDEX(cfo!$C$2:$I$326,MATCH(SurtaxPayment!C119,cfo!$C$2:$C$326,0),7),"")</f>
        <v>hfischer@ghvschools.org</v>
      </c>
      <c r="X119" s="31" t="str">
        <f>IF(IF(K119&gt;0,INDEX(cfo!$C$2:$K$326,MATCH(SurtaxPayment!C119,cfo!$C$2:$C$326,0),9),"")=0,"",IF(K119&gt;0,INDEX(cfo!$C$2:$K$326,MATCH(SurtaxPayment!C119,cfo!$C$2:$C$326,0),9),""))</f>
        <v/>
      </c>
    </row>
    <row r="120" spans="1:24" x14ac:dyDescent="0.25">
      <c r="A120" s="52">
        <v>2025</v>
      </c>
      <c r="B120" s="52" t="s">
        <v>660</v>
      </c>
      <c r="C120" s="57" t="s">
        <v>427</v>
      </c>
      <c r="D120" s="58" t="s">
        <v>693</v>
      </c>
      <c r="E120" s="58" t="s">
        <v>693</v>
      </c>
      <c r="F120" s="58" t="s">
        <v>427</v>
      </c>
      <c r="G120" s="57" t="s">
        <v>106</v>
      </c>
      <c r="H120" s="39">
        <f>SUMPRODUCT(SUMIF(SurtaxRatesSAS!$B$2:$B$324,$C120:$E120,SurtaxRatesSAS!$E$2:$E$324))</f>
        <v>6</v>
      </c>
      <c r="I120" s="39">
        <f>SUMPRODUCT(SUMIF(SurtaxRatesSAS!$B$2:$B$324,$C120:$E120,SurtaxRatesSAS!$D$2:$D$324))</f>
        <v>10</v>
      </c>
      <c r="J120" s="38"/>
      <c r="K120" s="39">
        <f>SUMPRODUCT(SUMIF(SurtaxRatesSAS!$B$2:$B$324,$C120:$E120,SurtaxRatesSAS!$G$2:$G$324))</f>
        <v>349044.82</v>
      </c>
      <c r="L120" s="39">
        <f>SUMPRODUCT(SUMIF(SurtaxRatesSAS!$B$2:$B$324,$C120:$E120,SurtaxRatesSAS!$H$2:$H$324))</f>
        <v>130891.81</v>
      </c>
      <c r="M120" s="39">
        <f>SUMPRODUCT(SUMIF(SurtaxRatesSAS!$B$2:$B$324,$C120:$E120,SurtaxRatesSAS!$I$2:$I$324))</f>
        <v>218153.01</v>
      </c>
      <c r="N120" s="38"/>
      <c r="O120" s="39" t="e">
        <f>SUMPRODUCT(SUMIF(SurtaxRatesSAS!$B$2:$B$324,$C120:$E120,SurtaxRatesSAS!$L$2:$L$324))</f>
        <v>#REF!</v>
      </c>
      <c r="P120" s="39" t="e">
        <f>SUMPRODUCT(SUMIF(SurtaxRatesSAS!$B$2:$B$324,$C120:$E120,SurtaxRatesSAS!$M$2:$M$324))</f>
        <v>#REF!</v>
      </c>
      <c r="Q120" s="39" t="e">
        <f>SUMPRODUCT(SUMIF(SurtaxRatesSAS!$B$2:$B$324,$C120:$E120,SurtaxRatesSAS!$N$2:$N$324))</f>
        <v>#REF!</v>
      </c>
      <c r="R120" s="38"/>
      <c r="S120" s="39" t="e">
        <f t="shared" si="3"/>
        <v>#REF!</v>
      </c>
      <c r="T120" s="39" t="e">
        <f t="shared" si="4"/>
        <v>#REF!</v>
      </c>
      <c r="U120" s="39" t="e">
        <f t="shared" si="5"/>
        <v>#REF!</v>
      </c>
      <c r="V120" s="29"/>
      <c r="W120" s="31" t="str">
        <f>IF(K120&gt;0,INDEX(cfo!$C$2:$I$326,MATCH(SurtaxPayment!C120,cfo!$C$2:$C$326,0),7),"")</f>
        <v>cbonestroo@george-littlerock.org</v>
      </c>
      <c r="X120" s="31" t="str">
        <f>IF(IF(K120&gt;0,INDEX(cfo!$C$2:$K$326,MATCH(SurtaxPayment!C120,cfo!$C$2:$C$326,0),9),"")=0,"",IF(K120&gt;0,INDEX(cfo!$C$2:$K$326,MATCH(SurtaxPayment!C120,cfo!$C$2:$C$326,0),9),""))</f>
        <v>amiller@george-littlerock.org</v>
      </c>
    </row>
    <row r="121" spans="1:24" x14ac:dyDescent="0.25">
      <c r="A121" s="52">
        <v>2025</v>
      </c>
      <c r="B121" s="52" t="s">
        <v>657</v>
      </c>
      <c r="C121" s="57" t="s">
        <v>428</v>
      </c>
      <c r="D121" s="58" t="s">
        <v>693</v>
      </c>
      <c r="E121" s="58" t="s">
        <v>693</v>
      </c>
      <c r="F121" s="58" t="s">
        <v>428</v>
      </c>
      <c r="G121" s="57" t="s">
        <v>712</v>
      </c>
      <c r="H121" s="39">
        <f>SUMPRODUCT(SUMIF(SurtaxRatesSAS!$B$2:$B$324,$C121:$E121,SurtaxRatesSAS!$E$2:$E$324))</f>
        <v>0</v>
      </c>
      <c r="I121" s="39">
        <f>SUMPRODUCT(SUMIF(SurtaxRatesSAS!$B$2:$B$324,$C121:$E121,SurtaxRatesSAS!$D$2:$D$324))</f>
        <v>0</v>
      </c>
      <c r="J121" s="38"/>
      <c r="K121" s="39">
        <f>SUMPRODUCT(SUMIF(SurtaxRatesSAS!$B$2:$B$324,$C121:$E121,SurtaxRatesSAS!$G$2:$G$324))</f>
        <v>0</v>
      </c>
      <c r="L121" s="39">
        <f>SUMPRODUCT(SUMIF(SurtaxRatesSAS!$B$2:$B$324,$C121:$E121,SurtaxRatesSAS!$H$2:$H$324))</f>
        <v>0</v>
      </c>
      <c r="M121" s="39">
        <f>SUMPRODUCT(SUMIF(SurtaxRatesSAS!$B$2:$B$324,$C121:$E121,SurtaxRatesSAS!$I$2:$I$324))</f>
        <v>0</v>
      </c>
      <c r="N121" s="38"/>
      <c r="O121" s="39">
        <f>SUMPRODUCT(SUMIF(SurtaxRatesSAS!$B$2:$B$324,$C121:$E121,SurtaxRatesSAS!$L$2:$L$324))</f>
        <v>0</v>
      </c>
      <c r="P121" s="39">
        <f>SUMPRODUCT(SUMIF(SurtaxRatesSAS!$B$2:$B$324,$C121:$E121,SurtaxRatesSAS!$M$2:$M$324))</f>
        <v>0</v>
      </c>
      <c r="Q121" s="39">
        <f>SUMPRODUCT(SUMIF(SurtaxRatesSAS!$B$2:$B$324,$C121:$E121,SurtaxRatesSAS!$N$2:$N$324))</f>
        <v>0</v>
      </c>
      <c r="R121" s="38"/>
      <c r="S121" s="39">
        <f t="shared" si="3"/>
        <v>0</v>
      </c>
      <c r="T121" s="39">
        <f t="shared" si="4"/>
        <v>0</v>
      </c>
      <c r="U121" s="39">
        <f t="shared" si="5"/>
        <v>0</v>
      </c>
      <c r="V121" s="29"/>
      <c r="W121" s="31" t="str">
        <f>IF(K121&gt;0,INDEX(cfo!$C$2:$I$326,MATCH(SurtaxPayment!C121,cfo!$C$2:$C$326,0),7),"")</f>
        <v/>
      </c>
      <c r="X121" s="31" t="str">
        <f>IF(IF(K121&gt;0,INDEX(cfo!$C$2:$K$326,MATCH(SurtaxPayment!C121,cfo!$C$2:$C$326,0),9),"")=0,"",IF(K121&gt;0,INDEX(cfo!$C$2:$K$326,MATCH(SurtaxPayment!C121,cfo!$C$2:$C$326,0),9),""))</f>
        <v/>
      </c>
    </row>
    <row r="122" spans="1:24" x14ac:dyDescent="0.25">
      <c r="A122" s="52">
        <v>2025</v>
      </c>
      <c r="B122" s="52" t="s">
        <v>661</v>
      </c>
      <c r="C122" s="57" t="s">
        <v>429</v>
      </c>
      <c r="D122" s="58" t="s">
        <v>693</v>
      </c>
      <c r="E122" s="58" t="s">
        <v>693</v>
      </c>
      <c r="F122" s="58" t="s">
        <v>429</v>
      </c>
      <c r="G122" s="57" t="s">
        <v>107</v>
      </c>
      <c r="H122" s="39">
        <f>SUMPRODUCT(SUMIF(SurtaxRatesSAS!$B$2:$B$324,$C122:$E122,SurtaxRatesSAS!$E$2:$E$324))</f>
        <v>0</v>
      </c>
      <c r="I122" s="39">
        <f>SUMPRODUCT(SUMIF(SurtaxRatesSAS!$B$2:$B$324,$C122:$E122,SurtaxRatesSAS!$D$2:$D$324))</f>
        <v>5</v>
      </c>
      <c r="J122" s="38"/>
      <c r="K122" s="39">
        <f>SUMPRODUCT(SUMIF(SurtaxRatesSAS!$B$2:$B$324,$C122:$E122,SurtaxRatesSAS!$G$2:$G$324))</f>
        <v>34387.86</v>
      </c>
      <c r="L122" s="39">
        <f>SUMPRODUCT(SUMIF(SurtaxRatesSAS!$B$2:$B$324,$C122:$E122,SurtaxRatesSAS!$H$2:$H$324))</f>
        <v>0</v>
      </c>
      <c r="M122" s="39">
        <f>SUMPRODUCT(SUMIF(SurtaxRatesSAS!$B$2:$B$324,$C122:$E122,SurtaxRatesSAS!$I$2:$I$324))</f>
        <v>34387.86</v>
      </c>
      <c r="N122" s="38"/>
      <c r="O122" s="39" t="e">
        <f>SUMPRODUCT(SUMIF(SurtaxRatesSAS!$B$2:$B$324,$C122:$E122,SurtaxRatesSAS!$L$2:$L$324))</f>
        <v>#REF!</v>
      </c>
      <c r="P122" s="39" t="e">
        <f>SUMPRODUCT(SUMIF(SurtaxRatesSAS!$B$2:$B$324,$C122:$E122,SurtaxRatesSAS!$M$2:$M$324))</f>
        <v>#REF!</v>
      </c>
      <c r="Q122" s="39" t="e">
        <f>SUMPRODUCT(SUMIF(SurtaxRatesSAS!$B$2:$B$324,$C122:$E122,SurtaxRatesSAS!$N$2:$N$324))</f>
        <v>#REF!</v>
      </c>
      <c r="R122" s="38"/>
      <c r="S122" s="39" t="e">
        <f t="shared" si="3"/>
        <v>#REF!</v>
      </c>
      <c r="T122" s="39" t="e">
        <f t="shared" si="4"/>
        <v>#REF!</v>
      </c>
      <c r="U122" s="39" t="e">
        <f t="shared" si="5"/>
        <v>#REF!</v>
      </c>
      <c r="V122" s="29"/>
      <c r="W122" s="31" t="str">
        <f>IF(K122&gt;0,INDEX(cfo!$C$2:$I$326,MATCH(SurtaxPayment!C122,cfo!$C$2:$C$326,0),7),"")</f>
        <v>ceggers@gcb.k12.ia.us</v>
      </c>
      <c r="X122" s="31" t="str">
        <f>IF(IF(K122&gt;0,INDEX(cfo!$C$2:$K$326,MATCH(SurtaxPayment!C122,cfo!$C$2:$C$326,0),9),"")=0,"",IF(K122&gt;0,INDEX(cfo!$C$2:$K$326,MATCH(SurtaxPayment!C122,cfo!$C$2:$C$326,0),9),""))</f>
        <v/>
      </c>
    </row>
    <row r="123" spans="1:24" x14ac:dyDescent="0.25">
      <c r="A123" s="52">
        <v>2025</v>
      </c>
      <c r="B123" s="52" t="s">
        <v>658</v>
      </c>
      <c r="C123" s="57" t="s">
        <v>430</v>
      </c>
      <c r="D123" s="58" t="s">
        <v>693</v>
      </c>
      <c r="E123" s="58" t="s">
        <v>693</v>
      </c>
      <c r="F123" s="58" t="s">
        <v>430</v>
      </c>
      <c r="G123" s="57" t="s">
        <v>108</v>
      </c>
      <c r="H123" s="39">
        <f>SUMPRODUCT(SUMIF(SurtaxRatesSAS!$B$2:$B$324,$C123:$E123,SurtaxRatesSAS!$E$2:$E$324))</f>
        <v>1</v>
      </c>
      <c r="I123" s="39">
        <f>SUMPRODUCT(SUMIF(SurtaxRatesSAS!$B$2:$B$324,$C123:$E123,SurtaxRatesSAS!$D$2:$D$324))</f>
        <v>1</v>
      </c>
      <c r="J123" s="38"/>
      <c r="K123" s="39">
        <f>SUMPRODUCT(SUMIF(SurtaxRatesSAS!$B$2:$B$324,$C123:$E123,SurtaxRatesSAS!$G$2:$G$324))</f>
        <v>93925.91</v>
      </c>
      <c r="L123" s="39">
        <f>SUMPRODUCT(SUMIF(SurtaxRatesSAS!$B$2:$B$324,$C123:$E123,SurtaxRatesSAS!$H$2:$H$324))</f>
        <v>46962.96</v>
      </c>
      <c r="M123" s="39">
        <f>SUMPRODUCT(SUMIF(SurtaxRatesSAS!$B$2:$B$324,$C123:$E123,SurtaxRatesSAS!$I$2:$I$324))</f>
        <v>46962.950000000004</v>
      </c>
      <c r="N123" s="38"/>
      <c r="O123" s="39" t="e">
        <f>SUMPRODUCT(SUMIF(SurtaxRatesSAS!$B$2:$B$324,$C123:$E123,SurtaxRatesSAS!$L$2:$L$324))</f>
        <v>#REF!</v>
      </c>
      <c r="P123" s="39" t="e">
        <f>SUMPRODUCT(SUMIF(SurtaxRatesSAS!$B$2:$B$324,$C123:$E123,SurtaxRatesSAS!$M$2:$M$324))</f>
        <v>#REF!</v>
      </c>
      <c r="Q123" s="39" t="e">
        <f>SUMPRODUCT(SUMIF(SurtaxRatesSAS!$B$2:$B$324,$C123:$E123,SurtaxRatesSAS!$N$2:$N$324))</f>
        <v>#REF!</v>
      </c>
      <c r="R123" s="38"/>
      <c r="S123" s="39" t="e">
        <f t="shared" si="3"/>
        <v>#REF!</v>
      </c>
      <c r="T123" s="39" t="e">
        <f t="shared" si="4"/>
        <v>#REF!</v>
      </c>
      <c r="U123" s="39" t="e">
        <f t="shared" si="5"/>
        <v>#REF!</v>
      </c>
      <c r="V123" s="29"/>
      <c r="W123" s="31" t="str">
        <f>IF(K123&gt;0,INDEX(cfo!$C$2:$I$326,MATCH(SurtaxPayment!C123,cfo!$C$2:$C$326,0),7),"")</f>
        <v>christine.harms@gr-rebels.net</v>
      </c>
      <c r="X123" s="31" t="str">
        <f>IF(IF(K123&gt;0,INDEX(cfo!$C$2:$K$326,MATCH(SurtaxPayment!C123,cfo!$C$2:$C$326,0),9),"")=0,"",IF(K123&gt;0,INDEX(cfo!$C$2:$K$326,MATCH(SurtaxPayment!C123,cfo!$C$2:$C$326,0),9),""))</f>
        <v/>
      </c>
    </row>
    <row r="124" spans="1:24" x14ac:dyDescent="0.25">
      <c r="A124" s="52">
        <v>2025</v>
      </c>
      <c r="B124" s="52" t="s">
        <v>659</v>
      </c>
      <c r="C124" s="57" t="s">
        <v>431</v>
      </c>
      <c r="D124" s="58" t="s">
        <v>693</v>
      </c>
      <c r="E124" s="58" t="s">
        <v>693</v>
      </c>
      <c r="F124" s="58" t="s">
        <v>431</v>
      </c>
      <c r="G124" s="57" t="s">
        <v>109</v>
      </c>
      <c r="H124" s="39">
        <f>SUMPRODUCT(SUMIF(SurtaxRatesSAS!$B$2:$B$324,$C124:$E124,SurtaxRatesSAS!$E$2:$E$324))</f>
        <v>0</v>
      </c>
      <c r="I124" s="39">
        <f>SUMPRODUCT(SUMIF(SurtaxRatesSAS!$B$2:$B$324,$C124:$E124,SurtaxRatesSAS!$D$2:$D$324))</f>
        <v>9</v>
      </c>
      <c r="J124" s="38"/>
      <c r="K124" s="39">
        <f>SUMPRODUCT(SUMIF(SurtaxRatesSAS!$B$2:$B$324,$C124:$E124,SurtaxRatesSAS!$G$2:$G$324))</f>
        <v>785851.23</v>
      </c>
      <c r="L124" s="39">
        <f>SUMPRODUCT(SUMIF(SurtaxRatesSAS!$B$2:$B$324,$C124:$E124,SurtaxRatesSAS!$H$2:$H$324))</f>
        <v>0</v>
      </c>
      <c r="M124" s="39">
        <f>SUMPRODUCT(SUMIF(SurtaxRatesSAS!$B$2:$B$324,$C124:$E124,SurtaxRatesSAS!$I$2:$I$324))</f>
        <v>785851.23</v>
      </c>
      <c r="N124" s="38"/>
      <c r="O124" s="39" t="e">
        <f>SUMPRODUCT(SUMIF(SurtaxRatesSAS!$B$2:$B$324,$C124:$E124,SurtaxRatesSAS!$L$2:$L$324))</f>
        <v>#REF!</v>
      </c>
      <c r="P124" s="39" t="e">
        <f>SUMPRODUCT(SUMIF(SurtaxRatesSAS!$B$2:$B$324,$C124:$E124,SurtaxRatesSAS!$M$2:$M$324))</f>
        <v>#REF!</v>
      </c>
      <c r="Q124" s="39" t="e">
        <f>SUMPRODUCT(SUMIF(SurtaxRatesSAS!$B$2:$B$324,$C124:$E124,SurtaxRatesSAS!$N$2:$N$324))</f>
        <v>#REF!</v>
      </c>
      <c r="R124" s="38"/>
      <c r="S124" s="39" t="e">
        <f t="shared" si="3"/>
        <v>#REF!</v>
      </c>
      <c r="T124" s="39" t="e">
        <f t="shared" si="4"/>
        <v>#REF!</v>
      </c>
      <c r="U124" s="39" t="e">
        <f t="shared" si="5"/>
        <v>#REF!</v>
      </c>
      <c r="V124" s="29"/>
      <c r="W124" s="31" t="str">
        <f>IF(K124&gt;0,INDEX(cfo!$C$2:$I$326,MATCH(SurtaxPayment!C124,cfo!$C$2:$C$326,0),7),"")</f>
        <v>reinerttim@glenwoodschools.org</v>
      </c>
      <c r="X124" s="31" t="str">
        <f>IF(IF(K124&gt;0,INDEX(cfo!$C$2:$K$326,MATCH(SurtaxPayment!C124,cfo!$C$2:$C$326,0),9),"")=0,"",IF(K124&gt;0,INDEX(cfo!$C$2:$K$326,MATCH(SurtaxPayment!C124,cfo!$C$2:$C$326,0),9),""))</f>
        <v/>
      </c>
    </row>
    <row r="125" spans="1:24" x14ac:dyDescent="0.25">
      <c r="A125" s="52">
        <v>2025</v>
      </c>
      <c r="B125" s="52" t="s">
        <v>657</v>
      </c>
      <c r="C125" s="57" t="s">
        <v>432</v>
      </c>
      <c r="D125" s="58" t="s">
        <v>693</v>
      </c>
      <c r="E125" s="58" t="s">
        <v>693</v>
      </c>
      <c r="F125" s="58" t="s">
        <v>432</v>
      </c>
      <c r="G125" s="57" t="s">
        <v>110</v>
      </c>
      <c r="H125" s="39">
        <f>SUMPRODUCT(SUMIF(SurtaxRatesSAS!$B$2:$B$324,$C125:$E125,SurtaxRatesSAS!$E$2:$E$324))</f>
        <v>0</v>
      </c>
      <c r="I125" s="39">
        <f>SUMPRODUCT(SUMIF(SurtaxRatesSAS!$B$2:$B$324,$C125:$E125,SurtaxRatesSAS!$D$2:$D$324))</f>
        <v>1</v>
      </c>
      <c r="J125" s="38"/>
      <c r="K125" s="39">
        <f>SUMPRODUCT(SUMIF(SurtaxRatesSAS!$B$2:$B$324,$C125:$E125,SurtaxRatesSAS!$G$2:$G$324))</f>
        <v>19016.16</v>
      </c>
      <c r="L125" s="39">
        <f>SUMPRODUCT(SUMIF(SurtaxRatesSAS!$B$2:$B$324,$C125:$E125,SurtaxRatesSAS!$H$2:$H$324))</f>
        <v>0</v>
      </c>
      <c r="M125" s="39">
        <f>SUMPRODUCT(SUMIF(SurtaxRatesSAS!$B$2:$B$324,$C125:$E125,SurtaxRatesSAS!$I$2:$I$324))</f>
        <v>19016.16</v>
      </c>
      <c r="N125" s="38"/>
      <c r="O125" s="39" t="e">
        <f>SUMPRODUCT(SUMIF(SurtaxRatesSAS!$B$2:$B$324,$C125:$E125,SurtaxRatesSAS!$L$2:$L$324))</f>
        <v>#REF!</v>
      </c>
      <c r="P125" s="39" t="e">
        <f>SUMPRODUCT(SUMIF(SurtaxRatesSAS!$B$2:$B$324,$C125:$E125,SurtaxRatesSAS!$M$2:$M$324))</f>
        <v>#REF!</v>
      </c>
      <c r="Q125" s="39" t="e">
        <f>SUMPRODUCT(SUMIF(SurtaxRatesSAS!$B$2:$B$324,$C125:$E125,SurtaxRatesSAS!$N$2:$N$324))</f>
        <v>#REF!</v>
      </c>
      <c r="R125" s="38"/>
      <c r="S125" s="39" t="e">
        <f t="shared" si="3"/>
        <v>#REF!</v>
      </c>
      <c r="T125" s="39" t="e">
        <f t="shared" si="4"/>
        <v>#REF!</v>
      </c>
      <c r="U125" s="39" t="e">
        <f t="shared" si="5"/>
        <v>#REF!</v>
      </c>
      <c r="V125" s="29"/>
      <c r="W125" s="31" t="str">
        <f>IF(K125&gt;0,INDEX(cfo!$C$2:$I$326,MATCH(SurtaxPayment!C125,cfo!$C$2:$C$326,0),7),"")</f>
        <v>dbest@glidden-ralston.k12.ia.us</v>
      </c>
      <c r="X125" s="31" t="str">
        <f>IF(IF(K125&gt;0,INDEX(cfo!$C$2:$K$326,MATCH(SurtaxPayment!C125,cfo!$C$2:$C$326,0),9),"")=0,"",IF(K125&gt;0,INDEX(cfo!$C$2:$K$326,MATCH(SurtaxPayment!C125,cfo!$C$2:$C$326,0),9),""))</f>
        <v/>
      </c>
    </row>
    <row r="126" spans="1:24" x14ac:dyDescent="0.25">
      <c r="A126" s="52">
        <v>2025</v>
      </c>
      <c r="B126" s="52" t="s">
        <v>658</v>
      </c>
      <c r="C126" s="57" t="s">
        <v>435</v>
      </c>
      <c r="D126" s="58" t="s">
        <v>693</v>
      </c>
      <c r="E126" s="58" t="s">
        <v>693</v>
      </c>
      <c r="F126" s="58" t="s">
        <v>435</v>
      </c>
      <c r="G126" s="57" t="s">
        <v>4</v>
      </c>
      <c r="H126" s="39">
        <f>SUMPRODUCT(SUMIF(SurtaxRatesSAS!$B$2:$B$324,$C126:$E126,SurtaxRatesSAS!$E$2:$E$324))</f>
        <v>0</v>
      </c>
      <c r="I126" s="39">
        <f>SUMPRODUCT(SUMIF(SurtaxRatesSAS!$B$2:$B$324,$C126:$E126,SurtaxRatesSAS!$D$2:$D$324))</f>
        <v>8</v>
      </c>
      <c r="J126" s="38"/>
      <c r="K126" s="39">
        <f>SUMPRODUCT(SUMIF(SurtaxRatesSAS!$B$2:$B$324,$C126:$E126,SurtaxRatesSAS!$G$2:$G$324))</f>
        <v>124578.83</v>
      </c>
      <c r="L126" s="39">
        <f>SUMPRODUCT(SUMIF(SurtaxRatesSAS!$B$2:$B$324,$C126:$E126,SurtaxRatesSAS!$H$2:$H$324))</f>
        <v>0</v>
      </c>
      <c r="M126" s="39">
        <f>SUMPRODUCT(SUMIF(SurtaxRatesSAS!$B$2:$B$324,$C126:$E126,SurtaxRatesSAS!$I$2:$I$324))</f>
        <v>124578.83</v>
      </c>
      <c r="N126" s="38"/>
      <c r="O126" s="39" t="e">
        <f>SUMPRODUCT(SUMIF(SurtaxRatesSAS!$B$2:$B$324,$C126:$E126,SurtaxRatesSAS!$L$2:$L$324))</f>
        <v>#REF!</v>
      </c>
      <c r="P126" s="39" t="e">
        <f>SUMPRODUCT(SUMIF(SurtaxRatesSAS!$B$2:$B$324,$C126:$E126,SurtaxRatesSAS!$M$2:$M$324))</f>
        <v>#REF!</v>
      </c>
      <c r="Q126" s="39" t="e">
        <f>SUMPRODUCT(SUMIF(SurtaxRatesSAS!$B$2:$B$324,$C126:$E126,SurtaxRatesSAS!$N$2:$N$324))</f>
        <v>#REF!</v>
      </c>
      <c r="R126" s="38"/>
      <c r="S126" s="39" t="e">
        <f t="shared" si="3"/>
        <v>#REF!</v>
      </c>
      <c r="T126" s="39" t="e">
        <f t="shared" si="4"/>
        <v>#REF!</v>
      </c>
      <c r="U126" s="39" t="e">
        <f t="shared" si="5"/>
        <v>#REF!</v>
      </c>
      <c r="V126" s="29"/>
      <c r="W126" s="31" t="str">
        <f>IF(K126&gt;0,INDEX(cfo!$C$2:$I$326,MATCH(SurtaxPayment!C126,cfo!$C$2:$C$326,0),7),"")</f>
        <v>bspaur@gmgschools.org</v>
      </c>
      <c r="X126" s="31" t="str">
        <f>IF(IF(K126&gt;0,INDEX(cfo!$C$2:$K$326,MATCH(SurtaxPayment!C126,cfo!$C$2:$C$326,0),9),"")=0,"",IF(K126&gt;0,INDEX(cfo!$C$2:$K$326,MATCH(SurtaxPayment!C126,cfo!$C$2:$C$326,0),9),""))</f>
        <v/>
      </c>
    </row>
    <row r="127" spans="1:24" x14ac:dyDescent="0.25">
      <c r="A127" s="52">
        <v>2025</v>
      </c>
      <c r="B127" s="52" t="s">
        <v>661</v>
      </c>
      <c r="C127" s="57" t="s">
        <v>433</v>
      </c>
      <c r="D127" s="58" t="s">
        <v>693</v>
      </c>
      <c r="E127" s="58" t="s">
        <v>693</v>
      </c>
      <c r="F127" s="58" t="s">
        <v>433</v>
      </c>
      <c r="G127" s="57" t="s">
        <v>111</v>
      </c>
      <c r="H127" s="39">
        <f>SUMPRODUCT(SUMIF(SurtaxRatesSAS!$B$2:$B$324,$C127:$E127,SurtaxRatesSAS!$E$2:$E$324))</f>
        <v>1</v>
      </c>
      <c r="I127" s="39">
        <f>SUMPRODUCT(SUMIF(SurtaxRatesSAS!$B$2:$B$324,$C127:$E127,SurtaxRatesSAS!$D$2:$D$324))</f>
        <v>3</v>
      </c>
      <c r="J127" s="38"/>
      <c r="K127" s="39">
        <f>SUMPRODUCT(SUMIF(SurtaxRatesSAS!$B$2:$B$324,$C127:$E127,SurtaxRatesSAS!$G$2:$G$324))</f>
        <v>95667.11</v>
      </c>
      <c r="L127" s="39">
        <f>SUMPRODUCT(SUMIF(SurtaxRatesSAS!$B$2:$B$324,$C127:$E127,SurtaxRatesSAS!$H$2:$H$324))</f>
        <v>23916.78</v>
      </c>
      <c r="M127" s="39">
        <f>SUMPRODUCT(SUMIF(SurtaxRatesSAS!$B$2:$B$324,$C127:$E127,SurtaxRatesSAS!$I$2:$I$324))</f>
        <v>71750.33</v>
      </c>
      <c r="N127" s="38"/>
      <c r="O127" s="39" t="e">
        <f>SUMPRODUCT(SUMIF(SurtaxRatesSAS!$B$2:$B$324,$C127:$E127,SurtaxRatesSAS!$L$2:$L$324))</f>
        <v>#REF!</v>
      </c>
      <c r="P127" s="39" t="e">
        <f>SUMPRODUCT(SUMIF(SurtaxRatesSAS!$B$2:$B$324,$C127:$E127,SurtaxRatesSAS!$M$2:$M$324))</f>
        <v>#REF!</v>
      </c>
      <c r="Q127" s="39" t="e">
        <f>SUMPRODUCT(SUMIF(SurtaxRatesSAS!$B$2:$B$324,$C127:$E127,SurtaxRatesSAS!$N$2:$N$324))</f>
        <v>#REF!</v>
      </c>
      <c r="R127" s="38"/>
      <c r="S127" s="39" t="e">
        <f t="shared" si="3"/>
        <v>#REF!</v>
      </c>
      <c r="T127" s="39" t="e">
        <f t="shared" si="4"/>
        <v>#REF!</v>
      </c>
      <c r="U127" s="39" t="e">
        <f t="shared" si="5"/>
        <v>#REF!</v>
      </c>
      <c r="V127" s="29"/>
      <c r="W127" s="31" t="str">
        <f>IF(K127&gt;0,INDEX(cfo!$C$2:$I$326,MATCH(SurtaxPayment!C127,cfo!$C$2:$C$326,0),7),"")</f>
        <v>jobade@gt.ratitans.org</v>
      </c>
      <c r="X127" s="31" t="str">
        <f>IF(IF(K127&gt;0,INDEX(cfo!$C$2:$K$326,MATCH(SurtaxPayment!C127,cfo!$C$2:$C$326,0),9),"")=0,"",IF(K127&gt;0,INDEX(cfo!$C$2:$K$326,MATCH(SurtaxPayment!C127,cfo!$C$2:$C$326,0),9),""))</f>
        <v/>
      </c>
    </row>
    <row r="128" spans="1:24" x14ac:dyDescent="0.25">
      <c r="A128" s="52">
        <v>2025</v>
      </c>
      <c r="B128" s="52" t="s">
        <v>661</v>
      </c>
      <c r="C128" s="57" t="s">
        <v>461</v>
      </c>
      <c r="D128" s="58" t="s">
        <v>693</v>
      </c>
      <c r="E128" s="58" t="s">
        <v>693</v>
      </c>
      <c r="F128" s="58" t="s">
        <v>461</v>
      </c>
      <c r="G128" s="57" t="s">
        <v>112</v>
      </c>
      <c r="H128" s="39">
        <f>SUMPRODUCT(SUMIF(SurtaxRatesSAS!$B$2:$B$324,$C128:$E128,SurtaxRatesSAS!$E$2:$E$324))</f>
        <v>3</v>
      </c>
      <c r="I128" s="39">
        <f>SUMPRODUCT(SUMIF(SurtaxRatesSAS!$B$2:$B$324,$C128:$E128,SurtaxRatesSAS!$D$2:$D$324))</f>
        <v>6</v>
      </c>
      <c r="J128" s="38"/>
      <c r="K128" s="39">
        <f>SUMPRODUCT(SUMIF(SurtaxRatesSAS!$B$2:$B$324,$C128:$E128,SurtaxRatesSAS!$G$2:$G$324))</f>
        <v>657100.66</v>
      </c>
      <c r="L128" s="39">
        <f>SUMPRODUCT(SUMIF(SurtaxRatesSAS!$B$2:$B$324,$C128:$E128,SurtaxRatesSAS!$H$2:$H$324))</f>
        <v>219033.55</v>
      </c>
      <c r="M128" s="39">
        <f>SUMPRODUCT(SUMIF(SurtaxRatesSAS!$B$2:$B$324,$C128:$E128,SurtaxRatesSAS!$I$2:$I$324))</f>
        <v>438067.11000000004</v>
      </c>
      <c r="N128" s="38"/>
      <c r="O128" s="39" t="e">
        <f>SUMPRODUCT(SUMIF(SurtaxRatesSAS!$B$2:$B$324,$C128:$E128,SurtaxRatesSAS!$L$2:$L$324))</f>
        <v>#REF!</v>
      </c>
      <c r="P128" s="39" t="e">
        <f>SUMPRODUCT(SUMIF(SurtaxRatesSAS!$B$2:$B$324,$C128:$E128,SurtaxRatesSAS!$M$2:$M$324))</f>
        <v>#REF!</v>
      </c>
      <c r="Q128" s="39" t="e">
        <f>SUMPRODUCT(SUMIF(SurtaxRatesSAS!$B$2:$B$324,$C128:$E128,SurtaxRatesSAS!$N$2:$N$324))</f>
        <v>#REF!</v>
      </c>
      <c r="R128" s="38"/>
      <c r="S128" s="39" t="e">
        <f t="shared" si="3"/>
        <v>#REF!</v>
      </c>
      <c r="T128" s="39" t="e">
        <f t="shared" si="4"/>
        <v>#REF!</v>
      </c>
      <c r="U128" s="39" t="e">
        <f t="shared" si="5"/>
        <v>#REF!</v>
      </c>
      <c r="V128" s="29"/>
      <c r="W128" s="31" t="str">
        <f>IF(K128&gt;0,INDEX(cfo!$C$2:$I$326,MATCH(SurtaxPayment!C128,cfo!$C$2:$C$326,0),7),"")</f>
        <v>marshalll@greenecountycsd.net</v>
      </c>
      <c r="X128" s="31" t="str">
        <f>IF(IF(K128&gt;0,INDEX(cfo!$C$2:$K$326,MATCH(SurtaxPayment!C128,cfo!$C$2:$C$326,0),9),"")=0,"",IF(K128&gt;0,INDEX(cfo!$C$2:$K$326,MATCH(SurtaxPayment!C128,cfo!$C$2:$C$326,0),9),""))</f>
        <v>allens@greenecountycsd.net</v>
      </c>
    </row>
    <row r="129" spans="1:24" x14ac:dyDescent="0.25">
      <c r="A129" s="52">
        <v>2025</v>
      </c>
      <c r="B129" s="52" t="s">
        <v>658</v>
      </c>
      <c r="C129" s="57" t="s">
        <v>436</v>
      </c>
      <c r="D129" s="58" t="s">
        <v>693</v>
      </c>
      <c r="E129" s="58" t="s">
        <v>693</v>
      </c>
      <c r="F129" s="58" t="s">
        <v>436</v>
      </c>
      <c r="G129" s="57" t="s">
        <v>113</v>
      </c>
      <c r="H129" s="39">
        <f>SUMPRODUCT(SUMIF(SurtaxRatesSAS!$B$2:$B$324,$C129:$E129,SurtaxRatesSAS!$E$2:$E$324))</f>
        <v>1</v>
      </c>
      <c r="I129" s="39">
        <f>SUMPRODUCT(SUMIF(SurtaxRatesSAS!$B$2:$B$324,$C129:$E129,SurtaxRatesSAS!$D$2:$D$324))</f>
        <v>1</v>
      </c>
      <c r="J129" s="38"/>
      <c r="K129" s="39">
        <f>SUMPRODUCT(SUMIF(SurtaxRatesSAS!$B$2:$B$324,$C129:$E129,SurtaxRatesSAS!$G$2:$G$324))</f>
        <v>235343.68</v>
      </c>
      <c r="L129" s="39">
        <f>SUMPRODUCT(SUMIF(SurtaxRatesSAS!$B$2:$B$324,$C129:$E129,SurtaxRatesSAS!$H$2:$H$324))</f>
        <v>117671.84</v>
      </c>
      <c r="M129" s="39">
        <f>SUMPRODUCT(SUMIF(SurtaxRatesSAS!$B$2:$B$324,$C129:$E129,SurtaxRatesSAS!$I$2:$I$324))</f>
        <v>117671.84</v>
      </c>
      <c r="N129" s="38"/>
      <c r="O129" s="39" t="e">
        <f>SUMPRODUCT(SUMIF(SurtaxRatesSAS!$B$2:$B$324,$C129:$E129,SurtaxRatesSAS!$L$2:$L$324))</f>
        <v>#REF!</v>
      </c>
      <c r="P129" s="39" t="e">
        <f>SUMPRODUCT(SUMIF(SurtaxRatesSAS!$B$2:$B$324,$C129:$E129,SurtaxRatesSAS!$M$2:$M$324))</f>
        <v>#REF!</v>
      </c>
      <c r="Q129" s="39" t="e">
        <f>SUMPRODUCT(SUMIF(SurtaxRatesSAS!$B$2:$B$324,$C129:$E129,SurtaxRatesSAS!$N$2:$N$324))</f>
        <v>#REF!</v>
      </c>
      <c r="R129" s="38"/>
      <c r="S129" s="39" t="e">
        <f t="shared" si="3"/>
        <v>#REF!</v>
      </c>
      <c r="T129" s="39" t="e">
        <f t="shared" si="4"/>
        <v>#REF!</v>
      </c>
      <c r="U129" s="39" t="e">
        <f t="shared" si="5"/>
        <v>#REF!</v>
      </c>
      <c r="V129" s="29"/>
      <c r="W129" s="31" t="str">
        <f>IF(K129&gt;0,INDEX(cfo!$C$2:$I$326,MATCH(SurtaxPayment!C129,cfo!$C$2:$C$326,0),7),"")</f>
        <v>lisa.briggs@grinnell-k12.org</v>
      </c>
      <c r="X129" s="31" t="str">
        <f>IF(IF(K129&gt;0,INDEX(cfo!$C$2:$K$326,MATCH(SurtaxPayment!C129,cfo!$C$2:$C$326,0),9),"")=0,"",IF(K129&gt;0,INDEX(cfo!$C$2:$K$326,MATCH(SurtaxPayment!C129,cfo!$C$2:$C$326,0),9),""))</f>
        <v/>
      </c>
    </row>
    <row r="130" spans="1:24" x14ac:dyDescent="0.25">
      <c r="A130" s="52">
        <v>2025</v>
      </c>
      <c r="B130" s="52" t="s">
        <v>659</v>
      </c>
      <c r="C130" s="57" t="s">
        <v>437</v>
      </c>
      <c r="D130" s="58" t="s">
        <v>693</v>
      </c>
      <c r="E130" s="58" t="s">
        <v>693</v>
      </c>
      <c r="F130" s="58" t="s">
        <v>437</v>
      </c>
      <c r="G130" s="57" t="s">
        <v>114</v>
      </c>
      <c r="H130" s="39">
        <f>SUMPRODUCT(SUMIF(SurtaxRatesSAS!$B$2:$B$324,$C130:$E130,SurtaxRatesSAS!$E$2:$E$324))</f>
        <v>0</v>
      </c>
      <c r="I130" s="39">
        <f>SUMPRODUCT(SUMIF(SurtaxRatesSAS!$B$2:$B$324,$C130:$E130,SurtaxRatesSAS!$D$2:$D$324))</f>
        <v>1</v>
      </c>
      <c r="J130" s="38"/>
      <c r="K130" s="39">
        <f>SUMPRODUCT(SUMIF(SurtaxRatesSAS!$B$2:$B$324,$C130:$E130,SurtaxRatesSAS!$G$2:$G$324))</f>
        <v>27753.1</v>
      </c>
      <c r="L130" s="39">
        <f>SUMPRODUCT(SUMIF(SurtaxRatesSAS!$B$2:$B$324,$C130:$E130,SurtaxRatesSAS!$H$2:$H$324))</f>
        <v>0</v>
      </c>
      <c r="M130" s="39">
        <f>SUMPRODUCT(SUMIF(SurtaxRatesSAS!$B$2:$B$324,$C130:$E130,SurtaxRatesSAS!$I$2:$I$324))</f>
        <v>27753.1</v>
      </c>
      <c r="N130" s="38"/>
      <c r="O130" s="39" t="e">
        <f>SUMPRODUCT(SUMIF(SurtaxRatesSAS!$B$2:$B$324,$C130:$E130,SurtaxRatesSAS!$L$2:$L$324))</f>
        <v>#REF!</v>
      </c>
      <c r="P130" s="39" t="e">
        <f>SUMPRODUCT(SUMIF(SurtaxRatesSAS!$B$2:$B$324,$C130:$E130,SurtaxRatesSAS!$M$2:$M$324))</f>
        <v>#REF!</v>
      </c>
      <c r="Q130" s="39" t="e">
        <f>SUMPRODUCT(SUMIF(SurtaxRatesSAS!$B$2:$B$324,$C130:$E130,SurtaxRatesSAS!$N$2:$N$324))</f>
        <v>#REF!</v>
      </c>
      <c r="R130" s="38"/>
      <c r="S130" s="39" t="e">
        <f t="shared" si="3"/>
        <v>#REF!</v>
      </c>
      <c r="T130" s="39" t="e">
        <f t="shared" si="4"/>
        <v>#REF!</v>
      </c>
      <c r="U130" s="39" t="e">
        <f t="shared" si="5"/>
        <v>#REF!</v>
      </c>
      <c r="V130" s="29"/>
      <c r="W130" s="31" t="str">
        <f>IF(K130&gt;0,INDEX(cfo!$C$2:$I$326,MATCH(SurtaxPayment!C130,cfo!$C$2:$C$326,0),7),"")</f>
        <v>drold@griswoldschools.org</v>
      </c>
      <c r="X130" s="31" t="str">
        <f>IF(IF(K130&gt;0,INDEX(cfo!$C$2:$K$326,MATCH(SurtaxPayment!C130,cfo!$C$2:$C$326,0),9),"")=0,"",IF(K130&gt;0,INDEX(cfo!$C$2:$K$326,MATCH(SurtaxPayment!C130,cfo!$C$2:$C$326,0),9),""))</f>
        <v/>
      </c>
    </row>
    <row r="131" spans="1:24" x14ac:dyDescent="0.25">
      <c r="A131" s="52">
        <v>2025</v>
      </c>
      <c r="B131" s="52" t="s">
        <v>658</v>
      </c>
      <c r="C131" s="57" t="s">
        <v>438</v>
      </c>
      <c r="D131" s="58" t="s">
        <v>693</v>
      </c>
      <c r="E131" s="58" t="s">
        <v>693</v>
      </c>
      <c r="F131" s="58" t="s">
        <v>438</v>
      </c>
      <c r="G131" s="57" t="s">
        <v>115</v>
      </c>
      <c r="H131" s="39">
        <f>SUMPRODUCT(SUMIF(SurtaxRatesSAS!$B$2:$B$324,$C131:$E131,SurtaxRatesSAS!$E$2:$E$324))</f>
        <v>0</v>
      </c>
      <c r="I131" s="39">
        <f>SUMPRODUCT(SUMIF(SurtaxRatesSAS!$B$2:$B$324,$C131:$E131,SurtaxRatesSAS!$D$2:$D$324))</f>
        <v>6</v>
      </c>
      <c r="J131" s="38"/>
      <c r="K131" s="39">
        <f>SUMPRODUCT(SUMIF(SurtaxRatesSAS!$B$2:$B$324,$C131:$E131,SurtaxRatesSAS!$G$2:$G$324))</f>
        <v>261271.04000000001</v>
      </c>
      <c r="L131" s="39">
        <f>SUMPRODUCT(SUMIF(SurtaxRatesSAS!$B$2:$B$324,$C131:$E131,SurtaxRatesSAS!$H$2:$H$324))</f>
        <v>0</v>
      </c>
      <c r="M131" s="39">
        <f>SUMPRODUCT(SUMIF(SurtaxRatesSAS!$B$2:$B$324,$C131:$E131,SurtaxRatesSAS!$I$2:$I$324))</f>
        <v>261271.04000000001</v>
      </c>
      <c r="N131" s="38"/>
      <c r="O131" s="39" t="e">
        <f>SUMPRODUCT(SUMIF(SurtaxRatesSAS!$B$2:$B$324,$C131:$E131,SurtaxRatesSAS!$L$2:$L$324))</f>
        <v>#REF!</v>
      </c>
      <c r="P131" s="39" t="e">
        <f>SUMPRODUCT(SUMIF(SurtaxRatesSAS!$B$2:$B$324,$C131:$E131,SurtaxRatesSAS!$M$2:$M$324))</f>
        <v>#REF!</v>
      </c>
      <c r="Q131" s="39" t="e">
        <f>SUMPRODUCT(SUMIF(SurtaxRatesSAS!$B$2:$B$324,$C131:$E131,SurtaxRatesSAS!$N$2:$N$324))</f>
        <v>#REF!</v>
      </c>
      <c r="R131" s="38"/>
      <c r="S131" s="39" t="e">
        <f t="shared" si="3"/>
        <v>#REF!</v>
      </c>
      <c r="T131" s="39" t="e">
        <f t="shared" si="4"/>
        <v>#REF!</v>
      </c>
      <c r="U131" s="39" t="e">
        <f t="shared" si="5"/>
        <v>#REF!</v>
      </c>
      <c r="V131" s="29"/>
      <c r="W131" s="31" t="str">
        <f>IF(K131&gt;0,INDEX(cfo!$C$2:$I$326,MATCH(SurtaxPayment!C131,cfo!$C$2:$C$326,0),7),"")</f>
        <v>cwagner@spartanpride.net</v>
      </c>
      <c r="X131" s="31" t="str">
        <f>IF(IF(K131&gt;0,INDEX(cfo!$C$2:$K$326,MATCH(SurtaxPayment!C131,cfo!$C$2:$C$326,0),9),"")=0,"",IF(K131&gt;0,INDEX(cfo!$C$2:$K$326,MATCH(SurtaxPayment!C131,cfo!$C$2:$C$326,0),9),""))</f>
        <v/>
      </c>
    </row>
    <row r="132" spans="1:24" x14ac:dyDescent="0.25">
      <c r="A132" s="52">
        <v>2025</v>
      </c>
      <c r="B132" s="52" t="s">
        <v>657</v>
      </c>
      <c r="C132" s="57" t="s">
        <v>439</v>
      </c>
      <c r="D132" s="58" t="s">
        <v>693</v>
      </c>
      <c r="E132" s="58" t="s">
        <v>693</v>
      </c>
      <c r="F132" s="58" t="s">
        <v>439</v>
      </c>
      <c r="G132" s="57" t="s">
        <v>116</v>
      </c>
      <c r="H132" s="39">
        <f>SUMPRODUCT(SUMIF(SurtaxRatesSAS!$B$2:$B$324,$C132:$E132,SurtaxRatesSAS!$E$2:$E$324))</f>
        <v>0</v>
      </c>
      <c r="I132" s="39">
        <f>SUMPRODUCT(SUMIF(SurtaxRatesSAS!$B$2:$B$324,$C132:$E132,SurtaxRatesSAS!$D$2:$D$324))</f>
        <v>7</v>
      </c>
      <c r="J132" s="38"/>
      <c r="K132" s="39">
        <f>SUMPRODUCT(SUMIF(SurtaxRatesSAS!$B$2:$B$324,$C132:$E132,SurtaxRatesSAS!$G$2:$G$324))</f>
        <v>181585.27</v>
      </c>
      <c r="L132" s="39">
        <f>SUMPRODUCT(SUMIF(SurtaxRatesSAS!$B$2:$B$324,$C132:$E132,SurtaxRatesSAS!$H$2:$H$324))</f>
        <v>0</v>
      </c>
      <c r="M132" s="39">
        <f>SUMPRODUCT(SUMIF(SurtaxRatesSAS!$B$2:$B$324,$C132:$E132,SurtaxRatesSAS!$I$2:$I$324))</f>
        <v>181585.27</v>
      </c>
      <c r="N132" s="38"/>
      <c r="O132" s="39" t="e">
        <f>SUMPRODUCT(SUMIF(SurtaxRatesSAS!$B$2:$B$324,$C132:$E132,SurtaxRatesSAS!$L$2:$L$324))</f>
        <v>#REF!</v>
      </c>
      <c r="P132" s="39" t="e">
        <f>SUMPRODUCT(SUMIF(SurtaxRatesSAS!$B$2:$B$324,$C132:$E132,SurtaxRatesSAS!$M$2:$M$324))</f>
        <v>#REF!</v>
      </c>
      <c r="Q132" s="39" t="e">
        <f>SUMPRODUCT(SUMIF(SurtaxRatesSAS!$B$2:$B$324,$C132:$E132,SurtaxRatesSAS!$N$2:$N$324))</f>
        <v>#REF!</v>
      </c>
      <c r="R132" s="38"/>
      <c r="S132" s="39" t="e">
        <f t="shared" si="3"/>
        <v>#REF!</v>
      </c>
      <c r="T132" s="39" t="e">
        <f t="shared" si="4"/>
        <v>#REF!</v>
      </c>
      <c r="U132" s="39" t="e">
        <f t="shared" si="5"/>
        <v>#REF!</v>
      </c>
      <c r="V132" s="29"/>
      <c r="W132" s="31" t="str">
        <f>IF(K132&gt;0,INDEX(cfo!$C$2:$I$326,MATCH(SurtaxPayment!C132,cfo!$C$2:$C$326,0),7),"")</f>
        <v>ssheeder@acgcschools.org</v>
      </c>
      <c r="X132" s="31" t="str">
        <f>IF(IF(K132&gt;0,INDEX(cfo!$C$2:$K$326,MATCH(SurtaxPayment!C132,cfo!$C$2:$C$326,0),9),"")=0,"",IF(K132&gt;0,INDEX(cfo!$C$2:$K$326,MATCH(SurtaxPayment!C132,cfo!$C$2:$C$326,0),9),""))</f>
        <v/>
      </c>
    </row>
    <row r="133" spans="1:24" x14ac:dyDescent="0.25">
      <c r="A133" s="52">
        <v>2025</v>
      </c>
      <c r="B133" s="52" t="s">
        <v>659</v>
      </c>
      <c r="C133" s="57" t="s">
        <v>442</v>
      </c>
      <c r="D133" s="58" t="s">
        <v>693</v>
      </c>
      <c r="E133" s="58" t="s">
        <v>693</v>
      </c>
      <c r="F133" s="58" t="s">
        <v>442</v>
      </c>
      <c r="G133" s="57" t="s">
        <v>117</v>
      </c>
      <c r="H133" s="39">
        <f>SUMPRODUCT(SUMIF(SurtaxRatesSAS!$B$2:$B$324,$C133:$E133,SurtaxRatesSAS!$E$2:$E$324))</f>
        <v>3</v>
      </c>
      <c r="I133" s="39">
        <f>SUMPRODUCT(SUMIF(SurtaxRatesSAS!$B$2:$B$324,$C133:$E133,SurtaxRatesSAS!$D$2:$D$324))</f>
        <v>1</v>
      </c>
      <c r="J133" s="38"/>
      <c r="K133" s="39">
        <f>SUMPRODUCT(SUMIF(SurtaxRatesSAS!$B$2:$B$324,$C133:$E133,SurtaxRatesSAS!$G$2:$G$324))</f>
        <v>61310.6</v>
      </c>
      <c r="L133" s="39">
        <f>SUMPRODUCT(SUMIF(SurtaxRatesSAS!$B$2:$B$324,$C133:$E133,SurtaxRatesSAS!$H$2:$H$324))</f>
        <v>45982.95</v>
      </c>
      <c r="M133" s="39">
        <f>SUMPRODUCT(SUMIF(SurtaxRatesSAS!$B$2:$B$324,$C133:$E133,SurtaxRatesSAS!$I$2:$I$324))</f>
        <v>15327.650000000001</v>
      </c>
      <c r="N133" s="38"/>
      <c r="O133" s="39" t="e">
        <f>SUMPRODUCT(SUMIF(SurtaxRatesSAS!$B$2:$B$324,$C133:$E133,SurtaxRatesSAS!$L$2:$L$324))</f>
        <v>#REF!</v>
      </c>
      <c r="P133" s="39" t="e">
        <f>SUMPRODUCT(SUMIF(SurtaxRatesSAS!$B$2:$B$324,$C133:$E133,SurtaxRatesSAS!$M$2:$M$324))</f>
        <v>#REF!</v>
      </c>
      <c r="Q133" s="39" t="e">
        <f>SUMPRODUCT(SUMIF(SurtaxRatesSAS!$B$2:$B$324,$C133:$E133,SurtaxRatesSAS!$N$2:$N$324))</f>
        <v>#REF!</v>
      </c>
      <c r="R133" s="38"/>
      <c r="S133" s="39" t="e">
        <f t="shared" si="3"/>
        <v>#REF!</v>
      </c>
      <c r="T133" s="39" t="e">
        <f t="shared" si="4"/>
        <v>#REF!</v>
      </c>
      <c r="U133" s="39" t="e">
        <f t="shared" si="5"/>
        <v>#REF!</v>
      </c>
      <c r="V133" s="29"/>
      <c r="W133" s="31" t="str">
        <f>IF(K133&gt;0,INDEX(cfo!$C$2:$I$326,MATCH(SurtaxPayment!C133,cfo!$C$2:$C$326,0),7),"")</f>
        <v>mchambers@hamburgcsd.org</v>
      </c>
      <c r="X133" s="31" t="str">
        <f>IF(IF(K133&gt;0,INDEX(cfo!$C$2:$K$326,MATCH(SurtaxPayment!C133,cfo!$C$2:$C$326,0),9),"")=0,"",IF(K133&gt;0,INDEX(cfo!$C$2:$K$326,MATCH(SurtaxPayment!C133,cfo!$C$2:$C$326,0),9),""))</f>
        <v/>
      </c>
    </row>
    <row r="134" spans="1:24" x14ac:dyDescent="0.25">
      <c r="A134" s="52">
        <v>2025</v>
      </c>
      <c r="B134" s="52" t="s">
        <v>658</v>
      </c>
      <c r="C134" s="57" t="s">
        <v>443</v>
      </c>
      <c r="D134" s="58" t="s">
        <v>693</v>
      </c>
      <c r="E134" s="58" t="s">
        <v>693</v>
      </c>
      <c r="F134" s="58" t="s">
        <v>443</v>
      </c>
      <c r="G134" s="57" t="s">
        <v>118</v>
      </c>
      <c r="H134" s="39">
        <f>SUMPRODUCT(SUMIF(SurtaxRatesSAS!$B$2:$B$324,$C134:$E134,SurtaxRatesSAS!$E$2:$E$324))</f>
        <v>0</v>
      </c>
      <c r="I134" s="39">
        <f>SUMPRODUCT(SUMIF(SurtaxRatesSAS!$B$2:$B$324,$C134:$E134,SurtaxRatesSAS!$D$2:$D$324))</f>
        <v>3</v>
      </c>
      <c r="J134" s="38"/>
      <c r="K134" s="39">
        <f>SUMPRODUCT(SUMIF(SurtaxRatesSAS!$B$2:$B$324,$C134:$E134,SurtaxRatesSAS!$G$2:$G$324))</f>
        <v>159254.51999999999</v>
      </c>
      <c r="L134" s="39">
        <f>SUMPRODUCT(SUMIF(SurtaxRatesSAS!$B$2:$B$324,$C134:$E134,SurtaxRatesSAS!$H$2:$H$324))</f>
        <v>0</v>
      </c>
      <c r="M134" s="39">
        <f>SUMPRODUCT(SUMIF(SurtaxRatesSAS!$B$2:$B$324,$C134:$E134,SurtaxRatesSAS!$I$2:$I$324))</f>
        <v>159254.51999999999</v>
      </c>
      <c r="N134" s="38"/>
      <c r="O134" s="39" t="e">
        <f>SUMPRODUCT(SUMIF(SurtaxRatesSAS!$B$2:$B$324,$C134:$E134,SurtaxRatesSAS!$L$2:$L$324))</f>
        <v>#REF!</v>
      </c>
      <c r="P134" s="39" t="e">
        <f>SUMPRODUCT(SUMIF(SurtaxRatesSAS!$B$2:$B$324,$C134:$E134,SurtaxRatesSAS!$M$2:$M$324))</f>
        <v>#REF!</v>
      </c>
      <c r="Q134" s="39" t="e">
        <f>SUMPRODUCT(SUMIF(SurtaxRatesSAS!$B$2:$B$324,$C134:$E134,SurtaxRatesSAS!$N$2:$N$324))</f>
        <v>#REF!</v>
      </c>
      <c r="R134" s="38"/>
      <c r="S134" s="39" t="e">
        <f t="shared" si="3"/>
        <v>#REF!</v>
      </c>
      <c r="T134" s="39" t="e">
        <f t="shared" si="4"/>
        <v>#REF!</v>
      </c>
      <c r="U134" s="39" t="e">
        <f t="shared" si="5"/>
        <v>#REF!</v>
      </c>
      <c r="V134" s="29"/>
      <c r="W134" s="31" t="str">
        <f>IF(K134&gt;0,INDEX(cfo!$C$2:$I$326,MATCH(SurtaxPayment!C134,cfo!$C$2:$C$326,0),7),"")</f>
        <v>llewis@hdcsd.org</v>
      </c>
      <c r="X134" s="31" t="str">
        <f>IF(IF(K134&gt;0,INDEX(cfo!$C$2:$K$326,MATCH(SurtaxPayment!C134,cfo!$C$2:$C$326,0),9),"")=0,"",IF(K134&gt;0,INDEX(cfo!$C$2:$K$326,MATCH(SurtaxPayment!C134,cfo!$C$2:$C$326,0),9),""))</f>
        <v/>
      </c>
    </row>
    <row r="135" spans="1:24" x14ac:dyDescent="0.25">
      <c r="A135" s="52">
        <v>2025</v>
      </c>
      <c r="B135" s="52" t="s">
        <v>659</v>
      </c>
      <c r="C135" s="57" t="s">
        <v>444</v>
      </c>
      <c r="D135" s="58" t="s">
        <v>693</v>
      </c>
      <c r="E135" s="58" t="s">
        <v>693</v>
      </c>
      <c r="F135" s="58" t="s">
        <v>444</v>
      </c>
      <c r="G135" s="57" t="s">
        <v>119</v>
      </c>
      <c r="H135" s="39">
        <f>SUMPRODUCT(SUMIF(SurtaxRatesSAS!$B$2:$B$324,$C135:$E135,SurtaxRatesSAS!$E$2:$E$324))</f>
        <v>0</v>
      </c>
      <c r="I135" s="39">
        <f>SUMPRODUCT(SUMIF(SurtaxRatesSAS!$B$2:$B$324,$C135:$E135,SurtaxRatesSAS!$D$2:$D$324))</f>
        <v>7</v>
      </c>
      <c r="J135" s="38"/>
      <c r="K135" s="39">
        <f>SUMPRODUCT(SUMIF(SurtaxRatesSAS!$B$2:$B$324,$C135:$E135,SurtaxRatesSAS!$G$2:$G$324))</f>
        <v>665015.76</v>
      </c>
      <c r="L135" s="39">
        <f>SUMPRODUCT(SUMIF(SurtaxRatesSAS!$B$2:$B$324,$C135:$E135,SurtaxRatesSAS!$H$2:$H$324))</f>
        <v>0</v>
      </c>
      <c r="M135" s="39">
        <f>SUMPRODUCT(SUMIF(SurtaxRatesSAS!$B$2:$B$324,$C135:$E135,SurtaxRatesSAS!$I$2:$I$324))</f>
        <v>665015.76</v>
      </c>
      <c r="N135" s="38"/>
      <c r="O135" s="39" t="e">
        <f>SUMPRODUCT(SUMIF(SurtaxRatesSAS!$B$2:$B$324,$C135:$E135,SurtaxRatesSAS!$L$2:$L$324))</f>
        <v>#REF!</v>
      </c>
      <c r="P135" s="39" t="e">
        <f>SUMPRODUCT(SUMIF(SurtaxRatesSAS!$B$2:$B$324,$C135:$E135,SurtaxRatesSAS!$M$2:$M$324))</f>
        <v>#REF!</v>
      </c>
      <c r="Q135" s="39" t="e">
        <f>SUMPRODUCT(SUMIF(SurtaxRatesSAS!$B$2:$B$324,$C135:$E135,SurtaxRatesSAS!$N$2:$N$324))</f>
        <v>#REF!</v>
      </c>
      <c r="R135" s="38"/>
      <c r="S135" s="39" t="e">
        <f t="shared" ref="S135:S198" si="6">SUM(K135,O135)</f>
        <v>#REF!</v>
      </c>
      <c r="T135" s="39" t="e">
        <f t="shared" ref="T135:T198" si="7">SUM(L135,P135)</f>
        <v>#REF!</v>
      </c>
      <c r="U135" s="39" t="e">
        <f t="shared" ref="U135:U198" si="8">SUM(M135,Q135)</f>
        <v>#REF!</v>
      </c>
      <c r="V135" s="29"/>
      <c r="W135" s="31" t="str">
        <f>IF(K135&gt;0,INDEX(cfo!$C$2:$I$326,MATCH(SurtaxPayment!C135,cfo!$C$2:$C$326,0),7),"")</f>
        <v>bgubbels@hcsdcyclones.com</v>
      </c>
      <c r="X135" s="31" t="str">
        <f>IF(IF(K135&gt;0,INDEX(cfo!$C$2:$K$326,MATCH(SurtaxPayment!C135,cfo!$C$2:$C$326,0),9),"")=0,"",IF(K135&gt;0,INDEX(cfo!$C$2:$K$326,MATCH(SurtaxPayment!C135,cfo!$C$2:$C$326,0),9),""))</f>
        <v/>
      </c>
    </row>
    <row r="136" spans="1:24" x14ac:dyDescent="0.25">
      <c r="A136" s="52">
        <v>2025</v>
      </c>
      <c r="B136" s="52" t="s">
        <v>661</v>
      </c>
      <c r="C136" s="57" t="s">
        <v>445</v>
      </c>
      <c r="D136" s="58" t="s">
        <v>693</v>
      </c>
      <c r="E136" s="58" t="s">
        <v>693</v>
      </c>
      <c r="F136" s="58" t="s">
        <v>445</v>
      </c>
      <c r="G136" s="57" t="s">
        <v>713</v>
      </c>
      <c r="H136" s="39">
        <f>SUMPRODUCT(SUMIF(SurtaxRatesSAS!$B$2:$B$324,$C136:$E136,SurtaxRatesSAS!$E$2:$E$324))</f>
        <v>0</v>
      </c>
      <c r="I136" s="39">
        <f>SUMPRODUCT(SUMIF(SurtaxRatesSAS!$B$2:$B$324,$C136:$E136,SurtaxRatesSAS!$D$2:$D$324))</f>
        <v>0</v>
      </c>
      <c r="J136" s="38"/>
      <c r="K136" s="39">
        <f>SUMPRODUCT(SUMIF(SurtaxRatesSAS!$B$2:$B$324,$C136:$E136,SurtaxRatesSAS!$G$2:$G$324))</f>
        <v>0</v>
      </c>
      <c r="L136" s="39">
        <f>SUMPRODUCT(SUMIF(SurtaxRatesSAS!$B$2:$B$324,$C136:$E136,SurtaxRatesSAS!$H$2:$H$324))</f>
        <v>0</v>
      </c>
      <c r="M136" s="39">
        <f>SUMPRODUCT(SUMIF(SurtaxRatesSAS!$B$2:$B$324,$C136:$E136,SurtaxRatesSAS!$I$2:$I$324))</f>
        <v>0</v>
      </c>
      <c r="N136" s="38"/>
      <c r="O136" s="39">
        <f>SUMPRODUCT(SUMIF(SurtaxRatesSAS!$B$2:$B$324,$C136:$E136,SurtaxRatesSAS!$L$2:$L$324))</f>
        <v>0</v>
      </c>
      <c r="P136" s="39">
        <f>SUMPRODUCT(SUMIF(SurtaxRatesSAS!$B$2:$B$324,$C136:$E136,SurtaxRatesSAS!$M$2:$M$324))</f>
        <v>0</v>
      </c>
      <c r="Q136" s="39">
        <f>SUMPRODUCT(SUMIF(SurtaxRatesSAS!$B$2:$B$324,$C136:$E136,SurtaxRatesSAS!$N$2:$N$324))</f>
        <v>0</v>
      </c>
      <c r="R136" s="38"/>
      <c r="S136" s="39">
        <f t="shared" si="6"/>
        <v>0</v>
      </c>
      <c r="T136" s="39">
        <f t="shared" si="7"/>
        <v>0</v>
      </c>
      <c r="U136" s="39">
        <f t="shared" si="8"/>
        <v>0</v>
      </c>
      <c r="V136" s="29"/>
      <c r="W136" s="31" t="str">
        <f>IF(K136&gt;0,INDEX(cfo!$C$2:$I$326,MATCH(SurtaxPayment!C136,cfo!$C$2:$C$326,0),7),"")</f>
        <v/>
      </c>
      <c r="X136" s="31" t="str">
        <f>IF(IF(K136&gt;0,INDEX(cfo!$C$2:$K$326,MATCH(SurtaxPayment!C136,cfo!$C$2:$C$326,0),9),"")=0,"",IF(K136&gt;0,INDEX(cfo!$C$2:$K$326,MATCH(SurtaxPayment!C136,cfo!$C$2:$C$326,0),9),""))</f>
        <v/>
      </c>
    </row>
    <row r="137" spans="1:24" x14ac:dyDescent="0.25">
      <c r="A137" s="52">
        <v>2025</v>
      </c>
      <c r="B137" s="52" t="s">
        <v>660</v>
      </c>
      <c r="C137" s="57" t="s">
        <v>446</v>
      </c>
      <c r="D137" s="58" t="s">
        <v>693</v>
      </c>
      <c r="E137" s="58" t="s">
        <v>693</v>
      </c>
      <c r="F137" s="58" t="s">
        <v>446</v>
      </c>
      <c r="G137" s="57" t="s">
        <v>121</v>
      </c>
      <c r="H137" s="39">
        <f>SUMPRODUCT(SUMIF(SurtaxRatesSAS!$B$2:$B$324,$C137:$E137,SurtaxRatesSAS!$E$2:$E$324))</f>
        <v>1</v>
      </c>
      <c r="I137" s="39">
        <f>SUMPRODUCT(SUMIF(SurtaxRatesSAS!$B$2:$B$324,$C137:$E137,SurtaxRatesSAS!$D$2:$D$324))</f>
        <v>2</v>
      </c>
      <c r="J137" s="38"/>
      <c r="K137" s="39">
        <f>SUMPRODUCT(SUMIF(SurtaxRatesSAS!$B$2:$B$324,$C137:$E137,SurtaxRatesSAS!$G$2:$G$324))</f>
        <v>137038.16</v>
      </c>
      <c r="L137" s="39">
        <f>SUMPRODUCT(SUMIF(SurtaxRatesSAS!$B$2:$B$324,$C137:$E137,SurtaxRatesSAS!$H$2:$H$324))</f>
        <v>45679.39</v>
      </c>
      <c r="M137" s="39">
        <f>SUMPRODUCT(SUMIF(SurtaxRatesSAS!$B$2:$B$324,$C137:$E137,SurtaxRatesSAS!$I$2:$I$324))</f>
        <v>91358.77</v>
      </c>
      <c r="N137" s="38"/>
      <c r="O137" s="39" t="e">
        <f>SUMPRODUCT(SUMIF(SurtaxRatesSAS!$B$2:$B$324,$C137:$E137,SurtaxRatesSAS!$L$2:$L$324))</f>
        <v>#REF!</v>
      </c>
      <c r="P137" s="39" t="e">
        <f>SUMPRODUCT(SUMIF(SurtaxRatesSAS!$B$2:$B$324,$C137:$E137,SurtaxRatesSAS!$M$2:$M$324))</f>
        <v>#REF!</v>
      </c>
      <c r="Q137" s="39" t="e">
        <f>SUMPRODUCT(SUMIF(SurtaxRatesSAS!$B$2:$B$324,$C137:$E137,SurtaxRatesSAS!$N$2:$N$324))</f>
        <v>#REF!</v>
      </c>
      <c r="R137" s="38"/>
      <c r="S137" s="39" t="e">
        <f t="shared" si="6"/>
        <v>#REF!</v>
      </c>
      <c r="T137" s="39" t="e">
        <f t="shared" si="7"/>
        <v>#REF!</v>
      </c>
      <c r="U137" s="39" t="e">
        <f t="shared" si="8"/>
        <v>#REF!</v>
      </c>
      <c r="V137" s="29"/>
      <c r="W137" s="31" t="str">
        <f>IF(K137&gt;0,INDEX(cfo!$C$2:$I$326,MATCH(SurtaxPayment!C137,cfo!$C$2:$C$326,0),7),"")</f>
        <v>ehamrick@hartley-ms.k12.ia.us</v>
      </c>
      <c r="X137" s="31" t="str">
        <f>IF(IF(K137&gt;0,INDEX(cfo!$C$2:$K$326,MATCH(SurtaxPayment!C137,cfo!$C$2:$C$326,0),9),"")=0,"",IF(K137&gt;0,INDEX(cfo!$C$2:$K$326,MATCH(SurtaxPayment!C137,cfo!$C$2:$C$326,0),9),""))</f>
        <v/>
      </c>
    </row>
    <row r="138" spans="1:24" x14ac:dyDescent="0.25">
      <c r="A138" s="52">
        <v>2025</v>
      </c>
      <c r="B138" s="52" t="s">
        <v>663</v>
      </c>
      <c r="C138" s="57" t="s">
        <v>447</v>
      </c>
      <c r="D138" s="58" t="s">
        <v>693</v>
      </c>
      <c r="E138" s="58" t="s">
        <v>693</v>
      </c>
      <c r="F138" s="58" t="s">
        <v>447</v>
      </c>
      <c r="G138" s="57" t="s">
        <v>122</v>
      </c>
      <c r="H138" s="39">
        <f>SUMPRODUCT(SUMIF(SurtaxRatesSAS!$B$2:$B$324,$C138:$E138,SurtaxRatesSAS!$E$2:$E$324))</f>
        <v>0</v>
      </c>
      <c r="I138" s="39">
        <f>SUMPRODUCT(SUMIF(SurtaxRatesSAS!$B$2:$B$324,$C138:$E138,SurtaxRatesSAS!$D$2:$D$324))</f>
        <v>2</v>
      </c>
      <c r="J138" s="38"/>
      <c r="K138" s="39">
        <f>SUMPRODUCT(SUMIF(SurtaxRatesSAS!$B$2:$B$324,$C138:$E138,SurtaxRatesSAS!$G$2:$G$324))</f>
        <v>113308.21</v>
      </c>
      <c r="L138" s="39">
        <f>SUMPRODUCT(SUMIF(SurtaxRatesSAS!$B$2:$B$324,$C138:$E138,SurtaxRatesSAS!$H$2:$H$324))</f>
        <v>0</v>
      </c>
      <c r="M138" s="39">
        <f>SUMPRODUCT(SUMIF(SurtaxRatesSAS!$B$2:$B$324,$C138:$E138,SurtaxRatesSAS!$I$2:$I$324))</f>
        <v>113308.21</v>
      </c>
      <c r="N138" s="38"/>
      <c r="O138" s="39" t="e">
        <f>SUMPRODUCT(SUMIF(SurtaxRatesSAS!$B$2:$B$324,$C138:$E138,SurtaxRatesSAS!$L$2:$L$324))</f>
        <v>#REF!</v>
      </c>
      <c r="P138" s="39" t="e">
        <f>SUMPRODUCT(SUMIF(SurtaxRatesSAS!$B$2:$B$324,$C138:$E138,SurtaxRatesSAS!$M$2:$M$324))</f>
        <v>#REF!</v>
      </c>
      <c r="Q138" s="39" t="e">
        <f>SUMPRODUCT(SUMIF(SurtaxRatesSAS!$B$2:$B$324,$C138:$E138,SurtaxRatesSAS!$N$2:$N$324))</f>
        <v>#REF!</v>
      </c>
      <c r="R138" s="38"/>
      <c r="S138" s="39" t="e">
        <f t="shared" si="6"/>
        <v>#REF!</v>
      </c>
      <c r="T138" s="39" t="e">
        <f t="shared" si="7"/>
        <v>#REF!</v>
      </c>
      <c r="U138" s="39" t="e">
        <f t="shared" si="8"/>
        <v>#REF!</v>
      </c>
      <c r="V138" s="29"/>
      <c r="W138" s="31" t="str">
        <f>IF(K138&gt;0,INDEX(cfo!$C$2:$I$326,MATCH(SurtaxPayment!C138,cfo!$C$2:$C$326,0),7),"")</f>
        <v>amoyer@highlandhuskies.org</v>
      </c>
      <c r="X138" s="31" t="str">
        <f>IF(IF(K138&gt;0,INDEX(cfo!$C$2:$K$326,MATCH(SurtaxPayment!C138,cfo!$C$2:$C$326,0),9),"")=0,"",IF(K138&gt;0,INDEX(cfo!$C$2:$K$326,MATCH(SurtaxPayment!C138,cfo!$C$2:$C$326,0),9),""))</f>
        <v/>
      </c>
    </row>
    <row r="139" spans="1:24" x14ac:dyDescent="0.25">
      <c r="A139" s="52">
        <v>2025</v>
      </c>
      <c r="B139" s="52" t="s">
        <v>660</v>
      </c>
      <c r="C139" s="57" t="s">
        <v>448</v>
      </c>
      <c r="D139" s="58" t="s">
        <v>693</v>
      </c>
      <c r="E139" s="58" t="s">
        <v>693</v>
      </c>
      <c r="F139" s="58" t="s">
        <v>448</v>
      </c>
      <c r="G139" s="57" t="s">
        <v>123</v>
      </c>
      <c r="H139" s="39">
        <f>SUMPRODUCT(SUMIF(SurtaxRatesSAS!$B$2:$B$324,$C139:$E139,SurtaxRatesSAS!$E$2:$E$324))</f>
        <v>0</v>
      </c>
      <c r="I139" s="39">
        <f>SUMPRODUCT(SUMIF(SurtaxRatesSAS!$B$2:$B$324,$C139:$E139,SurtaxRatesSAS!$D$2:$D$324))</f>
        <v>7</v>
      </c>
      <c r="J139" s="38"/>
      <c r="K139" s="39">
        <f>SUMPRODUCT(SUMIF(SurtaxRatesSAS!$B$2:$B$324,$C139:$E139,SurtaxRatesSAS!$G$2:$G$324))</f>
        <v>327505.49</v>
      </c>
      <c r="L139" s="39">
        <f>SUMPRODUCT(SUMIF(SurtaxRatesSAS!$B$2:$B$324,$C139:$E139,SurtaxRatesSAS!$H$2:$H$324))</f>
        <v>0</v>
      </c>
      <c r="M139" s="39">
        <f>SUMPRODUCT(SUMIF(SurtaxRatesSAS!$B$2:$B$324,$C139:$E139,SurtaxRatesSAS!$I$2:$I$324))</f>
        <v>327505.49</v>
      </c>
      <c r="N139" s="38"/>
      <c r="O139" s="39" t="e">
        <f>SUMPRODUCT(SUMIF(SurtaxRatesSAS!$B$2:$B$324,$C139:$E139,SurtaxRatesSAS!$L$2:$L$324))</f>
        <v>#REF!</v>
      </c>
      <c r="P139" s="39" t="e">
        <f>SUMPRODUCT(SUMIF(SurtaxRatesSAS!$B$2:$B$324,$C139:$E139,SurtaxRatesSAS!$M$2:$M$324))</f>
        <v>#REF!</v>
      </c>
      <c r="Q139" s="39" t="e">
        <f>SUMPRODUCT(SUMIF(SurtaxRatesSAS!$B$2:$B$324,$C139:$E139,SurtaxRatesSAS!$N$2:$N$324))</f>
        <v>#REF!</v>
      </c>
      <c r="R139" s="38"/>
      <c r="S139" s="39" t="e">
        <f t="shared" si="6"/>
        <v>#REF!</v>
      </c>
      <c r="T139" s="39" t="e">
        <f t="shared" si="7"/>
        <v>#REF!</v>
      </c>
      <c r="U139" s="39" t="e">
        <f t="shared" si="8"/>
        <v>#REF!</v>
      </c>
      <c r="V139" s="29"/>
      <c r="W139" s="31" t="str">
        <f>IF(K139&gt;0,INDEX(cfo!$C$2:$I$326,MATCH(SurtaxPayment!C139,cfo!$C$2:$C$326,0),7),"")</f>
        <v>paula.schreck@hintonschool.com</v>
      </c>
      <c r="X139" s="31" t="str">
        <f>IF(IF(K139&gt;0,INDEX(cfo!$C$2:$K$326,MATCH(SurtaxPayment!C139,cfo!$C$2:$C$326,0),9),"")=0,"",IF(K139&gt;0,INDEX(cfo!$C$2:$K$326,MATCH(SurtaxPayment!C139,cfo!$C$2:$C$326,0),9),""))</f>
        <v/>
      </c>
    </row>
    <row r="140" spans="1:24" x14ac:dyDescent="0.25">
      <c r="A140" s="52">
        <v>2025</v>
      </c>
      <c r="B140" s="52" t="s">
        <v>663</v>
      </c>
      <c r="C140" s="57" t="s">
        <v>441</v>
      </c>
      <c r="D140" s="58" t="s">
        <v>693</v>
      </c>
      <c r="E140" s="58" t="s">
        <v>693</v>
      </c>
      <c r="F140" s="58" t="s">
        <v>441</v>
      </c>
      <c r="G140" s="57" t="s">
        <v>5</v>
      </c>
      <c r="H140" s="39">
        <f>SUMPRODUCT(SUMIF(SurtaxRatesSAS!$B$2:$B$324,$C140:$E140,SurtaxRatesSAS!$E$2:$E$324))</f>
        <v>1</v>
      </c>
      <c r="I140" s="39">
        <f>SUMPRODUCT(SUMIF(SurtaxRatesSAS!$B$2:$B$324,$C140:$E140,SurtaxRatesSAS!$D$2:$D$324))</f>
        <v>1</v>
      </c>
      <c r="J140" s="38"/>
      <c r="K140" s="39">
        <f>SUMPRODUCT(SUMIF(SurtaxRatesSAS!$B$2:$B$324,$C140:$E140,SurtaxRatesSAS!$G$2:$G$324))</f>
        <v>39402.959999999999</v>
      </c>
      <c r="L140" s="39">
        <f>SUMPRODUCT(SUMIF(SurtaxRatesSAS!$B$2:$B$324,$C140:$E140,SurtaxRatesSAS!$H$2:$H$324))</f>
        <v>19701.48</v>
      </c>
      <c r="M140" s="39">
        <f>SUMPRODUCT(SUMIF(SurtaxRatesSAS!$B$2:$B$324,$C140:$E140,SurtaxRatesSAS!$I$2:$I$324))</f>
        <v>19701.48</v>
      </c>
      <c r="N140" s="38"/>
      <c r="O140" s="39" t="e">
        <f>SUMPRODUCT(SUMIF(SurtaxRatesSAS!$B$2:$B$324,$C140:$E140,SurtaxRatesSAS!$L$2:$L$324))</f>
        <v>#REF!</v>
      </c>
      <c r="P140" s="39" t="e">
        <f>SUMPRODUCT(SUMIF(SurtaxRatesSAS!$B$2:$B$324,$C140:$E140,SurtaxRatesSAS!$M$2:$M$324))</f>
        <v>#REF!</v>
      </c>
      <c r="Q140" s="39" t="e">
        <f>SUMPRODUCT(SUMIF(SurtaxRatesSAS!$B$2:$B$324,$C140:$E140,SurtaxRatesSAS!$N$2:$N$324))</f>
        <v>#REF!</v>
      </c>
      <c r="R140" s="38"/>
      <c r="S140" s="39" t="e">
        <f t="shared" si="6"/>
        <v>#REF!</v>
      </c>
      <c r="T140" s="39" t="e">
        <f t="shared" si="7"/>
        <v>#REF!</v>
      </c>
      <c r="U140" s="39" t="e">
        <f t="shared" si="8"/>
        <v>#REF!</v>
      </c>
      <c r="V140" s="29"/>
      <c r="W140" s="31" t="str">
        <f>IF(K140&gt;0,INDEX(cfo!$C$2:$I$326,MATCH(SurtaxPayment!C140,cfo!$C$2:$C$326,0),7),"")</f>
        <v>lmcclenathan@hlv.k12.ia.us</v>
      </c>
      <c r="X140" s="31" t="str">
        <f>IF(IF(K140&gt;0,INDEX(cfo!$C$2:$K$326,MATCH(SurtaxPayment!C140,cfo!$C$2:$C$326,0),9),"")=0,"",IF(K140&gt;0,INDEX(cfo!$C$2:$K$326,MATCH(SurtaxPayment!C140,cfo!$C$2:$C$326,0),9),""))</f>
        <v/>
      </c>
    </row>
    <row r="141" spans="1:24" x14ac:dyDescent="0.25">
      <c r="A141" s="52">
        <v>2025</v>
      </c>
      <c r="B141" s="52" t="s">
        <v>665</v>
      </c>
      <c r="C141" s="57" t="s">
        <v>449</v>
      </c>
      <c r="D141" s="58" t="s">
        <v>693</v>
      </c>
      <c r="E141" s="58" t="s">
        <v>693</v>
      </c>
      <c r="F141" s="58" t="s">
        <v>449</v>
      </c>
      <c r="G141" s="57" t="s">
        <v>124</v>
      </c>
      <c r="H141" s="39">
        <f>SUMPRODUCT(SUMIF(SurtaxRatesSAS!$B$2:$B$324,$C141:$E141,SurtaxRatesSAS!$E$2:$E$324))</f>
        <v>3</v>
      </c>
      <c r="I141" s="39">
        <f>SUMPRODUCT(SUMIF(SurtaxRatesSAS!$B$2:$B$324,$C141:$E141,SurtaxRatesSAS!$D$2:$D$324))</f>
        <v>3</v>
      </c>
      <c r="J141" s="38"/>
      <c r="K141" s="39">
        <f>SUMPRODUCT(SUMIF(SurtaxRatesSAS!$B$2:$B$324,$C141:$E141,SurtaxRatesSAS!$G$2:$G$324))</f>
        <v>490443.29</v>
      </c>
      <c r="L141" s="39">
        <f>SUMPRODUCT(SUMIF(SurtaxRatesSAS!$B$2:$B$324,$C141:$E141,SurtaxRatesSAS!$H$2:$H$324))</f>
        <v>245221.65</v>
      </c>
      <c r="M141" s="39">
        <f>SUMPRODUCT(SUMIF(SurtaxRatesSAS!$B$2:$B$324,$C141:$E141,SurtaxRatesSAS!$I$2:$I$324))</f>
        <v>245221.63999999998</v>
      </c>
      <c r="N141" s="38"/>
      <c r="O141" s="39" t="e">
        <f>SUMPRODUCT(SUMIF(SurtaxRatesSAS!$B$2:$B$324,$C141:$E141,SurtaxRatesSAS!$L$2:$L$324))</f>
        <v>#REF!</v>
      </c>
      <c r="P141" s="39" t="e">
        <f>SUMPRODUCT(SUMIF(SurtaxRatesSAS!$B$2:$B$324,$C141:$E141,SurtaxRatesSAS!$M$2:$M$324))</f>
        <v>#REF!</v>
      </c>
      <c r="Q141" s="39" t="e">
        <f>SUMPRODUCT(SUMIF(SurtaxRatesSAS!$B$2:$B$324,$C141:$E141,SurtaxRatesSAS!$N$2:$N$324))</f>
        <v>#REF!</v>
      </c>
      <c r="R141" s="38"/>
      <c r="S141" s="39" t="e">
        <f t="shared" si="6"/>
        <v>#REF!</v>
      </c>
      <c r="T141" s="39" t="e">
        <f t="shared" si="7"/>
        <v>#REF!</v>
      </c>
      <c r="U141" s="39" t="e">
        <f t="shared" si="8"/>
        <v>#REF!</v>
      </c>
      <c r="V141" s="29"/>
      <c r="W141" s="31" t="str">
        <f>IF(K141&gt;0,INDEX(cfo!$C$2:$I$326,MATCH(SurtaxPayment!C141,cfo!$C$2:$C$326,0),7),"")</f>
        <v>rlane@howard-winn.k12.ia.us</v>
      </c>
      <c r="X141" s="31" t="str">
        <f>IF(IF(K141&gt;0,INDEX(cfo!$C$2:$K$326,MATCH(SurtaxPayment!C141,cfo!$C$2:$C$326,0),9),"")=0,"",IF(K141&gt;0,INDEX(cfo!$C$2:$K$326,MATCH(SurtaxPayment!C141,cfo!$C$2:$C$326,0),9),""))</f>
        <v/>
      </c>
    </row>
    <row r="142" spans="1:24" x14ac:dyDescent="0.25">
      <c r="A142" s="52">
        <v>2025</v>
      </c>
      <c r="B142" s="52" t="s">
        <v>658</v>
      </c>
      <c r="C142" s="57" t="s">
        <v>450</v>
      </c>
      <c r="D142" s="58" t="s">
        <v>693</v>
      </c>
      <c r="E142" s="58" t="s">
        <v>693</v>
      </c>
      <c r="F142" s="58" t="s">
        <v>450</v>
      </c>
      <c r="G142" s="57" t="s">
        <v>714</v>
      </c>
      <c r="H142" s="39">
        <f>SUMPRODUCT(SUMIF(SurtaxRatesSAS!$B$2:$B$324,$C142:$E142,SurtaxRatesSAS!$E$2:$E$324))</f>
        <v>0</v>
      </c>
      <c r="I142" s="39">
        <f>SUMPRODUCT(SUMIF(SurtaxRatesSAS!$B$2:$B$324,$C142:$E142,SurtaxRatesSAS!$D$2:$D$324))</f>
        <v>0</v>
      </c>
      <c r="J142" s="38"/>
      <c r="K142" s="39">
        <f>SUMPRODUCT(SUMIF(SurtaxRatesSAS!$B$2:$B$324,$C142:$E142,SurtaxRatesSAS!$G$2:$G$324))</f>
        <v>0</v>
      </c>
      <c r="L142" s="39">
        <f>SUMPRODUCT(SUMIF(SurtaxRatesSAS!$B$2:$B$324,$C142:$E142,SurtaxRatesSAS!$H$2:$H$324))</f>
        <v>0</v>
      </c>
      <c r="M142" s="39">
        <f>SUMPRODUCT(SUMIF(SurtaxRatesSAS!$B$2:$B$324,$C142:$E142,SurtaxRatesSAS!$I$2:$I$324))</f>
        <v>0</v>
      </c>
      <c r="N142" s="38"/>
      <c r="O142" s="39">
        <f>SUMPRODUCT(SUMIF(SurtaxRatesSAS!$B$2:$B$324,$C142:$E142,SurtaxRatesSAS!$L$2:$L$324))</f>
        <v>0</v>
      </c>
      <c r="P142" s="39">
        <f>SUMPRODUCT(SUMIF(SurtaxRatesSAS!$B$2:$B$324,$C142:$E142,SurtaxRatesSAS!$M$2:$M$324))</f>
        <v>0</v>
      </c>
      <c r="Q142" s="39">
        <f>SUMPRODUCT(SUMIF(SurtaxRatesSAS!$B$2:$B$324,$C142:$E142,SurtaxRatesSAS!$N$2:$N$324))</f>
        <v>0</v>
      </c>
      <c r="R142" s="38"/>
      <c r="S142" s="39">
        <f t="shared" si="6"/>
        <v>0</v>
      </c>
      <c r="T142" s="39">
        <f t="shared" si="7"/>
        <v>0</v>
      </c>
      <c r="U142" s="39">
        <f t="shared" si="8"/>
        <v>0</v>
      </c>
      <c r="V142" s="29"/>
      <c r="W142" s="31" t="str">
        <f>IF(K142&gt;0,INDEX(cfo!$C$2:$I$326,MATCH(SurtaxPayment!C142,cfo!$C$2:$C$326,0),7),"")</f>
        <v/>
      </c>
      <c r="X142" s="31" t="str">
        <f>IF(IF(K142&gt;0,INDEX(cfo!$C$2:$K$326,MATCH(SurtaxPayment!C142,cfo!$C$2:$C$326,0),9),"")=0,"",IF(K142&gt;0,INDEX(cfo!$C$2:$K$326,MATCH(SurtaxPayment!C142,cfo!$C$2:$C$326,0),9),""))</f>
        <v/>
      </c>
    </row>
    <row r="143" spans="1:24" x14ac:dyDescent="0.25">
      <c r="A143" s="52">
        <v>2025</v>
      </c>
      <c r="B143" s="52" t="s">
        <v>658</v>
      </c>
      <c r="C143" s="57" t="s">
        <v>451</v>
      </c>
      <c r="D143" s="58" t="s">
        <v>693</v>
      </c>
      <c r="E143" s="58" t="s">
        <v>693</v>
      </c>
      <c r="F143" s="58" t="s">
        <v>451</v>
      </c>
      <c r="G143" s="57" t="s">
        <v>125</v>
      </c>
      <c r="H143" s="39">
        <f>SUMPRODUCT(SUMIF(SurtaxRatesSAS!$B$2:$B$324,$C143:$E143,SurtaxRatesSAS!$E$2:$E$324))</f>
        <v>0</v>
      </c>
      <c r="I143" s="39">
        <f>SUMPRODUCT(SUMIF(SurtaxRatesSAS!$B$2:$B$324,$C143:$E143,SurtaxRatesSAS!$D$2:$D$324))</f>
        <v>2</v>
      </c>
      <c r="J143" s="38"/>
      <c r="K143" s="39">
        <f>SUMPRODUCT(SUMIF(SurtaxRatesSAS!$B$2:$B$324,$C143:$E143,SurtaxRatesSAS!$G$2:$G$324))</f>
        <v>105716.89</v>
      </c>
      <c r="L143" s="39">
        <f>SUMPRODUCT(SUMIF(SurtaxRatesSAS!$B$2:$B$324,$C143:$E143,SurtaxRatesSAS!$H$2:$H$324))</f>
        <v>0</v>
      </c>
      <c r="M143" s="39">
        <f>SUMPRODUCT(SUMIF(SurtaxRatesSAS!$B$2:$B$324,$C143:$E143,SurtaxRatesSAS!$I$2:$I$324))</f>
        <v>105716.89</v>
      </c>
      <c r="N143" s="38"/>
      <c r="O143" s="39" t="e">
        <f>SUMPRODUCT(SUMIF(SurtaxRatesSAS!$B$2:$B$324,$C143:$E143,SurtaxRatesSAS!$L$2:$L$324))</f>
        <v>#REF!</v>
      </c>
      <c r="P143" s="39" t="e">
        <f>SUMPRODUCT(SUMIF(SurtaxRatesSAS!$B$2:$B$324,$C143:$E143,SurtaxRatesSAS!$M$2:$M$324))</f>
        <v>#REF!</v>
      </c>
      <c r="Q143" s="39" t="e">
        <f>SUMPRODUCT(SUMIF(SurtaxRatesSAS!$B$2:$B$324,$C143:$E143,SurtaxRatesSAS!$N$2:$N$324))</f>
        <v>#REF!</v>
      </c>
      <c r="R143" s="38"/>
      <c r="S143" s="39" t="e">
        <f t="shared" si="6"/>
        <v>#REF!</v>
      </c>
      <c r="T143" s="39" t="e">
        <f t="shared" si="7"/>
        <v>#REF!</v>
      </c>
      <c r="U143" s="39" t="e">
        <f t="shared" si="8"/>
        <v>#REF!</v>
      </c>
      <c r="V143" s="29"/>
      <c r="W143" s="31" t="str">
        <f>IF(K143&gt;0,INDEX(cfo!$C$2:$I$326,MATCH(SurtaxPayment!C143,cfo!$C$2:$C$326,0),7),"")</f>
        <v>chadwagner@hudschools.org</v>
      </c>
      <c r="X143" s="31" t="str">
        <f>IF(IF(K143&gt;0,INDEX(cfo!$C$2:$K$326,MATCH(SurtaxPayment!C143,cfo!$C$2:$C$326,0),9),"")=0,"",IF(K143&gt;0,INDEX(cfo!$C$2:$K$326,MATCH(SurtaxPayment!C143,cfo!$C$2:$C$326,0),9),""))</f>
        <v/>
      </c>
    </row>
    <row r="144" spans="1:24" x14ac:dyDescent="0.25">
      <c r="A144" s="52">
        <v>2025</v>
      </c>
      <c r="B144" s="52" t="s">
        <v>661</v>
      </c>
      <c r="C144" s="57" t="s">
        <v>452</v>
      </c>
      <c r="D144" s="58" t="s">
        <v>693</v>
      </c>
      <c r="E144" s="58" t="s">
        <v>693</v>
      </c>
      <c r="F144" s="58" t="s">
        <v>452</v>
      </c>
      <c r="G144" s="57" t="s">
        <v>126</v>
      </c>
      <c r="H144" s="39">
        <f>SUMPRODUCT(SUMIF(SurtaxRatesSAS!$B$2:$B$324,$C144:$E144,SurtaxRatesSAS!$E$2:$E$324))</f>
        <v>0</v>
      </c>
      <c r="I144" s="39">
        <f>SUMPRODUCT(SUMIF(SurtaxRatesSAS!$B$2:$B$324,$C144:$E144,SurtaxRatesSAS!$D$2:$D$324))</f>
        <v>2</v>
      </c>
      <c r="J144" s="38"/>
      <c r="K144" s="39">
        <f>SUMPRODUCT(SUMIF(SurtaxRatesSAS!$B$2:$B$324,$C144:$E144,SurtaxRatesSAS!$G$2:$G$324))</f>
        <v>211422.33</v>
      </c>
      <c r="L144" s="39">
        <f>SUMPRODUCT(SUMIF(SurtaxRatesSAS!$B$2:$B$324,$C144:$E144,SurtaxRatesSAS!$H$2:$H$324))</f>
        <v>0</v>
      </c>
      <c r="M144" s="39">
        <f>SUMPRODUCT(SUMIF(SurtaxRatesSAS!$B$2:$B$324,$C144:$E144,SurtaxRatesSAS!$I$2:$I$324))</f>
        <v>211422.33</v>
      </c>
      <c r="N144" s="38"/>
      <c r="O144" s="39" t="e">
        <f>SUMPRODUCT(SUMIF(SurtaxRatesSAS!$B$2:$B$324,$C144:$E144,SurtaxRatesSAS!$L$2:$L$324))</f>
        <v>#REF!</v>
      </c>
      <c r="P144" s="39" t="e">
        <f>SUMPRODUCT(SUMIF(SurtaxRatesSAS!$B$2:$B$324,$C144:$E144,SurtaxRatesSAS!$M$2:$M$324))</f>
        <v>#REF!</v>
      </c>
      <c r="Q144" s="39" t="e">
        <f>SUMPRODUCT(SUMIF(SurtaxRatesSAS!$B$2:$B$324,$C144:$E144,SurtaxRatesSAS!$N$2:$N$324))</f>
        <v>#REF!</v>
      </c>
      <c r="R144" s="38"/>
      <c r="S144" s="39" t="e">
        <f t="shared" si="6"/>
        <v>#REF!</v>
      </c>
      <c r="T144" s="39" t="e">
        <f t="shared" si="7"/>
        <v>#REF!</v>
      </c>
      <c r="U144" s="39" t="e">
        <f t="shared" si="8"/>
        <v>#REF!</v>
      </c>
      <c r="V144" s="29"/>
      <c r="W144" s="31" t="str">
        <f>IF(K144&gt;0,INDEX(cfo!$C$2:$I$326,MATCH(SurtaxPayment!C144,cfo!$C$2:$C$326,0),7),"")</f>
        <v>lthul@humboldt.k12.ia.us</v>
      </c>
      <c r="X144" s="31" t="str">
        <f>IF(IF(K144&gt;0,INDEX(cfo!$C$2:$K$326,MATCH(SurtaxPayment!C144,cfo!$C$2:$C$326,0),9),"")=0,"",IF(K144&gt;0,INDEX(cfo!$C$2:$K$326,MATCH(SurtaxPayment!C144,cfo!$C$2:$C$326,0),9),""))</f>
        <v/>
      </c>
    </row>
    <row r="145" spans="1:24" x14ac:dyDescent="0.25">
      <c r="A145" s="52">
        <v>2025</v>
      </c>
      <c r="B145" s="52" t="s">
        <v>659</v>
      </c>
      <c r="C145" s="57" t="s">
        <v>459</v>
      </c>
      <c r="D145" s="58" t="s">
        <v>693</v>
      </c>
      <c r="E145" s="58" t="s">
        <v>693</v>
      </c>
      <c r="F145" s="58" t="s">
        <v>459</v>
      </c>
      <c r="G145" s="57" t="s">
        <v>127</v>
      </c>
      <c r="H145" s="39">
        <f>SUMPRODUCT(SUMIF(SurtaxRatesSAS!$B$2:$B$324,$C145:$E145,SurtaxRatesSAS!$E$2:$E$324))</f>
        <v>1</v>
      </c>
      <c r="I145" s="39">
        <f>SUMPRODUCT(SUMIF(SurtaxRatesSAS!$B$2:$B$324,$C145:$E145,SurtaxRatesSAS!$D$2:$D$324))</f>
        <v>4</v>
      </c>
      <c r="J145" s="38"/>
      <c r="K145" s="39">
        <f>SUMPRODUCT(SUMIF(SurtaxRatesSAS!$B$2:$B$324,$C145:$E145,SurtaxRatesSAS!$G$2:$G$324))</f>
        <v>216163.9</v>
      </c>
      <c r="L145" s="39">
        <f>SUMPRODUCT(SUMIF(SurtaxRatesSAS!$B$2:$B$324,$C145:$E145,SurtaxRatesSAS!$H$2:$H$324))</f>
        <v>43232.78</v>
      </c>
      <c r="M145" s="39">
        <f>SUMPRODUCT(SUMIF(SurtaxRatesSAS!$B$2:$B$324,$C145:$E145,SurtaxRatesSAS!$I$2:$I$324))</f>
        <v>172931.12</v>
      </c>
      <c r="N145" s="38"/>
      <c r="O145" s="39" t="e">
        <f>SUMPRODUCT(SUMIF(SurtaxRatesSAS!$B$2:$B$324,$C145:$E145,SurtaxRatesSAS!$L$2:$L$324))</f>
        <v>#REF!</v>
      </c>
      <c r="P145" s="39" t="e">
        <f>SUMPRODUCT(SUMIF(SurtaxRatesSAS!$B$2:$B$324,$C145:$E145,SurtaxRatesSAS!$M$2:$M$324))</f>
        <v>#REF!</v>
      </c>
      <c r="Q145" s="39" t="e">
        <f>SUMPRODUCT(SUMIF(SurtaxRatesSAS!$B$2:$B$324,$C145:$E145,SurtaxRatesSAS!$N$2:$N$324))</f>
        <v>#REF!</v>
      </c>
      <c r="R145" s="38"/>
      <c r="S145" s="39" t="e">
        <f t="shared" si="6"/>
        <v>#REF!</v>
      </c>
      <c r="T145" s="39" t="e">
        <f t="shared" si="7"/>
        <v>#REF!</v>
      </c>
      <c r="U145" s="39" t="e">
        <f t="shared" si="8"/>
        <v>#REF!</v>
      </c>
      <c r="V145" s="29"/>
      <c r="W145" s="31" t="str">
        <f>IF(K145&gt;0,INDEX(cfo!$C$2:$I$326,MATCH(SurtaxPayment!C145,cfo!$C$2:$C$326,0),7),"")</f>
        <v>bgubbels@ikm-manning.k12.ia.us</v>
      </c>
      <c r="X145" s="31" t="str">
        <f>IF(IF(K145&gt;0,INDEX(cfo!$C$2:$K$326,MATCH(SurtaxPayment!C145,cfo!$C$2:$C$326,0),9),"")=0,"",IF(K145&gt;0,INDEX(cfo!$C$2:$K$326,MATCH(SurtaxPayment!C145,cfo!$C$2:$C$326,0),9),""))</f>
        <v/>
      </c>
    </row>
    <row r="146" spans="1:24" x14ac:dyDescent="0.25">
      <c r="A146" s="52">
        <v>2025</v>
      </c>
      <c r="B146" s="52" t="s">
        <v>658</v>
      </c>
      <c r="C146" s="57" t="s">
        <v>453</v>
      </c>
      <c r="D146" s="58" t="s">
        <v>693</v>
      </c>
      <c r="E146" s="58" t="s">
        <v>693</v>
      </c>
      <c r="F146" s="58" t="s">
        <v>453</v>
      </c>
      <c r="G146" s="57" t="s">
        <v>128</v>
      </c>
      <c r="H146" s="39">
        <f>SUMPRODUCT(SUMIF(SurtaxRatesSAS!$B$2:$B$324,$C146:$E146,SurtaxRatesSAS!$E$2:$E$324))</f>
        <v>0</v>
      </c>
      <c r="I146" s="39">
        <f>SUMPRODUCT(SUMIF(SurtaxRatesSAS!$B$2:$B$324,$C146:$E146,SurtaxRatesSAS!$D$2:$D$324))</f>
        <v>6</v>
      </c>
      <c r="J146" s="38"/>
      <c r="K146" s="39">
        <f>SUMPRODUCT(SUMIF(SurtaxRatesSAS!$B$2:$B$324,$C146:$E146,SurtaxRatesSAS!$G$2:$G$324))</f>
        <v>627241.93000000005</v>
      </c>
      <c r="L146" s="39">
        <f>SUMPRODUCT(SUMIF(SurtaxRatesSAS!$B$2:$B$324,$C146:$E146,SurtaxRatesSAS!$H$2:$H$324))</f>
        <v>0</v>
      </c>
      <c r="M146" s="39">
        <f>SUMPRODUCT(SUMIF(SurtaxRatesSAS!$B$2:$B$324,$C146:$E146,SurtaxRatesSAS!$I$2:$I$324))</f>
        <v>627241.93000000005</v>
      </c>
      <c r="N146" s="38"/>
      <c r="O146" s="39" t="e">
        <f>SUMPRODUCT(SUMIF(SurtaxRatesSAS!$B$2:$B$324,$C146:$E146,SurtaxRatesSAS!$L$2:$L$324))</f>
        <v>#REF!</v>
      </c>
      <c r="P146" s="39" t="e">
        <f>SUMPRODUCT(SUMIF(SurtaxRatesSAS!$B$2:$B$324,$C146:$E146,SurtaxRatesSAS!$M$2:$M$324))</f>
        <v>#REF!</v>
      </c>
      <c r="Q146" s="39" t="e">
        <f>SUMPRODUCT(SUMIF(SurtaxRatesSAS!$B$2:$B$324,$C146:$E146,SurtaxRatesSAS!$N$2:$N$324))</f>
        <v>#REF!</v>
      </c>
      <c r="R146" s="38"/>
      <c r="S146" s="39" t="e">
        <f t="shared" si="6"/>
        <v>#REF!</v>
      </c>
      <c r="T146" s="39" t="e">
        <f t="shared" si="7"/>
        <v>#REF!</v>
      </c>
      <c r="U146" s="39" t="e">
        <f t="shared" si="8"/>
        <v>#REF!</v>
      </c>
      <c r="V146" s="29"/>
      <c r="W146" s="31" t="str">
        <f>IF(K146&gt;0,INDEX(cfo!$C$2:$I$326,MATCH(SurtaxPayment!C146,cfo!$C$2:$C$326,0),7),"")</f>
        <v>jgrafft@indeek12.org</v>
      </c>
      <c r="X146" s="31" t="str">
        <f>IF(IF(K146&gt;0,INDEX(cfo!$C$2:$K$326,MATCH(SurtaxPayment!C146,cfo!$C$2:$C$326,0),9),"")=0,"",IF(K146&gt;0,INDEX(cfo!$C$2:$K$326,MATCH(SurtaxPayment!C146,cfo!$C$2:$C$326,0),9),""))</f>
        <v>jgrafft@indeek12.org</v>
      </c>
    </row>
    <row r="147" spans="1:24" x14ac:dyDescent="0.25">
      <c r="A147" s="52">
        <v>2025</v>
      </c>
      <c r="B147" s="52" t="s">
        <v>657</v>
      </c>
      <c r="C147" s="57" t="s">
        <v>454</v>
      </c>
      <c r="D147" s="58" t="s">
        <v>693</v>
      </c>
      <c r="E147" s="58" t="s">
        <v>693</v>
      </c>
      <c r="F147" s="58" t="s">
        <v>454</v>
      </c>
      <c r="G147" s="57" t="s">
        <v>129</v>
      </c>
      <c r="H147" s="39">
        <f>SUMPRODUCT(SUMIF(SurtaxRatesSAS!$B$2:$B$324,$C147:$E147,SurtaxRatesSAS!$E$2:$E$324))</f>
        <v>0</v>
      </c>
      <c r="I147" s="39">
        <f>SUMPRODUCT(SUMIF(SurtaxRatesSAS!$B$2:$B$324,$C147:$E147,SurtaxRatesSAS!$D$2:$D$324))</f>
        <v>5</v>
      </c>
      <c r="J147" s="38"/>
      <c r="K147" s="39">
        <f>SUMPRODUCT(SUMIF(SurtaxRatesSAS!$B$2:$B$324,$C147:$E147,SurtaxRatesSAS!$G$2:$G$324))</f>
        <v>1373915.68</v>
      </c>
      <c r="L147" s="39">
        <f>SUMPRODUCT(SUMIF(SurtaxRatesSAS!$B$2:$B$324,$C147:$E147,SurtaxRatesSAS!$H$2:$H$324))</f>
        <v>0</v>
      </c>
      <c r="M147" s="39">
        <f>SUMPRODUCT(SUMIF(SurtaxRatesSAS!$B$2:$B$324,$C147:$E147,SurtaxRatesSAS!$I$2:$I$324))</f>
        <v>1373915.68</v>
      </c>
      <c r="N147" s="38"/>
      <c r="O147" s="39" t="e">
        <f>SUMPRODUCT(SUMIF(SurtaxRatesSAS!$B$2:$B$324,$C147:$E147,SurtaxRatesSAS!$L$2:$L$324))</f>
        <v>#REF!</v>
      </c>
      <c r="P147" s="39" t="e">
        <f>SUMPRODUCT(SUMIF(SurtaxRatesSAS!$B$2:$B$324,$C147:$E147,SurtaxRatesSAS!$M$2:$M$324))</f>
        <v>#REF!</v>
      </c>
      <c r="Q147" s="39" t="e">
        <f>SUMPRODUCT(SUMIF(SurtaxRatesSAS!$B$2:$B$324,$C147:$E147,SurtaxRatesSAS!$N$2:$N$324))</f>
        <v>#REF!</v>
      </c>
      <c r="R147" s="38"/>
      <c r="S147" s="39" t="e">
        <f t="shared" si="6"/>
        <v>#REF!</v>
      </c>
      <c r="T147" s="39" t="e">
        <f t="shared" si="7"/>
        <v>#REF!</v>
      </c>
      <c r="U147" s="39" t="e">
        <f t="shared" si="8"/>
        <v>#REF!</v>
      </c>
      <c r="V147" s="29"/>
      <c r="W147" s="31" t="str">
        <f>IF(K147&gt;0,INDEX(cfo!$C$2:$I$326,MATCH(SurtaxPayment!C147,cfo!$C$2:$C$326,0),7),"")</f>
        <v>chad.vink@indianola.k12.ia.us</v>
      </c>
      <c r="X147" s="31" t="str">
        <f>IF(IF(K147&gt;0,INDEX(cfo!$C$2:$K$326,MATCH(SurtaxPayment!C147,cfo!$C$2:$C$326,0),9),"")=0,"",IF(K147&gt;0,INDEX(cfo!$C$2:$K$326,MATCH(SurtaxPayment!C147,cfo!$C$2:$C$326,0),9),""))</f>
        <v/>
      </c>
    </row>
    <row r="148" spans="1:24" x14ac:dyDescent="0.25">
      <c r="A148" s="52">
        <v>2025</v>
      </c>
      <c r="B148" s="52" t="s">
        <v>657</v>
      </c>
      <c r="C148" s="57" t="s">
        <v>455</v>
      </c>
      <c r="D148" s="58" t="s">
        <v>693</v>
      </c>
      <c r="E148" s="58" t="s">
        <v>693</v>
      </c>
      <c r="F148" s="58" t="s">
        <v>455</v>
      </c>
      <c r="G148" s="57" t="s">
        <v>715</v>
      </c>
      <c r="H148" s="39">
        <f>SUMPRODUCT(SUMIF(SurtaxRatesSAS!$B$2:$B$324,$C148:$E148,SurtaxRatesSAS!$E$2:$E$324))</f>
        <v>0</v>
      </c>
      <c r="I148" s="39">
        <f>SUMPRODUCT(SUMIF(SurtaxRatesSAS!$B$2:$B$324,$C148:$E148,SurtaxRatesSAS!$D$2:$D$324))</f>
        <v>0</v>
      </c>
      <c r="J148" s="38"/>
      <c r="K148" s="39">
        <f>SUMPRODUCT(SUMIF(SurtaxRatesSAS!$B$2:$B$324,$C148:$E148,SurtaxRatesSAS!$G$2:$G$324))</f>
        <v>0</v>
      </c>
      <c r="L148" s="39">
        <f>SUMPRODUCT(SUMIF(SurtaxRatesSAS!$B$2:$B$324,$C148:$E148,SurtaxRatesSAS!$H$2:$H$324))</f>
        <v>0</v>
      </c>
      <c r="M148" s="39">
        <f>SUMPRODUCT(SUMIF(SurtaxRatesSAS!$B$2:$B$324,$C148:$E148,SurtaxRatesSAS!$I$2:$I$324))</f>
        <v>0</v>
      </c>
      <c r="N148" s="38"/>
      <c r="O148" s="39">
        <f>SUMPRODUCT(SUMIF(SurtaxRatesSAS!$B$2:$B$324,$C148:$E148,SurtaxRatesSAS!$L$2:$L$324))</f>
        <v>0</v>
      </c>
      <c r="P148" s="39">
        <f>SUMPRODUCT(SUMIF(SurtaxRatesSAS!$B$2:$B$324,$C148:$E148,SurtaxRatesSAS!$M$2:$M$324))</f>
        <v>0</v>
      </c>
      <c r="Q148" s="39">
        <f>SUMPRODUCT(SUMIF(SurtaxRatesSAS!$B$2:$B$324,$C148:$E148,SurtaxRatesSAS!$N$2:$N$324))</f>
        <v>0</v>
      </c>
      <c r="R148" s="38"/>
      <c r="S148" s="39">
        <f t="shared" si="6"/>
        <v>0</v>
      </c>
      <c r="T148" s="39">
        <f t="shared" si="7"/>
        <v>0</v>
      </c>
      <c r="U148" s="39">
        <f t="shared" si="8"/>
        <v>0</v>
      </c>
      <c r="V148" s="29"/>
      <c r="W148" s="31" t="str">
        <f>IF(K148&gt;0,INDEX(cfo!$C$2:$I$326,MATCH(SurtaxPayment!C148,cfo!$C$2:$C$326,0),7),"")</f>
        <v/>
      </c>
      <c r="X148" s="31" t="str">
        <f>IF(IF(K148&gt;0,INDEX(cfo!$C$2:$K$326,MATCH(SurtaxPayment!C148,cfo!$C$2:$C$326,0),9),"")=0,"",IF(K148&gt;0,INDEX(cfo!$C$2:$K$326,MATCH(SurtaxPayment!C148,cfo!$C$2:$C$326,0),9),""))</f>
        <v/>
      </c>
    </row>
    <row r="149" spans="1:24" x14ac:dyDescent="0.25">
      <c r="A149" s="52">
        <v>2025</v>
      </c>
      <c r="B149" s="52" t="s">
        <v>663</v>
      </c>
      <c r="C149" s="57" t="s">
        <v>456</v>
      </c>
      <c r="D149" s="58" t="s">
        <v>693</v>
      </c>
      <c r="E149" s="58" t="s">
        <v>693</v>
      </c>
      <c r="F149" s="58" t="s">
        <v>456</v>
      </c>
      <c r="G149" s="57" t="s">
        <v>130</v>
      </c>
      <c r="H149" s="39">
        <f>SUMPRODUCT(SUMIF(SurtaxRatesSAS!$B$2:$B$324,$C149:$E149,SurtaxRatesSAS!$E$2:$E$324))</f>
        <v>0</v>
      </c>
      <c r="I149" s="39">
        <f>SUMPRODUCT(SUMIF(SurtaxRatesSAS!$B$2:$B$324,$C149:$E149,SurtaxRatesSAS!$D$2:$D$324))</f>
        <v>4</v>
      </c>
      <c r="J149" s="38"/>
      <c r="K149" s="39">
        <f>SUMPRODUCT(SUMIF(SurtaxRatesSAS!$B$2:$B$324,$C149:$E149,SurtaxRatesSAS!$G$2:$G$324))</f>
        <v>6729556.96</v>
      </c>
      <c r="L149" s="39">
        <f>SUMPRODUCT(SUMIF(SurtaxRatesSAS!$B$2:$B$324,$C149:$E149,SurtaxRatesSAS!$H$2:$H$324))</f>
        <v>0</v>
      </c>
      <c r="M149" s="39">
        <f>SUMPRODUCT(SUMIF(SurtaxRatesSAS!$B$2:$B$324,$C149:$E149,SurtaxRatesSAS!$I$2:$I$324))</f>
        <v>6729556.96</v>
      </c>
      <c r="N149" s="38"/>
      <c r="O149" s="39" t="e">
        <f>SUMPRODUCT(SUMIF(SurtaxRatesSAS!$B$2:$B$324,$C149:$E149,SurtaxRatesSAS!$L$2:$L$324))</f>
        <v>#REF!</v>
      </c>
      <c r="P149" s="39" t="e">
        <f>SUMPRODUCT(SUMIF(SurtaxRatesSAS!$B$2:$B$324,$C149:$E149,SurtaxRatesSAS!$M$2:$M$324))</f>
        <v>#REF!</v>
      </c>
      <c r="Q149" s="39" t="e">
        <f>SUMPRODUCT(SUMIF(SurtaxRatesSAS!$B$2:$B$324,$C149:$E149,SurtaxRatesSAS!$N$2:$N$324))</f>
        <v>#REF!</v>
      </c>
      <c r="R149" s="38"/>
      <c r="S149" s="39" t="e">
        <f t="shared" si="6"/>
        <v>#REF!</v>
      </c>
      <c r="T149" s="39" t="e">
        <f t="shared" si="7"/>
        <v>#REF!</v>
      </c>
      <c r="U149" s="39" t="e">
        <f t="shared" si="8"/>
        <v>#REF!</v>
      </c>
      <c r="V149" s="29"/>
      <c r="W149" s="31" t="str">
        <f>IF(K149&gt;0,INDEX(cfo!$C$2:$I$326,MATCH(SurtaxPayment!C149,cfo!$C$2:$C$326,0),7),"")</f>
        <v>detra.lyndsee@iowacityschools.org</v>
      </c>
      <c r="X149" s="31" t="str">
        <f>IF(IF(K149&gt;0,INDEX(cfo!$C$2:$K$326,MATCH(SurtaxPayment!C149,cfo!$C$2:$C$326,0),9),"")=0,"",IF(K149&gt;0,INDEX(cfo!$C$2:$K$326,MATCH(SurtaxPayment!C149,cfo!$C$2:$C$326,0),9),""))</f>
        <v>kurth.adam@iccsd.k12.ia.us</v>
      </c>
    </row>
    <row r="150" spans="1:24" x14ac:dyDescent="0.25">
      <c r="A150" s="52">
        <v>2025</v>
      </c>
      <c r="B150" s="52" t="s">
        <v>658</v>
      </c>
      <c r="C150" s="57" t="s">
        <v>457</v>
      </c>
      <c r="D150" s="58" t="s">
        <v>693</v>
      </c>
      <c r="E150" s="58" t="s">
        <v>693</v>
      </c>
      <c r="F150" s="58" t="s">
        <v>457</v>
      </c>
      <c r="G150" s="57" t="s">
        <v>131</v>
      </c>
      <c r="H150" s="39">
        <f>SUMPRODUCT(SUMIF(SurtaxRatesSAS!$B$2:$B$324,$C150:$E150,SurtaxRatesSAS!$E$2:$E$324))</f>
        <v>0</v>
      </c>
      <c r="I150" s="39">
        <f>SUMPRODUCT(SUMIF(SurtaxRatesSAS!$B$2:$B$324,$C150:$E150,SurtaxRatesSAS!$D$2:$D$324))</f>
        <v>7</v>
      </c>
      <c r="J150" s="38"/>
      <c r="K150" s="39">
        <f>SUMPRODUCT(SUMIF(SurtaxRatesSAS!$B$2:$B$324,$C150:$E150,SurtaxRatesSAS!$G$2:$G$324))</f>
        <v>448366.33</v>
      </c>
      <c r="L150" s="39">
        <f>SUMPRODUCT(SUMIF(SurtaxRatesSAS!$B$2:$B$324,$C150:$E150,SurtaxRatesSAS!$H$2:$H$324))</f>
        <v>0</v>
      </c>
      <c r="M150" s="39">
        <f>SUMPRODUCT(SUMIF(SurtaxRatesSAS!$B$2:$B$324,$C150:$E150,SurtaxRatesSAS!$I$2:$I$324))</f>
        <v>448366.33</v>
      </c>
      <c r="N150" s="38"/>
      <c r="O150" s="39" t="e">
        <f>SUMPRODUCT(SUMIF(SurtaxRatesSAS!$B$2:$B$324,$C150:$E150,SurtaxRatesSAS!$L$2:$L$324))</f>
        <v>#REF!</v>
      </c>
      <c r="P150" s="39" t="e">
        <f>SUMPRODUCT(SUMIF(SurtaxRatesSAS!$B$2:$B$324,$C150:$E150,SurtaxRatesSAS!$M$2:$M$324))</f>
        <v>#REF!</v>
      </c>
      <c r="Q150" s="39" t="e">
        <f>SUMPRODUCT(SUMIF(SurtaxRatesSAS!$B$2:$B$324,$C150:$E150,SurtaxRatesSAS!$N$2:$N$324))</f>
        <v>#REF!</v>
      </c>
      <c r="R150" s="38"/>
      <c r="S150" s="39" t="e">
        <f t="shared" si="6"/>
        <v>#REF!</v>
      </c>
      <c r="T150" s="39" t="e">
        <f t="shared" si="7"/>
        <v>#REF!</v>
      </c>
      <c r="U150" s="39" t="e">
        <f t="shared" si="8"/>
        <v>#REF!</v>
      </c>
      <c r="V150" s="29"/>
      <c r="W150" s="31" t="str">
        <f>IF(K150&gt;0,INDEX(cfo!$C$2:$I$326,MATCH(SurtaxPayment!C150,cfo!$C$2:$C$326,0),7),"")</f>
        <v>bmcneil@ifacadets.net</v>
      </c>
      <c r="X150" s="31" t="str">
        <f>IF(IF(K150&gt;0,INDEX(cfo!$C$2:$K$326,MATCH(SurtaxPayment!C150,cfo!$C$2:$C$326,0),9),"")=0,"",IF(K150&gt;0,INDEX(cfo!$C$2:$K$326,MATCH(SurtaxPayment!C150,cfo!$C$2:$C$326,0),9),""))</f>
        <v/>
      </c>
    </row>
    <row r="151" spans="1:24" x14ac:dyDescent="0.25">
      <c r="A151" s="52">
        <v>2025</v>
      </c>
      <c r="B151" s="52" t="s">
        <v>663</v>
      </c>
      <c r="C151" s="57" t="s">
        <v>458</v>
      </c>
      <c r="D151" s="58" t="s">
        <v>693</v>
      </c>
      <c r="E151" s="58" t="s">
        <v>693</v>
      </c>
      <c r="F151" s="58" t="s">
        <v>458</v>
      </c>
      <c r="G151" s="57" t="s">
        <v>132</v>
      </c>
      <c r="H151" s="39">
        <f>SUMPRODUCT(SUMIF(SurtaxRatesSAS!$B$2:$B$324,$C151:$E151,SurtaxRatesSAS!$E$2:$E$324))</f>
        <v>6</v>
      </c>
      <c r="I151" s="39">
        <f>SUMPRODUCT(SUMIF(SurtaxRatesSAS!$B$2:$B$324,$C151:$E151,SurtaxRatesSAS!$D$2:$D$324))</f>
        <v>6</v>
      </c>
      <c r="J151" s="38"/>
      <c r="K151" s="39">
        <f>SUMPRODUCT(SUMIF(SurtaxRatesSAS!$B$2:$B$324,$C151:$E151,SurtaxRatesSAS!$G$2:$G$324))</f>
        <v>432147.32</v>
      </c>
      <c r="L151" s="39">
        <f>SUMPRODUCT(SUMIF(SurtaxRatesSAS!$B$2:$B$324,$C151:$E151,SurtaxRatesSAS!$H$2:$H$324))</f>
        <v>216073.66</v>
      </c>
      <c r="M151" s="39">
        <f>SUMPRODUCT(SUMIF(SurtaxRatesSAS!$B$2:$B$324,$C151:$E151,SurtaxRatesSAS!$I$2:$I$324))</f>
        <v>216073.66</v>
      </c>
      <c r="N151" s="38"/>
      <c r="O151" s="39" t="e">
        <f>SUMPRODUCT(SUMIF(SurtaxRatesSAS!$B$2:$B$324,$C151:$E151,SurtaxRatesSAS!$L$2:$L$324))</f>
        <v>#REF!</v>
      </c>
      <c r="P151" s="39" t="e">
        <f>SUMPRODUCT(SUMIF(SurtaxRatesSAS!$B$2:$B$324,$C151:$E151,SurtaxRatesSAS!$M$2:$M$324))</f>
        <v>#REF!</v>
      </c>
      <c r="Q151" s="39" t="e">
        <f>SUMPRODUCT(SUMIF(SurtaxRatesSAS!$B$2:$B$324,$C151:$E151,SurtaxRatesSAS!$N$2:$N$324))</f>
        <v>#REF!</v>
      </c>
      <c r="R151" s="38"/>
      <c r="S151" s="39" t="e">
        <f t="shared" si="6"/>
        <v>#REF!</v>
      </c>
      <c r="T151" s="39" t="e">
        <f t="shared" si="7"/>
        <v>#REF!</v>
      </c>
      <c r="U151" s="39" t="e">
        <f t="shared" si="8"/>
        <v>#REF!</v>
      </c>
      <c r="V151" s="29"/>
      <c r="W151" s="31" t="str">
        <f>IF(K151&gt;0,INDEX(cfo!$C$2:$I$326,MATCH(SurtaxPayment!C151,cfo!$C$2:$C$326,0),7),"")</f>
        <v>wayers@ivcsd.org</v>
      </c>
      <c r="X151" s="31" t="str">
        <f>IF(IF(K151&gt;0,INDEX(cfo!$C$2:$K$326,MATCH(SurtaxPayment!C151,cfo!$C$2:$C$326,0),9),"")=0,"",IF(K151&gt;0,INDEX(cfo!$C$2:$K$326,MATCH(SurtaxPayment!C151,cfo!$C$2:$C$326,0),9),""))</f>
        <v/>
      </c>
    </row>
    <row r="152" spans="1:24" x14ac:dyDescent="0.25">
      <c r="A152" s="52">
        <v>2025</v>
      </c>
      <c r="B152" s="52" t="s">
        <v>658</v>
      </c>
      <c r="C152" s="57" t="s">
        <v>460</v>
      </c>
      <c r="D152" s="58" t="s">
        <v>693</v>
      </c>
      <c r="E152" s="58" t="s">
        <v>693</v>
      </c>
      <c r="F152" s="58" t="s">
        <v>460</v>
      </c>
      <c r="G152" s="57" t="s">
        <v>133</v>
      </c>
      <c r="H152" s="39">
        <f>SUMPRODUCT(SUMIF(SurtaxRatesSAS!$B$2:$B$324,$C152:$E152,SurtaxRatesSAS!$E$2:$E$324))</f>
        <v>0</v>
      </c>
      <c r="I152" s="39">
        <f>SUMPRODUCT(SUMIF(SurtaxRatesSAS!$B$2:$B$324,$C152:$E152,SurtaxRatesSAS!$D$2:$D$324))</f>
        <v>6</v>
      </c>
      <c r="J152" s="38"/>
      <c r="K152" s="39">
        <f>SUMPRODUCT(SUMIF(SurtaxRatesSAS!$B$2:$B$324,$C152:$E152,SurtaxRatesSAS!$G$2:$G$324))</f>
        <v>210929.77</v>
      </c>
      <c r="L152" s="39">
        <f>SUMPRODUCT(SUMIF(SurtaxRatesSAS!$B$2:$B$324,$C152:$E152,SurtaxRatesSAS!$H$2:$H$324))</f>
        <v>0</v>
      </c>
      <c r="M152" s="39">
        <f>SUMPRODUCT(SUMIF(SurtaxRatesSAS!$B$2:$B$324,$C152:$E152,SurtaxRatesSAS!$I$2:$I$324))</f>
        <v>210929.77</v>
      </c>
      <c r="N152" s="38"/>
      <c r="O152" s="39" t="e">
        <f>SUMPRODUCT(SUMIF(SurtaxRatesSAS!$B$2:$B$324,$C152:$E152,SurtaxRatesSAS!$L$2:$L$324))</f>
        <v>#REF!</v>
      </c>
      <c r="P152" s="39" t="e">
        <f>SUMPRODUCT(SUMIF(SurtaxRatesSAS!$B$2:$B$324,$C152:$E152,SurtaxRatesSAS!$M$2:$M$324))</f>
        <v>#REF!</v>
      </c>
      <c r="Q152" s="39" t="e">
        <f>SUMPRODUCT(SUMIF(SurtaxRatesSAS!$B$2:$B$324,$C152:$E152,SurtaxRatesSAS!$N$2:$N$324))</f>
        <v>#REF!</v>
      </c>
      <c r="R152" s="38"/>
      <c r="S152" s="39" t="e">
        <f t="shared" si="6"/>
        <v>#REF!</v>
      </c>
      <c r="T152" s="39" t="e">
        <f t="shared" si="7"/>
        <v>#REF!</v>
      </c>
      <c r="U152" s="39" t="e">
        <f t="shared" si="8"/>
        <v>#REF!</v>
      </c>
      <c r="V152" s="29"/>
      <c r="W152" s="31" t="str">
        <f>IF(K152&gt;0,INDEX(cfo!$C$2:$I$326,MATCH(SurtaxPayment!C152,cfo!$C$2:$C$326,0),7),"")</f>
        <v>kelly.weidman@janesvilleschools.net</v>
      </c>
      <c r="X152" s="31" t="str">
        <f>IF(IF(K152&gt;0,INDEX(cfo!$C$2:$K$326,MATCH(SurtaxPayment!C152,cfo!$C$2:$C$326,0),9),"")=0,"",IF(K152&gt;0,INDEX(cfo!$C$2:$K$326,MATCH(SurtaxPayment!C152,cfo!$C$2:$C$326,0),9),""))</f>
        <v/>
      </c>
    </row>
    <row r="153" spans="1:24" x14ac:dyDescent="0.25">
      <c r="A153" s="52">
        <v>2025</v>
      </c>
      <c r="B153" s="52" t="s">
        <v>658</v>
      </c>
      <c r="C153" s="57" t="s">
        <v>462</v>
      </c>
      <c r="D153" s="58" t="s">
        <v>693</v>
      </c>
      <c r="E153" s="58" t="s">
        <v>693</v>
      </c>
      <c r="F153" s="58" t="s">
        <v>462</v>
      </c>
      <c r="G153" s="57" t="s">
        <v>716</v>
      </c>
      <c r="H153" s="39">
        <f>SUMPRODUCT(SUMIF(SurtaxRatesSAS!$B$2:$B$324,$C153:$E153,SurtaxRatesSAS!$E$2:$E$324))</f>
        <v>0</v>
      </c>
      <c r="I153" s="39">
        <f>SUMPRODUCT(SUMIF(SurtaxRatesSAS!$B$2:$B$324,$C153:$E153,SurtaxRatesSAS!$D$2:$D$324))</f>
        <v>0</v>
      </c>
      <c r="J153" s="38"/>
      <c r="K153" s="39">
        <f>SUMPRODUCT(SUMIF(SurtaxRatesSAS!$B$2:$B$324,$C153:$E153,SurtaxRatesSAS!$G$2:$G$324))</f>
        <v>0</v>
      </c>
      <c r="L153" s="39">
        <f>SUMPRODUCT(SUMIF(SurtaxRatesSAS!$B$2:$B$324,$C153:$E153,SurtaxRatesSAS!$H$2:$H$324))</f>
        <v>0</v>
      </c>
      <c r="M153" s="39">
        <f>SUMPRODUCT(SUMIF(SurtaxRatesSAS!$B$2:$B$324,$C153:$E153,SurtaxRatesSAS!$I$2:$I$324))</f>
        <v>0</v>
      </c>
      <c r="N153" s="38"/>
      <c r="O153" s="39">
        <f>SUMPRODUCT(SUMIF(SurtaxRatesSAS!$B$2:$B$324,$C153:$E153,SurtaxRatesSAS!$L$2:$L$324))</f>
        <v>0</v>
      </c>
      <c r="P153" s="39">
        <f>SUMPRODUCT(SUMIF(SurtaxRatesSAS!$B$2:$B$324,$C153:$E153,SurtaxRatesSAS!$M$2:$M$324))</f>
        <v>0</v>
      </c>
      <c r="Q153" s="39">
        <f>SUMPRODUCT(SUMIF(SurtaxRatesSAS!$B$2:$B$324,$C153:$E153,SurtaxRatesSAS!$N$2:$N$324))</f>
        <v>0</v>
      </c>
      <c r="R153" s="38"/>
      <c r="S153" s="39">
        <f t="shared" si="6"/>
        <v>0</v>
      </c>
      <c r="T153" s="39">
        <f t="shared" si="7"/>
        <v>0</v>
      </c>
      <c r="U153" s="39">
        <f t="shared" si="8"/>
        <v>0</v>
      </c>
      <c r="V153" s="29"/>
      <c r="W153" s="31" t="str">
        <f>IF(K153&gt;0,INDEX(cfo!$C$2:$I$326,MATCH(SurtaxPayment!C153,cfo!$C$2:$C$326,0),7),"")</f>
        <v/>
      </c>
      <c r="X153" s="31" t="str">
        <f>IF(IF(K153&gt;0,INDEX(cfo!$C$2:$K$326,MATCH(SurtaxPayment!C153,cfo!$C$2:$C$326,0),9),"")=0,"",IF(K153&gt;0,INDEX(cfo!$C$2:$K$326,MATCH(SurtaxPayment!C153,cfo!$C$2:$C$326,0),9),""))</f>
        <v/>
      </c>
    </row>
    <row r="154" spans="1:24" x14ac:dyDescent="0.25">
      <c r="A154" s="52">
        <v>2025</v>
      </c>
      <c r="B154" s="52" t="s">
        <v>657</v>
      </c>
      <c r="C154" s="57" t="s">
        <v>463</v>
      </c>
      <c r="D154" s="58" t="s">
        <v>693</v>
      </c>
      <c r="E154" s="58" t="s">
        <v>693</v>
      </c>
      <c r="F154" s="58" t="s">
        <v>463</v>
      </c>
      <c r="G154" s="57" t="s">
        <v>717</v>
      </c>
      <c r="H154" s="39">
        <f>SUMPRODUCT(SUMIF(SurtaxRatesSAS!$B$2:$B$324,$C154:$E154,SurtaxRatesSAS!$E$2:$E$324))</f>
        <v>0</v>
      </c>
      <c r="I154" s="39">
        <f>SUMPRODUCT(SUMIF(SurtaxRatesSAS!$B$2:$B$324,$C154:$E154,SurtaxRatesSAS!$D$2:$D$324))</f>
        <v>0</v>
      </c>
      <c r="J154" s="38"/>
      <c r="K154" s="39">
        <f>SUMPRODUCT(SUMIF(SurtaxRatesSAS!$B$2:$B$324,$C154:$E154,SurtaxRatesSAS!$G$2:$G$324))</f>
        <v>0</v>
      </c>
      <c r="L154" s="39">
        <f>SUMPRODUCT(SUMIF(SurtaxRatesSAS!$B$2:$B$324,$C154:$E154,SurtaxRatesSAS!$H$2:$H$324))</f>
        <v>0</v>
      </c>
      <c r="M154" s="39">
        <f>SUMPRODUCT(SUMIF(SurtaxRatesSAS!$B$2:$B$324,$C154:$E154,SurtaxRatesSAS!$I$2:$I$324))</f>
        <v>0</v>
      </c>
      <c r="N154" s="38"/>
      <c r="O154" s="39">
        <f>SUMPRODUCT(SUMIF(SurtaxRatesSAS!$B$2:$B$324,$C154:$E154,SurtaxRatesSAS!$L$2:$L$324))</f>
        <v>0</v>
      </c>
      <c r="P154" s="39">
        <f>SUMPRODUCT(SUMIF(SurtaxRatesSAS!$B$2:$B$324,$C154:$E154,SurtaxRatesSAS!$M$2:$M$324))</f>
        <v>0</v>
      </c>
      <c r="Q154" s="39">
        <f>SUMPRODUCT(SUMIF(SurtaxRatesSAS!$B$2:$B$324,$C154:$E154,SurtaxRatesSAS!$N$2:$N$324))</f>
        <v>0</v>
      </c>
      <c r="R154" s="38"/>
      <c r="S154" s="39">
        <f t="shared" si="6"/>
        <v>0</v>
      </c>
      <c r="T154" s="39">
        <f t="shared" si="7"/>
        <v>0</v>
      </c>
      <c r="U154" s="39">
        <f t="shared" si="8"/>
        <v>0</v>
      </c>
      <c r="V154" s="29"/>
      <c r="W154" s="31" t="str">
        <f>IF(K154&gt;0,INDEX(cfo!$C$2:$I$326,MATCH(SurtaxPayment!C154,cfo!$C$2:$C$326,0),7),"")</f>
        <v/>
      </c>
      <c r="X154" s="31" t="str">
        <f>IF(IF(K154&gt;0,INDEX(cfo!$C$2:$K$326,MATCH(SurtaxPayment!C154,cfo!$C$2:$C$326,0),9),"")=0,"",IF(K154&gt;0,INDEX(cfo!$C$2:$K$326,MATCH(SurtaxPayment!C154,cfo!$C$2:$C$326,0),9),""))</f>
        <v/>
      </c>
    </row>
    <row r="155" spans="1:24" x14ac:dyDescent="0.25">
      <c r="A155" s="52">
        <v>2025</v>
      </c>
      <c r="B155" s="52" t="s">
        <v>662</v>
      </c>
      <c r="C155" s="57" t="s">
        <v>464</v>
      </c>
      <c r="D155" s="58" t="s">
        <v>693</v>
      </c>
      <c r="E155" s="58" t="s">
        <v>693</v>
      </c>
      <c r="F155" s="58" t="s">
        <v>464</v>
      </c>
      <c r="G155" s="57" t="s">
        <v>718</v>
      </c>
      <c r="H155" s="39">
        <f>SUMPRODUCT(SUMIF(SurtaxRatesSAS!$B$2:$B$324,$C155:$E155,SurtaxRatesSAS!$E$2:$E$324))</f>
        <v>0</v>
      </c>
      <c r="I155" s="39">
        <f>SUMPRODUCT(SUMIF(SurtaxRatesSAS!$B$2:$B$324,$C155:$E155,SurtaxRatesSAS!$D$2:$D$324))</f>
        <v>0</v>
      </c>
      <c r="J155" s="38"/>
      <c r="K155" s="39">
        <f>SUMPRODUCT(SUMIF(SurtaxRatesSAS!$B$2:$B$324,$C155:$E155,SurtaxRatesSAS!$G$2:$G$324))</f>
        <v>0</v>
      </c>
      <c r="L155" s="39">
        <f>SUMPRODUCT(SUMIF(SurtaxRatesSAS!$B$2:$B$324,$C155:$E155,SurtaxRatesSAS!$H$2:$H$324))</f>
        <v>0</v>
      </c>
      <c r="M155" s="39">
        <f>SUMPRODUCT(SUMIF(SurtaxRatesSAS!$B$2:$B$324,$C155:$E155,SurtaxRatesSAS!$I$2:$I$324))</f>
        <v>0</v>
      </c>
      <c r="N155" s="38"/>
      <c r="O155" s="39">
        <f>SUMPRODUCT(SUMIF(SurtaxRatesSAS!$B$2:$B$324,$C155:$E155,SurtaxRatesSAS!$L$2:$L$324))</f>
        <v>0</v>
      </c>
      <c r="P155" s="39">
        <f>SUMPRODUCT(SUMIF(SurtaxRatesSAS!$B$2:$B$324,$C155:$E155,SurtaxRatesSAS!$M$2:$M$324))</f>
        <v>0</v>
      </c>
      <c r="Q155" s="39">
        <f>SUMPRODUCT(SUMIF(SurtaxRatesSAS!$B$2:$B$324,$C155:$E155,SurtaxRatesSAS!$N$2:$N$324))</f>
        <v>0</v>
      </c>
      <c r="R155" s="38"/>
      <c r="S155" s="39">
        <f t="shared" si="6"/>
        <v>0</v>
      </c>
      <c r="T155" s="39">
        <f t="shared" si="7"/>
        <v>0</v>
      </c>
      <c r="U155" s="39">
        <f t="shared" si="8"/>
        <v>0</v>
      </c>
      <c r="V155" s="29"/>
      <c r="W155" s="31" t="str">
        <f>IF(K155&gt;0,INDEX(cfo!$C$2:$I$326,MATCH(SurtaxPayment!C155,cfo!$C$2:$C$326,0),7),"")</f>
        <v/>
      </c>
      <c r="X155" s="31" t="str">
        <f>IF(IF(K155&gt;0,INDEX(cfo!$C$2:$K$326,MATCH(SurtaxPayment!C155,cfo!$C$2:$C$326,0),9),"")=0,"",IF(K155&gt;0,INDEX(cfo!$C$2:$K$326,MATCH(SurtaxPayment!C155,cfo!$C$2:$C$326,0),9),""))</f>
        <v/>
      </c>
    </row>
    <row r="156" spans="1:24" x14ac:dyDescent="0.25">
      <c r="A156" s="52">
        <v>2025</v>
      </c>
      <c r="B156" s="52" t="s">
        <v>662</v>
      </c>
      <c r="C156" s="57" t="s">
        <v>465</v>
      </c>
      <c r="D156" s="58" t="s">
        <v>693</v>
      </c>
      <c r="E156" s="58" t="s">
        <v>693</v>
      </c>
      <c r="F156" s="58" t="s">
        <v>465</v>
      </c>
      <c r="G156" s="57" t="s">
        <v>134</v>
      </c>
      <c r="H156" s="39">
        <f>SUMPRODUCT(SUMIF(SurtaxRatesSAS!$B$2:$B$324,$C156:$E156,SurtaxRatesSAS!$E$2:$E$324))</f>
        <v>0</v>
      </c>
      <c r="I156" s="39">
        <f>SUMPRODUCT(SUMIF(SurtaxRatesSAS!$B$2:$B$324,$C156:$E156,SurtaxRatesSAS!$D$2:$D$324))</f>
        <v>3</v>
      </c>
      <c r="J156" s="38"/>
      <c r="K156" s="39">
        <f>SUMPRODUCT(SUMIF(SurtaxRatesSAS!$B$2:$B$324,$C156:$E156,SurtaxRatesSAS!$G$2:$G$324))</f>
        <v>72282.23</v>
      </c>
      <c r="L156" s="39">
        <f>SUMPRODUCT(SUMIF(SurtaxRatesSAS!$B$2:$B$324,$C156:$E156,SurtaxRatesSAS!$H$2:$H$324))</f>
        <v>0</v>
      </c>
      <c r="M156" s="39">
        <f>SUMPRODUCT(SUMIF(SurtaxRatesSAS!$B$2:$B$324,$C156:$E156,SurtaxRatesSAS!$I$2:$I$324))</f>
        <v>72282.23</v>
      </c>
      <c r="N156" s="38"/>
      <c r="O156" s="39" t="e">
        <f>SUMPRODUCT(SUMIF(SurtaxRatesSAS!$B$2:$B$324,$C156:$E156,SurtaxRatesSAS!$L$2:$L$324))</f>
        <v>#REF!</v>
      </c>
      <c r="P156" s="39" t="e">
        <f>SUMPRODUCT(SUMIF(SurtaxRatesSAS!$B$2:$B$324,$C156:$E156,SurtaxRatesSAS!$M$2:$M$324))</f>
        <v>#REF!</v>
      </c>
      <c r="Q156" s="39" t="e">
        <f>SUMPRODUCT(SUMIF(SurtaxRatesSAS!$B$2:$B$324,$C156:$E156,SurtaxRatesSAS!$N$2:$N$324))</f>
        <v>#REF!</v>
      </c>
      <c r="R156" s="38"/>
      <c r="S156" s="39" t="e">
        <f t="shared" si="6"/>
        <v>#REF!</v>
      </c>
      <c r="T156" s="39" t="e">
        <f t="shared" si="7"/>
        <v>#REF!</v>
      </c>
      <c r="U156" s="39" t="e">
        <f t="shared" si="8"/>
        <v>#REF!</v>
      </c>
      <c r="V156" s="29"/>
      <c r="W156" s="31" t="str">
        <f>IF(K156&gt;0,INDEX(cfo!$C$2:$I$326,MATCH(SurtaxPayment!C156,cfo!$C$2:$C$326,0),7),"")</f>
        <v>agreiner@washington.k12.ia.us</v>
      </c>
      <c r="X156" s="31" t="str">
        <f>IF(IF(K156&gt;0,INDEX(cfo!$C$2:$K$326,MATCH(SurtaxPayment!C156,cfo!$C$2:$C$326,0),9),"")=0,"",IF(K156&gt;0,INDEX(cfo!$C$2:$K$326,MATCH(SurtaxPayment!C156,cfo!$C$2:$C$326,0),9),""))</f>
        <v/>
      </c>
    </row>
    <row r="157" spans="1:24" x14ac:dyDescent="0.25">
      <c r="A157" s="52">
        <v>2025</v>
      </c>
      <c r="B157" s="52" t="s">
        <v>660</v>
      </c>
      <c r="C157" s="57" t="s">
        <v>466</v>
      </c>
      <c r="D157" s="58" t="s">
        <v>693</v>
      </c>
      <c r="E157" s="58" t="s">
        <v>693</v>
      </c>
      <c r="F157" s="58" t="s">
        <v>466</v>
      </c>
      <c r="G157" s="57" t="s">
        <v>135</v>
      </c>
      <c r="H157" s="39">
        <f>SUMPRODUCT(SUMIF(SurtaxRatesSAS!$B$2:$B$324,$C157:$E157,SurtaxRatesSAS!$E$2:$E$324))</f>
        <v>3</v>
      </c>
      <c r="I157" s="39">
        <f>SUMPRODUCT(SUMIF(SurtaxRatesSAS!$B$2:$B$324,$C157:$E157,SurtaxRatesSAS!$D$2:$D$324))</f>
        <v>1</v>
      </c>
      <c r="J157" s="38"/>
      <c r="K157" s="39">
        <f>SUMPRODUCT(SUMIF(SurtaxRatesSAS!$B$2:$B$324,$C157:$E157,SurtaxRatesSAS!$G$2:$G$324))</f>
        <v>112259.32</v>
      </c>
      <c r="L157" s="39">
        <f>SUMPRODUCT(SUMIF(SurtaxRatesSAS!$B$2:$B$324,$C157:$E157,SurtaxRatesSAS!$H$2:$H$324))</f>
        <v>84194.49</v>
      </c>
      <c r="M157" s="39">
        <f>SUMPRODUCT(SUMIF(SurtaxRatesSAS!$B$2:$B$324,$C157:$E157,SurtaxRatesSAS!$I$2:$I$324))</f>
        <v>28064.83</v>
      </c>
      <c r="N157" s="38"/>
      <c r="O157" s="39" t="e">
        <f>SUMPRODUCT(SUMIF(SurtaxRatesSAS!$B$2:$B$324,$C157:$E157,SurtaxRatesSAS!$L$2:$L$324))</f>
        <v>#REF!</v>
      </c>
      <c r="P157" s="39" t="e">
        <f>SUMPRODUCT(SUMIF(SurtaxRatesSAS!$B$2:$B$324,$C157:$E157,SurtaxRatesSAS!$M$2:$M$324))</f>
        <v>#REF!</v>
      </c>
      <c r="Q157" s="39" t="e">
        <f>SUMPRODUCT(SUMIF(SurtaxRatesSAS!$B$2:$B$324,$C157:$E157,SurtaxRatesSAS!$N$2:$N$324))</f>
        <v>#REF!</v>
      </c>
      <c r="R157" s="38"/>
      <c r="S157" s="39" t="e">
        <f t="shared" si="6"/>
        <v>#REF!</v>
      </c>
      <c r="T157" s="39" t="e">
        <f t="shared" si="7"/>
        <v>#REF!</v>
      </c>
      <c r="U157" s="39" t="e">
        <f t="shared" si="8"/>
        <v>#REF!</v>
      </c>
      <c r="V157" s="29"/>
      <c r="W157" s="31" t="str">
        <f>IF(K157&gt;0,INDEX(cfo!$C$2:$I$326,MATCH(SurtaxPayment!C157,cfo!$C$2:$C$326,0),7),"")</f>
        <v>lschweitzberger@k-pcsd.org</v>
      </c>
      <c r="X157" s="31" t="str">
        <f>IF(IF(K157&gt;0,INDEX(cfo!$C$2:$K$326,MATCH(SurtaxPayment!C157,cfo!$C$2:$C$326,0),9),"")=0,"",IF(K157&gt;0,INDEX(cfo!$C$2:$K$326,MATCH(SurtaxPayment!C157,cfo!$C$2:$C$326,0),9),""))</f>
        <v/>
      </c>
    </row>
    <row r="158" spans="1:24" x14ac:dyDescent="0.25">
      <c r="A158" s="52">
        <v>2025</v>
      </c>
      <c r="B158" s="52" t="s">
        <v>657</v>
      </c>
      <c r="C158" s="57" t="s">
        <v>467</v>
      </c>
      <c r="D158" s="58" t="s">
        <v>693</v>
      </c>
      <c r="E158" s="58" t="s">
        <v>693</v>
      </c>
      <c r="F158" s="58" t="s">
        <v>467</v>
      </c>
      <c r="G158" s="57" t="s">
        <v>136</v>
      </c>
      <c r="H158" s="39">
        <f>SUMPRODUCT(SUMIF(SurtaxRatesSAS!$B$2:$B$324,$C158:$E158,SurtaxRatesSAS!$E$2:$E$324))</f>
        <v>0</v>
      </c>
      <c r="I158" s="39">
        <f>SUMPRODUCT(SUMIF(SurtaxRatesSAS!$B$2:$B$324,$C158:$E158,SurtaxRatesSAS!$D$2:$D$324))</f>
        <v>7</v>
      </c>
      <c r="J158" s="38"/>
      <c r="K158" s="39">
        <f>SUMPRODUCT(SUMIF(SurtaxRatesSAS!$B$2:$B$324,$C158:$E158,SurtaxRatesSAS!$G$2:$G$324))</f>
        <v>724499.32</v>
      </c>
      <c r="L158" s="39">
        <f>SUMPRODUCT(SUMIF(SurtaxRatesSAS!$B$2:$B$324,$C158:$E158,SurtaxRatesSAS!$H$2:$H$324))</f>
        <v>0</v>
      </c>
      <c r="M158" s="39">
        <f>SUMPRODUCT(SUMIF(SurtaxRatesSAS!$B$2:$B$324,$C158:$E158,SurtaxRatesSAS!$I$2:$I$324))</f>
        <v>724499.32</v>
      </c>
      <c r="N158" s="38"/>
      <c r="O158" s="39" t="e">
        <f>SUMPRODUCT(SUMIF(SurtaxRatesSAS!$B$2:$B$324,$C158:$E158,SurtaxRatesSAS!$L$2:$L$324))</f>
        <v>#REF!</v>
      </c>
      <c r="P158" s="39" t="e">
        <f>SUMPRODUCT(SUMIF(SurtaxRatesSAS!$B$2:$B$324,$C158:$E158,SurtaxRatesSAS!$M$2:$M$324))</f>
        <v>#REF!</v>
      </c>
      <c r="Q158" s="39" t="e">
        <f>SUMPRODUCT(SUMIF(SurtaxRatesSAS!$B$2:$B$324,$C158:$E158,SurtaxRatesSAS!$N$2:$N$324))</f>
        <v>#REF!</v>
      </c>
      <c r="R158" s="38"/>
      <c r="S158" s="39" t="e">
        <f t="shared" si="6"/>
        <v>#REF!</v>
      </c>
      <c r="T158" s="39" t="e">
        <f t="shared" si="7"/>
        <v>#REF!</v>
      </c>
      <c r="U158" s="39" t="e">
        <f t="shared" si="8"/>
        <v>#REF!</v>
      </c>
      <c r="V158" s="29"/>
      <c r="W158" s="31" t="str">
        <f>IF(K158&gt;0,INDEX(cfo!$C$2:$I$326,MATCH(SurtaxPayment!C158,cfo!$C$2:$C$326,0),7),"")</f>
        <v>craig.mobley@kcsd.k12.ia.us</v>
      </c>
      <c r="X158" s="31" t="str">
        <f>IF(IF(K158&gt;0,INDEX(cfo!$C$2:$K$326,MATCH(SurtaxPayment!C158,cfo!$C$2:$C$326,0),9),"")=0,"",IF(K158&gt;0,INDEX(cfo!$C$2:$K$326,MATCH(SurtaxPayment!C158,cfo!$C$2:$C$326,0),9),""))</f>
        <v/>
      </c>
    </row>
    <row r="159" spans="1:24" x14ac:dyDescent="0.25">
      <c r="A159" s="52">
        <v>2025</v>
      </c>
      <c r="B159" s="52" t="s">
        <v>658</v>
      </c>
      <c r="C159" s="57" t="s">
        <v>468</v>
      </c>
      <c r="D159" s="58" t="s">
        <v>693</v>
      </c>
      <c r="E159" s="58" t="s">
        <v>693</v>
      </c>
      <c r="F159" s="58" t="s">
        <v>468</v>
      </c>
      <c r="G159" s="57" t="s">
        <v>137</v>
      </c>
      <c r="H159" s="39">
        <f>SUMPRODUCT(SUMIF(SurtaxRatesSAS!$B$2:$B$324,$C159:$E159,SurtaxRatesSAS!$E$2:$E$324))</f>
        <v>0</v>
      </c>
      <c r="I159" s="39">
        <f>SUMPRODUCT(SUMIF(SurtaxRatesSAS!$B$2:$B$324,$C159:$E159,SurtaxRatesSAS!$D$2:$D$324))</f>
        <v>1</v>
      </c>
      <c r="J159" s="38"/>
      <c r="K159" s="39">
        <f>SUMPRODUCT(SUMIF(SurtaxRatesSAS!$B$2:$B$324,$C159:$E159,SurtaxRatesSAS!$G$2:$G$324))</f>
        <v>35970.18</v>
      </c>
      <c r="L159" s="39">
        <f>SUMPRODUCT(SUMIF(SurtaxRatesSAS!$B$2:$B$324,$C159:$E159,SurtaxRatesSAS!$H$2:$H$324))</f>
        <v>0</v>
      </c>
      <c r="M159" s="39">
        <f>SUMPRODUCT(SUMIF(SurtaxRatesSAS!$B$2:$B$324,$C159:$E159,SurtaxRatesSAS!$I$2:$I$324))</f>
        <v>35970.18</v>
      </c>
      <c r="N159" s="38"/>
      <c r="O159" s="39" t="e">
        <f>SUMPRODUCT(SUMIF(SurtaxRatesSAS!$B$2:$B$324,$C159:$E159,SurtaxRatesSAS!$L$2:$L$324))</f>
        <v>#REF!</v>
      </c>
      <c r="P159" s="39" t="e">
        <f>SUMPRODUCT(SUMIF(SurtaxRatesSAS!$B$2:$B$324,$C159:$E159,SurtaxRatesSAS!$M$2:$M$324))</f>
        <v>#REF!</v>
      </c>
      <c r="Q159" s="39" t="e">
        <f>SUMPRODUCT(SUMIF(SurtaxRatesSAS!$B$2:$B$324,$C159:$E159,SurtaxRatesSAS!$N$2:$N$324))</f>
        <v>#REF!</v>
      </c>
      <c r="R159" s="38"/>
      <c r="S159" s="39" t="e">
        <f t="shared" si="6"/>
        <v>#REF!</v>
      </c>
      <c r="T159" s="39" t="e">
        <f t="shared" si="7"/>
        <v>#REF!</v>
      </c>
      <c r="U159" s="39" t="e">
        <f t="shared" si="8"/>
        <v>#REF!</v>
      </c>
      <c r="V159" s="29"/>
      <c r="W159" s="31" t="str">
        <f>IF(K159&gt;0,INDEX(cfo!$C$2:$I$326,MATCH(SurtaxPayment!C159,cfo!$C$2:$C$326,0),7),"")</f>
        <v>dabbey@lake-mills.org</v>
      </c>
      <c r="X159" s="31" t="str">
        <f>IF(IF(K159&gt;0,INDEX(cfo!$C$2:$K$326,MATCH(SurtaxPayment!C159,cfo!$C$2:$C$326,0),9),"")=0,"",IF(K159&gt;0,INDEX(cfo!$C$2:$K$326,MATCH(SurtaxPayment!C159,cfo!$C$2:$C$326,0),9),""))</f>
        <v/>
      </c>
    </row>
    <row r="160" spans="1:24" x14ac:dyDescent="0.25">
      <c r="A160" s="52">
        <v>2025</v>
      </c>
      <c r="B160" s="52" t="s">
        <v>659</v>
      </c>
      <c r="C160" s="57" t="s">
        <v>469</v>
      </c>
      <c r="D160" s="58" t="s">
        <v>693</v>
      </c>
      <c r="E160" s="58" t="s">
        <v>693</v>
      </c>
      <c r="F160" s="58" t="s">
        <v>469</v>
      </c>
      <c r="G160" s="57" t="s">
        <v>138</v>
      </c>
      <c r="H160" s="39">
        <f>SUMPRODUCT(SUMIF(SurtaxRatesSAS!$B$2:$B$324,$C160:$E160,SurtaxRatesSAS!$E$2:$E$324))</f>
        <v>1</v>
      </c>
      <c r="I160" s="39">
        <f>SUMPRODUCT(SUMIF(SurtaxRatesSAS!$B$2:$B$324,$C160:$E160,SurtaxRatesSAS!$D$2:$D$324))</f>
        <v>4</v>
      </c>
      <c r="J160" s="38"/>
      <c r="K160" s="39">
        <f>SUMPRODUCT(SUMIF(SurtaxRatesSAS!$B$2:$B$324,$C160:$E160,SurtaxRatesSAS!$G$2:$G$324))</f>
        <v>54901.36</v>
      </c>
      <c r="L160" s="39">
        <f>SUMPRODUCT(SUMIF(SurtaxRatesSAS!$B$2:$B$324,$C160:$E160,SurtaxRatesSAS!$H$2:$H$324))</f>
        <v>10980.27</v>
      </c>
      <c r="M160" s="39">
        <f>SUMPRODUCT(SUMIF(SurtaxRatesSAS!$B$2:$B$324,$C160:$E160,SurtaxRatesSAS!$I$2:$I$324))</f>
        <v>43921.09</v>
      </c>
      <c r="N160" s="38"/>
      <c r="O160" s="39" t="e">
        <f>SUMPRODUCT(SUMIF(SurtaxRatesSAS!$B$2:$B$324,$C160:$E160,SurtaxRatesSAS!$L$2:$L$324))</f>
        <v>#REF!</v>
      </c>
      <c r="P160" s="39" t="e">
        <f>SUMPRODUCT(SUMIF(SurtaxRatesSAS!$B$2:$B$324,$C160:$E160,SurtaxRatesSAS!$M$2:$M$324))</f>
        <v>#REF!</v>
      </c>
      <c r="Q160" s="39" t="e">
        <f>SUMPRODUCT(SUMIF(SurtaxRatesSAS!$B$2:$B$324,$C160:$E160,SurtaxRatesSAS!$N$2:$N$324))</f>
        <v>#REF!</v>
      </c>
      <c r="R160" s="38"/>
      <c r="S160" s="39" t="e">
        <f t="shared" si="6"/>
        <v>#REF!</v>
      </c>
      <c r="T160" s="39" t="e">
        <f t="shared" si="7"/>
        <v>#REF!</v>
      </c>
      <c r="U160" s="39" t="e">
        <f t="shared" si="8"/>
        <v>#REF!</v>
      </c>
      <c r="V160" s="29"/>
      <c r="W160" s="31" t="str">
        <f>IF(K160&gt;0,INDEX(cfo!$C$2:$I$326,MATCH(SurtaxPayment!C160,cfo!$C$2:$C$326,0),7),"")</f>
        <v>sjones@lamonischools.org</v>
      </c>
      <c r="X160" s="31" t="str">
        <f>IF(IF(K160&gt;0,INDEX(cfo!$C$2:$K$326,MATCH(SurtaxPayment!C160,cfo!$C$2:$C$326,0),9),"")=0,"",IF(K160&gt;0,INDEX(cfo!$C$2:$K$326,MATCH(SurtaxPayment!C160,cfo!$C$2:$C$326,0),9),""))</f>
        <v/>
      </c>
    </row>
    <row r="161" spans="1:24" x14ac:dyDescent="0.25">
      <c r="A161" s="52">
        <v>2025</v>
      </c>
      <c r="B161" s="52" t="s">
        <v>661</v>
      </c>
      <c r="C161" s="57" t="s">
        <v>470</v>
      </c>
      <c r="D161" s="58" t="s">
        <v>693</v>
      </c>
      <c r="E161" s="58" t="s">
        <v>693</v>
      </c>
      <c r="F161" s="58" t="s">
        <v>470</v>
      </c>
      <c r="G161" s="57" t="s">
        <v>139</v>
      </c>
      <c r="H161" s="39">
        <f>SUMPRODUCT(SUMIF(SurtaxRatesSAS!$B$2:$B$324,$C161:$E161,SurtaxRatesSAS!$E$2:$E$324))</f>
        <v>5</v>
      </c>
      <c r="I161" s="39">
        <f>SUMPRODUCT(SUMIF(SurtaxRatesSAS!$B$2:$B$324,$C161:$E161,SurtaxRatesSAS!$D$2:$D$324))</f>
        <v>5</v>
      </c>
      <c r="J161" s="38"/>
      <c r="K161" s="39">
        <f>SUMPRODUCT(SUMIF(SurtaxRatesSAS!$B$2:$B$324,$C161:$E161,SurtaxRatesSAS!$G$2:$G$324))</f>
        <v>142785.57999999999</v>
      </c>
      <c r="L161" s="39">
        <f>SUMPRODUCT(SUMIF(SurtaxRatesSAS!$B$2:$B$324,$C161:$E161,SurtaxRatesSAS!$H$2:$H$324))</f>
        <v>71392.789999999994</v>
      </c>
      <c r="M161" s="39">
        <f>SUMPRODUCT(SUMIF(SurtaxRatesSAS!$B$2:$B$324,$C161:$E161,SurtaxRatesSAS!$I$2:$I$324))</f>
        <v>71392.789999999994</v>
      </c>
      <c r="N161" s="38"/>
      <c r="O161" s="39" t="e">
        <f>SUMPRODUCT(SUMIF(SurtaxRatesSAS!$B$2:$B$324,$C161:$E161,SurtaxRatesSAS!$L$2:$L$324))</f>
        <v>#REF!</v>
      </c>
      <c r="P161" s="39" t="e">
        <f>SUMPRODUCT(SUMIF(SurtaxRatesSAS!$B$2:$B$324,$C161:$E161,SurtaxRatesSAS!$M$2:$M$324))</f>
        <v>#REF!</v>
      </c>
      <c r="Q161" s="39" t="e">
        <f>SUMPRODUCT(SUMIF(SurtaxRatesSAS!$B$2:$B$324,$C161:$E161,SurtaxRatesSAS!$N$2:$N$324))</f>
        <v>#REF!</v>
      </c>
      <c r="R161" s="38"/>
      <c r="S161" s="39" t="e">
        <f t="shared" si="6"/>
        <v>#REF!</v>
      </c>
      <c r="T161" s="39" t="e">
        <f t="shared" si="7"/>
        <v>#REF!</v>
      </c>
      <c r="U161" s="39" t="e">
        <f t="shared" si="8"/>
        <v>#REF!</v>
      </c>
      <c r="V161" s="29"/>
      <c r="W161" s="31" t="str">
        <f>IF(K161&gt;0,INDEX(cfo!$C$2:$I$326,MATCH(SurtaxPayment!C161,cfo!$C$2:$C$326,0),7),"")</f>
        <v>carolcollins@lm.k12.ia.us</v>
      </c>
      <c r="X161" s="31" t="str">
        <f>IF(IF(K161&gt;0,INDEX(cfo!$C$2:$K$326,MATCH(SurtaxPayment!C161,cfo!$C$2:$C$326,0),9),"")=0,"",IF(K161&gt;0,INDEX(cfo!$C$2:$K$326,MATCH(SurtaxPayment!C161,cfo!$C$2:$C$326,0),9),""))</f>
        <v/>
      </c>
    </row>
    <row r="162" spans="1:24" x14ac:dyDescent="0.25">
      <c r="A162" s="52">
        <v>2025</v>
      </c>
      <c r="B162" s="52" t="s">
        <v>660</v>
      </c>
      <c r="C162" s="57" t="s">
        <v>471</v>
      </c>
      <c r="D162" s="58" t="s">
        <v>693</v>
      </c>
      <c r="E162" s="58" t="s">
        <v>693</v>
      </c>
      <c r="F162" s="58" t="s">
        <v>471</v>
      </c>
      <c r="G162" s="57" t="s">
        <v>140</v>
      </c>
      <c r="H162" s="39">
        <f>SUMPRODUCT(SUMIF(SurtaxRatesSAS!$B$2:$B$324,$C162:$E162,SurtaxRatesSAS!$E$2:$E$324))</f>
        <v>0</v>
      </c>
      <c r="I162" s="39">
        <f>SUMPRODUCT(SUMIF(SurtaxRatesSAS!$B$2:$B$324,$C162:$E162,SurtaxRatesSAS!$D$2:$D$324))</f>
        <v>1</v>
      </c>
      <c r="J162" s="38"/>
      <c r="K162" s="39">
        <f>SUMPRODUCT(SUMIF(SurtaxRatesSAS!$B$2:$B$324,$C162:$E162,SurtaxRatesSAS!$G$2:$G$324))</f>
        <v>46696.31</v>
      </c>
      <c r="L162" s="39">
        <f>SUMPRODUCT(SUMIF(SurtaxRatesSAS!$B$2:$B$324,$C162:$E162,SurtaxRatesSAS!$H$2:$H$324))</f>
        <v>0</v>
      </c>
      <c r="M162" s="39">
        <f>SUMPRODUCT(SUMIF(SurtaxRatesSAS!$B$2:$B$324,$C162:$E162,SurtaxRatesSAS!$I$2:$I$324))</f>
        <v>46696.31</v>
      </c>
      <c r="N162" s="38"/>
      <c r="O162" s="39" t="e">
        <f>SUMPRODUCT(SUMIF(SurtaxRatesSAS!$B$2:$B$324,$C162:$E162,SurtaxRatesSAS!$L$2:$L$324))</f>
        <v>#REF!</v>
      </c>
      <c r="P162" s="39" t="e">
        <f>SUMPRODUCT(SUMIF(SurtaxRatesSAS!$B$2:$B$324,$C162:$E162,SurtaxRatesSAS!$M$2:$M$324))</f>
        <v>#REF!</v>
      </c>
      <c r="Q162" s="39" t="e">
        <f>SUMPRODUCT(SUMIF(SurtaxRatesSAS!$B$2:$B$324,$C162:$E162,SurtaxRatesSAS!$N$2:$N$324))</f>
        <v>#REF!</v>
      </c>
      <c r="R162" s="38"/>
      <c r="S162" s="39" t="e">
        <f t="shared" si="6"/>
        <v>#REF!</v>
      </c>
      <c r="T162" s="39" t="e">
        <f t="shared" si="7"/>
        <v>#REF!</v>
      </c>
      <c r="U162" s="39" t="e">
        <f t="shared" si="8"/>
        <v>#REF!</v>
      </c>
      <c r="V162" s="29"/>
      <c r="W162" s="31" t="str">
        <f>IF(K162&gt;0,INDEX(cfo!$C$2:$I$326,MATCH(SurtaxPayment!C162,cfo!$C$2:$C$326,0),7),"")</f>
        <v>millerm@lb-eagles.org</v>
      </c>
      <c r="X162" s="31" t="str">
        <f>IF(IF(K162&gt;0,INDEX(cfo!$C$2:$K$326,MATCH(SurtaxPayment!C162,cfo!$C$2:$C$326,0),9),"")=0,"",IF(K162&gt;0,INDEX(cfo!$C$2:$K$326,MATCH(SurtaxPayment!C162,cfo!$C$2:$C$326,0),9),""))</f>
        <v/>
      </c>
    </row>
    <row r="163" spans="1:24" x14ac:dyDescent="0.25">
      <c r="A163" s="52">
        <v>2025</v>
      </c>
      <c r="B163" s="52" t="s">
        <v>660</v>
      </c>
      <c r="C163" s="57" t="s">
        <v>473</v>
      </c>
      <c r="D163" s="58" t="s">
        <v>693</v>
      </c>
      <c r="E163" s="58" t="s">
        <v>693</v>
      </c>
      <c r="F163" s="58" t="s">
        <v>473</v>
      </c>
      <c r="G163" s="57" t="s">
        <v>719</v>
      </c>
      <c r="H163" s="39">
        <f>SUMPRODUCT(SUMIF(SurtaxRatesSAS!$B$2:$B$324,$C163:$E163,SurtaxRatesSAS!$E$2:$E$324))</f>
        <v>0</v>
      </c>
      <c r="I163" s="39">
        <f>SUMPRODUCT(SUMIF(SurtaxRatesSAS!$B$2:$B$324,$C163:$E163,SurtaxRatesSAS!$D$2:$D$324))</f>
        <v>0</v>
      </c>
      <c r="J163" s="38"/>
      <c r="K163" s="39">
        <f>SUMPRODUCT(SUMIF(SurtaxRatesSAS!$B$2:$B$324,$C163:$E163,SurtaxRatesSAS!$G$2:$G$324))</f>
        <v>0</v>
      </c>
      <c r="L163" s="39">
        <f>SUMPRODUCT(SUMIF(SurtaxRatesSAS!$B$2:$B$324,$C163:$E163,SurtaxRatesSAS!$H$2:$H$324))</f>
        <v>0</v>
      </c>
      <c r="M163" s="39">
        <f>SUMPRODUCT(SUMIF(SurtaxRatesSAS!$B$2:$B$324,$C163:$E163,SurtaxRatesSAS!$I$2:$I$324))</f>
        <v>0</v>
      </c>
      <c r="N163" s="38"/>
      <c r="O163" s="39">
        <f>SUMPRODUCT(SUMIF(SurtaxRatesSAS!$B$2:$B$324,$C163:$E163,SurtaxRatesSAS!$L$2:$L$324))</f>
        <v>0</v>
      </c>
      <c r="P163" s="39">
        <f>SUMPRODUCT(SUMIF(SurtaxRatesSAS!$B$2:$B$324,$C163:$E163,SurtaxRatesSAS!$M$2:$M$324))</f>
        <v>0</v>
      </c>
      <c r="Q163" s="39">
        <f>SUMPRODUCT(SUMIF(SurtaxRatesSAS!$B$2:$B$324,$C163:$E163,SurtaxRatesSAS!$N$2:$N$324))</f>
        <v>0</v>
      </c>
      <c r="R163" s="38"/>
      <c r="S163" s="39">
        <f t="shared" si="6"/>
        <v>0</v>
      </c>
      <c r="T163" s="39">
        <f t="shared" si="7"/>
        <v>0</v>
      </c>
      <c r="U163" s="39">
        <f t="shared" si="8"/>
        <v>0</v>
      </c>
      <c r="V163" s="29"/>
      <c r="W163" s="31" t="str">
        <f>IF(K163&gt;0,INDEX(cfo!$C$2:$I$326,MATCH(SurtaxPayment!C163,cfo!$C$2:$C$326,0),7),"")</f>
        <v/>
      </c>
      <c r="X163" s="31" t="str">
        <f>IF(IF(K163&gt;0,INDEX(cfo!$C$2:$K$326,MATCH(SurtaxPayment!C163,cfo!$C$2:$C$326,0),9),"")=0,"",IF(K163&gt;0,INDEX(cfo!$C$2:$K$326,MATCH(SurtaxPayment!C163,cfo!$C$2:$C$326,0),9),""))</f>
        <v/>
      </c>
    </row>
    <row r="164" spans="1:24" x14ac:dyDescent="0.25">
      <c r="A164" s="52">
        <v>2025</v>
      </c>
      <c r="B164" s="52" t="s">
        <v>659</v>
      </c>
      <c r="C164" s="57" t="s">
        <v>474</v>
      </c>
      <c r="D164" s="58" t="s">
        <v>693</v>
      </c>
      <c r="E164" s="58" t="s">
        <v>693</v>
      </c>
      <c r="F164" s="58" t="s">
        <v>474</v>
      </c>
      <c r="G164" s="57" t="s">
        <v>141</v>
      </c>
      <c r="H164" s="39">
        <f>SUMPRODUCT(SUMIF(SurtaxRatesSAS!$B$2:$B$324,$C164:$E164,SurtaxRatesSAS!$E$2:$E$324))</f>
        <v>1</v>
      </c>
      <c r="I164" s="39">
        <f>SUMPRODUCT(SUMIF(SurtaxRatesSAS!$B$2:$B$324,$C164:$E164,SurtaxRatesSAS!$D$2:$D$324))</f>
        <v>1</v>
      </c>
      <c r="J164" s="38"/>
      <c r="K164" s="39">
        <f>SUMPRODUCT(SUMIF(SurtaxRatesSAS!$B$2:$B$324,$C164:$E164,SurtaxRatesSAS!$G$2:$G$324))</f>
        <v>42128.85</v>
      </c>
      <c r="L164" s="39">
        <f>SUMPRODUCT(SUMIF(SurtaxRatesSAS!$B$2:$B$324,$C164:$E164,SurtaxRatesSAS!$H$2:$H$324))</f>
        <v>21064.43</v>
      </c>
      <c r="M164" s="39">
        <f>SUMPRODUCT(SUMIF(SurtaxRatesSAS!$B$2:$B$324,$C164:$E164,SurtaxRatesSAS!$I$2:$I$324))</f>
        <v>21064.42</v>
      </c>
      <c r="N164" s="38"/>
      <c r="O164" s="39" t="e">
        <f>SUMPRODUCT(SUMIF(SurtaxRatesSAS!$B$2:$B$324,$C164:$E164,SurtaxRatesSAS!$L$2:$L$324))</f>
        <v>#REF!</v>
      </c>
      <c r="P164" s="39" t="e">
        <f>SUMPRODUCT(SUMIF(SurtaxRatesSAS!$B$2:$B$324,$C164:$E164,SurtaxRatesSAS!$M$2:$M$324))</f>
        <v>#REF!</v>
      </c>
      <c r="Q164" s="39" t="e">
        <f>SUMPRODUCT(SUMIF(SurtaxRatesSAS!$B$2:$B$324,$C164:$E164,SurtaxRatesSAS!$N$2:$N$324))</f>
        <v>#REF!</v>
      </c>
      <c r="R164" s="38"/>
      <c r="S164" s="39" t="e">
        <f t="shared" si="6"/>
        <v>#REF!</v>
      </c>
      <c r="T164" s="39" t="e">
        <f t="shared" si="7"/>
        <v>#REF!</v>
      </c>
      <c r="U164" s="39" t="e">
        <f t="shared" si="8"/>
        <v>#REF!</v>
      </c>
      <c r="V164" s="29"/>
      <c r="W164" s="31" t="str">
        <f>IF(K164&gt;0,INDEX(cfo!$C$2:$I$326,MATCH(SurtaxPayment!C164,cfo!$C$2:$C$326,0),7),"")</f>
        <v>mdouglas@lenoxschools.org</v>
      </c>
      <c r="X164" s="31" t="str">
        <f>IF(IF(K164&gt;0,INDEX(cfo!$C$2:$K$326,MATCH(SurtaxPayment!C164,cfo!$C$2:$C$326,0),9),"")=0,"",IF(K164&gt;0,INDEX(cfo!$C$2:$K$326,MATCH(SurtaxPayment!C164,cfo!$C$2:$C$326,0),9),""))</f>
        <v>phorton@lenoxschools.org</v>
      </c>
    </row>
    <row r="165" spans="1:24" x14ac:dyDescent="0.25">
      <c r="A165" s="52">
        <v>2025</v>
      </c>
      <c r="B165" s="52" t="s">
        <v>659</v>
      </c>
      <c r="C165" s="57" t="s">
        <v>475</v>
      </c>
      <c r="D165" s="58" t="s">
        <v>693</v>
      </c>
      <c r="E165" s="58" t="s">
        <v>693</v>
      </c>
      <c r="F165" s="58" t="s">
        <v>475</v>
      </c>
      <c r="G165" s="57" t="s">
        <v>142</v>
      </c>
      <c r="H165" s="39">
        <f>SUMPRODUCT(SUMIF(SurtaxRatesSAS!$B$2:$B$324,$C165:$E165,SurtaxRatesSAS!$E$2:$E$324))</f>
        <v>0</v>
      </c>
      <c r="I165" s="39">
        <f>SUMPRODUCT(SUMIF(SurtaxRatesSAS!$B$2:$B$324,$C165:$E165,SurtaxRatesSAS!$D$2:$D$324))</f>
        <v>2</v>
      </c>
      <c r="J165" s="38"/>
      <c r="K165" s="39">
        <f>SUMPRODUCT(SUMIF(SurtaxRatesSAS!$B$2:$B$324,$C165:$E165,SurtaxRatesSAS!$G$2:$G$324))</f>
        <v>245544.38</v>
      </c>
      <c r="L165" s="39">
        <f>SUMPRODUCT(SUMIF(SurtaxRatesSAS!$B$2:$B$324,$C165:$E165,SurtaxRatesSAS!$H$2:$H$324))</f>
        <v>0</v>
      </c>
      <c r="M165" s="39">
        <f>SUMPRODUCT(SUMIF(SurtaxRatesSAS!$B$2:$B$324,$C165:$E165,SurtaxRatesSAS!$I$2:$I$324))</f>
        <v>245544.38</v>
      </c>
      <c r="N165" s="38"/>
      <c r="O165" s="39" t="e">
        <f>SUMPRODUCT(SUMIF(SurtaxRatesSAS!$B$2:$B$324,$C165:$E165,SurtaxRatesSAS!$L$2:$L$324))</f>
        <v>#REF!</v>
      </c>
      <c r="P165" s="39" t="e">
        <f>SUMPRODUCT(SUMIF(SurtaxRatesSAS!$B$2:$B$324,$C165:$E165,SurtaxRatesSAS!$M$2:$M$324))</f>
        <v>#REF!</v>
      </c>
      <c r="Q165" s="39" t="e">
        <f>SUMPRODUCT(SUMIF(SurtaxRatesSAS!$B$2:$B$324,$C165:$E165,SurtaxRatesSAS!$N$2:$N$324))</f>
        <v>#REF!</v>
      </c>
      <c r="R165" s="38"/>
      <c r="S165" s="39" t="e">
        <f t="shared" si="6"/>
        <v>#REF!</v>
      </c>
      <c r="T165" s="39" t="e">
        <f t="shared" si="7"/>
        <v>#REF!</v>
      </c>
      <c r="U165" s="39" t="e">
        <f t="shared" si="8"/>
        <v>#REF!</v>
      </c>
      <c r="V165" s="29"/>
      <c r="W165" s="31" t="str">
        <f>IF(K165&gt;0,INDEX(cfo!$C$2:$I$326,MATCH(SurtaxPayment!C165,cfo!$C$2:$C$326,0),7),"")</f>
        <v>andrea.raes@lewiscentral.org</v>
      </c>
      <c r="X165" s="31" t="str">
        <f>IF(IF(K165&gt;0,INDEX(cfo!$C$2:$K$326,MATCH(SurtaxPayment!C165,cfo!$C$2:$C$326,0),9),"")=0,"",IF(K165&gt;0,INDEX(cfo!$C$2:$K$326,MATCH(SurtaxPayment!C165,cfo!$C$2:$C$326,0),9),""))</f>
        <v/>
      </c>
    </row>
    <row r="166" spans="1:24" x14ac:dyDescent="0.25">
      <c r="A166" s="52">
        <v>2025</v>
      </c>
      <c r="B166" s="52" t="s">
        <v>663</v>
      </c>
      <c r="C166" s="57" t="s">
        <v>477</v>
      </c>
      <c r="D166" s="58" t="s">
        <v>693</v>
      </c>
      <c r="E166" s="58" t="s">
        <v>693</v>
      </c>
      <c r="F166" s="58" t="s">
        <v>477</v>
      </c>
      <c r="G166" s="57" t="s">
        <v>720</v>
      </c>
      <c r="H166" s="39">
        <f>SUMPRODUCT(SUMIF(SurtaxRatesSAS!$B$2:$B$324,$C166:$E166,SurtaxRatesSAS!$E$2:$E$324))</f>
        <v>0</v>
      </c>
      <c r="I166" s="39">
        <f>SUMPRODUCT(SUMIF(SurtaxRatesSAS!$B$2:$B$324,$C166:$E166,SurtaxRatesSAS!$D$2:$D$324))</f>
        <v>0</v>
      </c>
      <c r="J166" s="38"/>
      <c r="K166" s="39">
        <f>SUMPRODUCT(SUMIF(SurtaxRatesSAS!$B$2:$B$324,$C166:$E166,SurtaxRatesSAS!$G$2:$G$324))</f>
        <v>0</v>
      </c>
      <c r="L166" s="39">
        <f>SUMPRODUCT(SUMIF(SurtaxRatesSAS!$B$2:$B$324,$C166:$E166,SurtaxRatesSAS!$H$2:$H$324))</f>
        <v>0</v>
      </c>
      <c r="M166" s="39">
        <f>SUMPRODUCT(SUMIF(SurtaxRatesSAS!$B$2:$B$324,$C166:$E166,SurtaxRatesSAS!$I$2:$I$324))</f>
        <v>0</v>
      </c>
      <c r="N166" s="38"/>
      <c r="O166" s="39">
        <f>SUMPRODUCT(SUMIF(SurtaxRatesSAS!$B$2:$B$324,$C166:$E166,SurtaxRatesSAS!$L$2:$L$324))</f>
        <v>0</v>
      </c>
      <c r="P166" s="39">
        <f>SUMPRODUCT(SUMIF(SurtaxRatesSAS!$B$2:$B$324,$C166:$E166,SurtaxRatesSAS!$M$2:$M$324))</f>
        <v>0</v>
      </c>
      <c r="Q166" s="39">
        <f>SUMPRODUCT(SUMIF(SurtaxRatesSAS!$B$2:$B$324,$C166:$E166,SurtaxRatesSAS!$N$2:$N$324))</f>
        <v>0</v>
      </c>
      <c r="R166" s="38"/>
      <c r="S166" s="39">
        <f t="shared" si="6"/>
        <v>0</v>
      </c>
      <c r="T166" s="39">
        <f t="shared" si="7"/>
        <v>0</v>
      </c>
      <c r="U166" s="39">
        <f t="shared" si="8"/>
        <v>0</v>
      </c>
      <c r="V166" s="29"/>
      <c r="W166" s="31" t="str">
        <f>IF(K166&gt;0,INDEX(cfo!$C$2:$I$326,MATCH(SurtaxPayment!C166,cfo!$C$2:$C$326,0),7),"")</f>
        <v/>
      </c>
      <c r="X166" s="31" t="str">
        <f>IF(IF(K166&gt;0,INDEX(cfo!$C$2:$K$326,MATCH(SurtaxPayment!C166,cfo!$C$2:$C$326,0),9),"")=0,"",IF(K166&gt;0,INDEX(cfo!$C$2:$K$326,MATCH(SurtaxPayment!C166,cfo!$C$2:$C$326,0),9),""))</f>
        <v/>
      </c>
    </row>
    <row r="167" spans="1:24" x14ac:dyDescent="0.25">
      <c r="A167" s="52">
        <v>2025</v>
      </c>
      <c r="B167" s="52" t="s">
        <v>663</v>
      </c>
      <c r="C167" s="57" t="s">
        <v>478</v>
      </c>
      <c r="D167" s="58" t="s">
        <v>693</v>
      </c>
      <c r="E167" s="58" t="s">
        <v>693</v>
      </c>
      <c r="F167" s="58" t="s">
        <v>478</v>
      </c>
      <c r="G167" s="57" t="s">
        <v>143</v>
      </c>
      <c r="H167" s="39">
        <f>SUMPRODUCT(SUMIF(SurtaxRatesSAS!$B$2:$B$324,$C167:$E167,SurtaxRatesSAS!$E$2:$E$324))</f>
        <v>0</v>
      </c>
      <c r="I167" s="39">
        <f>SUMPRODUCT(SUMIF(SurtaxRatesSAS!$B$2:$B$324,$C167:$E167,SurtaxRatesSAS!$D$2:$D$324))</f>
        <v>2</v>
      </c>
      <c r="J167" s="38"/>
      <c r="K167" s="39">
        <f>SUMPRODUCT(SUMIF(SurtaxRatesSAS!$B$2:$B$324,$C167:$E167,SurtaxRatesSAS!$G$2:$G$324))</f>
        <v>85574.19</v>
      </c>
      <c r="L167" s="39">
        <f>SUMPRODUCT(SUMIF(SurtaxRatesSAS!$B$2:$B$324,$C167:$E167,SurtaxRatesSAS!$H$2:$H$324))</f>
        <v>0</v>
      </c>
      <c r="M167" s="39">
        <f>SUMPRODUCT(SUMIF(SurtaxRatesSAS!$B$2:$B$324,$C167:$E167,SurtaxRatesSAS!$I$2:$I$324))</f>
        <v>85574.19</v>
      </c>
      <c r="N167" s="38"/>
      <c r="O167" s="39" t="e">
        <f>SUMPRODUCT(SUMIF(SurtaxRatesSAS!$B$2:$B$324,$C167:$E167,SurtaxRatesSAS!$L$2:$L$324))</f>
        <v>#REF!</v>
      </c>
      <c r="P167" s="39" t="e">
        <f>SUMPRODUCT(SUMIF(SurtaxRatesSAS!$B$2:$B$324,$C167:$E167,SurtaxRatesSAS!$M$2:$M$324))</f>
        <v>#REF!</v>
      </c>
      <c r="Q167" s="39" t="e">
        <f>SUMPRODUCT(SUMIF(SurtaxRatesSAS!$B$2:$B$324,$C167:$E167,SurtaxRatesSAS!$N$2:$N$324))</f>
        <v>#REF!</v>
      </c>
      <c r="R167" s="38"/>
      <c r="S167" s="39" t="e">
        <f t="shared" si="6"/>
        <v>#REF!</v>
      </c>
      <c r="T167" s="39" t="e">
        <f t="shared" si="7"/>
        <v>#REF!</v>
      </c>
      <c r="U167" s="39" t="e">
        <f t="shared" si="8"/>
        <v>#REF!</v>
      </c>
      <c r="V167" s="29"/>
      <c r="W167" s="31" t="str">
        <f>IF(K167&gt;0,INDEX(cfo!$C$2:$I$326,MATCH(SurtaxPayment!C167,cfo!$C$2:$C$326,0),7),"")</f>
        <v>smatus@lisbon.k12.ia.us</v>
      </c>
      <c r="X167" s="31" t="str">
        <f>IF(IF(K167&gt;0,INDEX(cfo!$C$2:$K$326,MATCH(SurtaxPayment!C167,cfo!$C$2:$C$326,0),9),"")=0,"",IF(K167&gt;0,INDEX(cfo!$C$2:$K$326,MATCH(SurtaxPayment!C167,cfo!$C$2:$C$326,0),9),""))</f>
        <v/>
      </c>
    </row>
    <row r="168" spans="1:24" x14ac:dyDescent="0.25">
      <c r="A168" s="52">
        <v>2025</v>
      </c>
      <c r="B168" s="52" t="s">
        <v>659</v>
      </c>
      <c r="C168" s="57" t="s">
        <v>479</v>
      </c>
      <c r="D168" s="58" t="s">
        <v>693</v>
      </c>
      <c r="E168" s="58" t="s">
        <v>693</v>
      </c>
      <c r="F168" s="58" t="s">
        <v>479</v>
      </c>
      <c r="G168" s="57" t="s">
        <v>144</v>
      </c>
      <c r="H168" s="39">
        <f>SUMPRODUCT(SUMIF(SurtaxRatesSAS!$B$2:$B$324,$C168:$E168,SurtaxRatesSAS!$E$2:$E$324))</f>
        <v>0</v>
      </c>
      <c r="I168" s="39">
        <f>SUMPRODUCT(SUMIF(SurtaxRatesSAS!$B$2:$B$324,$C168:$E168,SurtaxRatesSAS!$D$2:$D$324))</f>
        <v>7</v>
      </c>
      <c r="J168" s="38"/>
      <c r="K168" s="39">
        <f>SUMPRODUCT(SUMIF(SurtaxRatesSAS!$B$2:$B$324,$C168:$E168,SurtaxRatesSAS!$G$2:$G$324))</f>
        <v>170187.12</v>
      </c>
      <c r="L168" s="39">
        <f>SUMPRODUCT(SUMIF(SurtaxRatesSAS!$B$2:$B$324,$C168:$E168,SurtaxRatesSAS!$H$2:$H$324))</f>
        <v>0</v>
      </c>
      <c r="M168" s="39">
        <f>SUMPRODUCT(SUMIF(SurtaxRatesSAS!$B$2:$B$324,$C168:$E168,SurtaxRatesSAS!$I$2:$I$324))</f>
        <v>170187.12</v>
      </c>
      <c r="N168" s="38"/>
      <c r="O168" s="39" t="e">
        <f>SUMPRODUCT(SUMIF(SurtaxRatesSAS!$B$2:$B$324,$C168:$E168,SurtaxRatesSAS!$L$2:$L$324))</f>
        <v>#REF!</v>
      </c>
      <c r="P168" s="39" t="e">
        <f>SUMPRODUCT(SUMIF(SurtaxRatesSAS!$B$2:$B$324,$C168:$E168,SurtaxRatesSAS!$M$2:$M$324))</f>
        <v>#REF!</v>
      </c>
      <c r="Q168" s="39" t="e">
        <f>SUMPRODUCT(SUMIF(SurtaxRatesSAS!$B$2:$B$324,$C168:$E168,SurtaxRatesSAS!$N$2:$N$324))</f>
        <v>#REF!</v>
      </c>
      <c r="R168" s="38"/>
      <c r="S168" s="39" t="e">
        <f t="shared" si="6"/>
        <v>#REF!</v>
      </c>
      <c r="T168" s="39" t="e">
        <f t="shared" si="7"/>
        <v>#REF!</v>
      </c>
      <c r="U168" s="39" t="e">
        <f t="shared" si="8"/>
        <v>#REF!</v>
      </c>
      <c r="V168" s="29"/>
      <c r="W168" s="31" t="str">
        <f>IF(K168&gt;0,INDEX(cfo!$C$2:$I$326,MATCH(SurtaxPayment!C168,cfo!$C$2:$C$326,0),7),"")</f>
        <v>dmikels@lomaschools.org</v>
      </c>
      <c r="X168" s="31" t="str">
        <f>IF(IF(K168&gt;0,INDEX(cfo!$C$2:$K$326,MATCH(SurtaxPayment!C168,cfo!$C$2:$C$326,0),9),"")=0,"",IF(K168&gt;0,INDEX(cfo!$C$2:$K$326,MATCH(SurtaxPayment!C168,cfo!$C$2:$C$326,0),9),""))</f>
        <v/>
      </c>
    </row>
    <row r="169" spans="1:24" x14ac:dyDescent="0.25">
      <c r="A169" s="52">
        <v>2025</v>
      </c>
      <c r="B169" s="52" t="s">
        <v>663</v>
      </c>
      <c r="C169" s="57" t="s">
        <v>480</v>
      </c>
      <c r="D169" s="58" t="s">
        <v>693</v>
      </c>
      <c r="E169" s="58" t="s">
        <v>693</v>
      </c>
      <c r="F169" s="58" t="s">
        <v>480</v>
      </c>
      <c r="G169" s="57" t="s">
        <v>145</v>
      </c>
      <c r="H169" s="39">
        <f>SUMPRODUCT(SUMIF(SurtaxRatesSAS!$B$2:$B$324,$C169:$E169,SurtaxRatesSAS!$E$2:$E$324))</f>
        <v>1</v>
      </c>
      <c r="I169" s="39">
        <f>SUMPRODUCT(SUMIF(SurtaxRatesSAS!$B$2:$B$324,$C169:$E169,SurtaxRatesSAS!$D$2:$D$324))</f>
        <v>7</v>
      </c>
      <c r="J169" s="38"/>
      <c r="K169" s="39">
        <f>SUMPRODUCT(SUMIF(SurtaxRatesSAS!$B$2:$B$324,$C169:$E169,SurtaxRatesSAS!$G$2:$G$324))</f>
        <v>196860.53</v>
      </c>
      <c r="L169" s="39">
        <f>SUMPRODUCT(SUMIF(SurtaxRatesSAS!$B$2:$B$324,$C169:$E169,SurtaxRatesSAS!$H$2:$H$324))</f>
        <v>24607.57</v>
      </c>
      <c r="M169" s="39">
        <f>SUMPRODUCT(SUMIF(SurtaxRatesSAS!$B$2:$B$324,$C169:$E169,SurtaxRatesSAS!$I$2:$I$324))</f>
        <v>172252.96</v>
      </c>
      <c r="N169" s="38"/>
      <c r="O169" s="39" t="e">
        <f>SUMPRODUCT(SUMIF(SurtaxRatesSAS!$B$2:$B$324,$C169:$E169,SurtaxRatesSAS!$L$2:$L$324))</f>
        <v>#REF!</v>
      </c>
      <c r="P169" s="39" t="e">
        <f>SUMPRODUCT(SUMIF(SurtaxRatesSAS!$B$2:$B$324,$C169:$E169,SurtaxRatesSAS!$M$2:$M$324))</f>
        <v>#REF!</v>
      </c>
      <c r="Q169" s="39" t="e">
        <f>SUMPRODUCT(SUMIF(SurtaxRatesSAS!$B$2:$B$324,$C169:$E169,SurtaxRatesSAS!$N$2:$N$324))</f>
        <v>#REF!</v>
      </c>
      <c r="R169" s="38"/>
      <c r="S169" s="39" t="e">
        <f t="shared" si="6"/>
        <v>#REF!</v>
      </c>
      <c r="T169" s="39" t="e">
        <f t="shared" si="7"/>
        <v>#REF!</v>
      </c>
      <c r="U169" s="39" t="e">
        <f t="shared" si="8"/>
        <v>#REF!</v>
      </c>
      <c r="V169" s="29"/>
      <c r="W169" s="31" t="str">
        <f>IF(K169&gt;0,INDEX(cfo!$C$2:$I$326,MATCH(SurtaxPayment!C169,cfo!$C$2:$C$326,0),7),"")</f>
        <v>stharp@lonetreecsd.org</v>
      </c>
      <c r="X169" s="31" t="str">
        <f>IF(IF(K169&gt;0,INDEX(cfo!$C$2:$K$326,MATCH(SurtaxPayment!C169,cfo!$C$2:$C$326,0),9),"")=0,"",IF(K169&gt;0,INDEX(cfo!$C$2:$K$326,MATCH(SurtaxPayment!C169,cfo!$C$2:$C$326,0),9),""))</f>
        <v/>
      </c>
    </row>
    <row r="170" spans="1:24" x14ac:dyDescent="0.25">
      <c r="A170" s="52">
        <v>2025</v>
      </c>
      <c r="B170" s="52" t="s">
        <v>666</v>
      </c>
      <c r="C170" s="57" t="s">
        <v>481</v>
      </c>
      <c r="D170" s="58" t="s">
        <v>693</v>
      </c>
      <c r="E170" s="58" t="s">
        <v>693</v>
      </c>
      <c r="F170" s="58" t="s">
        <v>481</v>
      </c>
      <c r="G170" s="57" t="s">
        <v>146</v>
      </c>
      <c r="H170" s="39">
        <f>SUMPRODUCT(SUMIF(SurtaxRatesSAS!$B$2:$B$324,$C170:$E170,SurtaxRatesSAS!$E$2:$E$324))</f>
        <v>0</v>
      </c>
      <c r="I170" s="39">
        <f>SUMPRODUCT(SUMIF(SurtaxRatesSAS!$B$2:$B$324,$C170:$E170,SurtaxRatesSAS!$D$2:$D$324))</f>
        <v>8</v>
      </c>
      <c r="J170" s="38"/>
      <c r="K170" s="39">
        <f>SUMPRODUCT(SUMIF(SurtaxRatesSAS!$B$2:$B$324,$C170:$E170,SurtaxRatesSAS!$G$2:$G$324))</f>
        <v>351343.14</v>
      </c>
      <c r="L170" s="39">
        <f>SUMPRODUCT(SUMIF(SurtaxRatesSAS!$B$2:$B$324,$C170:$E170,SurtaxRatesSAS!$H$2:$H$324))</f>
        <v>0</v>
      </c>
      <c r="M170" s="39">
        <f>SUMPRODUCT(SUMIF(SurtaxRatesSAS!$B$2:$B$324,$C170:$E170,SurtaxRatesSAS!$I$2:$I$324))</f>
        <v>351343.14</v>
      </c>
      <c r="N170" s="38"/>
      <c r="O170" s="39" t="e">
        <f>SUMPRODUCT(SUMIF(SurtaxRatesSAS!$B$2:$B$324,$C170:$E170,SurtaxRatesSAS!$L$2:$L$324))</f>
        <v>#REF!</v>
      </c>
      <c r="P170" s="39" t="e">
        <f>SUMPRODUCT(SUMIF(SurtaxRatesSAS!$B$2:$B$324,$C170:$E170,SurtaxRatesSAS!$M$2:$M$324))</f>
        <v>#REF!</v>
      </c>
      <c r="Q170" s="39" t="e">
        <f>SUMPRODUCT(SUMIF(SurtaxRatesSAS!$B$2:$B$324,$C170:$E170,SurtaxRatesSAS!$N$2:$N$324))</f>
        <v>#REF!</v>
      </c>
      <c r="R170" s="38"/>
      <c r="S170" s="39" t="e">
        <f t="shared" si="6"/>
        <v>#REF!</v>
      </c>
      <c r="T170" s="39" t="e">
        <f t="shared" si="7"/>
        <v>#REF!</v>
      </c>
      <c r="U170" s="39" t="e">
        <f t="shared" si="8"/>
        <v>#REF!</v>
      </c>
      <c r="V170" s="29"/>
      <c r="W170" s="31" t="str">
        <f>IF(K170&gt;0,INDEX(cfo!$C$2:$I$326,MATCH(SurtaxPayment!C170,cfo!$C$2:$C$326,0),7),"")</f>
        <v>cdomer@lmcsd.org</v>
      </c>
      <c r="X170" s="31" t="str">
        <f>IF(IF(K170&gt;0,INDEX(cfo!$C$2:$K$326,MATCH(SurtaxPayment!C170,cfo!$C$2:$C$326,0),9),"")=0,"",IF(K170&gt;0,INDEX(cfo!$C$2:$K$326,MATCH(SurtaxPayment!C170,cfo!$C$2:$C$326,0),9),""))</f>
        <v/>
      </c>
    </row>
    <row r="171" spans="1:24" x14ac:dyDescent="0.25">
      <c r="A171" s="52">
        <v>2025</v>
      </c>
      <c r="B171" s="52" t="s">
        <v>657</v>
      </c>
      <c r="C171" s="57" t="s">
        <v>483</v>
      </c>
      <c r="D171" s="58" t="s">
        <v>693</v>
      </c>
      <c r="E171" s="58" t="s">
        <v>693</v>
      </c>
      <c r="F171" s="58" t="s">
        <v>483</v>
      </c>
      <c r="G171" s="57" t="s">
        <v>148</v>
      </c>
      <c r="H171" s="39">
        <f>SUMPRODUCT(SUMIF(SurtaxRatesSAS!$B$2:$B$324,$C171:$E171,SurtaxRatesSAS!$E$2:$E$324))</f>
        <v>1</v>
      </c>
      <c r="I171" s="39">
        <f>SUMPRODUCT(SUMIF(SurtaxRatesSAS!$B$2:$B$324,$C171:$E171,SurtaxRatesSAS!$D$2:$D$324))</f>
        <v>5</v>
      </c>
      <c r="J171" s="38"/>
      <c r="K171" s="39">
        <f>SUMPRODUCT(SUMIF(SurtaxRatesSAS!$B$2:$B$324,$C171:$E171,SurtaxRatesSAS!$G$2:$G$324))</f>
        <v>289533.90000000002</v>
      </c>
      <c r="L171" s="39">
        <f>SUMPRODUCT(SUMIF(SurtaxRatesSAS!$B$2:$B$324,$C171:$E171,SurtaxRatesSAS!$H$2:$H$324))</f>
        <v>48255.65</v>
      </c>
      <c r="M171" s="39">
        <f>SUMPRODUCT(SUMIF(SurtaxRatesSAS!$B$2:$B$324,$C171:$E171,SurtaxRatesSAS!$I$2:$I$324))</f>
        <v>241278.25000000003</v>
      </c>
      <c r="N171" s="38"/>
      <c r="O171" s="39" t="e">
        <f>SUMPRODUCT(SUMIF(SurtaxRatesSAS!$B$2:$B$324,$C171:$E171,SurtaxRatesSAS!$L$2:$L$324))</f>
        <v>#REF!</v>
      </c>
      <c r="P171" s="39" t="e">
        <f>SUMPRODUCT(SUMIF(SurtaxRatesSAS!$B$2:$B$324,$C171:$E171,SurtaxRatesSAS!$M$2:$M$324))</f>
        <v>#REF!</v>
      </c>
      <c r="Q171" s="39" t="e">
        <f>SUMPRODUCT(SUMIF(SurtaxRatesSAS!$B$2:$B$324,$C171:$E171,SurtaxRatesSAS!$N$2:$N$324))</f>
        <v>#REF!</v>
      </c>
      <c r="R171" s="38"/>
      <c r="S171" s="39" t="e">
        <f t="shared" si="6"/>
        <v>#REF!</v>
      </c>
      <c r="T171" s="39" t="e">
        <f t="shared" si="7"/>
        <v>#REF!</v>
      </c>
      <c r="U171" s="39" t="e">
        <f t="shared" si="8"/>
        <v>#REF!</v>
      </c>
      <c r="V171" s="29"/>
      <c r="W171" s="31" t="str">
        <f>IF(K171&gt;0,INDEX(cfo!$C$2:$I$326,MATCH(SurtaxPayment!C171,cfo!$C$2:$C$326,0),7),"")</f>
        <v>decook@lshawks.com</v>
      </c>
      <c r="X171" s="31" t="str">
        <f>IF(IF(K171&gt;0,INDEX(cfo!$C$2:$K$326,MATCH(SurtaxPayment!C171,cfo!$C$2:$C$326,0),9),"")=0,"",IF(K171&gt;0,INDEX(cfo!$C$2:$K$326,MATCH(SurtaxPayment!C171,cfo!$C$2:$C$326,0),9),""))</f>
        <v/>
      </c>
    </row>
    <row r="172" spans="1:24" x14ac:dyDescent="0.25">
      <c r="A172" s="52">
        <v>2025</v>
      </c>
      <c r="B172" s="52" t="s">
        <v>657</v>
      </c>
      <c r="C172" s="57" t="s">
        <v>484</v>
      </c>
      <c r="D172" s="58" t="s">
        <v>693</v>
      </c>
      <c r="E172" s="58" t="s">
        <v>693</v>
      </c>
      <c r="F172" s="58" t="s">
        <v>484</v>
      </c>
      <c r="G172" s="57" t="s">
        <v>149</v>
      </c>
      <c r="H172" s="39">
        <f>SUMPRODUCT(SUMIF(SurtaxRatesSAS!$B$2:$B$324,$C172:$E172,SurtaxRatesSAS!$E$2:$E$324))</f>
        <v>0</v>
      </c>
      <c r="I172" s="39">
        <f>SUMPRODUCT(SUMIF(SurtaxRatesSAS!$B$2:$B$324,$C172:$E172,SurtaxRatesSAS!$D$2:$D$324))</f>
        <v>4</v>
      </c>
      <c r="J172" s="38"/>
      <c r="K172" s="39">
        <f>SUMPRODUCT(SUMIF(SurtaxRatesSAS!$B$2:$B$324,$C172:$E172,SurtaxRatesSAS!$G$2:$G$324))</f>
        <v>188232.2</v>
      </c>
      <c r="L172" s="39">
        <f>SUMPRODUCT(SUMIF(SurtaxRatesSAS!$B$2:$B$324,$C172:$E172,SurtaxRatesSAS!$H$2:$H$324))</f>
        <v>0</v>
      </c>
      <c r="M172" s="39">
        <f>SUMPRODUCT(SUMIF(SurtaxRatesSAS!$B$2:$B$324,$C172:$E172,SurtaxRatesSAS!$I$2:$I$324))</f>
        <v>188232.2</v>
      </c>
      <c r="N172" s="38"/>
      <c r="O172" s="39" t="e">
        <f>SUMPRODUCT(SUMIF(SurtaxRatesSAS!$B$2:$B$324,$C172:$E172,SurtaxRatesSAS!$L$2:$L$324))</f>
        <v>#REF!</v>
      </c>
      <c r="P172" s="39" t="e">
        <f>SUMPRODUCT(SUMIF(SurtaxRatesSAS!$B$2:$B$324,$C172:$E172,SurtaxRatesSAS!$M$2:$M$324))</f>
        <v>#REF!</v>
      </c>
      <c r="Q172" s="39" t="e">
        <f>SUMPRODUCT(SUMIF(SurtaxRatesSAS!$B$2:$B$324,$C172:$E172,SurtaxRatesSAS!$N$2:$N$324))</f>
        <v>#REF!</v>
      </c>
      <c r="R172" s="38"/>
      <c r="S172" s="39" t="e">
        <f t="shared" si="6"/>
        <v>#REF!</v>
      </c>
      <c r="T172" s="39" t="e">
        <f t="shared" si="7"/>
        <v>#REF!</v>
      </c>
      <c r="U172" s="39" t="e">
        <f t="shared" si="8"/>
        <v>#REF!</v>
      </c>
      <c r="V172" s="29"/>
      <c r="W172" s="31" t="str">
        <f>IF(K172&gt;0,INDEX(cfo!$C$2:$I$326,MATCH(SurtaxPayment!C172,cfo!$C$2:$C$326,0),7),"")</f>
        <v>jcreasman@madrid.k12.ia.us</v>
      </c>
      <c r="X172" s="31" t="str">
        <f>IF(IF(K172&gt;0,INDEX(cfo!$C$2:$K$326,MATCH(SurtaxPayment!C172,cfo!$C$2:$C$326,0),9),"")=0,"",IF(K172&gt;0,INDEX(cfo!$C$2:$K$326,MATCH(SurtaxPayment!C172,cfo!$C$2:$C$326,0),9),""))</f>
        <v/>
      </c>
    </row>
    <row r="173" spans="1:24" x14ac:dyDescent="0.25">
      <c r="A173" s="52">
        <v>2025</v>
      </c>
      <c r="B173" s="52" t="s">
        <v>661</v>
      </c>
      <c r="C173" s="57" t="s">
        <v>486</v>
      </c>
      <c r="D173" s="58" t="s">
        <v>693</v>
      </c>
      <c r="E173" s="58" t="s">
        <v>693</v>
      </c>
      <c r="F173" s="58" t="s">
        <v>486</v>
      </c>
      <c r="G173" s="57" t="s">
        <v>150</v>
      </c>
      <c r="H173" s="39">
        <f>SUMPRODUCT(SUMIF(SurtaxRatesSAS!$B$2:$B$324,$C173:$E173,SurtaxRatesSAS!$E$2:$E$324))</f>
        <v>0</v>
      </c>
      <c r="I173" s="39">
        <f>SUMPRODUCT(SUMIF(SurtaxRatesSAS!$B$2:$B$324,$C173:$E173,SurtaxRatesSAS!$D$2:$D$324))</f>
        <v>6</v>
      </c>
      <c r="J173" s="38"/>
      <c r="K173" s="39">
        <f>SUMPRODUCT(SUMIF(SurtaxRatesSAS!$B$2:$B$324,$C173:$E173,SurtaxRatesSAS!$G$2:$G$324))</f>
        <v>305395.82</v>
      </c>
      <c r="L173" s="39">
        <f>SUMPRODUCT(SUMIF(SurtaxRatesSAS!$B$2:$B$324,$C173:$E173,SurtaxRatesSAS!$H$2:$H$324))</f>
        <v>0</v>
      </c>
      <c r="M173" s="39">
        <f>SUMPRODUCT(SUMIF(SurtaxRatesSAS!$B$2:$B$324,$C173:$E173,SurtaxRatesSAS!$I$2:$I$324))</f>
        <v>305395.82</v>
      </c>
      <c r="N173" s="38"/>
      <c r="O173" s="39" t="e">
        <f>SUMPRODUCT(SUMIF(SurtaxRatesSAS!$B$2:$B$324,$C173:$E173,SurtaxRatesSAS!$L$2:$L$324))</f>
        <v>#REF!</v>
      </c>
      <c r="P173" s="39" t="e">
        <f>SUMPRODUCT(SUMIF(SurtaxRatesSAS!$B$2:$B$324,$C173:$E173,SurtaxRatesSAS!$M$2:$M$324))</f>
        <v>#REF!</v>
      </c>
      <c r="Q173" s="39" t="e">
        <f>SUMPRODUCT(SUMIF(SurtaxRatesSAS!$B$2:$B$324,$C173:$E173,SurtaxRatesSAS!$N$2:$N$324))</f>
        <v>#REF!</v>
      </c>
      <c r="R173" s="38"/>
      <c r="S173" s="39" t="e">
        <f t="shared" si="6"/>
        <v>#REF!</v>
      </c>
      <c r="T173" s="39" t="e">
        <f t="shared" si="7"/>
        <v>#REF!</v>
      </c>
      <c r="U173" s="39" t="e">
        <f t="shared" si="8"/>
        <v>#REF!</v>
      </c>
      <c r="V173" s="29"/>
      <c r="W173" s="31" t="str">
        <f>IF(K173&gt;0,INDEX(cfo!$C$2:$I$326,MATCH(SurtaxPayment!C173,cfo!$C$2:$C$326,0),7),"")</f>
        <v>adavis@manson-nw.k12.ia.us</v>
      </c>
      <c r="X173" s="31" t="str">
        <f>IF(IF(K173&gt;0,INDEX(cfo!$C$2:$K$326,MATCH(SurtaxPayment!C173,cfo!$C$2:$C$326,0),9),"")=0,"",IF(K173&gt;0,INDEX(cfo!$C$2:$K$326,MATCH(SurtaxPayment!C173,cfo!$C$2:$C$326,0),9),""))</f>
        <v>aguarnaccia@manson-nw.k12.ia.us</v>
      </c>
    </row>
    <row r="174" spans="1:24" x14ac:dyDescent="0.25">
      <c r="A174" s="52">
        <v>2025</v>
      </c>
      <c r="B174" s="52" t="s">
        <v>660</v>
      </c>
      <c r="C174" s="57" t="s">
        <v>487</v>
      </c>
      <c r="D174" s="58" t="s">
        <v>693</v>
      </c>
      <c r="E174" s="58" t="s">
        <v>693</v>
      </c>
      <c r="F174" s="58" t="s">
        <v>487</v>
      </c>
      <c r="G174" s="57" t="s">
        <v>151</v>
      </c>
      <c r="H174" s="39">
        <f>SUMPRODUCT(SUMIF(SurtaxRatesSAS!$B$2:$B$324,$C174:$E174,SurtaxRatesSAS!$E$2:$E$324))</f>
        <v>0</v>
      </c>
      <c r="I174" s="39">
        <f>SUMPRODUCT(SUMIF(SurtaxRatesSAS!$B$2:$B$324,$C174:$E174,SurtaxRatesSAS!$D$2:$D$324))</f>
        <v>1</v>
      </c>
      <c r="J174" s="38"/>
      <c r="K174" s="39">
        <f>SUMPRODUCT(SUMIF(SurtaxRatesSAS!$B$2:$B$324,$C174:$E174,SurtaxRatesSAS!$G$2:$G$324))</f>
        <v>37822.18</v>
      </c>
      <c r="L174" s="39">
        <f>SUMPRODUCT(SUMIF(SurtaxRatesSAS!$B$2:$B$324,$C174:$E174,SurtaxRatesSAS!$H$2:$H$324))</f>
        <v>0</v>
      </c>
      <c r="M174" s="39">
        <f>SUMPRODUCT(SUMIF(SurtaxRatesSAS!$B$2:$B$324,$C174:$E174,SurtaxRatesSAS!$I$2:$I$324))</f>
        <v>37822.18</v>
      </c>
      <c r="N174" s="38"/>
      <c r="O174" s="39" t="e">
        <f>SUMPRODUCT(SUMIF(SurtaxRatesSAS!$B$2:$B$324,$C174:$E174,SurtaxRatesSAS!$L$2:$L$324))</f>
        <v>#REF!</v>
      </c>
      <c r="P174" s="39" t="e">
        <f>SUMPRODUCT(SUMIF(SurtaxRatesSAS!$B$2:$B$324,$C174:$E174,SurtaxRatesSAS!$M$2:$M$324))</f>
        <v>#REF!</v>
      </c>
      <c r="Q174" s="39" t="e">
        <f>SUMPRODUCT(SUMIF(SurtaxRatesSAS!$B$2:$B$324,$C174:$E174,SurtaxRatesSAS!$N$2:$N$324))</f>
        <v>#REF!</v>
      </c>
      <c r="R174" s="38"/>
      <c r="S174" s="39" t="e">
        <f t="shared" si="6"/>
        <v>#REF!</v>
      </c>
      <c r="T174" s="39" t="e">
        <f t="shared" si="7"/>
        <v>#REF!</v>
      </c>
      <c r="U174" s="39" t="e">
        <f t="shared" si="8"/>
        <v>#REF!</v>
      </c>
      <c r="V174" s="29"/>
      <c r="W174" s="31" t="str">
        <f>IF(K174&gt;0,INDEX(cfo!$C$2:$I$326,MATCH(SurtaxPayment!C174,cfo!$C$2:$C$326,0),7),"")</f>
        <v>sklingensmith@mvaoschool.org</v>
      </c>
      <c r="X174" s="31" t="str">
        <f>IF(IF(K174&gt;0,INDEX(cfo!$C$2:$K$326,MATCH(SurtaxPayment!C174,cfo!$C$2:$C$326,0),9),"")=0,"",IF(K174&gt;0,INDEX(cfo!$C$2:$K$326,MATCH(SurtaxPayment!C174,cfo!$C$2:$C$326,0),9),""))</f>
        <v/>
      </c>
    </row>
    <row r="175" spans="1:24" x14ac:dyDescent="0.25">
      <c r="A175" s="52">
        <v>2025</v>
      </c>
      <c r="B175" s="52" t="s">
        <v>666</v>
      </c>
      <c r="C175" s="57" t="s">
        <v>488</v>
      </c>
      <c r="D175" s="58" t="s">
        <v>693</v>
      </c>
      <c r="E175" s="58" t="s">
        <v>693</v>
      </c>
      <c r="F175" s="58" t="s">
        <v>488</v>
      </c>
      <c r="G175" s="57" t="s">
        <v>152</v>
      </c>
      <c r="H175" s="39">
        <f>SUMPRODUCT(SUMIF(SurtaxRatesSAS!$B$2:$B$324,$C175:$E175,SurtaxRatesSAS!$E$2:$E$324))</f>
        <v>0</v>
      </c>
      <c r="I175" s="39">
        <f>SUMPRODUCT(SUMIF(SurtaxRatesSAS!$B$2:$B$324,$C175:$E175,SurtaxRatesSAS!$D$2:$D$324))</f>
        <v>8</v>
      </c>
      <c r="J175" s="38"/>
      <c r="K175" s="39">
        <f>SUMPRODUCT(SUMIF(SurtaxRatesSAS!$B$2:$B$324,$C175:$E175,SurtaxRatesSAS!$G$2:$G$324))</f>
        <v>651096.68999999994</v>
      </c>
      <c r="L175" s="39">
        <f>SUMPRODUCT(SUMIF(SurtaxRatesSAS!$B$2:$B$324,$C175:$E175,SurtaxRatesSAS!$H$2:$H$324))</f>
        <v>0</v>
      </c>
      <c r="M175" s="39">
        <f>SUMPRODUCT(SUMIF(SurtaxRatesSAS!$B$2:$B$324,$C175:$E175,SurtaxRatesSAS!$I$2:$I$324))</f>
        <v>651096.68999999994</v>
      </c>
      <c r="N175" s="38"/>
      <c r="O175" s="39" t="e">
        <f>SUMPRODUCT(SUMIF(SurtaxRatesSAS!$B$2:$B$324,$C175:$E175,SurtaxRatesSAS!$L$2:$L$324))</f>
        <v>#REF!</v>
      </c>
      <c r="P175" s="39" t="e">
        <f>SUMPRODUCT(SUMIF(SurtaxRatesSAS!$B$2:$B$324,$C175:$E175,SurtaxRatesSAS!$M$2:$M$324))</f>
        <v>#REF!</v>
      </c>
      <c r="Q175" s="39" t="e">
        <f>SUMPRODUCT(SUMIF(SurtaxRatesSAS!$B$2:$B$324,$C175:$E175,SurtaxRatesSAS!$N$2:$N$324))</f>
        <v>#REF!</v>
      </c>
      <c r="R175" s="38"/>
      <c r="S175" s="39" t="e">
        <f t="shared" si="6"/>
        <v>#REF!</v>
      </c>
      <c r="T175" s="39" t="e">
        <f t="shared" si="7"/>
        <v>#REF!</v>
      </c>
      <c r="U175" s="39" t="e">
        <f t="shared" si="8"/>
        <v>#REF!</v>
      </c>
      <c r="V175" s="29"/>
      <c r="W175" s="31" t="str">
        <f>IF(K175&gt;0,INDEX(cfo!$C$2:$I$326,MATCH(SurtaxPayment!C175,cfo!$C$2:$C$326,0),7),"")</f>
        <v>khaxmeier@maquoketaschools.org</v>
      </c>
      <c r="X175" s="31" t="str">
        <f>IF(IF(K175&gt;0,INDEX(cfo!$C$2:$K$326,MATCH(SurtaxPayment!C175,cfo!$C$2:$C$326,0),9),"")=0,"",IF(K175&gt;0,INDEX(cfo!$C$2:$K$326,MATCH(SurtaxPayment!C175,cfo!$C$2:$C$326,0),9),""))</f>
        <v/>
      </c>
    </row>
    <row r="176" spans="1:24" x14ac:dyDescent="0.25">
      <c r="A176" s="52">
        <v>2025</v>
      </c>
      <c r="B176" s="52" t="s">
        <v>665</v>
      </c>
      <c r="C176" s="57" t="s">
        <v>489</v>
      </c>
      <c r="D176" s="58" t="s">
        <v>693</v>
      </c>
      <c r="E176" s="58" t="s">
        <v>693</v>
      </c>
      <c r="F176" s="58" t="s">
        <v>489</v>
      </c>
      <c r="G176" s="57" t="s">
        <v>721</v>
      </c>
      <c r="H176" s="39">
        <f>SUMPRODUCT(SUMIF(SurtaxRatesSAS!$B$2:$B$324,$C176:$E176,SurtaxRatesSAS!$E$2:$E$324))</f>
        <v>0</v>
      </c>
      <c r="I176" s="39">
        <f>SUMPRODUCT(SUMIF(SurtaxRatesSAS!$B$2:$B$324,$C176:$E176,SurtaxRatesSAS!$D$2:$D$324))</f>
        <v>0</v>
      </c>
      <c r="J176" s="38"/>
      <c r="K176" s="39">
        <f>SUMPRODUCT(SUMIF(SurtaxRatesSAS!$B$2:$B$324,$C176:$E176,SurtaxRatesSAS!$G$2:$G$324))</f>
        <v>0</v>
      </c>
      <c r="L176" s="39">
        <f>SUMPRODUCT(SUMIF(SurtaxRatesSAS!$B$2:$B$324,$C176:$E176,SurtaxRatesSAS!$H$2:$H$324))</f>
        <v>0</v>
      </c>
      <c r="M176" s="39">
        <f>SUMPRODUCT(SUMIF(SurtaxRatesSAS!$B$2:$B$324,$C176:$E176,SurtaxRatesSAS!$I$2:$I$324))</f>
        <v>0</v>
      </c>
      <c r="N176" s="38"/>
      <c r="O176" s="39">
        <f>SUMPRODUCT(SUMIF(SurtaxRatesSAS!$B$2:$B$324,$C176:$E176,SurtaxRatesSAS!$L$2:$L$324))</f>
        <v>0</v>
      </c>
      <c r="P176" s="39">
        <f>SUMPRODUCT(SUMIF(SurtaxRatesSAS!$B$2:$B$324,$C176:$E176,SurtaxRatesSAS!$M$2:$M$324))</f>
        <v>0</v>
      </c>
      <c r="Q176" s="39">
        <f>SUMPRODUCT(SUMIF(SurtaxRatesSAS!$B$2:$B$324,$C176:$E176,SurtaxRatesSAS!$N$2:$N$324))</f>
        <v>0</v>
      </c>
      <c r="R176" s="38"/>
      <c r="S176" s="39">
        <f t="shared" si="6"/>
        <v>0</v>
      </c>
      <c r="T176" s="39">
        <f t="shared" si="7"/>
        <v>0</v>
      </c>
      <c r="U176" s="39">
        <f t="shared" si="8"/>
        <v>0</v>
      </c>
      <c r="V176" s="29"/>
      <c r="W176" s="31" t="str">
        <f>IF(K176&gt;0,INDEX(cfo!$C$2:$I$326,MATCH(SurtaxPayment!C176,cfo!$C$2:$C$326,0),7),"")</f>
        <v/>
      </c>
      <c r="X176" s="31" t="str">
        <f>IF(IF(K176&gt;0,INDEX(cfo!$C$2:$K$326,MATCH(SurtaxPayment!C176,cfo!$C$2:$C$326,0),9),"")=0,"",IF(K176&gt;0,INDEX(cfo!$C$2:$K$326,MATCH(SurtaxPayment!C176,cfo!$C$2:$C$326,0),9),""))</f>
        <v/>
      </c>
    </row>
    <row r="177" spans="1:24" x14ac:dyDescent="0.25">
      <c r="A177" s="52">
        <v>2025</v>
      </c>
      <c r="B177" s="52" t="s">
        <v>660</v>
      </c>
      <c r="C177" s="57" t="s">
        <v>490</v>
      </c>
      <c r="D177" s="58" t="s">
        <v>693</v>
      </c>
      <c r="E177" s="58" t="s">
        <v>693</v>
      </c>
      <c r="F177" s="58" t="s">
        <v>490</v>
      </c>
      <c r="G177" s="57" t="s">
        <v>153</v>
      </c>
      <c r="H177" s="39">
        <f>SUMPRODUCT(SUMIF(SurtaxRatesSAS!$B$2:$B$324,$C177:$E177,SurtaxRatesSAS!$E$2:$E$324))</f>
        <v>0</v>
      </c>
      <c r="I177" s="39">
        <f>SUMPRODUCT(SUMIF(SurtaxRatesSAS!$B$2:$B$324,$C177:$E177,SurtaxRatesSAS!$D$2:$D$324))</f>
        <v>8</v>
      </c>
      <c r="J177" s="38"/>
      <c r="K177" s="39">
        <f>SUMPRODUCT(SUMIF(SurtaxRatesSAS!$B$2:$B$324,$C177:$E177,SurtaxRatesSAS!$G$2:$G$324))</f>
        <v>273517.53999999998</v>
      </c>
      <c r="L177" s="39">
        <f>SUMPRODUCT(SUMIF(SurtaxRatesSAS!$B$2:$B$324,$C177:$E177,SurtaxRatesSAS!$H$2:$H$324))</f>
        <v>0</v>
      </c>
      <c r="M177" s="39">
        <f>SUMPRODUCT(SUMIF(SurtaxRatesSAS!$B$2:$B$324,$C177:$E177,SurtaxRatesSAS!$I$2:$I$324))</f>
        <v>273517.53999999998</v>
      </c>
      <c r="N177" s="38"/>
      <c r="O177" s="39" t="e">
        <f>SUMPRODUCT(SUMIF(SurtaxRatesSAS!$B$2:$B$324,$C177:$E177,SurtaxRatesSAS!$L$2:$L$324))</f>
        <v>#REF!</v>
      </c>
      <c r="P177" s="39" t="e">
        <f>SUMPRODUCT(SUMIF(SurtaxRatesSAS!$B$2:$B$324,$C177:$E177,SurtaxRatesSAS!$M$2:$M$324))</f>
        <v>#REF!</v>
      </c>
      <c r="Q177" s="39" t="e">
        <f>SUMPRODUCT(SUMIF(SurtaxRatesSAS!$B$2:$B$324,$C177:$E177,SurtaxRatesSAS!$N$2:$N$324))</f>
        <v>#REF!</v>
      </c>
      <c r="R177" s="38"/>
      <c r="S177" s="39" t="e">
        <f t="shared" si="6"/>
        <v>#REF!</v>
      </c>
      <c r="T177" s="39" t="e">
        <f t="shared" si="7"/>
        <v>#REF!</v>
      </c>
      <c r="U177" s="39" t="e">
        <f t="shared" si="8"/>
        <v>#REF!</v>
      </c>
      <c r="V177" s="29"/>
      <c r="W177" s="31" t="str">
        <f>IF(K177&gt;0,INDEX(cfo!$C$2:$I$326,MATCH(SurtaxPayment!C177,cfo!$C$2:$C$326,0),7),"")</f>
        <v>ginell.wetter@mmcruroyals.org</v>
      </c>
      <c r="X177" s="31" t="str">
        <f>IF(IF(K177&gt;0,INDEX(cfo!$C$2:$K$326,MATCH(SurtaxPayment!C177,cfo!$C$2:$C$326,0),9),"")=0,"",IF(K177&gt;0,INDEX(cfo!$C$2:$K$326,MATCH(SurtaxPayment!C177,cfo!$C$2:$C$326,0),9),""))</f>
        <v/>
      </c>
    </row>
    <row r="178" spans="1:24" x14ac:dyDescent="0.25">
      <c r="A178" s="52">
        <v>2025</v>
      </c>
      <c r="B178" s="52" t="s">
        <v>663</v>
      </c>
      <c r="C178" s="57" t="s">
        <v>491</v>
      </c>
      <c r="D178" s="58" t="s">
        <v>693</v>
      </c>
      <c r="E178" s="58" t="s">
        <v>693</v>
      </c>
      <c r="F178" s="58" t="s">
        <v>491</v>
      </c>
      <c r="G178" s="57" t="s">
        <v>154</v>
      </c>
      <c r="H178" s="39">
        <f>SUMPRODUCT(SUMIF(SurtaxRatesSAS!$B$2:$B$324,$C178:$E178,SurtaxRatesSAS!$E$2:$E$324))</f>
        <v>2</v>
      </c>
      <c r="I178" s="39">
        <f>SUMPRODUCT(SUMIF(SurtaxRatesSAS!$B$2:$B$324,$C178:$E178,SurtaxRatesSAS!$D$2:$D$324))</f>
        <v>2</v>
      </c>
      <c r="J178" s="38"/>
      <c r="K178" s="39">
        <f>SUMPRODUCT(SUMIF(SurtaxRatesSAS!$B$2:$B$324,$C178:$E178,SurtaxRatesSAS!$G$2:$G$324))</f>
        <v>607071.32999999996</v>
      </c>
      <c r="L178" s="39">
        <f>SUMPRODUCT(SUMIF(SurtaxRatesSAS!$B$2:$B$324,$C178:$E178,SurtaxRatesSAS!$H$2:$H$324))</f>
        <v>303535.67</v>
      </c>
      <c r="M178" s="39">
        <f>SUMPRODUCT(SUMIF(SurtaxRatesSAS!$B$2:$B$324,$C178:$E178,SurtaxRatesSAS!$I$2:$I$324))</f>
        <v>303535.65999999997</v>
      </c>
      <c r="N178" s="38"/>
      <c r="O178" s="39" t="e">
        <f>SUMPRODUCT(SUMIF(SurtaxRatesSAS!$B$2:$B$324,$C178:$E178,SurtaxRatesSAS!$L$2:$L$324))</f>
        <v>#REF!</v>
      </c>
      <c r="P178" s="39" t="e">
        <f>SUMPRODUCT(SUMIF(SurtaxRatesSAS!$B$2:$B$324,$C178:$E178,SurtaxRatesSAS!$M$2:$M$324))</f>
        <v>#REF!</v>
      </c>
      <c r="Q178" s="39" t="e">
        <f>SUMPRODUCT(SUMIF(SurtaxRatesSAS!$B$2:$B$324,$C178:$E178,SurtaxRatesSAS!$N$2:$N$324))</f>
        <v>#REF!</v>
      </c>
      <c r="R178" s="38"/>
      <c r="S178" s="39" t="e">
        <f t="shared" si="6"/>
        <v>#REF!</v>
      </c>
      <c r="T178" s="39" t="e">
        <f t="shared" si="7"/>
        <v>#REF!</v>
      </c>
      <c r="U178" s="39" t="e">
        <f t="shared" si="8"/>
        <v>#REF!</v>
      </c>
      <c r="V178" s="29"/>
      <c r="W178" s="31" t="str">
        <f>IF(K178&gt;0,INDEX(cfo!$C$2:$I$326,MATCH(SurtaxPayment!C178,cfo!$C$2:$C$326,0),7),"")</f>
        <v>cvanwey@marion-isd.org</v>
      </c>
      <c r="X178" s="31" t="str">
        <f>IF(IF(K178&gt;0,INDEX(cfo!$C$2:$K$326,MATCH(SurtaxPayment!C178,cfo!$C$2:$C$326,0),9),"")=0,"",IF(K178&gt;0,INDEX(cfo!$C$2:$K$326,MATCH(SurtaxPayment!C178,cfo!$C$2:$C$326,0),9),""))</f>
        <v/>
      </c>
    </row>
    <row r="179" spans="1:24" x14ac:dyDescent="0.25">
      <c r="A179" s="52">
        <v>2025</v>
      </c>
      <c r="B179" s="52" t="s">
        <v>658</v>
      </c>
      <c r="C179" s="57" t="s">
        <v>492</v>
      </c>
      <c r="D179" s="58" t="s">
        <v>693</v>
      </c>
      <c r="E179" s="58" t="s">
        <v>693</v>
      </c>
      <c r="F179" s="58" t="s">
        <v>492</v>
      </c>
      <c r="G179" s="57" t="s">
        <v>722</v>
      </c>
      <c r="H179" s="39">
        <f>SUMPRODUCT(SUMIF(SurtaxRatesSAS!$B$2:$B$324,$C179:$E179,SurtaxRatesSAS!$E$2:$E$324))</f>
        <v>0</v>
      </c>
      <c r="I179" s="39">
        <f>SUMPRODUCT(SUMIF(SurtaxRatesSAS!$B$2:$B$324,$C179:$E179,SurtaxRatesSAS!$D$2:$D$324))</f>
        <v>1</v>
      </c>
      <c r="J179" s="38"/>
      <c r="K179" s="39">
        <f>SUMPRODUCT(SUMIF(SurtaxRatesSAS!$B$2:$B$324,$C179:$E179,SurtaxRatesSAS!$G$2:$G$324))</f>
        <v>265187.36</v>
      </c>
      <c r="L179" s="39">
        <f>SUMPRODUCT(SUMIF(SurtaxRatesSAS!$B$2:$B$324,$C179:$E179,SurtaxRatesSAS!$H$2:$H$324))</f>
        <v>0</v>
      </c>
      <c r="M179" s="39">
        <f>SUMPRODUCT(SUMIF(SurtaxRatesSAS!$B$2:$B$324,$C179:$E179,SurtaxRatesSAS!$I$2:$I$324))</f>
        <v>265187.36</v>
      </c>
      <c r="N179" s="38"/>
      <c r="O179" s="39" t="e">
        <f>SUMPRODUCT(SUMIF(SurtaxRatesSAS!$B$2:$B$324,$C179:$E179,SurtaxRatesSAS!$L$2:$L$324))</f>
        <v>#REF!</v>
      </c>
      <c r="P179" s="39" t="e">
        <f>SUMPRODUCT(SUMIF(SurtaxRatesSAS!$B$2:$B$324,$C179:$E179,SurtaxRatesSAS!$M$2:$M$324))</f>
        <v>#REF!</v>
      </c>
      <c r="Q179" s="39" t="e">
        <f>SUMPRODUCT(SUMIF(SurtaxRatesSAS!$B$2:$B$324,$C179:$E179,SurtaxRatesSAS!$N$2:$N$324))</f>
        <v>#REF!</v>
      </c>
      <c r="R179" s="38"/>
      <c r="S179" s="39" t="e">
        <f t="shared" si="6"/>
        <v>#REF!</v>
      </c>
      <c r="T179" s="39" t="e">
        <f t="shared" si="7"/>
        <v>#REF!</v>
      </c>
      <c r="U179" s="39" t="e">
        <f t="shared" si="8"/>
        <v>#REF!</v>
      </c>
      <c r="V179" s="29"/>
      <c r="W179" s="31" t="str">
        <f>IF(K179&gt;0,INDEX(cfo!$C$2:$I$326,MATCH(SurtaxPayment!C179,cfo!$C$2:$C$326,0),7),"")</f>
        <v>rdenham@marshalltown.k12.ia.us</v>
      </c>
      <c r="X179" s="31" t="str">
        <f>IF(IF(K179&gt;0,INDEX(cfo!$C$2:$K$326,MATCH(SurtaxPayment!C179,cfo!$C$2:$C$326,0),9),"")=0,"",IF(K179&gt;0,INDEX(cfo!$C$2:$K$326,MATCH(SurtaxPayment!C179,cfo!$C$2:$C$326,0),9),""))</f>
        <v>abolen@marshalltown.k12.ia.us</v>
      </c>
    </row>
    <row r="180" spans="1:24" x14ac:dyDescent="0.25">
      <c r="A180" s="52">
        <v>2025</v>
      </c>
      <c r="B180" s="52" t="s">
        <v>657</v>
      </c>
      <c r="C180" s="57" t="s">
        <v>493</v>
      </c>
      <c r="D180" s="58" t="s">
        <v>693</v>
      </c>
      <c r="E180" s="58" t="s">
        <v>693</v>
      </c>
      <c r="F180" s="58" t="s">
        <v>493</v>
      </c>
      <c r="G180" s="57" t="s">
        <v>155</v>
      </c>
      <c r="H180" s="39">
        <f>SUMPRODUCT(SUMIF(SurtaxRatesSAS!$B$2:$B$324,$C180:$E180,SurtaxRatesSAS!$E$2:$E$324))</f>
        <v>0</v>
      </c>
      <c r="I180" s="39">
        <f>SUMPRODUCT(SUMIF(SurtaxRatesSAS!$B$2:$B$324,$C180:$E180,SurtaxRatesSAS!$D$2:$D$324))</f>
        <v>1</v>
      </c>
      <c r="J180" s="38"/>
      <c r="K180" s="39">
        <f>SUMPRODUCT(SUMIF(SurtaxRatesSAS!$B$2:$B$324,$C180:$E180,SurtaxRatesSAS!$G$2:$G$324))</f>
        <v>45546.03</v>
      </c>
      <c r="L180" s="39">
        <f>SUMPRODUCT(SUMIF(SurtaxRatesSAS!$B$2:$B$324,$C180:$E180,SurtaxRatesSAS!$H$2:$H$324))</f>
        <v>0</v>
      </c>
      <c r="M180" s="39">
        <f>SUMPRODUCT(SUMIF(SurtaxRatesSAS!$B$2:$B$324,$C180:$E180,SurtaxRatesSAS!$I$2:$I$324))</f>
        <v>45546.03</v>
      </c>
      <c r="N180" s="38"/>
      <c r="O180" s="39" t="e">
        <f>SUMPRODUCT(SUMIF(SurtaxRatesSAS!$B$2:$B$324,$C180:$E180,SurtaxRatesSAS!$L$2:$L$324))</f>
        <v>#REF!</v>
      </c>
      <c r="P180" s="39" t="e">
        <f>SUMPRODUCT(SUMIF(SurtaxRatesSAS!$B$2:$B$324,$C180:$E180,SurtaxRatesSAS!$M$2:$M$324))</f>
        <v>#REF!</v>
      </c>
      <c r="Q180" s="39" t="e">
        <f>SUMPRODUCT(SUMIF(SurtaxRatesSAS!$B$2:$B$324,$C180:$E180,SurtaxRatesSAS!$N$2:$N$324))</f>
        <v>#REF!</v>
      </c>
      <c r="R180" s="38"/>
      <c r="S180" s="39" t="e">
        <f t="shared" si="6"/>
        <v>#REF!</v>
      </c>
      <c r="T180" s="39" t="e">
        <f t="shared" si="7"/>
        <v>#REF!</v>
      </c>
      <c r="U180" s="39" t="e">
        <f t="shared" si="8"/>
        <v>#REF!</v>
      </c>
      <c r="V180" s="29"/>
      <c r="W180" s="31" t="str">
        <f>IF(K180&gt;0,INDEX(cfo!$C$2:$I$326,MATCH(SurtaxPayment!C180,cfo!$C$2:$C$326,0),7),"")</f>
        <v>josh_jacobs@mstm.us</v>
      </c>
      <c r="X180" s="31" t="str">
        <f>IF(IF(K180&gt;0,INDEX(cfo!$C$2:$K$326,MATCH(SurtaxPayment!C180,cfo!$C$2:$C$326,0),9),"")=0,"",IF(K180&gt;0,INDEX(cfo!$C$2:$K$326,MATCH(SurtaxPayment!C180,cfo!$C$2:$C$326,0),9),""))</f>
        <v/>
      </c>
    </row>
    <row r="181" spans="1:24" x14ac:dyDescent="0.25">
      <c r="A181" s="52">
        <v>2025</v>
      </c>
      <c r="B181" s="52" t="s">
        <v>658</v>
      </c>
      <c r="C181" s="57" t="s">
        <v>494</v>
      </c>
      <c r="D181" s="58" t="s">
        <v>693</v>
      </c>
      <c r="E181" s="58" t="s">
        <v>693</v>
      </c>
      <c r="F181" s="58" t="s">
        <v>494</v>
      </c>
      <c r="G181" s="57" t="s">
        <v>156</v>
      </c>
      <c r="H181" s="39">
        <f>SUMPRODUCT(SUMIF(SurtaxRatesSAS!$B$2:$B$324,$C181:$E181,SurtaxRatesSAS!$E$2:$E$324))</f>
        <v>0</v>
      </c>
      <c r="I181" s="39">
        <f>SUMPRODUCT(SUMIF(SurtaxRatesSAS!$B$2:$B$324,$C181:$E181,SurtaxRatesSAS!$D$2:$D$324))</f>
        <v>1</v>
      </c>
      <c r="J181" s="38"/>
      <c r="K181" s="39">
        <f>SUMPRODUCT(SUMIF(SurtaxRatesSAS!$B$2:$B$324,$C181:$E181,SurtaxRatesSAS!$G$2:$G$324))</f>
        <v>370604.79999999999</v>
      </c>
      <c r="L181" s="39">
        <f>SUMPRODUCT(SUMIF(SurtaxRatesSAS!$B$2:$B$324,$C181:$E181,SurtaxRatesSAS!$H$2:$H$324))</f>
        <v>0</v>
      </c>
      <c r="M181" s="39">
        <f>SUMPRODUCT(SUMIF(SurtaxRatesSAS!$B$2:$B$324,$C181:$E181,SurtaxRatesSAS!$I$2:$I$324))</f>
        <v>370604.79999999999</v>
      </c>
      <c r="N181" s="38"/>
      <c r="O181" s="39" t="e">
        <f>SUMPRODUCT(SUMIF(SurtaxRatesSAS!$B$2:$B$324,$C181:$E181,SurtaxRatesSAS!$L$2:$L$324))</f>
        <v>#REF!</v>
      </c>
      <c r="P181" s="39" t="e">
        <f>SUMPRODUCT(SUMIF(SurtaxRatesSAS!$B$2:$B$324,$C181:$E181,SurtaxRatesSAS!$M$2:$M$324))</f>
        <v>#REF!</v>
      </c>
      <c r="Q181" s="39" t="e">
        <f>SUMPRODUCT(SUMIF(SurtaxRatesSAS!$B$2:$B$324,$C181:$E181,SurtaxRatesSAS!$N$2:$N$324))</f>
        <v>#REF!</v>
      </c>
      <c r="R181" s="38"/>
      <c r="S181" s="39" t="e">
        <f t="shared" si="6"/>
        <v>#REF!</v>
      </c>
      <c r="T181" s="39" t="e">
        <f t="shared" si="7"/>
        <v>#REF!</v>
      </c>
      <c r="U181" s="39" t="e">
        <f t="shared" si="8"/>
        <v>#REF!</v>
      </c>
      <c r="V181" s="29"/>
      <c r="W181" s="31" t="str">
        <f>IF(K181&gt;0,INDEX(cfo!$C$2:$I$326,MATCH(SurtaxPayment!C181,cfo!$C$2:$C$326,0),7),"")</f>
        <v>cyoder@masoncityschools.org</v>
      </c>
      <c r="X181" s="31" t="str">
        <f>IF(IF(K181&gt;0,INDEX(cfo!$C$2:$K$326,MATCH(SurtaxPayment!C181,cfo!$C$2:$C$326,0),9),"")=0,"",IF(K181&gt;0,INDEX(cfo!$C$2:$K$326,MATCH(SurtaxPayment!C181,cfo!$C$2:$C$326,0),9),""))</f>
        <v>rstrand@masoncityschools.org</v>
      </c>
    </row>
    <row r="182" spans="1:24" x14ac:dyDescent="0.25">
      <c r="A182" s="52">
        <v>2025</v>
      </c>
      <c r="B182" s="52" t="s">
        <v>662</v>
      </c>
      <c r="C182" s="57" t="s">
        <v>496</v>
      </c>
      <c r="D182" s="58" t="s">
        <v>693</v>
      </c>
      <c r="E182" s="58" t="s">
        <v>693</v>
      </c>
      <c r="F182" s="58" t="s">
        <v>496</v>
      </c>
      <c r="G182" s="57" t="s">
        <v>157</v>
      </c>
      <c r="H182" s="39">
        <f>SUMPRODUCT(SUMIF(SurtaxRatesSAS!$B$2:$B$324,$C182:$E182,SurtaxRatesSAS!$E$2:$E$324))</f>
        <v>3</v>
      </c>
      <c r="I182" s="39">
        <f>SUMPRODUCT(SUMIF(SurtaxRatesSAS!$B$2:$B$324,$C182:$E182,SurtaxRatesSAS!$D$2:$D$324))</f>
        <v>4</v>
      </c>
      <c r="J182" s="38"/>
      <c r="K182" s="39">
        <f>SUMPRODUCT(SUMIF(SurtaxRatesSAS!$B$2:$B$324,$C182:$E182,SurtaxRatesSAS!$G$2:$G$324))</f>
        <v>402141.32</v>
      </c>
      <c r="L182" s="39">
        <f>SUMPRODUCT(SUMIF(SurtaxRatesSAS!$B$2:$B$324,$C182:$E182,SurtaxRatesSAS!$H$2:$H$324))</f>
        <v>172346.28</v>
      </c>
      <c r="M182" s="39">
        <f>SUMPRODUCT(SUMIF(SurtaxRatesSAS!$B$2:$B$324,$C182:$E182,SurtaxRatesSAS!$I$2:$I$324))</f>
        <v>229795.04</v>
      </c>
      <c r="N182" s="38"/>
      <c r="O182" s="39" t="e">
        <f>SUMPRODUCT(SUMIF(SurtaxRatesSAS!$B$2:$B$324,$C182:$E182,SurtaxRatesSAS!$L$2:$L$324))</f>
        <v>#REF!</v>
      </c>
      <c r="P182" s="39" t="e">
        <f>SUMPRODUCT(SUMIF(SurtaxRatesSAS!$B$2:$B$324,$C182:$E182,SurtaxRatesSAS!$M$2:$M$324))</f>
        <v>#REF!</v>
      </c>
      <c r="Q182" s="39" t="e">
        <f>SUMPRODUCT(SUMIF(SurtaxRatesSAS!$B$2:$B$324,$C182:$E182,SurtaxRatesSAS!$N$2:$N$324))</f>
        <v>#REF!</v>
      </c>
      <c r="R182" s="38"/>
      <c r="S182" s="39" t="e">
        <f t="shared" si="6"/>
        <v>#REF!</v>
      </c>
      <c r="T182" s="39" t="e">
        <f t="shared" si="7"/>
        <v>#REF!</v>
      </c>
      <c r="U182" s="39" t="e">
        <f t="shared" si="8"/>
        <v>#REF!</v>
      </c>
      <c r="V182" s="29"/>
      <c r="W182" s="31" t="str">
        <f>IF(K182&gt;0,INDEX(cfo!$C$2:$I$326,MATCH(SurtaxPayment!C182,cfo!$C$2:$C$326,0),7),"")</f>
        <v>cummingsb@mepoedu.org</v>
      </c>
      <c r="X182" s="31" t="str">
        <f>IF(IF(K182&gt;0,INDEX(cfo!$C$2:$K$326,MATCH(SurtaxPayment!C182,cfo!$C$2:$C$326,0),9),"")=0,"",IF(K182&gt;0,INDEX(cfo!$C$2:$K$326,MATCH(SurtaxPayment!C182,cfo!$C$2:$C$326,0),9),""))</f>
        <v/>
      </c>
    </row>
    <row r="183" spans="1:24" x14ac:dyDescent="0.25">
      <c r="A183" s="52">
        <v>2025</v>
      </c>
      <c r="B183" s="52" t="s">
        <v>657</v>
      </c>
      <c r="C183" s="57" t="s">
        <v>497</v>
      </c>
      <c r="D183" s="58" t="s">
        <v>693</v>
      </c>
      <c r="E183" s="58" t="s">
        <v>693</v>
      </c>
      <c r="F183" s="58" t="s">
        <v>497</v>
      </c>
      <c r="G183" s="57" t="s">
        <v>158</v>
      </c>
      <c r="H183" s="39">
        <f>SUMPRODUCT(SUMIF(SurtaxRatesSAS!$B$2:$B$324,$C183:$E183,SurtaxRatesSAS!$E$2:$E$324))</f>
        <v>0</v>
      </c>
      <c r="I183" s="39">
        <f>SUMPRODUCT(SUMIF(SurtaxRatesSAS!$B$2:$B$324,$C183:$E183,SurtaxRatesSAS!$D$2:$D$324))</f>
        <v>1</v>
      </c>
      <c r="J183" s="38"/>
      <c r="K183" s="39">
        <f>SUMPRODUCT(SUMIF(SurtaxRatesSAS!$B$2:$B$324,$C183:$E183,SurtaxRatesSAS!$G$2:$G$324))</f>
        <v>13122.02</v>
      </c>
      <c r="L183" s="39">
        <f>SUMPRODUCT(SUMIF(SurtaxRatesSAS!$B$2:$B$324,$C183:$E183,SurtaxRatesSAS!$H$2:$H$324))</f>
        <v>0</v>
      </c>
      <c r="M183" s="39">
        <f>SUMPRODUCT(SUMIF(SurtaxRatesSAS!$B$2:$B$324,$C183:$E183,SurtaxRatesSAS!$I$2:$I$324))</f>
        <v>13122.02</v>
      </c>
      <c r="N183" s="38"/>
      <c r="O183" s="39" t="e">
        <f>SUMPRODUCT(SUMIF(SurtaxRatesSAS!$B$2:$B$324,$C183:$E183,SurtaxRatesSAS!$L$2:$L$324))</f>
        <v>#REF!</v>
      </c>
      <c r="P183" s="39" t="e">
        <f>SUMPRODUCT(SUMIF(SurtaxRatesSAS!$B$2:$B$324,$C183:$E183,SurtaxRatesSAS!$M$2:$M$324))</f>
        <v>#REF!</v>
      </c>
      <c r="Q183" s="39" t="e">
        <f>SUMPRODUCT(SUMIF(SurtaxRatesSAS!$B$2:$B$324,$C183:$E183,SurtaxRatesSAS!$N$2:$N$324))</f>
        <v>#REF!</v>
      </c>
      <c r="R183" s="38"/>
      <c r="S183" s="39" t="e">
        <f t="shared" si="6"/>
        <v>#REF!</v>
      </c>
      <c r="T183" s="39" t="e">
        <f t="shared" si="7"/>
        <v>#REF!</v>
      </c>
      <c r="U183" s="39" t="e">
        <f t="shared" si="8"/>
        <v>#REF!</v>
      </c>
      <c r="V183" s="29"/>
      <c r="W183" s="31" t="str">
        <f>IF(K183&gt;0,INDEX(cfo!$C$2:$I$326,MATCH(SurtaxPayment!C183,cfo!$C$2:$C$326,0),7),"")</f>
        <v>haselhuhnd@melcher-dallas.k12.ia.us</v>
      </c>
      <c r="X183" s="31" t="str">
        <f>IF(IF(K183&gt;0,INDEX(cfo!$C$2:$K$326,MATCH(SurtaxPayment!C183,cfo!$C$2:$C$326,0),9),"")=0,"",IF(K183&gt;0,INDEX(cfo!$C$2:$K$326,MATCH(SurtaxPayment!C183,cfo!$C$2:$C$326,0),9),""))</f>
        <v/>
      </c>
    </row>
    <row r="184" spans="1:24" x14ac:dyDescent="0.25">
      <c r="A184" s="52">
        <v>2025</v>
      </c>
      <c r="B184" s="52" t="s">
        <v>665</v>
      </c>
      <c r="C184" s="57" t="s">
        <v>501</v>
      </c>
      <c r="D184" s="58" t="s">
        <v>693</v>
      </c>
      <c r="E184" s="58" t="s">
        <v>693</v>
      </c>
      <c r="F184" s="58" t="s">
        <v>501</v>
      </c>
      <c r="G184" s="57" t="s">
        <v>689</v>
      </c>
      <c r="H184" s="39">
        <f>SUMPRODUCT(SUMIF(SurtaxRatesSAS!$B$2:$B$324,$C184:$E184,SurtaxRatesSAS!$E$2:$E$324))</f>
        <v>4</v>
      </c>
      <c r="I184" s="39">
        <f>SUMPRODUCT(SUMIF(SurtaxRatesSAS!$B$2:$B$324,$C184:$E184,SurtaxRatesSAS!$D$2:$D$324))</f>
        <v>6</v>
      </c>
      <c r="J184" s="38"/>
      <c r="K184" s="39">
        <f>SUMPRODUCT(SUMIF(SurtaxRatesSAS!$B$2:$B$324,$C184:$E184,SurtaxRatesSAS!$G$2:$G$324))</f>
        <v>388292.83</v>
      </c>
      <c r="L184" s="39">
        <f>SUMPRODUCT(SUMIF(SurtaxRatesSAS!$B$2:$B$324,$C184:$E184,SurtaxRatesSAS!$H$2:$H$324))</f>
        <v>155317.13</v>
      </c>
      <c r="M184" s="39">
        <f>SUMPRODUCT(SUMIF(SurtaxRatesSAS!$B$2:$B$324,$C184:$E184,SurtaxRatesSAS!$I$2:$I$324))</f>
        <v>232975.7</v>
      </c>
      <c r="N184" s="38"/>
      <c r="O184" s="39" t="e">
        <f>SUMPRODUCT(SUMIF(SurtaxRatesSAS!$B$2:$B$324,$C184:$E184,SurtaxRatesSAS!$L$2:$L$324))</f>
        <v>#REF!</v>
      </c>
      <c r="P184" s="39" t="e">
        <f>SUMPRODUCT(SUMIF(SurtaxRatesSAS!$B$2:$B$324,$C184:$E184,SurtaxRatesSAS!$M$2:$M$324))</f>
        <v>#REF!</v>
      </c>
      <c r="Q184" s="39" t="e">
        <f>SUMPRODUCT(SUMIF(SurtaxRatesSAS!$B$2:$B$324,$C184:$E184,SurtaxRatesSAS!$N$2:$N$324))</f>
        <v>#REF!</v>
      </c>
      <c r="R184" s="38"/>
      <c r="S184" s="39" t="e">
        <f t="shared" si="6"/>
        <v>#REF!</v>
      </c>
      <c r="T184" s="39" t="e">
        <f t="shared" si="7"/>
        <v>#REF!</v>
      </c>
      <c r="U184" s="39" t="e">
        <f t="shared" si="8"/>
        <v>#REF!</v>
      </c>
      <c r="V184" s="29"/>
      <c r="W184" s="31" t="str">
        <f>IF(K184&gt;0,INDEX(cfo!$C$2:$I$326,MATCH(SurtaxPayment!C184,cfo!$C$2:$C$326,0),7),"")</f>
        <v>karla.hanson@mflmm.k12.ia.us</v>
      </c>
      <c r="X184" s="31" t="str">
        <f>IF(IF(K184&gt;0,INDEX(cfo!$C$2:$K$326,MATCH(SurtaxPayment!C184,cfo!$C$2:$C$326,0),9),"")=0,"",IF(K184&gt;0,INDEX(cfo!$C$2:$K$326,MATCH(SurtaxPayment!C184,cfo!$C$2:$C$326,0),9),""))</f>
        <v/>
      </c>
    </row>
    <row r="185" spans="1:24" x14ac:dyDescent="0.25">
      <c r="A185" s="52">
        <v>2025</v>
      </c>
      <c r="B185" s="52" t="s">
        <v>663</v>
      </c>
      <c r="C185" s="57" t="s">
        <v>498</v>
      </c>
      <c r="D185" s="58" t="s">
        <v>693</v>
      </c>
      <c r="E185" s="58" t="s">
        <v>693</v>
      </c>
      <c r="F185" s="58" t="s">
        <v>498</v>
      </c>
      <c r="G185" s="57" t="s">
        <v>161</v>
      </c>
      <c r="H185" s="39">
        <f>SUMPRODUCT(SUMIF(SurtaxRatesSAS!$B$2:$B$324,$C185:$E185,SurtaxRatesSAS!$E$2:$E$324))</f>
        <v>1</v>
      </c>
      <c r="I185" s="39">
        <f>SUMPRODUCT(SUMIF(SurtaxRatesSAS!$B$2:$B$324,$C185:$E185,SurtaxRatesSAS!$D$2:$D$324))</f>
        <v>11</v>
      </c>
      <c r="J185" s="38"/>
      <c r="K185" s="39">
        <f>SUMPRODUCT(SUMIF(SurtaxRatesSAS!$B$2:$B$324,$C185:$E185,SurtaxRatesSAS!$G$2:$G$324))</f>
        <v>350135.77</v>
      </c>
      <c r="L185" s="39">
        <f>SUMPRODUCT(SUMIF(SurtaxRatesSAS!$B$2:$B$324,$C185:$E185,SurtaxRatesSAS!$H$2:$H$324))</f>
        <v>29177.98</v>
      </c>
      <c r="M185" s="39">
        <f>SUMPRODUCT(SUMIF(SurtaxRatesSAS!$B$2:$B$324,$C185:$E185,SurtaxRatesSAS!$I$2:$I$324))</f>
        <v>320957.79000000004</v>
      </c>
      <c r="N185" s="38"/>
      <c r="O185" s="39" t="e">
        <f>SUMPRODUCT(SUMIF(SurtaxRatesSAS!$B$2:$B$324,$C185:$E185,SurtaxRatesSAS!$L$2:$L$324))</f>
        <v>#REF!</v>
      </c>
      <c r="P185" s="39" t="e">
        <f>SUMPRODUCT(SUMIF(SurtaxRatesSAS!$B$2:$B$324,$C185:$E185,SurtaxRatesSAS!$M$2:$M$324))</f>
        <v>#REF!</v>
      </c>
      <c r="Q185" s="39" t="e">
        <f>SUMPRODUCT(SUMIF(SurtaxRatesSAS!$B$2:$B$324,$C185:$E185,SurtaxRatesSAS!$N$2:$N$324))</f>
        <v>#REF!</v>
      </c>
      <c r="R185" s="38"/>
      <c r="S185" s="39" t="e">
        <f t="shared" si="6"/>
        <v>#REF!</v>
      </c>
      <c r="T185" s="39" t="e">
        <f t="shared" si="7"/>
        <v>#REF!</v>
      </c>
      <c r="U185" s="39" t="e">
        <f t="shared" si="8"/>
        <v>#REF!</v>
      </c>
      <c r="V185" s="29"/>
      <c r="W185" s="31" t="str">
        <f>IF(K185&gt;0,INDEX(cfo!$C$2:$I$326,MATCH(SurtaxPayment!C185,cfo!$C$2:$C$326,0),7),"")</f>
        <v>glawson@midland.k12.ia.us</v>
      </c>
      <c r="X185" s="31" t="str">
        <f>IF(IF(K185&gt;0,INDEX(cfo!$C$2:$K$326,MATCH(SurtaxPayment!C185,cfo!$C$2:$C$326,0),9),"")=0,"",IF(K185&gt;0,INDEX(cfo!$C$2:$K$326,MATCH(SurtaxPayment!C185,cfo!$C$2:$C$326,0),9),""))</f>
        <v/>
      </c>
    </row>
    <row r="186" spans="1:24" x14ac:dyDescent="0.25">
      <c r="A186" s="52">
        <v>2025</v>
      </c>
      <c r="B186" s="52" t="s">
        <v>663</v>
      </c>
      <c r="C186" s="57" t="s">
        <v>499</v>
      </c>
      <c r="D186" s="58" t="s">
        <v>693</v>
      </c>
      <c r="E186" s="58" t="s">
        <v>693</v>
      </c>
      <c r="F186" s="58" t="s">
        <v>499</v>
      </c>
      <c r="G186" s="57" t="s">
        <v>160</v>
      </c>
      <c r="H186" s="39">
        <f>SUMPRODUCT(SUMIF(SurtaxRatesSAS!$B$2:$B$324,$C186:$E186,SurtaxRatesSAS!$E$2:$E$324))</f>
        <v>5</v>
      </c>
      <c r="I186" s="39">
        <f>SUMPRODUCT(SUMIF(SurtaxRatesSAS!$B$2:$B$324,$C186:$E186,SurtaxRatesSAS!$D$2:$D$324))</f>
        <v>4</v>
      </c>
      <c r="J186" s="38"/>
      <c r="K186" s="39">
        <f>SUMPRODUCT(SUMIF(SurtaxRatesSAS!$B$2:$B$324,$C186:$E186,SurtaxRatesSAS!$G$2:$G$324))</f>
        <v>837749.08</v>
      </c>
      <c r="L186" s="39">
        <f>SUMPRODUCT(SUMIF(SurtaxRatesSAS!$B$2:$B$324,$C186:$E186,SurtaxRatesSAS!$H$2:$H$324))</f>
        <v>465416.16</v>
      </c>
      <c r="M186" s="39">
        <f>SUMPRODUCT(SUMIF(SurtaxRatesSAS!$B$2:$B$324,$C186:$E186,SurtaxRatesSAS!$I$2:$I$324))</f>
        <v>372332.92</v>
      </c>
      <c r="N186" s="38"/>
      <c r="O186" s="39" t="e">
        <f>SUMPRODUCT(SUMIF(SurtaxRatesSAS!$B$2:$B$324,$C186:$E186,SurtaxRatesSAS!$L$2:$L$324))</f>
        <v>#REF!</v>
      </c>
      <c r="P186" s="39" t="e">
        <f>SUMPRODUCT(SUMIF(SurtaxRatesSAS!$B$2:$B$324,$C186:$E186,SurtaxRatesSAS!$M$2:$M$324))</f>
        <v>#REF!</v>
      </c>
      <c r="Q186" s="39" t="e">
        <f>SUMPRODUCT(SUMIF(SurtaxRatesSAS!$B$2:$B$324,$C186:$E186,SurtaxRatesSAS!$N$2:$N$324))</f>
        <v>#REF!</v>
      </c>
      <c r="R186" s="38"/>
      <c r="S186" s="39" t="e">
        <f t="shared" si="6"/>
        <v>#REF!</v>
      </c>
      <c r="T186" s="39" t="e">
        <f t="shared" si="7"/>
        <v>#REF!</v>
      </c>
      <c r="U186" s="39" t="e">
        <f t="shared" si="8"/>
        <v>#REF!</v>
      </c>
      <c r="V186" s="29"/>
      <c r="W186" s="31" t="str">
        <f>IF(K186&gt;0,INDEX(cfo!$C$2:$I$326,MATCH(SurtaxPayment!C186,cfo!$C$2:$C$326,0),7),"")</f>
        <v>jswartzentruber@mphawks.org</v>
      </c>
      <c r="X186" s="31" t="str">
        <f>IF(IF(K186&gt;0,INDEX(cfo!$C$2:$K$326,MATCH(SurtaxPayment!C186,cfo!$C$2:$C$326,0),9),"")=0,"",IF(K186&gt;0,INDEX(cfo!$C$2:$K$326,MATCH(SurtaxPayment!C186,cfo!$C$2:$C$326,0),9),""))</f>
        <v/>
      </c>
    </row>
    <row r="187" spans="1:24" x14ac:dyDescent="0.25">
      <c r="A187" s="52">
        <v>2025</v>
      </c>
      <c r="B187" s="52" t="s">
        <v>659</v>
      </c>
      <c r="C187" s="57" t="s">
        <v>500</v>
      </c>
      <c r="D187" s="58" t="s">
        <v>693</v>
      </c>
      <c r="E187" s="58" t="s">
        <v>693</v>
      </c>
      <c r="F187" s="58" t="s">
        <v>500</v>
      </c>
      <c r="G187" s="57" t="s">
        <v>162</v>
      </c>
      <c r="H187" s="39">
        <f>SUMPRODUCT(SUMIF(SurtaxRatesSAS!$B$2:$B$324,$C187:$E187,SurtaxRatesSAS!$E$2:$E$324))</f>
        <v>0</v>
      </c>
      <c r="I187" s="39">
        <f>SUMPRODUCT(SUMIF(SurtaxRatesSAS!$B$2:$B$324,$C187:$E187,SurtaxRatesSAS!$D$2:$D$324))</f>
        <v>1</v>
      </c>
      <c r="J187" s="38"/>
      <c r="K187" s="39">
        <f>SUMPRODUCT(SUMIF(SurtaxRatesSAS!$B$2:$B$324,$C187:$E187,SurtaxRatesSAS!$G$2:$G$324))</f>
        <v>36470.81</v>
      </c>
      <c r="L187" s="39">
        <f>SUMPRODUCT(SUMIF(SurtaxRatesSAS!$B$2:$B$324,$C187:$E187,SurtaxRatesSAS!$H$2:$H$324))</f>
        <v>0</v>
      </c>
      <c r="M187" s="39">
        <f>SUMPRODUCT(SUMIF(SurtaxRatesSAS!$B$2:$B$324,$C187:$E187,SurtaxRatesSAS!$I$2:$I$324))</f>
        <v>36470.81</v>
      </c>
      <c r="N187" s="38"/>
      <c r="O187" s="39" t="e">
        <f>SUMPRODUCT(SUMIF(SurtaxRatesSAS!$B$2:$B$324,$C187:$E187,SurtaxRatesSAS!$L$2:$L$324))</f>
        <v>#REF!</v>
      </c>
      <c r="P187" s="39" t="e">
        <f>SUMPRODUCT(SUMIF(SurtaxRatesSAS!$B$2:$B$324,$C187:$E187,SurtaxRatesSAS!$M$2:$M$324))</f>
        <v>#REF!</v>
      </c>
      <c r="Q187" s="39" t="e">
        <f>SUMPRODUCT(SUMIF(SurtaxRatesSAS!$B$2:$B$324,$C187:$E187,SurtaxRatesSAS!$N$2:$N$324))</f>
        <v>#REF!</v>
      </c>
      <c r="R187" s="38"/>
      <c r="S187" s="39" t="e">
        <f t="shared" si="6"/>
        <v>#REF!</v>
      </c>
      <c r="T187" s="39" t="e">
        <f t="shared" si="7"/>
        <v>#REF!</v>
      </c>
      <c r="U187" s="39" t="e">
        <f t="shared" si="8"/>
        <v>#REF!</v>
      </c>
      <c r="V187" s="29"/>
      <c r="W187" s="31" t="str">
        <f>IF(K187&gt;0,INDEX(cfo!$C$2:$I$326,MATCH(SurtaxPayment!C187,cfo!$C$2:$C$326,0),7),"")</f>
        <v>aanderson@movalleycsd.org</v>
      </c>
      <c r="X187" s="31" t="str">
        <f>IF(IF(K187&gt;0,INDEX(cfo!$C$2:$K$326,MATCH(SurtaxPayment!C187,cfo!$C$2:$C$326,0),9),"")=0,"",IF(K187&gt;0,INDEX(cfo!$C$2:$K$326,MATCH(SurtaxPayment!C187,cfo!$C$2:$C$326,0),9),""))</f>
        <v/>
      </c>
    </row>
    <row r="188" spans="1:24" x14ac:dyDescent="0.25">
      <c r="A188" s="52">
        <v>2025</v>
      </c>
      <c r="B188" s="52" t="s">
        <v>660</v>
      </c>
      <c r="C188" s="57" t="s">
        <v>495</v>
      </c>
      <c r="D188" s="58" t="s">
        <v>693</v>
      </c>
      <c r="E188" s="58" t="s">
        <v>693</v>
      </c>
      <c r="F188" s="58" t="s">
        <v>495</v>
      </c>
      <c r="G188" s="57" t="s">
        <v>163</v>
      </c>
      <c r="H188" s="39">
        <f>SUMPRODUCT(SUMIF(SurtaxRatesSAS!$B$2:$B$324,$C188:$E188,SurtaxRatesSAS!$E$2:$E$324))</f>
        <v>0</v>
      </c>
      <c r="I188" s="39">
        <f>SUMPRODUCT(SUMIF(SurtaxRatesSAS!$B$2:$B$324,$C188:$E188,SurtaxRatesSAS!$D$2:$D$324))</f>
        <v>2</v>
      </c>
      <c r="J188" s="38"/>
      <c r="K188" s="39">
        <f>SUMPRODUCT(SUMIF(SurtaxRatesSAS!$B$2:$B$324,$C188:$E188,SurtaxRatesSAS!$G$2:$G$324))</f>
        <v>242239.61</v>
      </c>
      <c r="L188" s="39">
        <f>SUMPRODUCT(SUMIF(SurtaxRatesSAS!$B$2:$B$324,$C188:$E188,SurtaxRatesSAS!$H$2:$H$324))</f>
        <v>0</v>
      </c>
      <c r="M188" s="39">
        <f>SUMPRODUCT(SUMIF(SurtaxRatesSAS!$B$2:$B$324,$C188:$E188,SurtaxRatesSAS!$I$2:$I$324))</f>
        <v>242239.61</v>
      </c>
      <c r="N188" s="38"/>
      <c r="O188" s="39" t="e">
        <f>SUMPRODUCT(SUMIF(SurtaxRatesSAS!$B$2:$B$324,$C188:$E188,SurtaxRatesSAS!$L$2:$L$324))</f>
        <v>#REF!</v>
      </c>
      <c r="P188" s="39" t="e">
        <f>SUMPRODUCT(SUMIF(SurtaxRatesSAS!$B$2:$B$324,$C188:$E188,SurtaxRatesSAS!$M$2:$M$324))</f>
        <v>#REF!</v>
      </c>
      <c r="Q188" s="39" t="e">
        <f>SUMPRODUCT(SUMIF(SurtaxRatesSAS!$B$2:$B$324,$C188:$E188,SurtaxRatesSAS!$N$2:$N$324))</f>
        <v>#REF!</v>
      </c>
      <c r="R188" s="38"/>
      <c r="S188" s="39" t="e">
        <f t="shared" si="6"/>
        <v>#REF!</v>
      </c>
      <c r="T188" s="39" t="e">
        <f t="shared" si="7"/>
        <v>#REF!</v>
      </c>
      <c r="U188" s="39" t="e">
        <f t="shared" si="8"/>
        <v>#REF!</v>
      </c>
      <c r="V188" s="29"/>
      <c r="W188" s="31" t="str">
        <f>IF(K188&gt;0,INDEX(cfo!$C$2:$I$326,MATCH(SurtaxPayment!C188,cfo!$C$2:$C$326,0),7),"")</f>
        <v>kdykstra@mocfv.org</v>
      </c>
      <c r="X188" s="31" t="str">
        <f>IF(IF(K188&gt;0,INDEX(cfo!$C$2:$K$326,MATCH(SurtaxPayment!C188,cfo!$C$2:$C$326,0),9),"")=0,"",IF(K188&gt;0,INDEX(cfo!$C$2:$K$326,MATCH(SurtaxPayment!C188,cfo!$C$2:$C$326,0),9),""))</f>
        <v>levenhuis@moc-fv.k12.ia.us</v>
      </c>
    </row>
    <row r="189" spans="1:24" x14ac:dyDescent="0.25">
      <c r="A189" s="52">
        <v>2025</v>
      </c>
      <c r="B189" s="52" t="s">
        <v>658</v>
      </c>
      <c r="C189" s="57" t="s">
        <v>502</v>
      </c>
      <c r="D189" s="58" t="s">
        <v>693</v>
      </c>
      <c r="E189" s="58" t="s">
        <v>693</v>
      </c>
      <c r="F189" s="58" t="s">
        <v>502</v>
      </c>
      <c r="G189" s="57" t="s">
        <v>164</v>
      </c>
      <c r="H189" s="39">
        <f>SUMPRODUCT(SUMIF(SurtaxRatesSAS!$B$2:$B$324,$C189:$E189,SurtaxRatesSAS!$E$2:$E$324))</f>
        <v>0</v>
      </c>
      <c r="I189" s="39">
        <f>SUMPRODUCT(SUMIF(SurtaxRatesSAS!$B$2:$B$324,$C189:$E189,SurtaxRatesSAS!$D$2:$D$324))</f>
        <v>8</v>
      </c>
      <c r="J189" s="38"/>
      <c r="K189" s="39">
        <f>SUMPRODUCT(SUMIF(SurtaxRatesSAS!$B$2:$B$324,$C189:$E189,SurtaxRatesSAS!$G$2:$G$324))</f>
        <v>250696.38</v>
      </c>
      <c r="L189" s="39">
        <f>SUMPRODUCT(SUMIF(SurtaxRatesSAS!$B$2:$B$324,$C189:$E189,SurtaxRatesSAS!$H$2:$H$324))</f>
        <v>0</v>
      </c>
      <c r="M189" s="39">
        <f>SUMPRODUCT(SUMIF(SurtaxRatesSAS!$B$2:$B$324,$C189:$E189,SurtaxRatesSAS!$I$2:$I$324))</f>
        <v>250696.38</v>
      </c>
      <c r="N189" s="38"/>
      <c r="O189" s="39" t="e">
        <f>SUMPRODUCT(SUMIF(SurtaxRatesSAS!$B$2:$B$324,$C189:$E189,SurtaxRatesSAS!$L$2:$L$324))</f>
        <v>#REF!</v>
      </c>
      <c r="P189" s="39" t="e">
        <f>SUMPRODUCT(SUMIF(SurtaxRatesSAS!$B$2:$B$324,$C189:$E189,SurtaxRatesSAS!$M$2:$M$324))</f>
        <v>#REF!</v>
      </c>
      <c r="Q189" s="39" t="e">
        <f>SUMPRODUCT(SUMIF(SurtaxRatesSAS!$B$2:$B$324,$C189:$E189,SurtaxRatesSAS!$N$2:$N$324))</f>
        <v>#REF!</v>
      </c>
      <c r="R189" s="38"/>
      <c r="S189" s="39" t="e">
        <f t="shared" si="6"/>
        <v>#REF!</v>
      </c>
      <c r="T189" s="39" t="e">
        <f t="shared" si="7"/>
        <v>#REF!</v>
      </c>
      <c r="U189" s="39" t="e">
        <f t="shared" si="8"/>
        <v>#REF!</v>
      </c>
      <c r="V189" s="29"/>
      <c r="W189" s="31" t="str">
        <f>IF(K189&gt;0,INDEX(cfo!$C$2:$I$326,MATCH(SurtaxPayment!C189,cfo!$C$2:$C$326,0),7),"")</f>
        <v>kdecook@montezuma.k12.ia.us</v>
      </c>
      <c r="X189" s="31" t="str">
        <f>IF(IF(K189&gt;0,INDEX(cfo!$C$2:$K$326,MATCH(SurtaxPayment!C189,cfo!$C$2:$C$326,0),9),"")=0,"",IF(K189&gt;0,INDEX(cfo!$C$2:$K$326,MATCH(SurtaxPayment!C189,cfo!$C$2:$C$326,0),9),""))</f>
        <v/>
      </c>
    </row>
    <row r="190" spans="1:24" x14ac:dyDescent="0.25">
      <c r="A190" s="52">
        <v>2025</v>
      </c>
      <c r="B190" s="52" t="s">
        <v>663</v>
      </c>
      <c r="C190" s="57" t="s">
        <v>503</v>
      </c>
      <c r="D190" s="58" t="s">
        <v>693</v>
      </c>
      <c r="E190" s="58" t="s">
        <v>693</v>
      </c>
      <c r="F190" s="58" t="s">
        <v>503</v>
      </c>
      <c r="G190" s="57" t="s">
        <v>165</v>
      </c>
      <c r="H190" s="39">
        <f>SUMPRODUCT(SUMIF(SurtaxRatesSAS!$B$2:$B$324,$C190:$E190,SurtaxRatesSAS!$E$2:$E$324))</f>
        <v>3</v>
      </c>
      <c r="I190" s="39">
        <f>SUMPRODUCT(SUMIF(SurtaxRatesSAS!$B$2:$B$324,$C190:$E190,SurtaxRatesSAS!$D$2:$D$324))</f>
        <v>3</v>
      </c>
      <c r="J190" s="38"/>
      <c r="K190" s="39">
        <f>SUMPRODUCT(SUMIF(SurtaxRatesSAS!$B$2:$B$324,$C190:$E190,SurtaxRatesSAS!$G$2:$G$324))</f>
        <v>425667.65</v>
      </c>
      <c r="L190" s="39">
        <f>SUMPRODUCT(SUMIF(SurtaxRatesSAS!$B$2:$B$324,$C190:$E190,SurtaxRatesSAS!$H$2:$H$324))</f>
        <v>212833.83</v>
      </c>
      <c r="M190" s="39">
        <f>SUMPRODUCT(SUMIF(SurtaxRatesSAS!$B$2:$B$324,$C190:$E190,SurtaxRatesSAS!$I$2:$I$324))</f>
        <v>212833.82000000004</v>
      </c>
      <c r="N190" s="38"/>
      <c r="O190" s="39" t="e">
        <f>SUMPRODUCT(SUMIF(SurtaxRatesSAS!$B$2:$B$324,$C190:$E190,SurtaxRatesSAS!$L$2:$L$324))</f>
        <v>#REF!</v>
      </c>
      <c r="P190" s="39" t="e">
        <f>SUMPRODUCT(SUMIF(SurtaxRatesSAS!$B$2:$B$324,$C190:$E190,SurtaxRatesSAS!$M$2:$M$324))</f>
        <v>#REF!</v>
      </c>
      <c r="Q190" s="39" t="e">
        <f>SUMPRODUCT(SUMIF(SurtaxRatesSAS!$B$2:$B$324,$C190:$E190,SurtaxRatesSAS!$N$2:$N$324))</f>
        <v>#REF!</v>
      </c>
      <c r="R190" s="38"/>
      <c r="S190" s="39" t="e">
        <f t="shared" si="6"/>
        <v>#REF!</v>
      </c>
      <c r="T190" s="39" t="e">
        <f t="shared" si="7"/>
        <v>#REF!</v>
      </c>
      <c r="U190" s="39" t="e">
        <f t="shared" si="8"/>
        <v>#REF!</v>
      </c>
      <c r="V190" s="29"/>
      <c r="W190" s="31" t="str">
        <f>IF(K190&gt;0,INDEX(cfo!$C$2:$I$326,MATCH(SurtaxPayment!C190,cfo!$C$2:$C$326,0),7),"")</f>
        <v>marcy.gillmore@monticello.k12.ia.us</v>
      </c>
      <c r="X190" s="31" t="str">
        <f>IF(IF(K190&gt;0,INDEX(cfo!$C$2:$K$326,MATCH(SurtaxPayment!C190,cfo!$C$2:$C$326,0),9),"")=0,"",IF(K190&gt;0,INDEX(cfo!$C$2:$K$326,MATCH(SurtaxPayment!C190,cfo!$C$2:$C$326,0),9),""))</f>
        <v/>
      </c>
    </row>
    <row r="191" spans="1:24" x14ac:dyDescent="0.25">
      <c r="A191" s="52">
        <v>2025</v>
      </c>
      <c r="B191" s="52" t="s">
        <v>662</v>
      </c>
      <c r="C191" s="57" t="s">
        <v>504</v>
      </c>
      <c r="D191" s="58" t="s">
        <v>693</v>
      </c>
      <c r="E191" s="58" t="s">
        <v>693</v>
      </c>
      <c r="F191" s="58" t="s">
        <v>504</v>
      </c>
      <c r="G191" s="57" t="s">
        <v>166</v>
      </c>
      <c r="H191" s="39">
        <f>SUMPRODUCT(SUMIF(SurtaxRatesSAS!$B$2:$B$324,$C191:$E191,SurtaxRatesSAS!$E$2:$E$324))</f>
        <v>0</v>
      </c>
      <c r="I191" s="39">
        <f>SUMPRODUCT(SUMIF(SurtaxRatesSAS!$B$2:$B$324,$C191:$E191,SurtaxRatesSAS!$D$2:$D$324))</f>
        <v>5</v>
      </c>
      <c r="J191" s="38"/>
      <c r="K191" s="39">
        <f>SUMPRODUCT(SUMIF(SurtaxRatesSAS!$B$2:$B$324,$C191:$E191,SurtaxRatesSAS!$G$2:$G$324))</f>
        <v>92395.96</v>
      </c>
      <c r="L191" s="39">
        <f>SUMPRODUCT(SUMIF(SurtaxRatesSAS!$B$2:$B$324,$C191:$E191,SurtaxRatesSAS!$H$2:$H$324))</f>
        <v>0</v>
      </c>
      <c r="M191" s="39">
        <f>SUMPRODUCT(SUMIF(SurtaxRatesSAS!$B$2:$B$324,$C191:$E191,SurtaxRatesSAS!$I$2:$I$324))</f>
        <v>92395.96</v>
      </c>
      <c r="N191" s="38"/>
      <c r="O191" s="39" t="e">
        <f>SUMPRODUCT(SUMIF(SurtaxRatesSAS!$B$2:$B$324,$C191:$E191,SurtaxRatesSAS!$L$2:$L$324))</f>
        <v>#REF!</v>
      </c>
      <c r="P191" s="39" t="e">
        <f>SUMPRODUCT(SUMIF(SurtaxRatesSAS!$B$2:$B$324,$C191:$E191,SurtaxRatesSAS!$M$2:$M$324))</f>
        <v>#REF!</v>
      </c>
      <c r="Q191" s="39" t="e">
        <f>SUMPRODUCT(SUMIF(SurtaxRatesSAS!$B$2:$B$324,$C191:$E191,SurtaxRatesSAS!$N$2:$N$324))</f>
        <v>#REF!</v>
      </c>
      <c r="R191" s="38"/>
      <c r="S191" s="39" t="e">
        <f t="shared" si="6"/>
        <v>#REF!</v>
      </c>
      <c r="T191" s="39" t="e">
        <f t="shared" si="7"/>
        <v>#REF!</v>
      </c>
      <c r="U191" s="39" t="e">
        <f t="shared" si="8"/>
        <v>#REF!</v>
      </c>
      <c r="V191" s="29"/>
      <c r="W191" s="31" t="str">
        <f>IF(K191&gt;0,INDEX(cfo!$C$2:$I$326,MATCH(SurtaxPayment!C191,cfo!$C$2:$C$326,0),7),"")</f>
        <v>christina.bickel@moravia.k12.ia.us</v>
      </c>
      <c r="X191" s="31" t="str">
        <f>IF(IF(K191&gt;0,INDEX(cfo!$C$2:$K$326,MATCH(SurtaxPayment!C191,cfo!$C$2:$C$326,0),9),"")=0,"",IF(K191&gt;0,INDEX(cfo!$C$2:$K$326,MATCH(SurtaxPayment!C191,cfo!$C$2:$C$326,0),9),""))</f>
        <v/>
      </c>
    </row>
    <row r="192" spans="1:24" x14ac:dyDescent="0.25">
      <c r="A192" s="52">
        <v>2025</v>
      </c>
      <c r="B192" s="52" t="s">
        <v>659</v>
      </c>
      <c r="C192" s="57" t="s">
        <v>505</v>
      </c>
      <c r="D192" s="58" t="s">
        <v>693</v>
      </c>
      <c r="E192" s="58" t="s">
        <v>693</v>
      </c>
      <c r="F192" s="58" t="s">
        <v>505</v>
      </c>
      <c r="G192" s="57" t="s">
        <v>167</v>
      </c>
      <c r="H192" s="39">
        <f>SUMPRODUCT(SUMIF(SurtaxRatesSAS!$B$2:$B$324,$C192:$E192,SurtaxRatesSAS!$E$2:$E$324))</f>
        <v>0</v>
      </c>
      <c r="I192" s="39">
        <f>SUMPRODUCT(SUMIF(SurtaxRatesSAS!$B$2:$B$324,$C192:$E192,SurtaxRatesSAS!$D$2:$D$324))</f>
        <v>10</v>
      </c>
      <c r="J192" s="38"/>
      <c r="K192" s="39">
        <f>SUMPRODUCT(SUMIF(SurtaxRatesSAS!$B$2:$B$324,$C192:$E192,SurtaxRatesSAS!$G$2:$G$324))</f>
        <v>112960.63</v>
      </c>
      <c r="L192" s="39">
        <f>SUMPRODUCT(SUMIF(SurtaxRatesSAS!$B$2:$B$324,$C192:$E192,SurtaxRatesSAS!$H$2:$H$324))</f>
        <v>0</v>
      </c>
      <c r="M192" s="39">
        <f>SUMPRODUCT(SUMIF(SurtaxRatesSAS!$B$2:$B$324,$C192:$E192,SurtaxRatesSAS!$I$2:$I$324))</f>
        <v>112960.63</v>
      </c>
      <c r="N192" s="38"/>
      <c r="O192" s="39" t="e">
        <f>SUMPRODUCT(SUMIF(SurtaxRatesSAS!$B$2:$B$324,$C192:$E192,SurtaxRatesSAS!$L$2:$L$324))</f>
        <v>#REF!</v>
      </c>
      <c r="P192" s="39" t="e">
        <f>SUMPRODUCT(SUMIF(SurtaxRatesSAS!$B$2:$B$324,$C192:$E192,SurtaxRatesSAS!$M$2:$M$324))</f>
        <v>#REF!</v>
      </c>
      <c r="Q192" s="39" t="e">
        <f>SUMPRODUCT(SUMIF(SurtaxRatesSAS!$B$2:$B$324,$C192:$E192,SurtaxRatesSAS!$N$2:$N$324))</f>
        <v>#REF!</v>
      </c>
      <c r="R192" s="38"/>
      <c r="S192" s="39" t="e">
        <f t="shared" si="6"/>
        <v>#REF!</v>
      </c>
      <c r="T192" s="39" t="e">
        <f t="shared" si="7"/>
        <v>#REF!</v>
      </c>
      <c r="U192" s="39" t="e">
        <f t="shared" si="8"/>
        <v>#REF!</v>
      </c>
      <c r="V192" s="29"/>
      <c r="W192" s="31" t="str">
        <f>IF(K192&gt;0,INDEX(cfo!$C$2:$I$326,MATCH(SurtaxPayment!C192,cfo!$C$2:$C$326,0),7),"")</f>
        <v>sparmer@mormontrailcsd.org</v>
      </c>
      <c r="X192" s="31" t="str">
        <f>IF(IF(K192&gt;0,INDEX(cfo!$C$2:$K$326,MATCH(SurtaxPayment!C192,cfo!$C$2:$C$326,0),9),"")=0,"",IF(K192&gt;0,INDEX(cfo!$C$2:$K$326,MATCH(SurtaxPayment!C192,cfo!$C$2:$C$326,0),9),""))</f>
        <v>cbickel@mormontrailcsd.org</v>
      </c>
    </row>
    <row r="193" spans="1:24" x14ac:dyDescent="0.25">
      <c r="A193" s="52">
        <v>2025</v>
      </c>
      <c r="B193" s="52" t="s">
        <v>662</v>
      </c>
      <c r="C193" s="57" t="s">
        <v>506</v>
      </c>
      <c r="D193" s="58" t="s">
        <v>693</v>
      </c>
      <c r="E193" s="58" t="s">
        <v>693</v>
      </c>
      <c r="F193" s="58" t="s">
        <v>506</v>
      </c>
      <c r="G193" s="57" t="s">
        <v>168</v>
      </c>
      <c r="H193" s="39">
        <f>SUMPRODUCT(SUMIF(SurtaxRatesSAS!$B$2:$B$324,$C193:$E193,SurtaxRatesSAS!$E$2:$E$324))</f>
        <v>0</v>
      </c>
      <c r="I193" s="39">
        <f>SUMPRODUCT(SUMIF(SurtaxRatesSAS!$B$2:$B$324,$C193:$E193,SurtaxRatesSAS!$D$2:$D$324))</f>
        <v>7</v>
      </c>
      <c r="J193" s="38"/>
      <c r="K193" s="39">
        <f>SUMPRODUCT(SUMIF(SurtaxRatesSAS!$B$2:$B$324,$C193:$E193,SurtaxRatesSAS!$G$2:$G$324))</f>
        <v>79395.8</v>
      </c>
      <c r="L193" s="39">
        <f>SUMPRODUCT(SUMIF(SurtaxRatesSAS!$B$2:$B$324,$C193:$E193,SurtaxRatesSAS!$H$2:$H$324))</f>
        <v>0</v>
      </c>
      <c r="M193" s="39">
        <f>SUMPRODUCT(SUMIF(SurtaxRatesSAS!$B$2:$B$324,$C193:$E193,SurtaxRatesSAS!$I$2:$I$324))</f>
        <v>79395.8</v>
      </c>
      <c r="N193" s="38"/>
      <c r="O193" s="39" t="e">
        <f>SUMPRODUCT(SUMIF(SurtaxRatesSAS!$B$2:$B$324,$C193:$E193,SurtaxRatesSAS!$L$2:$L$324))</f>
        <v>#REF!</v>
      </c>
      <c r="P193" s="39" t="e">
        <f>SUMPRODUCT(SUMIF(SurtaxRatesSAS!$B$2:$B$324,$C193:$E193,SurtaxRatesSAS!$M$2:$M$324))</f>
        <v>#REF!</v>
      </c>
      <c r="Q193" s="39" t="e">
        <f>SUMPRODUCT(SUMIF(SurtaxRatesSAS!$B$2:$B$324,$C193:$E193,SurtaxRatesSAS!$N$2:$N$324))</f>
        <v>#REF!</v>
      </c>
      <c r="R193" s="38"/>
      <c r="S193" s="39" t="e">
        <f t="shared" si="6"/>
        <v>#REF!</v>
      </c>
      <c r="T193" s="39" t="e">
        <f t="shared" si="7"/>
        <v>#REF!</v>
      </c>
      <c r="U193" s="39" t="e">
        <f t="shared" si="8"/>
        <v>#REF!</v>
      </c>
      <c r="V193" s="29"/>
      <c r="W193" s="31" t="str">
        <f>IF(K193&gt;0,INDEX(cfo!$C$2:$I$326,MATCH(SurtaxPayment!C193,cfo!$C$2:$C$326,0),7),"")</f>
        <v>eric.small@wapellocsd.org</v>
      </c>
      <c r="X193" s="31" t="str">
        <f>IF(IF(K193&gt;0,INDEX(cfo!$C$2:$K$326,MATCH(SurtaxPayment!C193,cfo!$C$2:$C$326,0),9),"")=0,"",IF(K193&gt;0,INDEX(cfo!$C$2:$K$326,MATCH(SurtaxPayment!C193,cfo!$C$2:$C$326,0),9),""))</f>
        <v/>
      </c>
    </row>
    <row r="194" spans="1:24" x14ac:dyDescent="0.25">
      <c r="A194" s="52">
        <v>2025</v>
      </c>
      <c r="B194" s="52" t="s">
        <v>662</v>
      </c>
      <c r="C194" s="57" t="s">
        <v>507</v>
      </c>
      <c r="D194" s="58" t="s">
        <v>693</v>
      </c>
      <c r="E194" s="58" t="s">
        <v>693</v>
      </c>
      <c r="F194" s="58" t="s">
        <v>507</v>
      </c>
      <c r="G194" s="57" t="s">
        <v>169</v>
      </c>
      <c r="H194" s="39">
        <f>SUMPRODUCT(SUMIF(SurtaxRatesSAS!$B$2:$B$324,$C194:$E194,SurtaxRatesSAS!$E$2:$E$324))</f>
        <v>0</v>
      </c>
      <c r="I194" s="39">
        <f>SUMPRODUCT(SUMIF(SurtaxRatesSAS!$B$2:$B$324,$C194:$E194,SurtaxRatesSAS!$D$2:$D$324))</f>
        <v>10</v>
      </c>
      <c r="J194" s="38"/>
      <c r="K194" s="39">
        <f>SUMPRODUCT(SUMIF(SurtaxRatesSAS!$B$2:$B$324,$C194:$E194,SurtaxRatesSAS!$G$2:$G$324))</f>
        <v>94572.99</v>
      </c>
      <c r="L194" s="39">
        <f>SUMPRODUCT(SUMIF(SurtaxRatesSAS!$B$2:$B$324,$C194:$E194,SurtaxRatesSAS!$H$2:$H$324))</f>
        <v>0</v>
      </c>
      <c r="M194" s="39">
        <f>SUMPRODUCT(SUMIF(SurtaxRatesSAS!$B$2:$B$324,$C194:$E194,SurtaxRatesSAS!$I$2:$I$324))</f>
        <v>94572.99</v>
      </c>
      <c r="N194" s="38"/>
      <c r="O194" s="39" t="e">
        <f>SUMPRODUCT(SUMIF(SurtaxRatesSAS!$B$2:$B$324,$C194:$E194,SurtaxRatesSAS!$L$2:$L$324))</f>
        <v>#REF!</v>
      </c>
      <c r="P194" s="39" t="e">
        <f>SUMPRODUCT(SUMIF(SurtaxRatesSAS!$B$2:$B$324,$C194:$E194,SurtaxRatesSAS!$M$2:$M$324))</f>
        <v>#REF!</v>
      </c>
      <c r="Q194" s="39" t="e">
        <f>SUMPRODUCT(SUMIF(SurtaxRatesSAS!$B$2:$B$324,$C194:$E194,SurtaxRatesSAS!$N$2:$N$324))</f>
        <v>#REF!</v>
      </c>
      <c r="R194" s="38"/>
      <c r="S194" s="39" t="e">
        <f t="shared" si="6"/>
        <v>#REF!</v>
      </c>
      <c r="T194" s="39" t="e">
        <f t="shared" si="7"/>
        <v>#REF!</v>
      </c>
      <c r="U194" s="39" t="e">
        <f t="shared" si="8"/>
        <v>#REF!</v>
      </c>
      <c r="V194" s="29"/>
      <c r="W194" s="31" t="str">
        <f>IF(K194&gt;0,INDEX(cfo!$C$2:$I$326,MATCH(SurtaxPayment!C194,cfo!$C$2:$C$326,0),7),"")</f>
        <v>tracie.valentine@moulton-udell.org</v>
      </c>
      <c r="X194" s="31" t="str">
        <f>IF(IF(K194&gt;0,INDEX(cfo!$C$2:$K$326,MATCH(SurtaxPayment!C194,cfo!$C$2:$C$326,0),9),"")=0,"",IF(K194&gt;0,INDEX(cfo!$C$2:$K$326,MATCH(SurtaxPayment!C194,cfo!$C$2:$C$326,0),9),""))</f>
        <v/>
      </c>
    </row>
    <row r="195" spans="1:24" x14ac:dyDescent="0.25">
      <c r="A195" s="52">
        <v>2025</v>
      </c>
      <c r="B195" s="52" t="s">
        <v>659</v>
      </c>
      <c r="C195" s="57" t="s">
        <v>508</v>
      </c>
      <c r="D195" s="58" t="s">
        <v>693</v>
      </c>
      <c r="E195" s="58" t="s">
        <v>693</v>
      </c>
      <c r="F195" s="58" t="s">
        <v>508</v>
      </c>
      <c r="G195" s="57" t="s">
        <v>170</v>
      </c>
      <c r="H195" s="39">
        <f>SUMPRODUCT(SUMIF(SurtaxRatesSAS!$B$2:$B$324,$C195:$E195,SurtaxRatesSAS!$E$2:$E$324))</f>
        <v>0</v>
      </c>
      <c r="I195" s="39">
        <f>SUMPRODUCT(SUMIF(SurtaxRatesSAS!$B$2:$B$324,$C195:$E195,SurtaxRatesSAS!$D$2:$D$324))</f>
        <v>6</v>
      </c>
      <c r="J195" s="38"/>
      <c r="K195" s="39">
        <f>SUMPRODUCT(SUMIF(SurtaxRatesSAS!$B$2:$B$324,$C195:$E195,SurtaxRatesSAS!$G$2:$G$324))</f>
        <v>168899.29</v>
      </c>
      <c r="L195" s="39">
        <f>SUMPRODUCT(SUMIF(SurtaxRatesSAS!$B$2:$B$324,$C195:$E195,SurtaxRatesSAS!$H$2:$H$324))</f>
        <v>0</v>
      </c>
      <c r="M195" s="39">
        <f>SUMPRODUCT(SUMIF(SurtaxRatesSAS!$B$2:$B$324,$C195:$E195,SurtaxRatesSAS!$I$2:$I$324))</f>
        <v>168899.29</v>
      </c>
      <c r="N195" s="38"/>
      <c r="O195" s="39" t="e">
        <f>SUMPRODUCT(SUMIF(SurtaxRatesSAS!$B$2:$B$324,$C195:$E195,SurtaxRatesSAS!$L$2:$L$324))</f>
        <v>#REF!</v>
      </c>
      <c r="P195" s="39" t="e">
        <f>SUMPRODUCT(SUMIF(SurtaxRatesSAS!$B$2:$B$324,$C195:$E195,SurtaxRatesSAS!$M$2:$M$324))</f>
        <v>#REF!</v>
      </c>
      <c r="Q195" s="39" t="e">
        <f>SUMPRODUCT(SUMIF(SurtaxRatesSAS!$B$2:$B$324,$C195:$E195,SurtaxRatesSAS!$N$2:$N$324))</f>
        <v>#REF!</v>
      </c>
      <c r="R195" s="38"/>
      <c r="S195" s="39" t="e">
        <f t="shared" si="6"/>
        <v>#REF!</v>
      </c>
      <c r="T195" s="39" t="e">
        <f t="shared" si="7"/>
        <v>#REF!</v>
      </c>
      <c r="U195" s="39" t="e">
        <f t="shared" si="8"/>
        <v>#REF!</v>
      </c>
      <c r="V195" s="29"/>
      <c r="W195" s="31" t="str">
        <f>IF(K195&gt;0,INDEX(cfo!$C$2:$I$326,MATCH(SurtaxPayment!C195,cfo!$C$2:$C$326,0),7),"")</f>
        <v>stephanie.newton@mtayrschools.org</v>
      </c>
      <c r="X195" s="31" t="str">
        <f>IF(IF(K195&gt;0,INDEX(cfo!$C$2:$K$326,MATCH(SurtaxPayment!C195,cfo!$C$2:$C$326,0),9),"")=0,"",IF(K195&gt;0,INDEX(cfo!$C$2:$K$326,MATCH(SurtaxPayment!C195,cfo!$C$2:$C$326,0),9),""))</f>
        <v/>
      </c>
    </row>
    <row r="196" spans="1:24" x14ac:dyDescent="0.25">
      <c r="A196" s="52">
        <v>2025</v>
      </c>
      <c r="B196" s="52" t="s">
        <v>662</v>
      </c>
      <c r="C196" s="57" t="s">
        <v>509</v>
      </c>
      <c r="D196" s="58" t="s">
        <v>693</v>
      </c>
      <c r="E196" s="58" t="s">
        <v>693</v>
      </c>
      <c r="F196" s="58" t="s">
        <v>509</v>
      </c>
      <c r="G196" s="57" t="s">
        <v>171</v>
      </c>
      <c r="H196" s="39">
        <f>SUMPRODUCT(SUMIF(SurtaxRatesSAS!$B$2:$B$324,$C196:$E196,SurtaxRatesSAS!$E$2:$E$324))</f>
        <v>0</v>
      </c>
      <c r="I196" s="39">
        <f>SUMPRODUCT(SUMIF(SurtaxRatesSAS!$B$2:$B$324,$C196:$E196,SurtaxRatesSAS!$D$2:$D$324))</f>
        <v>5</v>
      </c>
      <c r="J196" s="38"/>
      <c r="K196" s="39">
        <f>SUMPRODUCT(SUMIF(SurtaxRatesSAS!$B$2:$B$324,$C196:$E196,SurtaxRatesSAS!$G$2:$G$324))</f>
        <v>475819.68</v>
      </c>
      <c r="L196" s="39">
        <f>SUMPRODUCT(SUMIF(SurtaxRatesSAS!$B$2:$B$324,$C196:$E196,SurtaxRatesSAS!$H$2:$H$324))</f>
        <v>0</v>
      </c>
      <c r="M196" s="39">
        <f>SUMPRODUCT(SUMIF(SurtaxRatesSAS!$B$2:$B$324,$C196:$E196,SurtaxRatesSAS!$I$2:$I$324))</f>
        <v>475819.68</v>
      </c>
      <c r="N196" s="38"/>
      <c r="O196" s="39" t="e">
        <f>SUMPRODUCT(SUMIF(SurtaxRatesSAS!$B$2:$B$324,$C196:$E196,SurtaxRatesSAS!$L$2:$L$324))</f>
        <v>#REF!</v>
      </c>
      <c r="P196" s="39" t="e">
        <f>SUMPRODUCT(SUMIF(SurtaxRatesSAS!$B$2:$B$324,$C196:$E196,SurtaxRatesSAS!$M$2:$M$324))</f>
        <v>#REF!</v>
      </c>
      <c r="Q196" s="39" t="e">
        <f>SUMPRODUCT(SUMIF(SurtaxRatesSAS!$B$2:$B$324,$C196:$E196,SurtaxRatesSAS!$N$2:$N$324))</f>
        <v>#REF!</v>
      </c>
      <c r="R196" s="38"/>
      <c r="S196" s="39" t="e">
        <f t="shared" si="6"/>
        <v>#REF!</v>
      </c>
      <c r="T196" s="39" t="e">
        <f t="shared" si="7"/>
        <v>#REF!</v>
      </c>
      <c r="U196" s="39" t="e">
        <f t="shared" si="8"/>
        <v>#REF!</v>
      </c>
      <c r="V196" s="29"/>
      <c r="W196" s="31" t="str">
        <f>IF(K196&gt;0,INDEX(cfo!$C$2:$I$326,MATCH(SurtaxPayment!C196,cfo!$C$2:$C$326,0),7),"")</f>
        <v>jessica.boyer@mtpcsd.org</v>
      </c>
      <c r="X196" s="31" t="str">
        <f>IF(IF(K196&gt;0,INDEX(cfo!$C$2:$K$326,MATCH(SurtaxPayment!C196,cfo!$C$2:$C$326,0),9),"")=0,"",IF(K196&gt;0,INDEX(cfo!$C$2:$K$326,MATCH(SurtaxPayment!C196,cfo!$C$2:$C$326,0),9),""))</f>
        <v/>
      </c>
    </row>
    <row r="197" spans="1:24" x14ac:dyDescent="0.25">
      <c r="A197" s="52">
        <v>2025</v>
      </c>
      <c r="B197" s="52" t="s">
        <v>663</v>
      </c>
      <c r="C197" s="57" t="s">
        <v>510</v>
      </c>
      <c r="D197" s="58" t="s">
        <v>693</v>
      </c>
      <c r="E197" s="58" t="s">
        <v>693</v>
      </c>
      <c r="F197" s="58" t="s">
        <v>510</v>
      </c>
      <c r="G197" s="57" t="s">
        <v>172</v>
      </c>
      <c r="H197" s="39">
        <f>SUMPRODUCT(SUMIF(SurtaxRatesSAS!$B$2:$B$324,$C197:$E197,SurtaxRatesSAS!$E$2:$E$324))</f>
        <v>0</v>
      </c>
      <c r="I197" s="39">
        <f>SUMPRODUCT(SUMIF(SurtaxRatesSAS!$B$2:$B$324,$C197:$E197,SurtaxRatesSAS!$D$2:$D$324))</f>
        <v>5</v>
      </c>
      <c r="J197" s="38"/>
      <c r="K197" s="39">
        <f>SUMPRODUCT(SUMIF(SurtaxRatesSAS!$B$2:$B$324,$C197:$E197,SurtaxRatesSAS!$G$2:$G$324))</f>
        <v>478369.59</v>
      </c>
      <c r="L197" s="39">
        <f>SUMPRODUCT(SUMIF(SurtaxRatesSAS!$B$2:$B$324,$C197:$E197,SurtaxRatesSAS!$H$2:$H$324))</f>
        <v>0</v>
      </c>
      <c r="M197" s="39">
        <f>SUMPRODUCT(SUMIF(SurtaxRatesSAS!$B$2:$B$324,$C197:$E197,SurtaxRatesSAS!$I$2:$I$324))</f>
        <v>478369.59</v>
      </c>
      <c r="N197" s="38"/>
      <c r="O197" s="39" t="e">
        <f>SUMPRODUCT(SUMIF(SurtaxRatesSAS!$B$2:$B$324,$C197:$E197,SurtaxRatesSAS!$L$2:$L$324))</f>
        <v>#REF!</v>
      </c>
      <c r="P197" s="39" t="e">
        <f>SUMPRODUCT(SUMIF(SurtaxRatesSAS!$B$2:$B$324,$C197:$E197,SurtaxRatesSAS!$M$2:$M$324))</f>
        <v>#REF!</v>
      </c>
      <c r="Q197" s="39" t="e">
        <f>SUMPRODUCT(SUMIF(SurtaxRatesSAS!$B$2:$B$324,$C197:$E197,SurtaxRatesSAS!$N$2:$N$324))</f>
        <v>#REF!</v>
      </c>
      <c r="R197" s="38"/>
      <c r="S197" s="39" t="e">
        <f t="shared" si="6"/>
        <v>#REF!</v>
      </c>
      <c r="T197" s="39" t="e">
        <f t="shared" si="7"/>
        <v>#REF!</v>
      </c>
      <c r="U197" s="39" t="e">
        <f t="shared" si="8"/>
        <v>#REF!</v>
      </c>
      <c r="V197" s="29"/>
      <c r="W197" s="31" t="str">
        <f>IF(K197&gt;0,INDEX(cfo!$C$2:$I$326,MATCH(SurtaxPayment!C197,cfo!$C$2:$C$326,0),7),"")</f>
        <v>mmarshall@mvcsd.org</v>
      </c>
      <c r="X197" s="31" t="str">
        <f>IF(IF(K197&gt;0,INDEX(cfo!$C$2:$K$326,MATCH(SurtaxPayment!C197,cfo!$C$2:$C$326,0),9),"")=0,"",IF(K197&gt;0,INDEX(cfo!$C$2:$K$326,MATCH(SurtaxPayment!C197,cfo!$C$2:$C$326,0),9),""))</f>
        <v/>
      </c>
    </row>
    <row r="198" spans="1:24" x14ac:dyDescent="0.25">
      <c r="A198" s="52">
        <v>2025</v>
      </c>
      <c r="B198" s="52" t="s">
        <v>659</v>
      </c>
      <c r="C198" s="57" t="s">
        <v>511</v>
      </c>
      <c r="D198" s="58" t="s">
        <v>693</v>
      </c>
      <c r="E198" s="58" t="s">
        <v>693</v>
      </c>
      <c r="F198" s="58" t="s">
        <v>511</v>
      </c>
      <c r="G198" s="57" t="s">
        <v>173</v>
      </c>
      <c r="H198" s="39">
        <f>SUMPRODUCT(SUMIF(SurtaxRatesSAS!$B$2:$B$324,$C198:$E198,SurtaxRatesSAS!$E$2:$E$324))</f>
        <v>0</v>
      </c>
      <c r="I198" s="39">
        <f>SUMPRODUCT(SUMIF(SurtaxRatesSAS!$B$2:$B$324,$C198:$E198,SurtaxRatesSAS!$D$2:$D$324))</f>
        <v>4</v>
      </c>
      <c r="J198" s="38"/>
      <c r="K198" s="39">
        <f>SUMPRODUCT(SUMIF(SurtaxRatesSAS!$B$2:$B$324,$C198:$E198,SurtaxRatesSAS!$G$2:$G$324))</f>
        <v>44699.08</v>
      </c>
      <c r="L198" s="39">
        <f>SUMPRODUCT(SUMIF(SurtaxRatesSAS!$B$2:$B$324,$C198:$E198,SurtaxRatesSAS!$H$2:$H$324))</f>
        <v>0</v>
      </c>
      <c r="M198" s="39">
        <f>SUMPRODUCT(SUMIF(SurtaxRatesSAS!$B$2:$B$324,$C198:$E198,SurtaxRatesSAS!$I$2:$I$324))</f>
        <v>44699.08</v>
      </c>
      <c r="N198" s="38"/>
      <c r="O198" s="39" t="e">
        <f>SUMPRODUCT(SUMIF(SurtaxRatesSAS!$B$2:$B$324,$C198:$E198,SurtaxRatesSAS!$L$2:$L$324))</f>
        <v>#REF!</v>
      </c>
      <c r="P198" s="39" t="e">
        <f>SUMPRODUCT(SUMIF(SurtaxRatesSAS!$B$2:$B$324,$C198:$E198,SurtaxRatesSAS!$M$2:$M$324))</f>
        <v>#REF!</v>
      </c>
      <c r="Q198" s="39" t="e">
        <f>SUMPRODUCT(SUMIF(SurtaxRatesSAS!$B$2:$B$324,$C198:$E198,SurtaxRatesSAS!$N$2:$N$324))</f>
        <v>#REF!</v>
      </c>
      <c r="R198" s="38"/>
      <c r="S198" s="39" t="e">
        <f t="shared" si="6"/>
        <v>#REF!</v>
      </c>
      <c r="T198" s="39" t="e">
        <f t="shared" si="7"/>
        <v>#REF!</v>
      </c>
      <c r="U198" s="39" t="e">
        <f t="shared" si="8"/>
        <v>#REF!</v>
      </c>
      <c r="V198" s="29"/>
      <c r="W198" s="31" t="str">
        <f>IF(K198&gt;0,INDEX(cfo!$C$2:$I$326,MATCH(SurtaxPayment!C198,cfo!$C$2:$C$326,0),7),"")</f>
        <v>jdanley@murraycsd.org</v>
      </c>
      <c r="X198" s="31" t="str">
        <f>IF(IF(K198&gt;0,INDEX(cfo!$C$2:$K$326,MATCH(SurtaxPayment!C198,cfo!$C$2:$C$326,0),9),"")=0,"",IF(K198&gt;0,INDEX(cfo!$C$2:$K$326,MATCH(SurtaxPayment!C198,cfo!$C$2:$C$326,0),9),""))</f>
        <v/>
      </c>
    </row>
    <row r="199" spans="1:24" x14ac:dyDescent="0.25">
      <c r="A199" s="52">
        <v>2025</v>
      </c>
      <c r="B199" s="52" t="s">
        <v>666</v>
      </c>
      <c r="C199" s="57" t="s">
        <v>512</v>
      </c>
      <c r="D199" s="58" t="s">
        <v>693</v>
      </c>
      <c r="E199" s="58" t="s">
        <v>693</v>
      </c>
      <c r="F199" s="58" t="s">
        <v>512</v>
      </c>
      <c r="G199" s="57" t="s">
        <v>174</v>
      </c>
      <c r="H199" s="39">
        <f>SUMPRODUCT(SUMIF(SurtaxRatesSAS!$B$2:$B$324,$C199:$E199,SurtaxRatesSAS!$E$2:$E$324))</f>
        <v>0</v>
      </c>
      <c r="I199" s="39">
        <f>SUMPRODUCT(SUMIF(SurtaxRatesSAS!$B$2:$B$324,$C199:$E199,SurtaxRatesSAS!$D$2:$D$324))</f>
        <v>1</v>
      </c>
      <c r="J199" s="38"/>
      <c r="K199" s="39">
        <f>SUMPRODUCT(SUMIF(SurtaxRatesSAS!$B$2:$B$324,$C199:$E199,SurtaxRatesSAS!$G$2:$G$324))</f>
        <v>294465.25</v>
      </c>
      <c r="L199" s="39">
        <f>SUMPRODUCT(SUMIF(SurtaxRatesSAS!$B$2:$B$324,$C199:$E199,SurtaxRatesSAS!$H$2:$H$324))</f>
        <v>0</v>
      </c>
      <c r="M199" s="39">
        <f>SUMPRODUCT(SUMIF(SurtaxRatesSAS!$B$2:$B$324,$C199:$E199,SurtaxRatesSAS!$I$2:$I$324))</f>
        <v>294465.25</v>
      </c>
      <c r="N199" s="38"/>
      <c r="O199" s="39" t="e">
        <f>SUMPRODUCT(SUMIF(SurtaxRatesSAS!$B$2:$B$324,$C199:$E199,SurtaxRatesSAS!$L$2:$L$324))</f>
        <v>#REF!</v>
      </c>
      <c r="P199" s="39" t="e">
        <f>SUMPRODUCT(SUMIF(SurtaxRatesSAS!$B$2:$B$324,$C199:$E199,SurtaxRatesSAS!$M$2:$M$324))</f>
        <v>#REF!</v>
      </c>
      <c r="Q199" s="39" t="e">
        <f>SUMPRODUCT(SUMIF(SurtaxRatesSAS!$B$2:$B$324,$C199:$E199,SurtaxRatesSAS!$N$2:$N$324))</f>
        <v>#REF!</v>
      </c>
      <c r="R199" s="38"/>
      <c r="S199" s="39" t="e">
        <f t="shared" ref="S199:S262" si="9">SUM(K199,O199)</f>
        <v>#REF!</v>
      </c>
      <c r="T199" s="39" t="e">
        <f t="shared" ref="T199:T262" si="10">SUM(L199,P199)</f>
        <v>#REF!</v>
      </c>
      <c r="U199" s="39" t="e">
        <f t="shared" ref="U199:U262" si="11">SUM(M199,Q199)</f>
        <v>#REF!</v>
      </c>
      <c r="V199" s="29"/>
      <c r="W199" s="31" t="str">
        <f>IF(K199&gt;0,INDEX(cfo!$C$2:$I$326,MATCH(SurtaxPayment!C199,cfo!$C$2:$C$326,0),7),"")</f>
        <v>tom.anderson@mcsdonline.org</v>
      </c>
      <c r="X199" s="31" t="str">
        <f>IF(IF(K199&gt;0,INDEX(cfo!$C$2:$K$326,MATCH(SurtaxPayment!C199,cfo!$C$2:$C$326,0),9),"")=0,"",IF(K199&gt;0,INDEX(cfo!$C$2:$K$326,MATCH(SurtaxPayment!C199,cfo!$C$2:$C$326,0),9),""))</f>
        <v/>
      </c>
    </row>
    <row r="200" spans="1:24" x14ac:dyDescent="0.25">
      <c r="A200" s="52">
        <v>2025</v>
      </c>
      <c r="B200" s="52" t="s">
        <v>658</v>
      </c>
      <c r="C200" s="57" t="s">
        <v>513</v>
      </c>
      <c r="D200" s="58" t="s">
        <v>693</v>
      </c>
      <c r="E200" s="58" t="s">
        <v>693</v>
      </c>
      <c r="F200" s="58" t="s">
        <v>513</v>
      </c>
      <c r="G200" s="57" t="s">
        <v>175</v>
      </c>
      <c r="H200" s="39">
        <f>SUMPRODUCT(SUMIF(SurtaxRatesSAS!$B$2:$B$324,$C200:$E200,SurtaxRatesSAS!$E$2:$E$324))</f>
        <v>1</v>
      </c>
      <c r="I200" s="39">
        <f>SUMPRODUCT(SUMIF(SurtaxRatesSAS!$B$2:$B$324,$C200:$E200,SurtaxRatesSAS!$D$2:$D$324))</f>
        <v>6</v>
      </c>
      <c r="J200" s="38"/>
      <c r="K200" s="39">
        <f>SUMPRODUCT(SUMIF(SurtaxRatesSAS!$B$2:$B$324,$C200:$E200,SurtaxRatesSAS!$G$2:$G$324))</f>
        <v>291869.84999999998</v>
      </c>
      <c r="L200" s="39">
        <f>SUMPRODUCT(SUMIF(SurtaxRatesSAS!$B$2:$B$324,$C200:$E200,SurtaxRatesSAS!$H$2:$H$324))</f>
        <v>41695.69</v>
      </c>
      <c r="M200" s="39">
        <f>SUMPRODUCT(SUMIF(SurtaxRatesSAS!$B$2:$B$324,$C200:$E200,SurtaxRatesSAS!$I$2:$I$324))</f>
        <v>250174.15999999997</v>
      </c>
      <c r="N200" s="38"/>
      <c r="O200" s="39" t="e">
        <f>SUMPRODUCT(SUMIF(SurtaxRatesSAS!$B$2:$B$324,$C200:$E200,SurtaxRatesSAS!$L$2:$L$324))</f>
        <v>#REF!</v>
      </c>
      <c r="P200" s="39" t="e">
        <f>SUMPRODUCT(SUMIF(SurtaxRatesSAS!$B$2:$B$324,$C200:$E200,SurtaxRatesSAS!$M$2:$M$324))</f>
        <v>#REF!</v>
      </c>
      <c r="Q200" s="39" t="e">
        <f>SUMPRODUCT(SUMIF(SurtaxRatesSAS!$B$2:$B$324,$C200:$E200,SurtaxRatesSAS!$N$2:$N$324))</f>
        <v>#REF!</v>
      </c>
      <c r="R200" s="38"/>
      <c r="S200" s="39" t="e">
        <f t="shared" si="9"/>
        <v>#REF!</v>
      </c>
      <c r="T200" s="39" t="e">
        <f t="shared" si="10"/>
        <v>#REF!</v>
      </c>
      <c r="U200" s="39" t="e">
        <f t="shared" si="11"/>
        <v>#REF!</v>
      </c>
      <c r="V200" s="29"/>
      <c r="W200" s="31" t="str">
        <f>IF(K200&gt;0,INDEX(cfo!$C$2:$I$326,MATCH(SurtaxPayment!C200,cfo!$C$2:$C$326,0),7),"")</f>
        <v>aratliff@nashua-plainfield.k12.ia.us</v>
      </c>
      <c r="X200" s="31" t="str">
        <f>IF(IF(K200&gt;0,INDEX(cfo!$C$2:$K$326,MATCH(SurtaxPayment!C200,cfo!$C$2:$C$326,0),9),"")=0,"",IF(K200&gt;0,INDEX(cfo!$C$2:$K$326,MATCH(SurtaxPayment!C200,cfo!$C$2:$C$326,0),9),""))</f>
        <v/>
      </c>
    </row>
    <row r="201" spans="1:24" x14ac:dyDescent="0.25">
      <c r="A201" s="52">
        <v>2025</v>
      </c>
      <c r="B201" s="52" t="s">
        <v>657</v>
      </c>
      <c r="C201" s="57" t="s">
        <v>514</v>
      </c>
      <c r="D201" s="58" t="s">
        <v>693</v>
      </c>
      <c r="E201" s="58" t="s">
        <v>693</v>
      </c>
      <c r="F201" s="58" t="s">
        <v>514</v>
      </c>
      <c r="G201" s="57" t="s">
        <v>176</v>
      </c>
      <c r="H201" s="39">
        <f>SUMPRODUCT(SUMIF(SurtaxRatesSAS!$B$2:$B$324,$C201:$E201,SurtaxRatesSAS!$E$2:$E$324))</f>
        <v>0</v>
      </c>
      <c r="I201" s="39">
        <f>SUMPRODUCT(SUMIF(SurtaxRatesSAS!$B$2:$B$324,$C201:$E201,SurtaxRatesSAS!$D$2:$D$324))</f>
        <v>5</v>
      </c>
      <c r="J201" s="38"/>
      <c r="K201" s="39">
        <f>SUMPRODUCT(SUMIF(SurtaxRatesSAS!$B$2:$B$324,$C201:$E201,SurtaxRatesSAS!$G$2:$G$324))</f>
        <v>550302.26</v>
      </c>
      <c r="L201" s="39">
        <f>SUMPRODUCT(SUMIF(SurtaxRatesSAS!$B$2:$B$324,$C201:$E201,SurtaxRatesSAS!$H$2:$H$324))</f>
        <v>0</v>
      </c>
      <c r="M201" s="39">
        <f>SUMPRODUCT(SUMIF(SurtaxRatesSAS!$B$2:$B$324,$C201:$E201,SurtaxRatesSAS!$I$2:$I$324))</f>
        <v>550302.26</v>
      </c>
      <c r="N201" s="38"/>
      <c r="O201" s="39" t="e">
        <f>SUMPRODUCT(SUMIF(SurtaxRatesSAS!$B$2:$B$324,$C201:$E201,SurtaxRatesSAS!$L$2:$L$324))</f>
        <v>#REF!</v>
      </c>
      <c r="P201" s="39" t="e">
        <f>SUMPRODUCT(SUMIF(SurtaxRatesSAS!$B$2:$B$324,$C201:$E201,SurtaxRatesSAS!$M$2:$M$324))</f>
        <v>#REF!</v>
      </c>
      <c r="Q201" s="39" t="e">
        <f>SUMPRODUCT(SUMIF(SurtaxRatesSAS!$B$2:$B$324,$C201:$E201,SurtaxRatesSAS!$N$2:$N$324))</f>
        <v>#REF!</v>
      </c>
      <c r="R201" s="38"/>
      <c r="S201" s="39" t="e">
        <f t="shared" si="9"/>
        <v>#REF!</v>
      </c>
      <c r="T201" s="39" t="e">
        <f t="shared" si="10"/>
        <v>#REF!</v>
      </c>
      <c r="U201" s="39" t="e">
        <f t="shared" si="11"/>
        <v>#REF!</v>
      </c>
      <c r="V201" s="29"/>
      <c r="W201" s="31" t="str">
        <f>IF(K201&gt;0,INDEX(cfo!$C$2:$I$326,MATCH(SurtaxPayment!C201,cfo!$C$2:$C$326,0),7),"")</f>
        <v>tellis@nevadacubs.org</v>
      </c>
      <c r="X201" s="31" t="str">
        <f>IF(IF(K201&gt;0,INDEX(cfo!$C$2:$K$326,MATCH(SurtaxPayment!C201,cfo!$C$2:$C$326,0),9),"")=0,"",IF(K201&gt;0,INDEX(cfo!$C$2:$K$326,MATCH(SurtaxPayment!C201,cfo!$C$2:$C$326,0),9),""))</f>
        <v/>
      </c>
    </row>
    <row r="202" spans="1:24" x14ac:dyDescent="0.25">
      <c r="A202" s="52">
        <v>2025</v>
      </c>
      <c r="B202" s="52" t="s">
        <v>665</v>
      </c>
      <c r="C202" s="57" t="s">
        <v>516</v>
      </c>
      <c r="D202" s="58" t="s">
        <v>693</v>
      </c>
      <c r="E202" s="58" t="s">
        <v>693</v>
      </c>
      <c r="F202" s="58" t="s">
        <v>516</v>
      </c>
      <c r="G202" s="57" t="s">
        <v>177</v>
      </c>
      <c r="H202" s="39">
        <f>SUMPRODUCT(SUMIF(SurtaxRatesSAS!$B$2:$B$324,$C202:$E202,SurtaxRatesSAS!$E$2:$E$324))</f>
        <v>0</v>
      </c>
      <c r="I202" s="39">
        <f>SUMPRODUCT(SUMIF(SurtaxRatesSAS!$B$2:$B$324,$C202:$E202,SurtaxRatesSAS!$D$2:$D$324))</f>
        <v>6</v>
      </c>
      <c r="J202" s="38"/>
      <c r="K202" s="39">
        <f>SUMPRODUCT(SUMIF(SurtaxRatesSAS!$B$2:$B$324,$C202:$E202,SurtaxRatesSAS!$G$2:$G$324))</f>
        <v>555475.81999999995</v>
      </c>
      <c r="L202" s="39">
        <f>SUMPRODUCT(SUMIF(SurtaxRatesSAS!$B$2:$B$324,$C202:$E202,SurtaxRatesSAS!$H$2:$H$324))</f>
        <v>0</v>
      </c>
      <c r="M202" s="39">
        <f>SUMPRODUCT(SUMIF(SurtaxRatesSAS!$B$2:$B$324,$C202:$E202,SurtaxRatesSAS!$I$2:$I$324))</f>
        <v>555475.81999999995</v>
      </c>
      <c r="N202" s="38"/>
      <c r="O202" s="39" t="e">
        <f>SUMPRODUCT(SUMIF(SurtaxRatesSAS!$B$2:$B$324,$C202:$E202,SurtaxRatesSAS!$L$2:$L$324))</f>
        <v>#REF!</v>
      </c>
      <c r="P202" s="39" t="e">
        <f>SUMPRODUCT(SUMIF(SurtaxRatesSAS!$B$2:$B$324,$C202:$E202,SurtaxRatesSAS!$M$2:$M$324))</f>
        <v>#REF!</v>
      </c>
      <c r="Q202" s="39" t="e">
        <f>SUMPRODUCT(SUMIF(SurtaxRatesSAS!$B$2:$B$324,$C202:$E202,SurtaxRatesSAS!$N$2:$N$324))</f>
        <v>#REF!</v>
      </c>
      <c r="R202" s="38"/>
      <c r="S202" s="39" t="e">
        <f t="shared" si="9"/>
        <v>#REF!</v>
      </c>
      <c r="T202" s="39" t="e">
        <f t="shared" si="10"/>
        <v>#REF!</v>
      </c>
      <c r="U202" s="39" t="e">
        <f t="shared" si="11"/>
        <v>#REF!</v>
      </c>
      <c r="V202" s="29"/>
      <c r="W202" s="31" t="str">
        <f>IF(K202&gt;0,INDEX(cfo!$C$2:$I$326,MATCH(SurtaxPayment!C202,cfo!$C$2:$C$326,0),7),"")</f>
        <v>c_roethler@new-hampton.k12.ia.us</v>
      </c>
      <c r="X202" s="31" t="str">
        <f>IF(IF(K202&gt;0,INDEX(cfo!$C$2:$K$326,MATCH(SurtaxPayment!C202,cfo!$C$2:$C$326,0),9),"")=0,"",IF(K202&gt;0,INDEX(cfo!$C$2:$K$326,MATCH(SurtaxPayment!C202,cfo!$C$2:$C$326,0),9),""))</f>
        <v>s_bouska@new-hampton.k12.ia.us</v>
      </c>
    </row>
    <row r="203" spans="1:24" x14ac:dyDescent="0.25">
      <c r="A203" s="52">
        <v>2025</v>
      </c>
      <c r="B203" s="52" t="s">
        <v>662</v>
      </c>
      <c r="C203" s="57" t="s">
        <v>517</v>
      </c>
      <c r="D203" s="58" t="s">
        <v>693</v>
      </c>
      <c r="E203" s="58" t="s">
        <v>693</v>
      </c>
      <c r="F203" s="58" t="s">
        <v>517</v>
      </c>
      <c r="G203" s="57" t="s">
        <v>178</v>
      </c>
      <c r="H203" s="39">
        <f>SUMPRODUCT(SUMIF(SurtaxRatesSAS!$B$2:$B$324,$C203:$E203,SurtaxRatesSAS!$E$2:$E$324))</f>
        <v>2</v>
      </c>
      <c r="I203" s="39">
        <f>SUMPRODUCT(SUMIF(SurtaxRatesSAS!$B$2:$B$324,$C203:$E203,SurtaxRatesSAS!$D$2:$D$324))</f>
        <v>7</v>
      </c>
      <c r="J203" s="38"/>
      <c r="K203" s="39">
        <f>SUMPRODUCT(SUMIF(SurtaxRatesSAS!$B$2:$B$324,$C203:$E203,SurtaxRatesSAS!$G$2:$G$324))</f>
        <v>262468.34000000003</v>
      </c>
      <c r="L203" s="39">
        <f>SUMPRODUCT(SUMIF(SurtaxRatesSAS!$B$2:$B$324,$C203:$E203,SurtaxRatesSAS!$H$2:$H$324))</f>
        <v>58326.3</v>
      </c>
      <c r="M203" s="39">
        <f>SUMPRODUCT(SUMIF(SurtaxRatesSAS!$B$2:$B$324,$C203:$E203,SurtaxRatesSAS!$I$2:$I$324))</f>
        <v>204142.04000000004</v>
      </c>
      <c r="N203" s="38"/>
      <c r="O203" s="39" t="e">
        <f>SUMPRODUCT(SUMIF(SurtaxRatesSAS!$B$2:$B$324,$C203:$E203,SurtaxRatesSAS!$L$2:$L$324))</f>
        <v>#REF!</v>
      </c>
      <c r="P203" s="39" t="e">
        <f>SUMPRODUCT(SUMIF(SurtaxRatesSAS!$B$2:$B$324,$C203:$E203,SurtaxRatesSAS!$M$2:$M$324))</f>
        <v>#REF!</v>
      </c>
      <c r="Q203" s="39" t="e">
        <f>SUMPRODUCT(SUMIF(SurtaxRatesSAS!$B$2:$B$324,$C203:$E203,SurtaxRatesSAS!$N$2:$N$324))</f>
        <v>#REF!</v>
      </c>
      <c r="R203" s="38"/>
      <c r="S203" s="39" t="e">
        <f t="shared" si="9"/>
        <v>#REF!</v>
      </c>
      <c r="T203" s="39" t="e">
        <f t="shared" si="10"/>
        <v>#REF!</v>
      </c>
      <c r="U203" s="39" t="e">
        <f t="shared" si="11"/>
        <v>#REF!</v>
      </c>
      <c r="V203" s="29"/>
      <c r="W203" s="31" t="str">
        <f>IF(K203&gt;0,INDEX(cfo!$C$2:$I$326,MATCH(SurtaxPayment!C203,cfo!$C$2:$C$326,0),7),"")</f>
        <v>sindy.wear@nlcsd.org</v>
      </c>
      <c r="X203" s="31" t="str">
        <f>IF(IF(K203&gt;0,INDEX(cfo!$C$2:$K$326,MATCH(SurtaxPayment!C203,cfo!$C$2:$C$326,0),9),"")=0,"",IF(K203&gt;0,INDEX(cfo!$C$2:$K$326,MATCH(SurtaxPayment!C203,cfo!$C$2:$C$326,0),9),""))</f>
        <v/>
      </c>
    </row>
    <row r="204" spans="1:24" x14ac:dyDescent="0.25">
      <c r="A204" s="52">
        <v>2025</v>
      </c>
      <c r="B204" s="52" t="s">
        <v>661</v>
      </c>
      <c r="C204" s="57" t="s">
        <v>515</v>
      </c>
      <c r="D204" s="58" t="s">
        <v>693</v>
      </c>
      <c r="E204" s="58" t="s">
        <v>693</v>
      </c>
      <c r="F204" s="58" t="s">
        <v>515</v>
      </c>
      <c r="G204" s="57" t="s">
        <v>179</v>
      </c>
      <c r="H204" s="39">
        <f>SUMPRODUCT(SUMIF(SurtaxRatesSAS!$B$2:$B$324,$C204:$E204,SurtaxRatesSAS!$E$2:$E$324))</f>
        <v>0</v>
      </c>
      <c r="I204" s="39">
        <f>SUMPRODUCT(SUMIF(SurtaxRatesSAS!$B$2:$B$324,$C204:$E204,SurtaxRatesSAS!$D$2:$D$324))</f>
        <v>11</v>
      </c>
      <c r="J204" s="38"/>
      <c r="K204" s="39">
        <f>SUMPRODUCT(SUMIF(SurtaxRatesSAS!$B$2:$B$324,$C204:$E204,SurtaxRatesSAS!$G$2:$G$324))</f>
        <v>266803.59999999998</v>
      </c>
      <c r="L204" s="39">
        <f>SUMPRODUCT(SUMIF(SurtaxRatesSAS!$B$2:$B$324,$C204:$E204,SurtaxRatesSAS!$H$2:$H$324))</f>
        <v>0</v>
      </c>
      <c r="M204" s="39">
        <f>SUMPRODUCT(SUMIF(SurtaxRatesSAS!$B$2:$B$324,$C204:$E204,SurtaxRatesSAS!$I$2:$I$324))</f>
        <v>266803.59999999998</v>
      </c>
      <c r="N204" s="38"/>
      <c r="O204" s="39" t="e">
        <f>SUMPRODUCT(SUMIF(SurtaxRatesSAS!$B$2:$B$324,$C204:$E204,SurtaxRatesSAS!$L$2:$L$324))</f>
        <v>#REF!</v>
      </c>
      <c r="P204" s="39" t="e">
        <f>SUMPRODUCT(SUMIF(SurtaxRatesSAS!$B$2:$B$324,$C204:$E204,SurtaxRatesSAS!$M$2:$M$324))</f>
        <v>#REF!</v>
      </c>
      <c r="Q204" s="39" t="e">
        <f>SUMPRODUCT(SUMIF(SurtaxRatesSAS!$B$2:$B$324,$C204:$E204,SurtaxRatesSAS!$N$2:$N$324))</f>
        <v>#REF!</v>
      </c>
      <c r="R204" s="38"/>
      <c r="S204" s="39" t="e">
        <f t="shared" si="9"/>
        <v>#REF!</v>
      </c>
      <c r="T204" s="39" t="e">
        <f t="shared" si="10"/>
        <v>#REF!</v>
      </c>
      <c r="U204" s="39" t="e">
        <f t="shared" si="11"/>
        <v>#REF!</v>
      </c>
      <c r="V204" s="29"/>
      <c r="W204" s="31" t="str">
        <f>IF(K204&gt;0,INDEX(cfo!$C$2:$I$326,MATCH(SurtaxPayment!C204,cfo!$C$2:$C$326,0),7),"")</f>
        <v>vanderhoffa@newell-fonda.k12.ia.us</v>
      </c>
      <c r="X204" s="31" t="str">
        <f>IF(IF(K204&gt;0,INDEX(cfo!$C$2:$K$326,MATCH(SurtaxPayment!C204,cfo!$C$2:$C$326,0),9),"")=0,"",IF(K204&gt;0,INDEX(cfo!$C$2:$K$326,MATCH(SurtaxPayment!C204,cfo!$C$2:$C$326,0),9),""))</f>
        <v/>
      </c>
    </row>
    <row r="205" spans="1:24" x14ac:dyDescent="0.25">
      <c r="A205" s="52">
        <v>2025</v>
      </c>
      <c r="B205" s="52" t="s">
        <v>657</v>
      </c>
      <c r="C205" s="57" t="s">
        <v>518</v>
      </c>
      <c r="D205" s="58" t="s">
        <v>693</v>
      </c>
      <c r="E205" s="58" t="s">
        <v>693</v>
      </c>
      <c r="F205" s="58" t="s">
        <v>518</v>
      </c>
      <c r="G205" s="57" t="s">
        <v>180</v>
      </c>
      <c r="H205" s="39">
        <f>SUMPRODUCT(SUMIF(SurtaxRatesSAS!$B$2:$B$324,$C205:$E205,SurtaxRatesSAS!$E$2:$E$324))</f>
        <v>0</v>
      </c>
      <c r="I205" s="39">
        <f>SUMPRODUCT(SUMIF(SurtaxRatesSAS!$B$2:$B$324,$C205:$E205,SurtaxRatesSAS!$D$2:$D$324))</f>
        <v>7</v>
      </c>
      <c r="J205" s="38"/>
      <c r="K205" s="39">
        <f>SUMPRODUCT(SUMIF(SurtaxRatesSAS!$B$2:$B$324,$C205:$E205,SurtaxRatesSAS!$G$2:$G$324))</f>
        <v>1222977.83</v>
      </c>
      <c r="L205" s="39">
        <f>SUMPRODUCT(SUMIF(SurtaxRatesSAS!$B$2:$B$324,$C205:$E205,SurtaxRatesSAS!$H$2:$H$324))</f>
        <v>0</v>
      </c>
      <c r="M205" s="39">
        <f>SUMPRODUCT(SUMIF(SurtaxRatesSAS!$B$2:$B$324,$C205:$E205,SurtaxRatesSAS!$I$2:$I$324))</f>
        <v>1222977.83</v>
      </c>
      <c r="N205" s="38"/>
      <c r="O205" s="39" t="e">
        <f>SUMPRODUCT(SUMIF(SurtaxRatesSAS!$B$2:$B$324,$C205:$E205,SurtaxRatesSAS!$L$2:$L$324))</f>
        <v>#REF!</v>
      </c>
      <c r="P205" s="39" t="e">
        <f>SUMPRODUCT(SUMIF(SurtaxRatesSAS!$B$2:$B$324,$C205:$E205,SurtaxRatesSAS!$M$2:$M$324))</f>
        <v>#REF!</v>
      </c>
      <c r="Q205" s="39" t="e">
        <f>SUMPRODUCT(SUMIF(SurtaxRatesSAS!$B$2:$B$324,$C205:$E205,SurtaxRatesSAS!$N$2:$N$324))</f>
        <v>#REF!</v>
      </c>
      <c r="R205" s="38"/>
      <c r="S205" s="39" t="e">
        <f t="shared" si="9"/>
        <v>#REF!</v>
      </c>
      <c r="T205" s="39" t="e">
        <f t="shared" si="10"/>
        <v>#REF!</v>
      </c>
      <c r="U205" s="39" t="e">
        <f t="shared" si="11"/>
        <v>#REF!</v>
      </c>
      <c r="V205" s="29"/>
      <c r="W205" s="31" t="str">
        <f>IF(K205&gt;0,INDEX(cfo!$C$2:$I$326,MATCH(SurtaxPayment!C205,cfo!$C$2:$C$326,0),7),"")</f>
        <v>bloomt@newton.k12.ia.us</v>
      </c>
      <c r="X205" s="31" t="str">
        <f>IF(IF(K205&gt;0,INDEX(cfo!$C$2:$K$326,MATCH(SurtaxPayment!C205,cfo!$C$2:$C$326,0),9),"")=0,"",IF(K205&gt;0,INDEX(cfo!$C$2:$K$326,MATCH(SurtaxPayment!C205,cfo!$C$2:$C$326,0),9),""))</f>
        <v>swankd@newton.k12.ia.us</v>
      </c>
    </row>
    <row r="206" spans="1:24" x14ac:dyDescent="0.25">
      <c r="A206" s="52">
        <v>2025</v>
      </c>
      <c r="B206" s="52" t="s">
        <v>659</v>
      </c>
      <c r="C206" s="57" t="s">
        <v>434</v>
      </c>
      <c r="D206" s="58" t="s">
        <v>693</v>
      </c>
      <c r="E206" s="58" t="s">
        <v>693</v>
      </c>
      <c r="F206" s="58" t="s">
        <v>434</v>
      </c>
      <c r="G206" s="57" t="s">
        <v>181</v>
      </c>
      <c r="H206" s="39">
        <f>SUMPRODUCT(SUMIF(SurtaxRatesSAS!$B$2:$B$324,$C206:$E206,SurtaxRatesSAS!$E$2:$E$324))</f>
        <v>0</v>
      </c>
      <c r="I206" s="39">
        <f>SUMPRODUCT(SUMIF(SurtaxRatesSAS!$B$2:$B$324,$C206:$E206,SurtaxRatesSAS!$D$2:$D$324))</f>
        <v>9</v>
      </c>
      <c r="J206" s="38"/>
      <c r="K206" s="39">
        <f>SUMPRODUCT(SUMIF(SurtaxRatesSAS!$B$2:$B$324,$C206:$E206,SurtaxRatesSAS!$G$2:$G$324))</f>
        <v>293989.43</v>
      </c>
      <c r="L206" s="39">
        <f>SUMPRODUCT(SUMIF(SurtaxRatesSAS!$B$2:$B$324,$C206:$E206,SurtaxRatesSAS!$H$2:$H$324))</f>
        <v>0</v>
      </c>
      <c r="M206" s="39">
        <f>SUMPRODUCT(SUMIF(SurtaxRatesSAS!$B$2:$B$324,$C206:$E206,SurtaxRatesSAS!$I$2:$I$324))</f>
        <v>293989.43</v>
      </c>
      <c r="N206" s="38"/>
      <c r="O206" s="39" t="e">
        <f>SUMPRODUCT(SUMIF(SurtaxRatesSAS!$B$2:$B$324,$C206:$E206,SurtaxRatesSAS!$L$2:$L$324))</f>
        <v>#REF!</v>
      </c>
      <c r="P206" s="39" t="e">
        <f>SUMPRODUCT(SUMIF(SurtaxRatesSAS!$B$2:$B$324,$C206:$E206,SurtaxRatesSAS!$M$2:$M$324))</f>
        <v>#REF!</v>
      </c>
      <c r="Q206" s="39" t="e">
        <f>SUMPRODUCT(SUMIF(SurtaxRatesSAS!$B$2:$B$324,$C206:$E206,SurtaxRatesSAS!$N$2:$N$324))</f>
        <v>#REF!</v>
      </c>
      <c r="R206" s="38"/>
      <c r="S206" s="39" t="e">
        <f t="shared" si="9"/>
        <v>#REF!</v>
      </c>
      <c r="T206" s="39" t="e">
        <f t="shared" si="10"/>
        <v>#REF!</v>
      </c>
      <c r="U206" s="39" t="e">
        <f t="shared" si="11"/>
        <v>#REF!</v>
      </c>
      <c r="V206" s="29"/>
      <c r="W206" s="31" t="str">
        <f>IF(K206&gt;0,INDEX(cfo!$C$2:$I$326,MATCH(SurtaxPayment!C206,cfo!$C$2:$C$326,0),7),"")</f>
        <v>amanda.summers@nodawayvalley.org</v>
      </c>
      <c r="X206" s="31" t="str">
        <f>IF(IF(K206&gt;0,INDEX(cfo!$C$2:$K$326,MATCH(SurtaxPayment!C206,cfo!$C$2:$C$326,0),9),"")=0,"",IF(K206&gt;0,INDEX(cfo!$C$2:$K$326,MATCH(SurtaxPayment!C206,cfo!$C$2:$C$326,0),9),""))</f>
        <v/>
      </c>
    </row>
    <row r="207" spans="1:24" x14ac:dyDescent="0.25">
      <c r="A207" s="52">
        <v>2025</v>
      </c>
      <c r="B207" s="52" t="s">
        <v>658</v>
      </c>
      <c r="C207" s="57" t="s">
        <v>322</v>
      </c>
      <c r="D207" s="58" t="s">
        <v>693</v>
      </c>
      <c r="E207" s="58" t="s">
        <v>693</v>
      </c>
      <c r="F207" s="58" t="s">
        <v>322</v>
      </c>
      <c r="G207" s="57" t="s">
        <v>182</v>
      </c>
      <c r="H207" s="39">
        <f>SUMPRODUCT(SUMIF(SurtaxRatesSAS!$B$2:$B$324,$C207:$E207,SurtaxRatesSAS!$E$2:$E$324))</f>
        <v>0</v>
      </c>
      <c r="I207" s="39">
        <f>SUMPRODUCT(SUMIF(SurtaxRatesSAS!$B$2:$B$324,$C207:$E207,SurtaxRatesSAS!$D$2:$D$324))</f>
        <v>1</v>
      </c>
      <c r="J207" s="38"/>
      <c r="K207" s="39">
        <f>SUMPRODUCT(SUMIF(SurtaxRatesSAS!$B$2:$B$324,$C207:$E207,SurtaxRatesSAS!$G$2:$G$324))</f>
        <v>33875.300000000003</v>
      </c>
      <c r="L207" s="39">
        <f>SUMPRODUCT(SUMIF(SurtaxRatesSAS!$B$2:$B$324,$C207:$E207,SurtaxRatesSAS!$H$2:$H$324))</f>
        <v>0</v>
      </c>
      <c r="M207" s="39">
        <f>SUMPRODUCT(SUMIF(SurtaxRatesSAS!$B$2:$B$324,$C207:$E207,SurtaxRatesSAS!$I$2:$I$324))</f>
        <v>33875.300000000003</v>
      </c>
      <c r="N207" s="38"/>
      <c r="O207" s="39" t="e">
        <f>SUMPRODUCT(SUMIF(SurtaxRatesSAS!$B$2:$B$324,$C207:$E207,SurtaxRatesSAS!$L$2:$L$324))</f>
        <v>#REF!</v>
      </c>
      <c r="P207" s="39" t="e">
        <f>SUMPRODUCT(SUMIF(SurtaxRatesSAS!$B$2:$B$324,$C207:$E207,SurtaxRatesSAS!$M$2:$M$324))</f>
        <v>#REF!</v>
      </c>
      <c r="Q207" s="39" t="e">
        <f>SUMPRODUCT(SUMIF(SurtaxRatesSAS!$B$2:$B$324,$C207:$E207,SurtaxRatesSAS!$N$2:$N$324))</f>
        <v>#REF!</v>
      </c>
      <c r="R207" s="38"/>
      <c r="S207" s="39" t="e">
        <f t="shared" si="9"/>
        <v>#REF!</v>
      </c>
      <c r="T207" s="39" t="e">
        <f t="shared" si="10"/>
        <v>#REF!</v>
      </c>
      <c r="U207" s="39" t="e">
        <f t="shared" si="11"/>
        <v>#REF!</v>
      </c>
      <c r="V207" s="29"/>
      <c r="W207" s="31" t="str">
        <f>IF(K207&gt;0,INDEX(cfo!$C$2:$I$326,MATCH(SurtaxPayment!C207,cfo!$C$2:$C$326,0),7),"")</f>
        <v>shellee.bartlett@northbutler.org</v>
      </c>
      <c r="X207" s="31" t="str">
        <f>IF(IF(K207&gt;0,INDEX(cfo!$C$2:$K$326,MATCH(SurtaxPayment!C207,cfo!$C$2:$C$326,0),9),"")=0,"",IF(K207&gt;0,INDEX(cfo!$C$2:$K$326,MATCH(SurtaxPayment!C207,cfo!$C$2:$C$326,0),9),""))</f>
        <v/>
      </c>
    </row>
    <row r="208" spans="1:24" x14ac:dyDescent="0.25">
      <c r="A208" s="52">
        <v>2025</v>
      </c>
      <c r="B208" s="52" t="s">
        <v>663</v>
      </c>
      <c r="C208" s="57" t="s">
        <v>476</v>
      </c>
      <c r="D208" s="58" t="s">
        <v>693</v>
      </c>
      <c r="E208" s="58" t="s">
        <v>693</v>
      </c>
      <c r="F208" s="58" t="s">
        <v>476</v>
      </c>
      <c r="G208" s="57" t="s">
        <v>183</v>
      </c>
      <c r="H208" s="39">
        <f>SUMPRODUCT(SUMIF(SurtaxRatesSAS!$B$2:$B$324,$C208:$E208,SurtaxRatesSAS!$E$2:$E$324))</f>
        <v>3</v>
      </c>
      <c r="I208" s="39">
        <f>SUMPRODUCT(SUMIF(SurtaxRatesSAS!$B$2:$B$324,$C208:$E208,SurtaxRatesSAS!$D$2:$D$324))</f>
        <v>7</v>
      </c>
      <c r="J208" s="38"/>
      <c r="K208" s="39">
        <f>SUMPRODUCT(SUMIF(SurtaxRatesSAS!$B$2:$B$324,$C208:$E208,SurtaxRatesSAS!$G$2:$G$324))</f>
        <v>495584.56</v>
      </c>
      <c r="L208" s="39">
        <f>SUMPRODUCT(SUMIF(SurtaxRatesSAS!$B$2:$B$324,$C208:$E208,SurtaxRatesSAS!$H$2:$H$324))</f>
        <v>148675.37</v>
      </c>
      <c r="M208" s="39">
        <f>SUMPRODUCT(SUMIF(SurtaxRatesSAS!$B$2:$B$324,$C208:$E208,SurtaxRatesSAS!$I$2:$I$324))</f>
        <v>346909.19</v>
      </c>
      <c r="N208" s="38"/>
      <c r="O208" s="39" t="e">
        <f>SUMPRODUCT(SUMIF(SurtaxRatesSAS!$B$2:$B$324,$C208:$E208,SurtaxRatesSAS!$L$2:$L$324))</f>
        <v>#REF!</v>
      </c>
      <c r="P208" s="39" t="e">
        <f>SUMPRODUCT(SUMIF(SurtaxRatesSAS!$B$2:$B$324,$C208:$E208,SurtaxRatesSAS!$M$2:$M$324))</f>
        <v>#REF!</v>
      </c>
      <c r="Q208" s="39" t="e">
        <f>SUMPRODUCT(SUMIF(SurtaxRatesSAS!$B$2:$B$324,$C208:$E208,SurtaxRatesSAS!$N$2:$N$324))</f>
        <v>#REF!</v>
      </c>
      <c r="R208" s="38"/>
      <c r="S208" s="39" t="e">
        <f t="shared" si="9"/>
        <v>#REF!</v>
      </c>
      <c r="T208" s="39" t="e">
        <f t="shared" si="10"/>
        <v>#REF!</v>
      </c>
      <c r="U208" s="39" t="e">
        <f t="shared" si="11"/>
        <v>#REF!</v>
      </c>
      <c r="V208" s="29"/>
      <c r="W208" s="31" t="str">
        <f>IF(K208&gt;0,INDEX(cfo!$C$2:$I$326,MATCH(SurtaxPayment!C208,cfo!$C$2:$C$326,0),7),"")</f>
        <v>kstillwagon@north-cedarstu.org</v>
      </c>
      <c r="X208" s="31" t="str">
        <f>IF(IF(K208&gt;0,INDEX(cfo!$C$2:$K$326,MATCH(SurtaxPayment!C208,cfo!$C$2:$C$326,0),9),"")=0,"",IF(K208&gt;0,INDEX(cfo!$C$2:$K$326,MATCH(SurtaxPayment!C208,cfo!$C$2:$C$326,0),9),""))</f>
        <v/>
      </c>
    </row>
    <row r="209" spans="1:24" x14ac:dyDescent="0.25">
      <c r="A209" s="52">
        <v>2025</v>
      </c>
      <c r="B209" s="52" t="s">
        <v>665</v>
      </c>
      <c r="C209" s="57" t="s">
        <v>521</v>
      </c>
      <c r="D209" s="58" t="s">
        <v>693</v>
      </c>
      <c r="E209" s="58" t="s">
        <v>693</v>
      </c>
      <c r="F209" s="58" t="s">
        <v>521</v>
      </c>
      <c r="G209" s="57" t="s">
        <v>690</v>
      </c>
      <c r="H209" s="39">
        <f>SUMPRODUCT(SUMIF(SurtaxRatesSAS!$B$2:$B$324,$C209:$E209,SurtaxRatesSAS!$E$2:$E$324))</f>
        <v>0</v>
      </c>
      <c r="I209" s="39">
        <f>SUMPRODUCT(SUMIF(SurtaxRatesSAS!$B$2:$B$324,$C209:$E209,SurtaxRatesSAS!$D$2:$D$324))</f>
        <v>8</v>
      </c>
      <c r="J209" s="38"/>
      <c r="K209" s="39">
        <f>SUMPRODUCT(SUMIF(SurtaxRatesSAS!$B$2:$B$324,$C209:$E209,SurtaxRatesSAS!$G$2:$G$324))</f>
        <v>534394.35</v>
      </c>
      <c r="L209" s="39">
        <f>SUMPRODUCT(SUMIF(SurtaxRatesSAS!$B$2:$B$324,$C209:$E209,SurtaxRatesSAS!$H$2:$H$324))</f>
        <v>0</v>
      </c>
      <c r="M209" s="39">
        <f>SUMPRODUCT(SUMIF(SurtaxRatesSAS!$B$2:$B$324,$C209:$E209,SurtaxRatesSAS!$I$2:$I$324))</f>
        <v>534394.35</v>
      </c>
      <c r="N209" s="38"/>
      <c r="O209" s="39" t="e">
        <f>SUMPRODUCT(SUMIF(SurtaxRatesSAS!$B$2:$B$324,$C209:$E209,SurtaxRatesSAS!$L$2:$L$324))</f>
        <v>#REF!</v>
      </c>
      <c r="P209" s="39" t="e">
        <f>SUMPRODUCT(SUMIF(SurtaxRatesSAS!$B$2:$B$324,$C209:$E209,SurtaxRatesSAS!$M$2:$M$324))</f>
        <v>#REF!</v>
      </c>
      <c r="Q209" s="39" t="e">
        <f>SUMPRODUCT(SUMIF(SurtaxRatesSAS!$B$2:$B$324,$C209:$E209,SurtaxRatesSAS!$N$2:$N$324))</f>
        <v>#REF!</v>
      </c>
      <c r="R209" s="38"/>
      <c r="S209" s="39" t="e">
        <f t="shared" si="9"/>
        <v>#REF!</v>
      </c>
      <c r="T209" s="39" t="e">
        <f t="shared" si="10"/>
        <v>#REF!</v>
      </c>
      <c r="U209" s="39" t="e">
        <f t="shared" si="11"/>
        <v>#REF!</v>
      </c>
      <c r="V209" s="29"/>
      <c r="W209" s="31" t="str">
        <f>IF(K209&gt;0,INDEX(cfo!$C$2:$I$326,MATCH(SurtaxPayment!C209,cfo!$C$2:$C$326,0),7),"")</f>
        <v>kstansbery@nfv.k12.ia.us</v>
      </c>
      <c r="X209" s="31" t="str">
        <f>IF(IF(K209&gt;0,INDEX(cfo!$C$2:$K$326,MATCH(SurtaxPayment!C209,cfo!$C$2:$C$326,0),9),"")=0,"",IF(K209&gt;0,INDEX(cfo!$C$2:$K$326,MATCH(SurtaxPayment!C209,cfo!$C$2:$C$326,0),9),""))</f>
        <v/>
      </c>
    </row>
    <row r="210" spans="1:24" x14ac:dyDescent="0.25">
      <c r="A210" s="52">
        <v>2025</v>
      </c>
      <c r="B210" s="52" t="s">
        <v>658</v>
      </c>
      <c r="C210" s="57" t="s">
        <v>350</v>
      </c>
      <c r="D210" s="58" t="s">
        <v>693</v>
      </c>
      <c r="E210" s="58" t="s">
        <v>693</v>
      </c>
      <c r="F210" s="58" t="s">
        <v>350</v>
      </c>
      <c r="G210" s="57" t="s">
        <v>185</v>
      </c>
      <c r="H210" s="39">
        <f>SUMPRODUCT(SUMIF(SurtaxRatesSAS!$B$2:$B$324,$C210:$E210,SurtaxRatesSAS!$E$2:$E$324))</f>
        <v>1</v>
      </c>
      <c r="I210" s="39">
        <f>SUMPRODUCT(SUMIF(SurtaxRatesSAS!$B$2:$B$324,$C210:$E210,SurtaxRatesSAS!$D$2:$D$324))</f>
        <v>1</v>
      </c>
      <c r="J210" s="38"/>
      <c r="K210" s="39">
        <f>SUMPRODUCT(SUMIF(SurtaxRatesSAS!$B$2:$B$324,$C210:$E210,SurtaxRatesSAS!$G$2:$G$324))</f>
        <v>69130.320000000007</v>
      </c>
      <c r="L210" s="39">
        <f>SUMPRODUCT(SUMIF(SurtaxRatesSAS!$B$2:$B$324,$C210:$E210,SurtaxRatesSAS!$H$2:$H$324))</f>
        <v>34565.160000000003</v>
      </c>
      <c r="M210" s="39">
        <f>SUMPRODUCT(SUMIF(SurtaxRatesSAS!$B$2:$B$324,$C210:$E210,SurtaxRatesSAS!$I$2:$I$324))</f>
        <v>34565.160000000003</v>
      </c>
      <c r="N210" s="38"/>
      <c r="O210" s="39" t="e">
        <f>SUMPRODUCT(SUMIF(SurtaxRatesSAS!$B$2:$B$324,$C210:$E210,SurtaxRatesSAS!$L$2:$L$324))</f>
        <v>#REF!</v>
      </c>
      <c r="P210" s="39" t="e">
        <f>SUMPRODUCT(SUMIF(SurtaxRatesSAS!$B$2:$B$324,$C210:$E210,SurtaxRatesSAS!$M$2:$M$324))</f>
        <v>#REF!</v>
      </c>
      <c r="Q210" s="39" t="e">
        <f>SUMPRODUCT(SUMIF(SurtaxRatesSAS!$B$2:$B$324,$C210:$E210,SurtaxRatesSAS!$N$2:$N$324))</f>
        <v>#REF!</v>
      </c>
      <c r="R210" s="38"/>
      <c r="S210" s="39" t="e">
        <f t="shared" si="9"/>
        <v>#REF!</v>
      </c>
      <c r="T210" s="39" t="e">
        <f t="shared" si="10"/>
        <v>#REF!</v>
      </c>
      <c r="U210" s="39" t="e">
        <f t="shared" si="11"/>
        <v>#REF!</v>
      </c>
      <c r="V210" s="29"/>
      <c r="W210" s="31" t="str">
        <f>IF(K210&gt;0,INDEX(cfo!$C$2:$I$326,MATCH(SurtaxPayment!C210,cfo!$C$2:$C$326,0),7),"")</f>
        <v>beth.degroote@northiowa.org</v>
      </c>
      <c r="X210" s="31" t="str">
        <f>IF(IF(K210&gt;0,INDEX(cfo!$C$2:$K$326,MATCH(SurtaxPayment!C210,cfo!$C$2:$C$326,0),9),"")=0,"",IF(K210&gt;0,INDEX(cfo!$C$2:$K$326,MATCH(SurtaxPayment!C210,cfo!$C$2:$C$326,0),9),""))</f>
        <v/>
      </c>
    </row>
    <row r="211" spans="1:24" x14ac:dyDescent="0.25">
      <c r="A211" s="52">
        <v>2025</v>
      </c>
      <c r="B211" s="52" t="s">
        <v>661</v>
      </c>
      <c r="C211" s="57" t="s">
        <v>525</v>
      </c>
      <c r="D211" s="58" t="s">
        <v>693</v>
      </c>
      <c r="E211" s="58" t="s">
        <v>693</v>
      </c>
      <c r="F211" s="58" t="s">
        <v>525</v>
      </c>
      <c r="G211" s="57" t="s">
        <v>186</v>
      </c>
      <c r="H211" s="39">
        <f>SUMPRODUCT(SUMIF(SurtaxRatesSAS!$B$2:$B$324,$C211:$E211,SurtaxRatesSAS!$E$2:$E$324))</f>
        <v>0</v>
      </c>
      <c r="I211" s="39">
        <f>SUMPRODUCT(SUMIF(SurtaxRatesSAS!$B$2:$B$324,$C211:$E211,SurtaxRatesSAS!$D$2:$D$324))</f>
        <v>5</v>
      </c>
      <c r="J211" s="38"/>
      <c r="K211" s="39">
        <f>SUMPRODUCT(SUMIF(SurtaxRatesSAS!$B$2:$B$324,$C211:$E211,SurtaxRatesSAS!$G$2:$G$324))</f>
        <v>79843.929999999993</v>
      </c>
      <c r="L211" s="39">
        <f>SUMPRODUCT(SUMIF(SurtaxRatesSAS!$B$2:$B$324,$C211:$E211,SurtaxRatesSAS!$H$2:$H$324))</f>
        <v>0</v>
      </c>
      <c r="M211" s="39">
        <f>SUMPRODUCT(SUMIF(SurtaxRatesSAS!$B$2:$B$324,$C211:$E211,SurtaxRatesSAS!$I$2:$I$324))</f>
        <v>79843.929999999993</v>
      </c>
      <c r="N211" s="38"/>
      <c r="O211" s="39" t="e">
        <f>SUMPRODUCT(SUMIF(SurtaxRatesSAS!$B$2:$B$324,$C211:$E211,SurtaxRatesSAS!$L$2:$L$324))</f>
        <v>#REF!</v>
      </c>
      <c r="P211" s="39" t="e">
        <f>SUMPRODUCT(SUMIF(SurtaxRatesSAS!$B$2:$B$324,$C211:$E211,SurtaxRatesSAS!$M$2:$M$324))</f>
        <v>#REF!</v>
      </c>
      <c r="Q211" s="39" t="e">
        <f>SUMPRODUCT(SUMIF(SurtaxRatesSAS!$B$2:$B$324,$C211:$E211,SurtaxRatesSAS!$N$2:$N$324))</f>
        <v>#REF!</v>
      </c>
      <c r="R211" s="38"/>
      <c r="S211" s="39" t="e">
        <f t="shared" si="9"/>
        <v>#REF!</v>
      </c>
      <c r="T211" s="39" t="e">
        <f t="shared" si="10"/>
        <v>#REF!</v>
      </c>
      <c r="U211" s="39" t="e">
        <f t="shared" si="11"/>
        <v>#REF!</v>
      </c>
      <c r="V211" s="29"/>
      <c r="W211" s="31" t="str">
        <f>IF(K211&gt;0,INDEX(cfo!$C$2:$I$326,MATCH(SurtaxPayment!C211,cfo!$C$2:$C$326,0),7),"")</f>
        <v>erogers@northunion.k12.ia.us</v>
      </c>
      <c r="X211" s="31" t="str">
        <f>IF(IF(K211&gt;0,INDEX(cfo!$C$2:$K$326,MATCH(SurtaxPayment!C211,cfo!$C$2:$C$326,0),9),"")=0,"",IF(K211&gt;0,INDEX(cfo!$C$2:$K$326,MATCH(SurtaxPayment!C211,cfo!$C$2:$C$326,0),9),""))</f>
        <v/>
      </c>
    </row>
    <row r="212" spans="1:24" x14ac:dyDescent="0.25">
      <c r="A212" s="52">
        <v>2025</v>
      </c>
      <c r="B212" s="52" t="s">
        <v>663</v>
      </c>
      <c r="C212" s="57" t="s">
        <v>524</v>
      </c>
      <c r="D212" s="58" t="s">
        <v>693</v>
      </c>
      <c r="E212" s="58" t="s">
        <v>693</v>
      </c>
      <c r="F212" s="58" t="s">
        <v>524</v>
      </c>
      <c r="G212" s="57" t="s">
        <v>187</v>
      </c>
      <c r="H212" s="39">
        <f>SUMPRODUCT(SUMIF(SurtaxRatesSAS!$B$2:$B$324,$C212:$E212,SurtaxRatesSAS!$E$2:$E$324))</f>
        <v>0</v>
      </c>
      <c r="I212" s="39">
        <f>SUMPRODUCT(SUMIF(SurtaxRatesSAS!$B$2:$B$324,$C212:$E212,SurtaxRatesSAS!$D$2:$D$324))</f>
        <v>1</v>
      </c>
      <c r="J212" s="38"/>
      <c r="K212" s="39">
        <f>SUMPRODUCT(SUMIF(SurtaxRatesSAS!$B$2:$B$324,$C212:$E212,SurtaxRatesSAS!$G$2:$G$324))</f>
        <v>41134.910000000003</v>
      </c>
      <c r="L212" s="39">
        <f>SUMPRODUCT(SUMIF(SurtaxRatesSAS!$B$2:$B$324,$C212:$E212,SurtaxRatesSAS!$H$2:$H$324))</f>
        <v>0</v>
      </c>
      <c r="M212" s="39">
        <f>SUMPRODUCT(SUMIF(SurtaxRatesSAS!$B$2:$B$324,$C212:$E212,SurtaxRatesSAS!$I$2:$I$324))</f>
        <v>41134.910000000003</v>
      </c>
      <c r="N212" s="38"/>
      <c r="O212" s="39" t="e">
        <f>SUMPRODUCT(SUMIF(SurtaxRatesSAS!$B$2:$B$324,$C212:$E212,SurtaxRatesSAS!$L$2:$L$324))</f>
        <v>#REF!</v>
      </c>
      <c r="P212" s="39" t="e">
        <f>SUMPRODUCT(SUMIF(SurtaxRatesSAS!$B$2:$B$324,$C212:$E212,SurtaxRatesSAS!$M$2:$M$324))</f>
        <v>#REF!</v>
      </c>
      <c r="Q212" s="39" t="e">
        <f>SUMPRODUCT(SUMIF(SurtaxRatesSAS!$B$2:$B$324,$C212:$E212,SurtaxRatesSAS!$N$2:$N$324))</f>
        <v>#REF!</v>
      </c>
      <c r="R212" s="38"/>
      <c r="S212" s="39" t="e">
        <f t="shared" si="9"/>
        <v>#REF!</v>
      </c>
      <c r="T212" s="39" t="e">
        <f t="shared" si="10"/>
        <v>#REF!</v>
      </c>
      <c r="U212" s="39" t="e">
        <f t="shared" si="11"/>
        <v>#REF!</v>
      </c>
      <c r="V212" s="29"/>
      <c r="W212" s="31" t="str">
        <f>IF(K212&gt;0,INDEX(cfo!$C$2:$I$326,MATCH(SurtaxPayment!C212,cfo!$C$2:$C$326,0),7),"")</f>
        <v>kepeyton@northlinncsd.org</v>
      </c>
      <c r="X212" s="31" t="str">
        <f>IF(IF(K212&gt;0,INDEX(cfo!$C$2:$K$326,MATCH(SurtaxPayment!C212,cfo!$C$2:$C$326,0),9),"")=0,"",IF(K212&gt;0,INDEX(cfo!$C$2:$K$326,MATCH(SurtaxPayment!C212,cfo!$C$2:$C$326,0),9),""))</f>
        <v/>
      </c>
    </row>
    <row r="213" spans="1:24" x14ac:dyDescent="0.25">
      <c r="A213" s="52">
        <v>2025</v>
      </c>
      <c r="B213" s="52" t="s">
        <v>662</v>
      </c>
      <c r="C213" s="57" t="s">
        <v>523</v>
      </c>
      <c r="D213" s="58" t="s">
        <v>693</v>
      </c>
      <c r="E213" s="58" t="s">
        <v>693</v>
      </c>
      <c r="F213" s="58" t="s">
        <v>523</v>
      </c>
      <c r="G213" s="57" t="s">
        <v>188</v>
      </c>
      <c r="H213" s="39">
        <f>SUMPRODUCT(SUMIF(SurtaxRatesSAS!$B$2:$B$324,$C213:$E213,SurtaxRatesSAS!$E$2:$E$324))</f>
        <v>0</v>
      </c>
      <c r="I213" s="39">
        <f>SUMPRODUCT(SUMIF(SurtaxRatesSAS!$B$2:$B$324,$C213:$E213,SurtaxRatesSAS!$D$2:$D$324))</f>
        <v>2</v>
      </c>
      <c r="J213" s="38"/>
      <c r="K213" s="39">
        <f>SUMPRODUCT(SUMIF(SurtaxRatesSAS!$B$2:$B$324,$C213:$E213,SurtaxRatesSAS!$G$2:$G$324))</f>
        <v>65150.33</v>
      </c>
      <c r="L213" s="39">
        <f>SUMPRODUCT(SUMIF(SurtaxRatesSAS!$B$2:$B$324,$C213:$E213,SurtaxRatesSAS!$H$2:$H$324))</f>
        <v>0</v>
      </c>
      <c r="M213" s="39">
        <f>SUMPRODUCT(SUMIF(SurtaxRatesSAS!$B$2:$B$324,$C213:$E213,SurtaxRatesSAS!$I$2:$I$324))</f>
        <v>65150.33</v>
      </c>
      <c r="N213" s="38"/>
      <c r="O213" s="39" t="e">
        <f>SUMPRODUCT(SUMIF(SurtaxRatesSAS!$B$2:$B$324,$C213:$E213,SurtaxRatesSAS!$L$2:$L$324))</f>
        <v>#REF!</v>
      </c>
      <c r="P213" s="39" t="e">
        <f>SUMPRODUCT(SUMIF(SurtaxRatesSAS!$B$2:$B$324,$C213:$E213,SurtaxRatesSAS!$M$2:$M$324))</f>
        <v>#REF!</v>
      </c>
      <c r="Q213" s="39" t="e">
        <f>SUMPRODUCT(SUMIF(SurtaxRatesSAS!$B$2:$B$324,$C213:$E213,SurtaxRatesSAS!$N$2:$N$324))</f>
        <v>#REF!</v>
      </c>
      <c r="R213" s="38"/>
      <c r="S213" s="39" t="e">
        <f t="shared" si="9"/>
        <v>#REF!</v>
      </c>
      <c r="T213" s="39" t="e">
        <f t="shared" si="10"/>
        <v>#REF!</v>
      </c>
      <c r="U213" s="39" t="e">
        <f t="shared" si="11"/>
        <v>#REF!</v>
      </c>
      <c r="V213" s="29"/>
      <c r="W213" s="31" t="str">
        <f>IF(K213&gt;0,INDEX(cfo!$C$2:$I$326,MATCH(SurtaxPayment!C213,cfo!$C$2:$C$326,0),7),"")</f>
        <v>vandonselaarl@nmwarhawks.org</v>
      </c>
      <c r="X213" s="31" t="str">
        <f>IF(IF(K213&gt;0,INDEX(cfo!$C$2:$K$326,MATCH(SurtaxPayment!C213,cfo!$C$2:$C$326,0),9),"")=0,"",IF(K213&gt;0,INDEX(cfo!$C$2:$K$326,MATCH(SurtaxPayment!C213,cfo!$C$2:$C$326,0),9),""))</f>
        <v>krabera@nmwarhawks.org</v>
      </c>
    </row>
    <row r="214" spans="1:24" x14ac:dyDescent="0.25">
      <c r="A214" s="52">
        <v>2025</v>
      </c>
      <c r="B214" s="52" t="s">
        <v>657</v>
      </c>
      <c r="C214" s="57" t="s">
        <v>526</v>
      </c>
      <c r="D214" s="58" t="s">
        <v>693</v>
      </c>
      <c r="E214" s="58" t="s">
        <v>693</v>
      </c>
      <c r="F214" s="58" t="s">
        <v>526</v>
      </c>
      <c r="G214" s="57" t="s">
        <v>189</v>
      </c>
      <c r="H214" s="39">
        <f>SUMPRODUCT(SUMIF(SurtaxRatesSAS!$B$2:$B$324,$C214:$E214,SurtaxRatesSAS!$E$2:$E$324))</f>
        <v>0</v>
      </c>
      <c r="I214" s="39">
        <f>SUMPRODUCT(SUMIF(SurtaxRatesSAS!$B$2:$B$324,$C214:$E214,SurtaxRatesSAS!$D$2:$D$324))</f>
        <v>4</v>
      </c>
      <c r="J214" s="38"/>
      <c r="K214" s="39">
        <f>SUMPRODUCT(SUMIF(SurtaxRatesSAS!$B$2:$B$324,$C214:$E214,SurtaxRatesSAS!$G$2:$G$324))</f>
        <v>833275.48</v>
      </c>
      <c r="L214" s="39">
        <f>SUMPRODUCT(SUMIF(SurtaxRatesSAS!$B$2:$B$324,$C214:$E214,SurtaxRatesSAS!$H$2:$H$324))</f>
        <v>0</v>
      </c>
      <c r="M214" s="39">
        <f>SUMPRODUCT(SUMIF(SurtaxRatesSAS!$B$2:$B$324,$C214:$E214,SurtaxRatesSAS!$I$2:$I$324))</f>
        <v>833275.48</v>
      </c>
      <c r="N214" s="38"/>
      <c r="O214" s="39" t="e">
        <f>SUMPRODUCT(SUMIF(SurtaxRatesSAS!$B$2:$B$324,$C214:$E214,SurtaxRatesSAS!$L$2:$L$324))</f>
        <v>#REF!</v>
      </c>
      <c r="P214" s="39" t="e">
        <f>SUMPRODUCT(SUMIF(SurtaxRatesSAS!$B$2:$B$324,$C214:$E214,SurtaxRatesSAS!$M$2:$M$324))</f>
        <v>#REF!</v>
      </c>
      <c r="Q214" s="39" t="e">
        <f>SUMPRODUCT(SUMIF(SurtaxRatesSAS!$B$2:$B$324,$C214:$E214,SurtaxRatesSAS!$N$2:$N$324))</f>
        <v>#REF!</v>
      </c>
      <c r="R214" s="38"/>
      <c r="S214" s="39" t="e">
        <f t="shared" si="9"/>
        <v>#REF!</v>
      </c>
      <c r="T214" s="39" t="e">
        <f t="shared" si="10"/>
        <v>#REF!</v>
      </c>
      <c r="U214" s="39" t="e">
        <f t="shared" si="11"/>
        <v>#REF!</v>
      </c>
      <c r="V214" s="29"/>
      <c r="W214" s="31" t="str">
        <f>IF(K214&gt;0,INDEX(cfo!$C$2:$I$326,MATCH(SurtaxPayment!C214,cfo!$C$2:$C$326,0),7),"")</f>
        <v>kristin.wood@northpolk.org</v>
      </c>
      <c r="X214" s="31" t="str">
        <f>IF(IF(K214&gt;0,INDEX(cfo!$C$2:$K$326,MATCH(SurtaxPayment!C214,cfo!$C$2:$C$326,0),9),"")=0,"",IF(K214&gt;0,INDEX(cfo!$C$2:$K$326,MATCH(SurtaxPayment!C214,cfo!$C$2:$C$326,0),9),""))</f>
        <v>maryann.webb@northpolk.org</v>
      </c>
    </row>
    <row r="215" spans="1:24" x14ac:dyDescent="0.25">
      <c r="A215" s="52">
        <v>2025</v>
      </c>
      <c r="B215" s="52" t="s">
        <v>666</v>
      </c>
      <c r="C215" s="57" t="s">
        <v>527</v>
      </c>
      <c r="D215" s="58" t="s">
        <v>693</v>
      </c>
      <c r="E215" s="58" t="s">
        <v>693</v>
      </c>
      <c r="F215" s="58" t="s">
        <v>527</v>
      </c>
      <c r="G215" s="57" t="s">
        <v>190</v>
      </c>
      <c r="H215" s="39">
        <f>SUMPRODUCT(SUMIF(SurtaxRatesSAS!$B$2:$B$324,$C215:$E215,SurtaxRatesSAS!$E$2:$E$324))</f>
        <v>0</v>
      </c>
      <c r="I215" s="39">
        <f>SUMPRODUCT(SUMIF(SurtaxRatesSAS!$B$2:$B$324,$C215:$E215,SurtaxRatesSAS!$D$2:$D$324))</f>
        <v>1</v>
      </c>
      <c r="J215" s="38"/>
      <c r="K215" s="39">
        <f>SUMPRODUCT(SUMIF(SurtaxRatesSAS!$B$2:$B$324,$C215:$E215,SurtaxRatesSAS!$G$2:$G$324))</f>
        <v>243016.21</v>
      </c>
      <c r="L215" s="39">
        <f>SUMPRODUCT(SUMIF(SurtaxRatesSAS!$B$2:$B$324,$C215:$E215,SurtaxRatesSAS!$H$2:$H$324))</f>
        <v>0</v>
      </c>
      <c r="M215" s="39">
        <f>SUMPRODUCT(SUMIF(SurtaxRatesSAS!$B$2:$B$324,$C215:$E215,SurtaxRatesSAS!$I$2:$I$324))</f>
        <v>243016.21</v>
      </c>
      <c r="N215" s="38"/>
      <c r="O215" s="39" t="e">
        <f>SUMPRODUCT(SUMIF(SurtaxRatesSAS!$B$2:$B$324,$C215:$E215,SurtaxRatesSAS!$L$2:$L$324))</f>
        <v>#REF!</v>
      </c>
      <c r="P215" s="39" t="e">
        <f>SUMPRODUCT(SUMIF(SurtaxRatesSAS!$B$2:$B$324,$C215:$E215,SurtaxRatesSAS!$M$2:$M$324))</f>
        <v>#REF!</v>
      </c>
      <c r="Q215" s="39" t="e">
        <f>SUMPRODUCT(SUMIF(SurtaxRatesSAS!$B$2:$B$324,$C215:$E215,SurtaxRatesSAS!$N$2:$N$324))</f>
        <v>#REF!</v>
      </c>
      <c r="R215" s="38"/>
      <c r="S215" s="39" t="e">
        <f t="shared" si="9"/>
        <v>#REF!</v>
      </c>
      <c r="T215" s="39" t="e">
        <f t="shared" si="10"/>
        <v>#REF!</v>
      </c>
      <c r="U215" s="39" t="e">
        <f t="shared" si="11"/>
        <v>#REF!</v>
      </c>
      <c r="V215" s="29"/>
      <c r="W215" s="31" t="str">
        <f>IF(K215&gt;0,INDEX(cfo!$C$2:$I$326,MATCH(SurtaxPayment!C215,cfo!$C$2:$C$326,0),7),"")</f>
        <v>jill.vanroekel@north-scott.k12.ia.us</v>
      </c>
      <c r="X215" s="31" t="str">
        <f>IF(IF(K215&gt;0,INDEX(cfo!$C$2:$K$326,MATCH(SurtaxPayment!C215,cfo!$C$2:$C$326,0),9),"")=0,"",IF(K215&gt;0,INDEX(cfo!$C$2:$K$326,MATCH(SurtaxPayment!C215,cfo!$C$2:$C$326,0),9),""))</f>
        <v>amy.longenecker@north-scott.k12.ia.us</v>
      </c>
    </row>
    <row r="216" spans="1:24" x14ac:dyDescent="0.25">
      <c r="A216" s="52">
        <v>2025</v>
      </c>
      <c r="B216" s="52" t="s">
        <v>658</v>
      </c>
      <c r="C216" s="57" t="s">
        <v>528</v>
      </c>
      <c r="D216" s="58" t="s">
        <v>693</v>
      </c>
      <c r="E216" s="58" t="s">
        <v>693</v>
      </c>
      <c r="F216" s="58" t="s">
        <v>528</v>
      </c>
      <c r="G216" s="57" t="s">
        <v>191</v>
      </c>
      <c r="H216" s="39">
        <f>SUMPRODUCT(SUMIF(SurtaxRatesSAS!$B$2:$B$324,$C216:$E216,SurtaxRatesSAS!$E$2:$E$324))</f>
        <v>0</v>
      </c>
      <c r="I216" s="39">
        <f>SUMPRODUCT(SUMIF(SurtaxRatesSAS!$B$2:$B$324,$C216:$E216,SurtaxRatesSAS!$D$2:$D$324))</f>
        <v>4</v>
      </c>
      <c r="J216" s="38"/>
      <c r="K216" s="39">
        <f>SUMPRODUCT(SUMIF(SurtaxRatesSAS!$B$2:$B$324,$C216:$E216,SurtaxRatesSAS!$G$2:$G$324))</f>
        <v>131232.42000000001</v>
      </c>
      <c r="L216" s="39">
        <f>SUMPRODUCT(SUMIF(SurtaxRatesSAS!$B$2:$B$324,$C216:$E216,SurtaxRatesSAS!$H$2:$H$324))</f>
        <v>0</v>
      </c>
      <c r="M216" s="39">
        <f>SUMPRODUCT(SUMIF(SurtaxRatesSAS!$B$2:$B$324,$C216:$E216,SurtaxRatesSAS!$I$2:$I$324))</f>
        <v>131232.42000000001</v>
      </c>
      <c r="N216" s="38"/>
      <c r="O216" s="39" t="e">
        <f>SUMPRODUCT(SUMIF(SurtaxRatesSAS!$B$2:$B$324,$C216:$E216,SurtaxRatesSAS!$L$2:$L$324))</f>
        <v>#REF!</v>
      </c>
      <c r="P216" s="39" t="e">
        <f>SUMPRODUCT(SUMIF(SurtaxRatesSAS!$B$2:$B$324,$C216:$E216,SurtaxRatesSAS!$M$2:$M$324))</f>
        <v>#REF!</v>
      </c>
      <c r="Q216" s="39" t="e">
        <f>SUMPRODUCT(SUMIF(SurtaxRatesSAS!$B$2:$B$324,$C216:$E216,SurtaxRatesSAS!$N$2:$N$324))</f>
        <v>#REF!</v>
      </c>
      <c r="R216" s="38"/>
      <c r="S216" s="39" t="e">
        <f t="shared" si="9"/>
        <v>#REF!</v>
      </c>
      <c r="T216" s="39" t="e">
        <f t="shared" si="10"/>
        <v>#REF!</v>
      </c>
      <c r="U216" s="39" t="e">
        <f t="shared" si="11"/>
        <v>#REF!</v>
      </c>
      <c r="V216" s="29"/>
      <c r="W216" s="31" t="str">
        <f>IF(K216&gt;0,INDEX(cfo!$C$2:$I$326,MATCH(SurtaxPayment!C216,cfo!$C$2:$C$326,0),7),"")</f>
        <v>sara.forrester@n-tama.k12.ia.us</v>
      </c>
      <c r="X216" s="31" t="str">
        <f>IF(IF(K216&gt;0,INDEX(cfo!$C$2:$K$326,MATCH(SurtaxPayment!C216,cfo!$C$2:$C$326,0),9),"")=0,"",IF(K216&gt;0,INDEX(cfo!$C$2:$K$326,MATCH(SurtaxPayment!C216,cfo!$C$2:$C$326,0),9),""))</f>
        <v/>
      </c>
    </row>
    <row r="217" spans="1:24" x14ac:dyDescent="0.25">
      <c r="A217" s="52">
        <v>2025</v>
      </c>
      <c r="B217" s="52" t="s">
        <v>661</v>
      </c>
      <c r="C217" s="57" t="s">
        <v>329</v>
      </c>
      <c r="D217" s="58" t="s">
        <v>693</v>
      </c>
      <c r="E217" s="58" t="s">
        <v>693</v>
      </c>
      <c r="F217" s="58" t="s">
        <v>329</v>
      </c>
      <c r="G217" s="57" t="s">
        <v>192</v>
      </c>
      <c r="H217" s="39">
        <f>SUMPRODUCT(SUMIF(SurtaxRatesSAS!$B$2:$B$324,$C217:$E217,SurtaxRatesSAS!$E$2:$E$324))</f>
        <v>3</v>
      </c>
      <c r="I217" s="39">
        <f>SUMPRODUCT(SUMIF(SurtaxRatesSAS!$B$2:$B$324,$C217:$E217,SurtaxRatesSAS!$D$2:$D$324))</f>
        <v>3</v>
      </c>
      <c r="J217" s="38"/>
      <c r="K217" s="39">
        <f>SUMPRODUCT(SUMIF(SurtaxRatesSAS!$B$2:$B$324,$C217:$E217,SurtaxRatesSAS!$G$2:$G$324))</f>
        <v>199662.05</v>
      </c>
      <c r="L217" s="39">
        <f>SUMPRODUCT(SUMIF(SurtaxRatesSAS!$B$2:$B$324,$C217:$E217,SurtaxRatesSAS!$H$2:$H$324))</f>
        <v>99831.03</v>
      </c>
      <c r="M217" s="39">
        <f>SUMPRODUCT(SUMIF(SurtaxRatesSAS!$B$2:$B$324,$C217:$E217,SurtaxRatesSAS!$I$2:$I$324))</f>
        <v>99831.01999999999</v>
      </c>
      <c r="N217" s="38"/>
      <c r="O217" s="39" t="e">
        <f>SUMPRODUCT(SUMIF(SurtaxRatesSAS!$B$2:$B$324,$C217:$E217,SurtaxRatesSAS!$L$2:$L$324))</f>
        <v>#REF!</v>
      </c>
      <c r="P217" s="39" t="e">
        <f>SUMPRODUCT(SUMIF(SurtaxRatesSAS!$B$2:$B$324,$C217:$E217,SurtaxRatesSAS!$M$2:$M$324))</f>
        <v>#REF!</v>
      </c>
      <c r="Q217" s="39" t="e">
        <f>SUMPRODUCT(SUMIF(SurtaxRatesSAS!$B$2:$B$324,$C217:$E217,SurtaxRatesSAS!$N$2:$N$324))</f>
        <v>#REF!</v>
      </c>
      <c r="R217" s="38"/>
      <c r="S217" s="39" t="e">
        <f t="shared" si="9"/>
        <v>#REF!</v>
      </c>
      <c r="T217" s="39" t="e">
        <f t="shared" si="10"/>
        <v>#REF!</v>
      </c>
      <c r="U217" s="39" t="e">
        <f t="shared" si="11"/>
        <v>#REF!</v>
      </c>
      <c r="V217" s="29"/>
      <c r="W217" s="31" t="str">
        <f>IF(K217&gt;0,INDEX(cfo!$C$2:$I$326,MATCH(SurtaxPayment!C217,cfo!$C$2:$C$326,0),7),"")</f>
        <v>erin.rogers@nuwarriors.org</v>
      </c>
      <c r="X217" s="31" t="str">
        <f>IF(IF(K217&gt;0,INDEX(cfo!$C$2:$K$326,MATCH(SurtaxPayment!C217,cfo!$C$2:$C$326,0),9),"")=0,"",IF(K217&gt;0,INDEX(cfo!$C$2:$K$326,MATCH(SurtaxPayment!C217,cfo!$C$2:$C$326,0),9),""))</f>
        <v/>
      </c>
    </row>
    <row r="218" spans="1:24" x14ac:dyDescent="0.25">
      <c r="A218" s="52">
        <v>2025</v>
      </c>
      <c r="B218" s="52" t="s">
        <v>666</v>
      </c>
      <c r="C218" s="57" t="s">
        <v>520</v>
      </c>
      <c r="D218" s="58" t="s">
        <v>693</v>
      </c>
      <c r="E218" s="58" t="s">
        <v>693</v>
      </c>
      <c r="F218" s="58" t="s">
        <v>520</v>
      </c>
      <c r="G218" s="57" t="s">
        <v>194</v>
      </c>
      <c r="H218" s="39">
        <f>SUMPRODUCT(SUMIF(SurtaxRatesSAS!$B$2:$B$324,$C218:$E218,SurtaxRatesSAS!$E$2:$E$324))</f>
        <v>0</v>
      </c>
      <c r="I218" s="39">
        <f>SUMPRODUCT(SUMIF(SurtaxRatesSAS!$B$2:$B$324,$C218:$E218,SurtaxRatesSAS!$D$2:$D$324))</f>
        <v>9</v>
      </c>
      <c r="J218" s="38"/>
      <c r="K218" s="39">
        <f>SUMPRODUCT(SUMIF(SurtaxRatesSAS!$B$2:$B$324,$C218:$E218,SurtaxRatesSAS!$G$2:$G$324))</f>
        <v>258394.79</v>
      </c>
      <c r="L218" s="39">
        <f>SUMPRODUCT(SUMIF(SurtaxRatesSAS!$B$2:$B$324,$C218:$E218,SurtaxRatesSAS!$H$2:$H$324))</f>
        <v>0</v>
      </c>
      <c r="M218" s="39">
        <f>SUMPRODUCT(SUMIF(SurtaxRatesSAS!$B$2:$B$324,$C218:$E218,SurtaxRatesSAS!$I$2:$I$324))</f>
        <v>258394.79</v>
      </c>
      <c r="N218" s="38"/>
      <c r="O218" s="39" t="e">
        <f>SUMPRODUCT(SUMIF(SurtaxRatesSAS!$B$2:$B$324,$C218:$E218,SurtaxRatesSAS!$L$2:$L$324))</f>
        <v>#REF!</v>
      </c>
      <c r="P218" s="39" t="e">
        <f>SUMPRODUCT(SUMIF(SurtaxRatesSAS!$B$2:$B$324,$C218:$E218,SurtaxRatesSAS!$M$2:$M$324))</f>
        <v>#REF!</v>
      </c>
      <c r="Q218" s="39" t="e">
        <f>SUMPRODUCT(SUMIF(SurtaxRatesSAS!$B$2:$B$324,$C218:$E218,SurtaxRatesSAS!$N$2:$N$324))</f>
        <v>#REF!</v>
      </c>
      <c r="R218" s="38"/>
      <c r="S218" s="39" t="e">
        <f t="shared" si="9"/>
        <v>#REF!</v>
      </c>
      <c r="T218" s="39" t="e">
        <f t="shared" si="10"/>
        <v>#REF!</v>
      </c>
      <c r="U218" s="39" t="e">
        <f t="shared" si="11"/>
        <v>#REF!</v>
      </c>
      <c r="V218" s="29"/>
      <c r="W218" s="31" t="str">
        <f>IF(K218&gt;0,INDEX(cfo!$C$2:$I$326,MATCH(SurtaxPayment!C218,cfo!$C$2:$C$326,0),7),"")</f>
        <v>kim.dornbush@northeastcsd.org</v>
      </c>
      <c r="X218" s="31" t="str">
        <f>IF(IF(K218&gt;0,INDEX(cfo!$C$2:$K$326,MATCH(SurtaxPayment!C218,cfo!$C$2:$C$326,0),9),"")=0,"",IF(K218&gt;0,INDEX(cfo!$C$2:$K$326,MATCH(SurtaxPayment!C218,cfo!$C$2:$C$326,0),9),""))</f>
        <v/>
      </c>
    </row>
    <row r="219" spans="1:24" x14ac:dyDescent="0.25">
      <c r="A219" s="52">
        <v>2025</v>
      </c>
      <c r="B219" s="52" t="s">
        <v>658</v>
      </c>
      <c r="C219" s="57" t="s">
        <v>529</v>
      </c>
      <c r="D219" s="58" t="s">
        <v>693</v>
      </c>
      <c r="E219" s="58" t="s">
        <v>693</v>
      </c>
      <c r="F219" s="58" t="s">
        <v>529</v>
      </c>
      <c r="G219" s="57" t="s">
        <v>196</v>
      </c>
      <c r="H219" s="39">
        <f>SUMPRODUCT(SUMIF(SurtaxRatesSAS!$B$2:$B$324,$C219:$E219,SurtaxRatesSAS!$E$2:$E$324))</f>
        <v>0</v>
      </c>
      <c r="I219" s="39">
        <f>SUMPRODUCT(SUMIF(SurtaxRatesSAS!$B$2:$B$324,$C219:$E219,SurtaxRatesSAS!$D$2:$D$324))</f>
        <v>5</v>
      </c>
      <c r="J219" s="38"/>
      <c r="K219" s="39">
        <f>SUMPRODUCT(SUMIF(SurtaxRatesSAS!$B$2:$B$324,$C219:$E219,SurtaxRatesSAS!$G$2:$G$324))</f>
        <v>142188.54</v>
      </c>
      <c r="L219" s="39">
        <f>SUMPRODUCT(SUMIF(SurtaxRatesSAS!$B$2:$B$324,$C219:$E219,SurtaxRatesSAS!$H$2:$H$324))</f>
        <v>0</v>
      </c>
      <c r="M219" s="39">
        <f>SUMPRODUCT(SUMIF(SurtaxRatesSAS!$B$2:$B$324,$C219:$E219,SurtaxRatesSAS!$I$2:$I$324))</f>
        <v>142188.54</v>
      </c>
      <c r="N219" s="38"/>
      <c r="O219" s="39" t="e">
        <f>SUMPRODUCT(SUMIF(SurtaxRatesSAS!$B$2:$B$324,$C219:$E219,SurtaxRatesSAS!$L$2:$L$324))</f>
        <v>#REF!</v>
      </c>
      <c r="P219" s="39" t="e">
        <f>SUMPRODUCT(SUMIF(SurtaxRatesSAS!$B$2:$B$324,$C219:$E219,SurtaxRatesSAS!$M$2:$M$324))</f>
        <v>#REF!</v>
      </c>
      <c r="Q219" s="39" t="e">
        <f>SUMPRODUCT(SUMIF(SurtaxRatesSAS!$B$2:$B$324,$C219:$E219,SurtaxRatesSAS!$N$2:$N$324))</f>
        <v>#REF!</v>
      </c>
      <c r="R219" s="38"/>
      <c r="S219" s="39" t="e">
        <f t="shared" si="9"/>
        <v>#REF!</v>
      </c>
      <c r="T219" s="39" t="e">
        <f t="shared" si="10"/>
        <v>#REF!</v>
      </c>
      <c r="U219" s="39" t="e">
        <f t="shared" si="11"/>
        <v>#REF!</v>
      </c>
      <c r="V219" s="29"/>
      <c r="W219" s="31" t="str">
        <f>IF(K219&gt;0,INDEX(cfo!$C$2:$I$326,MATCH(SurtaxPayment!C219,cfo!$C$2:$C$326,0),7),"")</f>
        <v>khengesteg@nkvikings.com</v>
      </c>
      <c r="X219" s="31" t="str">
        <f>IF(IF(K219&gt;0,INDEX(cfo!$C$2:$K$326,MATCH(SurtaxPayment!C219,cfo!$C$2:$C$326,0),9),"")=0,"",IF(K219&gt;0,INDEX(cfo!$C$2:$K$326,MATCH(SurtaxPayment!C219,cfo!$C$2:$C$326,0),9),""))</f>
        <v/>
      </c>
    </row>
    <row r="220" spans="1:24" x14ac:dyDescent="0.25">
      <c r="A220" s="52">
        <v>2025</v>
      </c>
      <c r="B220" s="52" t="s">
        <v>657</v>
      </c>
      <c r="C220" s="57" t="s">
        <v>530</v>
      </c>
      <c r="D220" s="58" t="s">
        <v>693</v>
      </c>
      <c r="E220" s="58" t="s">
        <v>693</v>
      </c>
      <c r="F220" s="58" t="s">
        <v>530</v>
      </c>
      <c r="G220" s="57" t="s">
        <v>723</v>
      </c>
      <c r="H220" s="39">
        <f>SUMPRODUCT(SUMIF(SurtaxRatesSAS!$B$2:$B$324,$C220:$E220,SurtaxRatesSAS!$E$2:$E$324))</f>
        <v>0</v>
      </c>
      <c r="I220" s="39">
        <f>SUMPRODUCT(SUMIF(SurtaxRatesSAS!$B$2:$B$324,$C220:$E220,SurtaxRatesSAS!$D$2:$D$324))</f>
        <v>0</v>
      </c>
      <c r="J220" s="38"/>
      <c r="K220" s="39">
        <f>SUMPRODUCT(SUMIF(SurtaxRatesSAS!$B$2:$B$324,$C220:$E220,SurtaxRatesSAS!$G$2:$G$324))</f>
        <v>0</v>
      </c>
      <c r="L220" s="39">
        <f>SUMPRODUCT(SUMIF(SurtaxRatesSAS!$B$2:$B$324,$C220:$E220,SurtaxRatesSAS!$H$2:$H$324))</f>
        <v>0</v>
      </c>
      <c r="M220" s="39">
        <f>SUMPRODUCT(SUMIF(SurtaxRatesSAS!$B$2:$B$324,$C220:$E220,SurtaxRatesSAS!$I$2:$I$324))</f>
        <v>0</v>
      </c>
      <c r="N220" s="38"/>
      <c r="O220" s="39">
        <f>SUMPRODUCT(SUMIF(SurtaxRatesSAS!$B$2:$B$324,$C220:$E220,SurtaxRatesSAS!$L$2:$L$324))</f>
        <v>0</v>
      </c>
      <c r="P220" s="39">
        <f>SUMPRODUCT(SUMIF(SurtaxRatesSAS!$B$2:$B$324,$C220:$E220,SurtaxRatesSAS!$M$2:$M$324))</f>
        <v>0</v>
      </c>
      <c r="Q220" s="39">
        <f>SUMPRODUCT(SUMIF(SurtaxRatesSAS!$B$2:$B$324,$C220:$E220,SurtaxRatesSAS!$N$2:$N$324))</f>
        <v>0</v>
      </c>
      <c r="R220" s="38"/>
      <c r="S220" s="39">
        <f t="shared" si="9"/>
        <v>0</v>
      </c>
      <c r="T220" s="39">
        <f t="shared" si="10"/>
        <v>0</v>
      </c>
      <c r="U220" s="39">
        <f t="shared" si="11"/>
        <v>0</v>
      </c>
      <c r="V220" s="29"/>
      <c r="W220" s="31" t="str">
        <f>IF(K220&gt;0,INDEX(cfo!$C$2:$I$326,MATCH(SurtaxPayment!C220,cfo!$C$2:$C$326,0),7),"")</f>
        <v/>
      </c>
      <c r="X220" s="31" t="str">
        <f>IF(IF(K220&gt;0,INDEX(cfo!$C$2:$K$326,MATCH(SurtaxPayment!C220,cfo!$C$2:$C$326,0),9),"")=0,"",IF(K220&gt;0,INDEX(cfo!$C$2:$K$326,MATCH(SurtaxPayment!C220,cfo!$C$2:$C$326,0),9),""))</f>
        <v/>
      </c>
    </row>
    <row r="221" spans="1:24" x14ac:dyDescent="0.25">
      <c r="A221" s="52">
        <v>2025</v>
      </c>
      <c r="B221" s="52" t="s">
        <v>660</v>
      </c>
      <c r="C221" s="57" t="s">
        <v>532</v>
      </c>
      <c r="D221" s="58" t="s">
        <v>693</v>
      </c>
      <c r="E221" s="58" t="s">
        <v>693</v>
      </c>
      <c r="F221" s="58" t="s">
        <v>532</v>
      </c>
      <c r="G221" s="57" t="s">
        <v>724</v>
      </c>
      <c r="H221" s="39">
        <f>SUMPRODUCT(SUMIF(SurtaxRatesSAS!$B$2:$B$324,$C221:$E221,SurtaxRatesSAS!$E$2:$E$324))</f>
        <v>0</v>
      </c>
      <c r="I221" s="39">
        <f>SUMPRODUCT(SUMIF(SurtaxRatesSAS!$B$2:$B$324,$C221:$E221,SurtaxRatesSAS!$D$2:$D$324))</f>
        <v>2</v>
      </c>
      <c r="J221" s="38"/>
      <c r="K221" s="39">
        <f>SUMPRODUCT(SUMIF(SurtaxRatesSAS!$B$2:$B$324,$C221:$E221,SurtaxRatesSAS!$G$2:$G$324))</f>
        <v>140868.14000000001</v>
      </c>
      <c r="L221" s="39">
        <f>SUMPRODUCT(SUMIF(SurtaxRatesSAS!$B$2:$B$324,$C221:$E221,SurtaxRatesSAS!$H$2:$H$324))</f>
        <v>0</v>
      </c>
      <c r="M221" s="39">
        <f>SUMPRODUCT(SUMIF(SurtaxRatesSAS!$B$2:$B$324,$C221:$E221,SurtaxRatesSAS!$I$2:$I$324))</f>
        <v>140868.14000000001</v>
      </c>
      <c r="N221" s="38"/>
      <c r="O221" s="39" t="e">
        <f>SUMPRODUCT(SUMIF(SurtaxRatesSAS!$B$2:$B$324,$C221:$E221,SurtaxRatesSAS!$L$2:$L$324))</f>
        <v>#REF!</v>
      </c>
      <c r="P221" s="39" t="e">
        <f>SUMPRODUCT(SUMIF(SurtaxRatesSAS!$B$2:$B$324,$C221:$E221,SurtaxRatesSAS!$M$2:$M$324))</f>
        <v>#REF!</v>
      </c>
      <c r="Q221" s="39" t="e">
        <f>SUMPRODUCT(SUMIF(SurtaxRatesSAS!$B$2:$B$324,$C221:$E221,SurtaxRatesSAS!$N$2:$N$324))</f>
        <v>#REF!</v>
      </c>
      <c r="R221" s="38"/>
      <c r="S221" s="39" t="e">
        <f t="shared" si="9"/>
        <v>#REF!</v>
      </c>
      <c r="T221" s="39" t="e">
        <f t="shared" si="10"/>
        <v>#REF!</v>
      </c>
      <c r="U221" s="39" t="e">
        <f t="shared" si="11"/>
        <v>#REF!</v>
      </c>
      <c r="V221" s="29"/>
      <c r="W221" s="31" t="str">
        <f>IF(K221&gt;0,INDEX(cfo!$C$2:$I$326,MATCH(SurtaxPayment!C221,cfo!$C$2:$C$326,0),7),"")</f>
        <v>jmogensen@oabcig.org</v>
      </c>
      <c r="X221" s="31" t="str">
        <f>IF(IF(K221&gt;0,INDEX(cfo!$C$2:$K$326,MATCH(SurtaxPayment!C221,cfo!$C$2:$C$326,0),9),"")=0,"",IF(K221&gt;0,INDEX(cfo!$C$2:$K$326,MATCH(SurtaxPayment!C221,cfo!$C$2:$C$326,0),9),""))</f>
        <v/>
      </c>
    </row>
    <row r="222" spans="1:24" x14ac:dyDescent="0.25">
      <c r="A222" s="52">
        <v>2025</v>
      </c>
      <c r="B222" s="52" t="s">
        <v>665</v>
      </c>
      <c r="C222" s="57" t="s">
        <v>533</v>
      </c>
      <c r="D222" s="58" t="s">
        <v>693</v>
      </c>
      <c r="E222" s="58" t="s">
        <v>693</v>
      </c>
      <c r="F222" s="58" t="s">
        <v>533</v>
      </c>
      <c r="G222" s="57" t="s">
        <v>198</v>
      </c>
      <c r="H222" s="39">
        <f>SUMPRODUCT(SUMIF(SurtaxRatesSAS!$B$2:$B$324,$C222:$E222,SurtaxRatesSAS!$E$2:$E$324))</f>
        <v>2</v>
      </c>
      <c r="I222" s="39">
        <f>SUMPRODUCT(SUMIF(SurtaxRatesSAS!$B$2:$B$324,$C222:$E222,SurtaxRatesSAS!$D$2:$D$324))</f>
        <v>7</v>
      </c>
      <c r="J222" s="38"/>
      <c r="K222" s="39">
        <f>SUMPRODUCT(SUMIF(SurtaxRatesSAS!$B$2:$B$324,$C222:$E222,SurtaxRatesSAS!$G$2:$G$324))</f>
        <v>505271.77</v>
      </c>
      <c r="L222" s="39">
        <f>SUMPRODUCT(SUMIF(SurtaxRatesSAS!$B$2:$B$324,$C222:$E222,SurtaxRatesSAS!$H$2:$H$324))</f>
        <v>112282.62</v>
      </c>
      <c r="M222" s="39">
        <f>SUMPRODUCT(SUMIF(SurtaxRatesSAS!$B$2:$B$324,$C222:$E222,SurtaxRatesSAS!$I$2:$I$324))</f>
        <v>392989.15</v>
      </c>
      <c r="N222" s="38"/>
      <c r="O222" s="39" t="e">
        <f>SUMPRODUCT(SUMIF(SurtaxRatesSAS!$B$2:$B$324,$C222:$E222,SurtaxRatesSAS!$L$2:$L$324))</f>
        <v>#REF!</v>
      </c>
      <c r="P222" s="39" t="e">
        <f>SUMPRODUCT(SUMIF(SurtaxRatesSAS!$B$2:$B$324,$C222:$E222,SurtaxRatesSAS!$M$2:$M$324))</f>
        <v>#REF!</v>
      </c>
      <c r="Q222" s="39" t="e">
        <f>SUMPRODUCT(SUMIF(SurtaxRatesSAS!$B$2:$B$324,$C222:$E222,SurtaxRatesSAS!$N$2:$N$324))</f>
        <v>#REF!</v>
      </c>
      <c r="R222" s="38"/>
      <c r="S222" s="39" t="e">
        <f t="shared" si="9"/>
        <v>#REF!</v>
      </c>
      <c r="T222" s="39" t="e">
        <f t="shared" si="10"/>
        <v>#REF!</v>
      </c>
      <c r="U222" s="39" t="e">
        <f t="shared" si="11"/>
        <v>#REF!</v>
      </c>
      <c r="V222" s="29"/>
      <c r="W222" s="31" t="str">
        <f>IF(K222&gt;0,INDEX(cfo!$C$2:$I$326,MATCH(SurtaxPayment!C222,cfo!$C$2:$C$326,0),7),"")</f>
        <v>mrueber@oelwein.k12.ia.us</v>
      </c>
      <c r="X222" s="31" t="str">
        <f>IF(IF(K222&gt;0,INDEX(cfo!$C$2:$K$326,MATCH(SurtaxPayment!C222,cfo!$C$2:$C$326,0),9),"")=0,"",IF(K222&gt;0,INDEX(cfo!$C$2:$K$326,MATCH(SurtaxPayment!C222,cfo!$C$2:$C$326,0),9),""))</f>
        <v>grosenstiel@oelwein.k12.ia.us</v>
      </c>
    </row>
    <row r="223" spans="1:24" x14ac:dyDescent="0.25">
      <c r="A223" s="52">
        <v>2025</v>
      </c>
      <c r="B223" s="52" t="s">
        <v>657</v>
      </c>
      <c r="C223" s="57" t="s">
        <v>534</v>
      </c>
      <c r="D223" s="58" t="s">
        <v>693</v>
      </c>
      <c r="E223" s="58" t="s">
        <v>693</v>
      </c>
      <c r="F223" s="58" t="s">
        <v>534</v>
      </c>
      <c r="G223" s="57" t="s">
        <v>199</v>
      </c>
      <c r="H223" s="39">
        <f>SUMPRODUCT(SUMIF(SurtaxRatesSAS!$B$2:$B$324,$C223:$E223,SurtaxRatesSAS!$E$2:$E$324))</f>
        <v>0</v>
      </c>
      <c r="I223" s="39">
        <f>SUMPRODUCT(SUMIF(SurtaxRatesSAS!$B$2:$B$324,$C223:$E223,SurtaxRatesSAS!$D$2:$D$324))</f>
        <v>4</v>
      </c>
      <c r="J223" s="38"/>
      <c r="K223" s="39">
        <f>SUMPRODUCT(SUMIF(SurtaxRatesSAS!$B$2:$B$324,$C223:$E223,SurtaxRatesSAS!$G$2:$G$324))</f>
        <v>163147.01</v>
      </c>
      <c r="L223" s="39">
        <f>SUMPRODUCT(SUMIF(SurtaxRatesSAS!$B$2:$B$324,$C223:$E223,SurtaxRatesSAS!$H$2:$H$324))</f>
        <v>0</v>
      </c>
      <c r="M223" s="39">
        <f>SUMPRODUCT(SUMIF(SurtaxRatesSAS!$B$2:$B$324,$C223:$E223,SurtaxRatesSAS!$I$2:$I$324))</f>
        <v>163147.01</v>
      </c>
      <c r="N223" s="38"/>
      <c r="O223" s="39" t="e">
        <f>SUMPRODUCT(SUMIF(SurtaxRatesSAS!$B$2:$B$324,$C223:$E223,SurtaxRatesSAS!$L$2:$L$324))</f>
        <v>#REF!</v>
      </c>
      <c r="P223" s="39" t="e">
        <f>SUMPRODUCT(SUMIF(SurtaxRatesSAS!$B$2:$B$324,$C223:$E223,SurtaxRatesSAS!$M$2:$M$324))</f>
        <v>#REF!</v>
      </c>
      <c r="Q223" s="39" t="e">
        <f>SUMPRODUCT(SUMIF(SurtaxRatesSAS!$B$2:$B$324,$C223:$E223,SurtaxRatesSAS!$N$2:$N$324))</f>
        <v>#REF!</v>
      </c>
      <c r="R223" s="38"/>
      <c r="S223" s="39" t="e">
        <f t="shared" si="9"/>
        <v>#REF!</v>
      </c>
      <c r="T223" s="39" t="e">
        <f t="shared" si="10"/>
        <v>#REF!</v>
      </c>
      <c r="U223" s="39" t="e">
        <f t="shared" si="11"/>
        <v>#REF!</v>
      </c>
      <c r="V223" s="29"/>
      <c r="W223" s="31" t="str">
        <f>IF(K223&gt;0,INDEX(cfo!$C$2:$I$326,MATCH(SurtaxPayment!C223,cfo!$C$2:$C$326,0),7),"")</f>
        <v>melissa.atwell@ogden.k12.ia.us</v>
      </c>
      <c r="X223" s="31" t="str">
        <f>IF(IF(K223&gt;0,INDEX(cfo!$C$2:$K$326,MATCH(SurtaxPayment!C223,cfo!$C$2:$C$326,0),9),"")=0,"",IF(K223&gt;0,INDEX(cfo!$C$2:$K$326,MATCH(SurtaxPayment!C223,cfo!$C$2:$C$326,0),9),""))</f>
        <v/>
      </c>
    </row>
    <row r="224" spans="1:24" x14ac:dyDescent="0.25">
      <c r="A224" s="52">
        <v>2025</v>
      </c>
      <c r="B224" s="52" t="s">
        <v>661</v>
      </c>
      <c r="C224" s="57" t="s">
        <v>535</v>
      </c>
      <c r="D224" s="58" t="s">
        <v>693</v>
      </c>
      <c r="E224" s="58" t="s">
        <v>693</v>
      </c>
      <c r="F224" s="58" t="s">
        <v>535</v>
      </c>
      <c r="G224" s="57" t="s">
        <v>200</v>
      </c>
      <c r="H224" s="39">
        <f>SUMPRODUCT(SUMIF(SurtaxRatesSAS!$B$2:$B$324,$C224:$E224,SurtaxRatesSAS!$E$2:$E$324))</f>
        <v>0</v>
      </c>
      <c r="I224" s="39">
        <f>SUMPRODUCT(SUMIF(SurtaxRatesSAS!$B$2:$B$324,$C224:$E224,SurtaxRatesSAS!$D$2:$D$324))</f>
        <v>2</v>
      </c>
      <c r="J224" s="38"/>
      <c r="K224" s="39">
        <f>SUMPRODUCT(SUMIF(SurtaxRatesSAS!$B$2:$B$324,$C224:$E224,SurtaxRatesSAS!$G$2:$G$324))</f>
        <v>192239.17</v>
      </c>
      <c r="L224" s="39">
        <f>SUMPRODUCT(SUMIF(SurtaxRatesSAS!$B$2:$B$324,$C224:$E224,SurtaxRatesSAS!$H$2:$H$324))</f>
        <v>0</v>
      </c>
      <c r="M224" s="39">
        <f>SUMPRODUCT(SUMIF(SurtaxRatesSAS!$B$2:$B$324,$C224:$E224,SurtaxRatesSAS!$I$2:$I$324))</f>
        <v>192239.17</v>
      </c>
      <c r="N224" s="38"/>
      <c r="O224" s="39" t="e">
        <f>SUMPRODUCT(SUMIF(SurtaxRatesSAS!$B$2:$B$324,$C224:$E224,SurtaxRatesSAS!$L$2:$L$324))</f>
        <v>#REF!</v>
      </c>
      <c r="P224" s="39" t="e">
        <f>SUMPRODUCT(SUMIF(SurtaxRatesSAS!$B$2:$B$324,$C224:$E224,SurtaxRatesSAS!$M$2:$M$324))</f>
        <v>#REF!</v>
      </c>
      <c r="Q224" s="39" t="e">
        <f>SUMPRODUCT(SUMIF(SurtaxRatesSAS!$B$2:$B$324,$C224:$E224,SurtaxRatesSAS!$N$2:$N$324))</f>
        <v>#REF!</v>
      </c>
      <c r="R224" s="38"/>
      <c r="S224" s="39" t="e">
        <f t="shared" si="9"/>
        <v>#REF!</v>
      </c>
      <c r="T224" s="39" t="e">
        <f t="shared" si="10"/>
        <v>#REF!</v>
      </c>
      <c r="U224" s="39" t="e">
        <f t="shared" si="11"/>
        <v>#REF!</v>
      </c>
      <c r="V224" s="29"/>
      <c r="W224" s="31" t="str">
        <f>IF(K224&gt;0,INDEX(cfo!$C$2:$I$326,MATCH(SurtaxPayment!C224,cfo!$C$2:$C$326,0),7),"")</f>
        <v>dbockman@okobojischools.org</v>
      </c>
      <c r="X224" s="31" t="str">
        <f>IF(IF(K224&gt;0,INDEX(cfo!$C$2:$K$326,MATCH(SurtaxPayment!C224,cfo!$C$2:$C$326,0),9),"")=0,"",IF(K224&gt;0,INDEX(cfo!$C$2:$K$326,MATCH(SurtaxPayment!C224,cfo!$C$2:$C$326,0),9),""))</f>
        <v/>
      </c>
    </row>
    <row r="225" spans="1:24" x14ac:dyDescent="0.25">
      <c r="A225" s="52">
        <v>2025</v>
      </c>
      <c r="B225" s="52" t="s">
        <v>663</v>
      </c>
      <c r="C225" s="57" t="s">
        <v>536</v>
      </c>
      <c r="D225" s="58" t="s">
        <v>693</v>
      </c>
      <c r="E225" s="58" t="s">
        <v>693</v>
      </c>
      <c r="F225" s="58" t="s">
        <v>536</v>
      </c>
      <c r="G225" s="57" t="s">
        <v>201</v>
      </c>
      <c r="H225" s="39">
        <f>SUMPRODUCT(SUMIF(SurtaxRatesSAS!$B$2:$B$324,$C225:$E225,SurtaxRatesSAS!$E$2:$E$324))</f>
        <v>0</v>
      </c>
      <c r="I225" s="39">
        <f>SUMPRODUCT(SUMIF(SurtaxRatesSAS!$B$2:$B$324,$C225:$E225,SurtaxRatesSAS!$D$2:$D$324))</f>
        <v>1</v>
      </c>
      <c r="J225" s="38"/>
      <c r="K225" s="39">
        <f>SUMPRODUCT(SUMIF(SurtaxRatesSAS!$B$2:$B$324,$C225:$E225,SurtaxRatesSAS!$G$2:$G$324))</f>
        <v>11299.71</v>
      </c>
      <c r="L225" s="39">
        <f>SUMPRODUCT(SUMIF(SurtaxRatesSAS!$B$2:$B$324,$C225:$E225,SurtaxRatesSAS!$H$2:$H$324))</f>
        <v>0</v>
      </c>
      <c r="M225" s="39">
        <f>SUMPRODUCT(SUMIF(SurtaxRatesSAS!$B$2:$B$324,$C225:$E225,SurtaxRatesSAS!$I$2:$I$324))</f>
        <v>11299.71</v>
      </c>
      <c r="N225" s="38"/>
      <c r="O225" s="39" t="e">
        <f>SUMPRODUCT(SUMIF(SurtaxRatesSAS!$B$2:$B$324,$C225:$E225,SurtaxRatesSAS!$L$2:$L$324))</f>
        <v>#REF!</v>
      </c>
      <c r="P225" s="39" t="e">
        <f>SUMPRODUCT(SUMIF(SurtaxRatesSAS!$B$2:$B$324,$C225:$E225,SurtaxRatesSAS!$M$2:$M$324))</f>
        <v>#REF!</v>
      </c>
      <c r="Q225" s="39" t="e">
        <f>SUMPRODUCT(SUMIF(SurtaxRatesSAS!$B$2:$B$324,$C225:$E225,SurtaxRatesSAS!$N$2:$N$324))</f>
        <v>#REF!</v>
      </c>
      <c r="R225" s="38"/>
      <c r="S225" s="39" t="e">
        <f t="shared" si="9"/>
        <v>#REF!</v>
      </c>
      <c r="T225" s="39" t="e">
        <f t="shared" si="10"/>
        <v>#REF!</v>
      </c>
      <c r="U225" s="39" t="e">
        <f t="shared" si="11"/>
        <v>#REF!</v>
      </c>
      <c r="V225" s="29"/>
      <c r="W225" s="31" t="str">
        <f>IF(K225&gt;0,INDEX(cfo!$C$2:$I$326,MATCH(SurtaxPayment!C225,cfo!$C$2:$C$326,0),7),"")</f>
        <v>kstillwagon@olin.k12.ia.us</v>
      </c>
      <c r="X225" s="31" t="str">
        <f>IF(IF(K225&gt;0,INDEX(cfo!$C$2:$K$326,MATCH(SurtaxPayment!C225,cfo!$C$2:$C$326,0),9),"")=0,"",IF(K225&gt;0,INDEX(cfo!$C$2:$K$326,MATCH(SurtaxPayment!C225,cfo!$C$2:$C$326,0),9),""))</f>
        <v/>
      </c>
    </row>
    <row r="226" spans="1:24" x14ac:dyDescent="0.25">
      <c r="A226" s="52">
        <v>2025</v>
      </c>
      <c r="B226" s="52" t="s">
        <v>659</v>
      </c>
      <c r="C226" s="57" t="s">
        <v>537</v>
      </c>
      <c r="D226" s="58" t="s">
        <v>693</v>
      </c>
      <c r="E226" s="58" t="s">
        <v>693</v>
      </c>
      <c r="F226" s="58" t="s">
        <v>537</v>
      </c>
      <c r="G226" s="57" t="s">
        <v>202</v>
      </c>
      <c r="H226" s="39">
        <f>SUMPRODUCT(SUMIF(SurtaxRatesSAS!$B$2:$B$324,$C226:$E226,SurtaxRatesSAS!$E$2:$E$324))</f>
        <v>0</v>
      </c>
      <c r="I226" s="39">
        <f>SUMPRODUCT(SUMIF(SurtaxRatesSAS!$B$2:$B$324,$C226:$E226,SurtaxRatesSAS!$D$2:$D$324))</f>
        <v>10</v>
      </c>
      <c r="J226" s="38"/>
      <c r="K226" s="39">
        <f>SUMPRODUCT(SUMIF(SurtaxRatesSAS!$B$2:$B$324,$C226:$E226,SurtaxRatesSAS!$G$2:$G$324))</f>
        <v>104774.8</v>
      </c>
      <c r="L226" s="39">
        <f>SUMPRODUCT(SUMIF(SurtaxRatesSAS!$B$2:$B$324,$C226:$E226,SurtaxRatesSAS!$H$2:$H$324))</f>
        <v>0</v>
      </c>
      <c r="M226" s="39">
        <f>SUMPRODUCT(SUMIF(SurtaxRatesSAS!$B$2:$B$324,$C226:$E226,SurtaxRatesSAS!$I$2:$I$324))</f>
        <v>104774.8</v>
      </c>
      <c r="N226" s="38"/>
      <c r="O226" s="39" t="e">
        <f>SUMPRODUCT(SUMIF(SurtaxRatesSAS!$B$2:$B$324,$C226:$E226,SurtaxRatesSAS!$L$2:$L$324))</f>
        <v>#REF!</v>
      </c>
      <c r="P226" s="39" t="e">
        <f>SUMPRODUCT(SUMIF(SurtaxRatesSAS!$B$2:$B$324,$C226:$E226,SurtaxRatesSAS!$M$2:$M$324))</f>
        <v>#REF!</v>
      </c>
      <c r="Q226" s="39" t="e">
        <f>SUMPRODUCT(SUMIF(SurtaxRatesSAS!$B$2:$B$324,$C226:$E226,SurtaxRatesSAS!$N$2:$N$324))</f>
        <v>#REF!</v>
      </c>
      <c r="R226" s="38"/>
      <c r="S226" s="39" t="e">
        <f t="shared" si="9"/>
        <v>#REF!</v>
      </c>
      <c r="T226" s="39" t="e">
        <f t="shared" si="10"/>
        <v>#REF!</v>
      </c>
      <c r="U226" s="39" t="e">
        <f t="shared" si="11"/>
        <v>#REF!</v>
      </c>
      <c r="V226" s="29"/>
      <c r="W226" s="31" t="str">
        <f>IF(K226&gt;0,INDEX(cfo!$C$2:$I$326,MATCH(SurtaxPayment!C226,cfo!$C$2:$C$326,0),7),"")</f>
        <v>jstroud@ecsdcards.com</v>
      </c>
      <c r="X226" s="31" t="str">
        <f>IF(IF(K226&gt;0,INDEX(cfo!$C$2:$K$326,MATCH(SurtaxPayment!C226,cfo!$C$2:$C$326,0),9),"")=0,"",IF(K226&gt;0,INDEX(cfo!$C$2:$K$326,MATCH(SurtaxPayment!C226,cfo!$C$2:$C$326,0),9),""))</f>
        <v>Alisha.Geidel@o-mschools.org</v>
      </c>
    </row>
    <row r="227" spans="1:24" x14ac:dyDescent="0.25">
      <c r="A227" s="52">
        <v>2025</v>
      </c>
      <c r="B227" s="52" t="s">
        <v>658</v>
      </c>
      <c r="C227" s="57" t="s">
        <v>538</v>
      </c>
      <c r="D227" s="58" t="s">
        <v>693</v>
      </c>
      <c r="E227" s="58" t="s">
        <v>693</v>
      </c>
      <c r="F227" s="58" t="s">
        <v>538</v>
      </c>
      <c r="G227" s="57" t="s">
        <v>203</v>
      </c>
      <c r="H227" s="39">
        <f>SUMPRODUCT(SUMIF(SurtaxRatesSAS!$B$2:$B$324,$C227:$E227,SurtaxRatesSAS!$E$2:$E$324))</f>
        <v>1</v>
      </c>
      <c r="I227" s="39">
        <f>SUMPRODUCT(SUMIF(SurtaxRatesSAS!$B$2:$B$324,$C227:$E227,SurtaxRatesSAS!$D$2:$D$324))</f>
        <v>1</v>
      </c>
      <c r="J227" s="38"/>
      <c r="K227" s="39">
        <f>SUMPRODUCT(SUMIF(SurtaxRatesSAS!$B$2:$B$324,$C227:$E227,SurtaxRatesSAS!$G$2:$G$324))</f>
        <v>135212.37</v>
      </c>
      <c r="L227" s="39">
        <f>SUMPRODUCT(SUMIF(SurtaxRatesSAS!$B$2:$B$324,$C227:$E227,SurtaxRatesSAS!$H$2:$H$324))</f>
        <v>67606.19</v>
      </c>
      <c r="M227" s="39">
        <f>SUMPRODUCT(SUMIF(SurtaxRatesSAS!$B$2:$B$324,$C227:$E227,SurtaxRatesSAS!$I$2:$I$324))</f>
        <v>67606.179999999993</v>
      </c>
      <c r="N227" s="38"/>
      <c r="O227" s="39" t="e">
        <f>SUMPRODUCT(SUMIF(SurtaxRatesSAS!$B$2:$B$324,$C227:$E227,SurtaxRatesSAS!$L$2:$L$324))</f>
        <v>#REF!</v>
      </c>
      <c r="P227" s="39" t="e">
        <f>SUMPRODUCT(SUMIF(SurtaxRatesSAS!$B$2:$B$324,$C227:$E227,SurtaxRatesSAS!$M$2:$M$324))</f>
        <v>#REF!</v>
      </c>
      <c r="Q227" s="39" t="e">
        <f>SUMPRODUCT(SUMIF(SurtaxRatesSAS!$B$2:$B$324,$C227:$E227,SurtaxRatesSAS!$N$2:$N$324))</f>
        <v>#REF!</v>
      </c>
      <c r="R227" s="38"/>
      <c r="S227" s="39" t="e">
        <f t="shared" si="9"/>
        <v>#REF!</v>
      </c>
      <c r="T227" s="39" t="e">
        <f t="shared" si="10"/>
        <v>#REF!</v>
      </c>
      <c r="U227" s="39" t="e">
        <f t="shared" si="11"/>
        <v>#REF!</v>
      </c>
      <c r="V227" s="29"/>
      <c r="W227" s="31" t="str">
        <f>IF(K227&gt;0,INDEX(cfo!$C$2:$I$326,MATCH(SurtaxPayment!C227,cfo!$C$2:$C$326,0),7),"")</f>
        <v>micheala.eisenmann@osage.k12.ia.us</v>
      </c>
      <c r="X227" s="31" t="str">
        <f>IF(IF(K227&gt;0,INDEX(cfo!$C$2:$K$326,MATCH(SurtaxPayment!C227,cfo!$C$2:$C$326,0),9),"")=0,"",IF(K227&gt;0,INDEX(cfo!$C$2:$K$326,MATCH(SurtaxPayment!C227,cfo!$C$2:$C$326,0),9),""))</f>
        <v/>
      </c>
    </row>
    <row r="228" spans="1:24" x14ac:dyDescent="0.25">
      <c r="A228" s="52">
        <v>2025</v>
      </c>
      <c r="B228" s="52" t="s">
        <v>662</v>
      </c>
      <c r="C228" s="57" t="s">
        <v>539</v>
      </c>
      <c r="D228" s="58" t="s">
        <v>693</v>
      </c>
      <c r="E228" s="58" t="s">
        <v>693</v>
      </c>
      <c r="F228" s="58" t="s">
        <v>539</v>
      </c>
      <c r="G228" s="57" t="s">
        <v>204</v>
      </c>
      <c r="H228" s="39">
        <f>SUMPRODUCT(SUMIF(SurtaxRatesSAS!$B$2:$B$324,$C228:$E228,SurtaxRatesSAS!$E$2:$E$324))</f>
        <v>0</v>
      </c>
      <c r="I228" s="39">
        <f>SUMPRODUCT(SUMIF(SurtaxRatesSAS!$B$2:$B$324,$C228:$E228,SurtaxRatesSAS!$D$2:$D$324))</f>
        <v>4</v>
      </c>
      <c r="J228" s="38"/>
      <c r="K228" s="39">
        <f>SUMPRODUCT(SUMIF(SurtaxRatesSAS!$B$2:$B$324,$C228:$E228,SurtaxRatesSAS!$G$2:$G$324))</f>
        <v>622103.26</v>
      </c>
      <c r="L228" s="39">
        <f>SUMPRODUCT(SUMIF(SurtaxRatesSAS!$B$2:$B$324,$C228:$E228,SurtaxRatesSAS!$H$2:$H$324))</f>
        <v>0</v>
      </c>
      <c r="M228" s="39">
        <f>SUMPRODUCT(SUMIF(SurtaxRatesSAS!$B$2:$B$324,$C228:$E228,SurtaxRatesSAS!$I$2:$I$324))</f>
        <v>622103.26</v>
      </c>
      <c r="N228" s="38"/>
      <c r="O228" s="39" t="e">
        <f>SUMPRODUCT(SUMIF(SurtaxRatesSAS!$B$2:$B$324,$C228:$E228,SurtaxRatesSAS!$L$2:$L$324))</f>
        <v>#REF!</v>
      </c>
      <c r="P228" s="39" t="e">
        <f>SUMPRODUCT(SUMIF(SurtaxRatesSAS!$B$2:$B$324,$C228:$E228,SurtaxRatesSAS!$M$2:$M$324))</f>
        <v>#REF!</v>
      </c>
      <c r="Q228" s="39" t="e">
        <f>SUMPRODUCT(SUMIF(SurtaxRatesSAS!$B$2:$B$324,$C228:$E228,SurtaxRatesSAS!$N$2:$N$324))</f>
        <v>#REF!</v>
      </c>
      <c r="R228" s="38"/>
      <c r="S228" s="39" t="e">
        <f t="shared" si="9"/>
        <v>#REF!</v>
      </c>
      <c r="T228" s="39" t="e">
        <f t="shared" si="10"/>
        <v>#REF!</v>
      </c>
      <c r="U228" s="39" t="e">
        <f t="shared" si="11"/>
        <v>#REF!</v>
      </c>
      <c r="V228" s="29"/>
      <c r="W228" s="31" t="str">
        <f>IF(K228&gt;0,INDEX(cfo!$C$2:$I$326,MATCH(SurtaxPayment!C228,cfo!$C$2:$C$326,0),7),"")</f>
        <v>mcgriffs@oskycsd.org</v>
      </c>
      <c r="X228" s="31" t="str">
        <f>IF(IF(K228&gt;0,INDEX(cfo!$C$2:$K$326,MATCH(SurtaxPayment!C228,cfo!$C$2:$C$326,0),9),"")=0,"",IF(K228&gt;0,INDEX(cfo!$C$2:$K$326,MATCH(SurtaxPayment!C228,cfo!$C$2:$C$326,0),9),""))</f>
        <v/>
      </c>
    </row>
    <row r="229" spans="1:24" x14ac:dyDescent="0.25">
      <c r="A229" s="52">
        <v>2025</v>
      </c>
      <c r="B229" s="52" t="s">
        <v>662</v>
      </c>
      <c r="C229" s="57" t="s">
        <v>540</v>
      </c>
      <c r="D229" s="58" t="s">
        <v>693</v>
      </c>
      <c r="E229" s="58" t="s">
        <v>693</v>
      </c>
      <c r="F229" s="58" t="s">
        <v>540</v>
      </c>
      <c r="G229" s="57" t="s">
        <v>725</v>
      </c>
      <c r="H229" s="39">
        <f>SUMPRODUCT(SUMIF(SurtaxRatesSAS!$B$2:$B$324,$C229:$E229,SurtaxRatesSAS!$E$2:$E$324))</f>
        <v>0</v>
      </c>
      <c r="I229" s="39">
        <f>SUMPRODUCT(SUMIF(SurtaxRatesSAS!$B$2:$B$324,$C229:$E229,SurtaxRatesSAS!$D$2:$D$324))</f>
        <v>3</v>
      </c>
      <c r="J229" s="38"/>
      <c r="K229" s="39">
        <f>SUMPRODUCT(SUMIF(SurtaxRatesSAS!$B$2:$B$324,$C229:$E229,SurtaxRatesSAS!$G$2:$G$324))</f>
        <v>663825.78</v>
      </c>
      <c r="L229" s="39">
        <f>SUMPRODUCT(SUMIF(SurtaxRatesSAS!$B$2:$B$324,$C229:$E229,SurtaxRatesSAS!$H$2:$H$324))</f>
        <v>0</v>
      </c>
      <c r="M229" s="39">
        <f>SUMPRODUCT(SUMIF(SurtaxRatesSAS!$B$2:$B$324,$C229:$E229,SurtaxRatesSAS!$I$2:$I$324))</f>
        <v>663825.78</v>
      </c>
      <c r="N229" s="38"/>
      <c r="O229" s="39" t="e">
        <f>SUMPRODUCT(SUMIF(SurtaxRatesSAS!$B$2:$B$324,$C229:$E229,SurtaxRatesSAS!$L$2:$L$324))</f>
        <v>#REF!</v>
      </c>
      <c r="P229" s="39" t="e">
        <f>SUMPRODUCT(SUMIF(SurtaxRatesSAS!$B$2:$B$324,$C229:$E229,SurtaxRatesSAS!$M$2:$M$324))</f>
        <v>#REF!</v>
      </c>
      <c r="Q229" s="39" t="e">
        <f>SUMPRODUCT(SUMIF(SurtaxRatesSAS!$B$2:$B$324,$C229:$E229,SurtaxRatesSAS!$N$2:$N$324))</f>
        <v>#REF!</v>
      </c>
      <c r="R229" s="38"/>
      <c r="S229" s="39" t="e">
        <f t="shared" si="9"/>
        <v>#REF!</v>
      </c>
      <c r="T229" s="39" t="e">
        <f t="shared" si="10"/>
        <v>#REF!</v>
      </c>
      <c r="U229" s="39" t="e">
        <f t="shared" si="11"/>
        <v>#REF!</v>
      </c>
      <c r="V229" s="29"/>
      <c r="W229" s="31" t="str">
        <f>IF(K229&gt;0,INDEX(cfo!$C$2:$I$326,MATCH(SurtaxPayment!C229,cfo!$C$2:$C$326,0),7),"")</f>
        <v>john.berg@ottumwaschools.com</v>
      </c>
      <c r="X229" s="31" t="str">
        <f>IF(IF(K229&gt;0,INDEX(cfo!$C$2:$K$326,MATCH(SurtaxPayment!C229,cfo!$C$2:$C$326,0),9),"")=0,"",IF(K229&gt;0,INDEX(cfo!$C$2:$K$326,MATCH(SurtaxPayment!C229,cfo!$C$2:$C$326,0),9),""))</f>
        <v>ashley.gordon@ottumwaschools.com</v>
      </c>
    </row>
    <row r="230" spans="1:24" x14ac:dyDescent="0.25">
      <c r="A230" s="52">
        <v>2025</v>
      </c>
      <c r="B230" s="52" t="s">
        <v>657</v>
      </c>
      <c r="C230" s="57" t="s">
        <v>541</v>
      </c>
      <c r="D230" s="58" t="s">
        <v>693</v>
      </c>
      <c r="E230" s="58" t="s">
        <v>693</v>
      </c>
      <c r="F230" s="58" t="s">
        <v>541</v>
      </c>
      <c r="G230" s="57" t="s">
        <v>205</v>
      </c>
      <c r="H230" s="39">
        <f>SUMPRODUCT(SUMIF(SurtaxRatesSAS!$B$2:$B$324,$C230:$E230,SurtaxRatesSAS!$E$2:$E$324))</f>
        <v>0</v>
      </c>
      <c r="I230" s="39">
        <f>SUMPRODUCT(SUMIF(SurtaxRatesSAS!$B$2:$B$324,$C230:$E230,SurtaxRatesSAS!$D$2:$D$324))</f>
        <v>4</v>
      </c>
      <c r="J230" s="38"/>
      <c r="K230" s="39">
        <f>SUMPRODUCT(SUMIF(SurtaxRatesSAS!$B$2:$B$324,$C230:$E230,SurtaxRatesSAS!$G$2:$G$324))</f>
        <v>238018.23</v>
      </c>
      <c r="L230" s="39">
        <f>SUMPRODUCT(SUMIF(SurtaxRatesSAS!$B$2:$B$324,$C230:$E230,SurtaxRatesSAS!$H$2:$H$324))</f>
        <v>0</v>
      </c>
      <c r="M230" s="39">
        <f>SUMPRODUCT(SUMIF(SurtaxRatesSAS!$B$2:$B$324,$C230:$E230,SurtaxRatesSAS!$I$2:$I$324))</f>
        <v>238018.23</v>
      </c>
      <c r="N230" s="38"/>
      <c r="O230" s="39" t="e">
        <f>SUMPRODUCT(SUMIF(SurtaxRatesSAS!$B$2:$B$324,$C230:$E230,SurtaxRatesSAS!$L$2:$L$324))</f>
        <v>#REF!</v>
      </c>
      <c r="P230" s="39" t="e">
        <f>SUMPRODUCT(SUMIF(SurtaxRatesSAS!$B$2:$B$324,$C230:$E230,SurtaxRatesSAS!$M$2:$M$324))</f>
        <v>#REF!</v>
      </c>
      <c r="Q230" s="39" t="e">
        <f>SUMPRODUCT(SUMIF(SurtaxRatesSAS!$B$2:$B$324,$C230:$E230,SurtaxRatesSAS!$N$2:$N$324))</f>
        <v>#REF!</v>
      </c>
      <c r="R230" s="38"/>
      <c r="S230" s="39" t="e">
        <f t="shared" si="9"/>
        <v>#REF!</v>
      </c>
      <c r="T230" s="39" t="e">
        <f t="shared" si="10"/>
        <v>#REF!</v>
      </c>
      <c r="U230" s="39" t="e">
        <f t="shared" si="11"/>
        <v>#REF!</v>
      </c>
      <c r="V230" s="29"/>
      <c r="W230" s="31" t="str">
        <f>IF(K230&gt;0,INDEX(cfo!$C$2:$I$326,MATCH(SurtaxPayment!C230,cfo!$C$2:$C$326,0),7),"")</f>
        <v>symantha.crawford@panorama.k12.ia.us</v>
      </c>
      <c r="X230" s="31" t="str">
        <f>IF(IF(K230&gt;0,INDEX(cfo!$C$2:$K$326,MATCH(SurtaxPayment!C230,cfo!$C$2:$C$326,0),9),"")=0,"",IF(K230&gt;0,INDEX(cfo!$C$2:$K$326,MATCH(SurtaxPayment!C230,cfo!$C$2:$C$326,0),9),""))</f>
        <v/>
      </c>
    </row>
    <row r="231" spans="1:24" x14ac:dyDescent="0.25">
      <c r="A231" s="52">
        <v>2025</v>
      </c>
      <c r="B231" s="52" t="s">
        <v>661</v>
      </c>
      <c r="C231" s="57" t="s">
        <v>542</v>
      </c>
      <c r="D231" s="58" t="s">
        <v>693</v>
      </c>
      <c r="E231" s="58" t="s">
        <v>693</v>
      </c>
      <c r="F231" s="58" t="s">
        <v>542</v>
      </c>
      <c r="G231" s="57" t="s">
        <v>206</v>
      </c>
      <c r="H231" s="39">
        <f>SUMPRODUCT(SUMIF(SurtaxRatesSAS!$B$2:$B$324,$C231:$E231,SurtaxRatesSAS!$E$2:$E$324))</f>
        <v>0</v>
      </c>
      <c r="I231" s="39">
        <f>SUMPRODUCT(SUMIF(SurtaxRatesSAS!$B$2:$B$324,$C231:$E231,SurtaxRatesSAS!$D$2:$D$324))</f>
        <v>1</v>
      </c>
      <c r="J231" s="38"/>
      <c r="K231" s="39">
        <f>SUMPRODUCT(SUMIF(SurtaxRatesSAS!$B$2:$B$324,$C231:$E231,SurtaxRatesSAS!$G$2:$G$324))</f>
        <v>11614.85</v>
      </c>
      <c r="L231" s="39">
        <f>SUMPRODUCT(SUMIF(SurtaxRatesSAS!$B$2:$B$324,$C231:$E231,SurtaxRatesSAS!$H$2:$H$324))</f>
        <v>0</v>
      </c>
      <c r="M231" s="39">
        <f>SUMPRODUCT(SUMIF(SurtaxRatesSAS!$B$2:$B$324,$C231:$E231,SurtaxRatesSAS!$I$2:$I$324))</f>
        <v>11614.85</v>
      </c>
      <c r="N231" s="38"/>
      <c r="O231" s="39" t="e">
        <f>SUMPRODUCT(SUMIF(SurtaxRatesSAS!$B$2:$B$324,$C231:$E231,SurtaxRatesSAS!$L$2:$L$324))</f>
        <v>#REF!</v>
      </c>
      <c r="P231" s="39" t="e">
        <f>SUMPRODUCT(SUMIF(SurtaxRatesSAS!$B$2:$B$324,$C231:$E231,SurtaxRatesSAS!$M$2:$M$324))</f>
        <v>#REF!</v>
      </c>
      <c r="Q231" s="39" t="e">
        <f>SUMPRODUCT(SUMIF(SurtaxRatesSAS!$B$2:$B$324,$C231:$E231,SurtaxRatesSAS!$N$2:$N$324))</f>
        <v>#REF!</v>
      </c>
      <c r="R231" s="38"/>
      <c r="S231" s="39" t="e">
        <f t="shared" si="9"/>
        <v>#REF!</v>
      </c>
      <c r="T231" s="39" t="e">
        <f t="shared" si="10"/>
        <v>#REF!</v>
      </c>
      <c r="U231" s="39" t="e">
        <f t="shared" si="11"/>
        <v>#REF!</v>
      </c>
      <c r="V231" s="29"/>
      <c r="W231" s="31" t="str">
        <f>IF(K231&gt;0,INDEX(cfo!$C$2:$I$326,MATCH(SurtaxPayment!C231,cfo!$C$2:$C$326,0),7),"")</f>
        <v>lwillardson@paton-churdan.k12.ia.us</v>
      </c>
      <c r="X231" s="31" t="str">
        <f>IF(IF(K231&gt;0,INDEX(cfo!$C$2:$K$326,MATCH(SurtaxPayment!C231,cfo!$C$2:$C$326,0),9),"")=0,"",IF(K231&gt;0,INDEX(cfo!$C$2:$K$326,MATCH(SurtaxPayment!C231,cfo!$C$2:$C$326,0),9),""))</f>
        <v/>
      </c>
    </row>
    <row r="232" spans="1:24" x14ac:dyDescent="0.25">
      <c r="A232" s="52">
        <v>2025</v>
      </c>
      <c r="B232" s="52" t="s">
        <v>657</v>
      </c>
      <c r="C232" s="57" t="s">
        <v>551</v>
      </c>
      <c r="D232" s="58" t="s">
        <v>693</v>
      </c>
      <c r="E232" s="58" t="s">
        <v>693</v>
      </c>
      <c r="F232" s="58" t="s">
        <v>671</v>
      </c>
      <c r="G232" s="57" t="s">
        <v>6</v>
      </c>
      <c r="H232" s="39">
        <f>SUMPRODUCT(SUMIF(SurtaxRatesSAS!$B$2:$B$324,$C232:$E232,SurtaxRatesSAS!$E$2:$E$324))</f>
        <v>0</v>
      </c>
      <c r="I232" s="39">
        <f>SUMPRODUCT(SUMIF(SurtaxRatesSAS!$B$2:$B$324,$C232:$E232,SurtaxRatesSAS!$D$2:$D$324))</f>
        <v>5</v>
      </c>
      <c r="J232" s="38"/>
      <c r="K232" s="39">
        <f>SUMPRODUCT(SUMIF(SurtaxRatesSAS!$B$2:$B$324,$C232:$E232,SurtaxRatesSAS!$G$2:$G$324))</f>
        <v>379663.53</v>
      </c>
      <c r="L232" s="39">
        <f>SUMPRODUCT(SUMIF(SurtaxRatesSAS!$B$2:$B$324,$C232:$E232,SurtaxRatesSAS!$H$2:$H$324))</f>
        <v>0</v>
      </c>
      <c r="M232" s="39">
        <f>SUMPRODUCT(SUMIF(SurtaxRatesSAS!$B$2:$B$324,$C232:$E232,SurtaxRatesSAS!$I$2:$I$324))</f>
        <v>379663.53</v>
      </c>
      <c r="N232" s="38"/>
      <c r="O232" s="39" t="e">
        <f>SUMPRODUCT(SUMIF(SurtaxRatesSAS!$B$2:$B$324,$C232:$E232,SurtaxRatesSAS!$L$2:$L$324))</f>
        <v>#REF!</v>
      </c>
      <c r="P232" s="39" t="e">
        <f>SUMPRODUCT(SUMIF(SurtaxRatesSAS!$B$2:$B$324,$C232:$E232,SurtaxRatesSAS!$M$2:$M$324))</f>
        <v>#REF!</v>
      </c>
      <c r="Q232" s="39" t="e">
        <f>SUMPRODUCT(SUMIF(SurtaxRatesSAS!$B$2:$B$324,$C232:$E232,SurtaxRatesSAS!$N$2:$N$324))</f>
        <v>#REF!</v>
      </c>
      <c r="R232" s="38"/>
      <c r="S232" s="39" t="e">
        <f t="shared" si="9"/>
        <v>#REF!</v>
      </c>
      <c r="T232" s="39" t="e">
        <f t="shared" si="10"/>
        <v>#REF!</v>
      </c>
      <c r="U232" s="39" t="e">
        <f t="shared" si="11"/>
        <v>#REF!</v>
      </c>
      <c r="V232" s="29"/>
      <c r="W232" s="31" t="str">
        <f>IF(K232&gt;0,INDEX(cfo!$C$2:$I$326,MATCH(SurtaxPayment!C232,cfo!$C$2:$C$326,0),7),"")</f>
        <v>sbo@pcmschools.org</v>
      </c>
      <c r="X232" s="31" t="str">
        <f>IF(IF(K232&gt;0,INDEX(cfo!$C$2:$K$326,MATCH(SurtaxPayment!C232,cfo!$C$2:$C$326,0),9),"")=0,"",IF(K232&gt;0,INDEX(cfo!$C$2:$K$326,MATCH(SurtaxPayment!C232,cfo!$C$2:$C$326,0),9),""))</f>
        <v/>
      </c>
    </row>
    <row r="233" spans="1:24" x14ac:dyDescent="0.25">
      <c r="A233" s="52">
        <v>2025</v>
      </c>
      <c r="B233" s="52" t="s">
        <v>662</v>
      </c>
      <c r="C233" s="57" t="s">
        <v>544</v>
      </c>
      <c r="D233" s="58" t="s">
        <v>693</v>
      </c>
      <c r="E233" s="58" t="s">
        <v>693</v>
      </c>
      <c r="F233" s="58" t="s">
        <v>544</v>
      </c>
      <c r="G233" s="57" t="s">
        <v>207</v>
      </c>
      <c r="H233" s="39">
        <f>SUMPRODUCT(SUMIF(SurtaxRatesSAS!$B$2:$B$324,$C233:$E233,SurtaxRatesSAS!$E$2:$E$324))</f>
        <v>3</v>
      </c>
      <c r="I233" s="39">
        <f>SUMPRODUCT(SUMIF(SurtaxRatesSAS!$B$2:$B$324,$C233:$E233,SurtaxRatesSAS!$D$2:$D$324))</f>
        <v>4</v>
      </c>
      <c r="J233" s="38"/>
      <c r="K233" s="39">
        <f>SUMPRODUCT(SUMIF(SurtaxRatesSAS!$B$2:$B$324,$C233:$E233,SurtaxRatesSAS!$G$2:$G$324))</f>
        <v>222080.76</v>
      </c>
      <c r="L233" s="39">
        <f>SUMPRODUCT(SUMIF(SurtaxRatesSAS!$B$2:$B$324,$C233:$E233,SurtaxRatesSAS!$H$2:$H$324))</f>
        <v>95177.47</v>
      </c>
      <c r="M233" s="39">
        <f>SUMPRODUCT(SUMIF(SurtaxRatesSAS!$B$2:$B$324,$C233:$E233,SurtaxRatesSAS!$I$2:$I$324))</f>
        <v>126903.29000000001</v>
      </c>
      <c r="N233" s="38"/>
      <c r="O233" s="39" t="e">
        <f>SUMPRODUCT(SUMIF(SurtaxRatesSAS!$B$2:$B$324,$C233:$E233,SurtaxRatesSAS!$L$2:$L$324))</f>
        <v>#REF!</v>
      </c>
      <c r="P233" s="39" t="e">
        <f>SUMPRODUCT(SUMIF(SurtaxRatesSAS!$B$2:$B$324,$C233:$E233,SurtaxRatesSAS!$M$2:$M$324))</f>
        <v>#REF!</v>
      </c>
      <c r="Q233" s="39" t="e">
        <f>SUMPRODUCT(SUMIF(SurtaxRatesSAS!$B$2:$B$324,$C233:$E233,SurtaxRatesSAS!$N$2:$N$324))</f>
        <v>#REF!</v>
      </c>
      <c r="R233" s="38"/>
      <c r="S233" s="39" t="e">
        <f t="shared" si="9"/>
        <v>#REF!</v>
      </c>
      <c r="T233" s="39" t="e">
        <f t="shared" si="10"/>
        <v>#REF!</v>
      </c>
      <c r="U233" s="39" t="e">
        <f t="shared" si="11"/>
        <v>#REF!</v>
      </c>
      <c r="V233" s="29"/>
      <c r="W233" s="31" t="str">
        <f>IF(K233&gt;0,INDEX(cfo!$C$2:$I$326,MATCH(SurtaxPayment!C233,cfo!$C$2:$C$326,0),7),"")</f>
        <v>kaye.gilbert@pekincsd.org</v>
      </c>
      <c r="X233" s="31" t="str">
        <f>IF(IF(K233&gt;0,INDEX(cfo!$C$2:$K$326,MATCH(SurtaxPayment!C233,cfo!$C$2:$C$326,0),9),"")=0,"",IF(K233&gt;0,INDEX(cfo!$C$2:$K$326,MATCH(SurtaxPayment!C233,cfo!$C$2:$C$326,0),9),""))</f>
        <v/>
      </c>
    </row>
    <row r="234" spans="1:24" x14ac:dyDescent="0.25">
      <c r="A234" s="52">
        <v>2025</v>
      </c>
      <c r="B234" s="52" t="s">
        <v>657</v>
      </c>
      <c r="C234" s="57" t="s">
        <v>545</v>
      </c>
      <c r="D234" s="58" t="s">
        <v>693</v>
      </c>
      <c r="E234" s="58" t="s">
        <v>693</v>
      </c>
      <c r="F234" s="58" t="s">
        <v>545</v>
      </c>
      <c r="G234" s="57" t="s">
        <v>208</v>
      </c>
      <c r="H234" s="39">
        <f>SUMPRODUCT(SUMIF(SurtaxRatesSAS!$B$2:$B$324,$C234:$E234,SurtaxRatesSAS!$E$2:$E$324))</f>
        <v>0</v>
      </c>
      <c r="I234" s="39">
        <f>SUMPRODUCT(SUMIF(SurtaxRatesSAS!$B$2:$B$324,$C234:$E234,SurtaxRatesSAS!$D$2:$D$324))</f>
        <v>4</v>
      </c>
      <c r="J234" s="38"/>
      <c r="K234" s="39">
        <f>SUMPRODUCT(SUMIF(SurtaxRatesSAS!$B$2:$B$324,$C234:$E234,SurtaxRatesSAS!$G$2:$G$324))</f>
        <v>1083614.8999999999</v>
      </c>
      <c r="L234" s="39">
        <f>SUMPRODUCT(SUMIF(SurtaxRatesSAS!$B$2:$B$324,$C234:$E234,SurtaxRatesSAS!$H$2:$H$324))</f>
        <v>0</v>
      </c>
      <c r="M234" s="39">
        <f>SUMPRODUCT(SUMIF(SurtaxRatesSAS!$B$2:$B$324,$C234:$E234,SurtaxRatesSAS!$I$2:$I$324))</f>
        <v>1083614.8999999999</v>
      </c>
      <c r="N234" s="38"/>
      <c r="O234" s="39" t="e">
        <f>SUMPRODUCT(SUMIF(SurtaxRatesSAS!$B$2:$B$324,$C234:$E234,SurtaxRatesSAS!$L$2:$L$324))</f>
        <v>#REF!</v>
      </c>
      <c r="P234" s="39" t="e">
        <f>SUMPRODUCT(SUMIF(SurtaxRatesSAS!$B$2:$B$324,$C234:$E234,SurtaxRatesSAS!$M$2:$M$324))</f>
        <v>#REF!</v>
      </c>
      <c r="Q234" s="39" t="e">
        <f>SUMPRODUCT(SUMIF(SurtaxRatesSAS!$B$2:$B$324,$C234:$E234,SurtaxRatesSAS!$N$2:$N$324))</f>
        <v>#REF!</v>
      </c>
      <c r="R234" s="38"/>
      <c r="S234" s="39" t="e">
        <f t="shared" si="9"/>
        <v>#REF!</v>
      </c>
      <c r="T234" s="39" t="e">
        <f t="shared" si="10"/>
        <v>#REF!</v>
      </c>
      <c r="U234" s="39" t="e">
        <f t="shared" si="11"/>
        <v>#REF!</v>
      </c>
      <c r="V234" s="29"/>
      <c r="W234" s="31" t="str">
        <f>IF(K234&gt;0,INDEX(cfo!$C$2:$I$326,MATCH(SurtaxPayment!C234,cfo!$C$2:$C$326,0),7),"")</f>
        <v>katelyn.bierl@pellaschools.org</v>
      </c>
      <c r="X234" s="31" t="str">
        <f>IF(IF(K234&gt;0,INDEX(cfo!$C$2:$K$326,MATCH(SurtaxPayment!C234,cfo!$C$2:$C$326,0),9),"")=0,"",IF(K234&gt;0,INDEX(cfo!$C$2:$K$326,MATCH(SurtaxPayment!C234,cfo!$C$2:$C$326,0),9),""))</f>
        <v/>
      </c>
    </row>
    <row r="235" spans="1:24" x14ac:dyDescent="0.25">
      <c r="A235" s="52">
        <v>2025</v>
      </c>
      <c r="B235" s="52" t="s">
        <v>657</v>
      </c>
      <c r="C235" s="57" t="s">
        <v>546</v>
      </c>
      <c r="D235" s="58" t="s">
        <v>693</v>
      </c>
      <c r="E235" s="58" t="s">
        <v>693</v>
      </c>
      <c r="F235" s="58" t="s">
        <v>546</v>
      </c>
      <c r="G235" s="57" t="s">
        <v>209</v>
      </c>
      <c r="H235" s="39">
        <f>SUMPRODUCT(SUMIF(SurtaxRatesSAS!$B$2:$B$324,$C235:$E235,SurtaxRatesSAS!$E$2:$E$324))</f>
        <v>3</v>
      </c>
      <c r="I235" s="39">
        <f>SUMPRODUCT(SUMIF(SurtaxRatesSAS!$B$2:$B$324,$C235:$E235,SurtaxRatesSAS!$D$2:$D$324))</f>
        <v>0</v>
      </c>
      <c r="J235" s="38"/>
      <c r="K235" s="39">
        <f>SUMPRODUCT(SUMIF(SurtaxRatesSAS!$B$2:$B$324,$C235:$E235,SurtaxRatesSAS!$G$2:$G$324))</f>
        <v>232062.78</v>
      </c>
      <c r="L235" s="39">
        <f>SUMPRODUCT(SUMIF(SurtaxRatesSAS!$B$2:$B$324,$C235:$E235,SurtaxRatesSAS!$H$2:$H$324))</f>
        <v>232062.78</v>
      </c>
      <c r="M235" s="39">
        <f>SUMPRODUCT(SUMIF(SurtaxRatesSAS!$B$2:$B$324,$C235:$E235,SurtaxRatesSAS!$I$2:$I$324))</f>
        <v>0</v>
      </c>
      <c r="N235" s="38"/>
      <c r="O235" s="39" t="e">
        <f>SUMPRODUCT(SUMIF(SurtaxRatesSAS!$B$2:$B$324,$C235:$E235,SurtaxRatesSAS!$L$2:$L$324))</f>
        <v>#REF!</v>
      </c>
      <c r="P235" s="39" t="e">
        <f>SUMPRODUCT(SUMIF(SurtaxRatesSAS!$B$2:$B$324,$C235:$E235,SurtaxRatesSAS!$M$2:$M$324))</f>
        <v>#REF!</v>
      </c>
      <c r="Q235" s="39" t="e">
        <f>SUMPRODUCT(SUMIF(SurtaxRatesSAS!$B$2:$B$324,$C235:$E235,SurtaxRatesSAS!$N$2:$N$324))</f>
        <v>#REF!</v>
      </c>
      <c r="R235" s="38"/>
      <c r="S235" s="39" t="e">
        <f t="shared" si="9"/>
        <v>#REF!</v>
      </c>
      <c r="T235" s="39" t="e">
        <f t="shared" si="10"/>
        <v>#REF!</v>
      </c>
      <c r="U235" s="39" t="e">
        <f t="shared" si="11"/>
        <v>#REF!</v>
      </c>
      <c r="V235" s="29"/>
      <c r="W235" s="31" t="str">
        <f>IF(K235&gt;0,INDEX(cfo!$C$2:$I$326,MATCH(SurtaxPayment!C235,cfo!$C$2:$C$326,0),7),"")</f>
        <v>kent.bultman@g.perry.k12.ia.us</v>
      </c>
      <c r="X235" s="31" t="str">
        <f>IF(IF(K235&gt;0,INDEX(cfo!$C$2:$K$326,MATCH(SurtaxPayment!C235,cfo!$C$2:$C$326,0),9),"")=0,"",IF(K235&gt;0,INDEX(cfo!$C$2:$K$326,MATCH(SurtaxPayment!C235,cfo!$C$2:$C$326,0),9),""))</f>
        <v/>
      </c>
    </row>
    <row r="236" spans="1:24" x14ac:dyDescent="0.25">
      <c r="A236" s="52">
        <v>2025</v>
      </c>
      <c r="B236" s="52" t="s">
        <v>666</v>
      </c>
      <c r="C236" s="57" t="s">
        <v>547</v>
      </c>
      <c r="D236" s="58" t="s">
        <v>693</v>
      </c>
      <c r="E236" s="58" t="s">
        <v>693</v>
      </c>
      <c r="F236" s="58" t="s">
        <v>547</v>
      </c>
      <c r="G236" s="57" t="s">
        <v>726</v>
      </c>
      <c r="H236" s="39">
        <f>SUMPRODUCT(SUMIF(SurtaxRatesSAS!$B$2:$B$324,$C236:$E236,SurtaxRatesSAS!$E$2:$E$324))</f>
        <v>0</v>
      </c>
      <c r="I236" s="39">
        <f>SUMPRODUCT(SUMIF(SurtaxRatesSAS!$B$2:$B$324,$C236:$E236,SurtaxRatesSAS!$D$2:$D$324))</f>
        <v>0</v>
      </c>
      <c r="J236" s="38"/>
      <c r="K236" s="39">
        <f>SUMPRODUCT(SUMIF(SurtaxRatesSAS!$B$2:$B$324,$C236:$E236,SurtaxRatesSAS!$G$2:$G$324))</f>
        <v>0</v>
      </c>
      <c r="L236" s="39">
        <f>SUMPRODUCT(SUMIF(SurtaxRatesSAS!$B$2:$B$324,$C236:$E236,SurtaxRatesSAS!$H$2:$H$324))</f>
        <v>0</v>
      </c>
      <c r="M236" s="39">
        <f>SUMPRODUCT(SUMIF(SurtaxRatesSAS!$B$2:$B$324,$C236:$E236,SurtaxRatesSAS!$I$2:$I$324))</f>
        <v>0</v>
      </c>
      <c r="N236" s="38"/>
      <c r="O236" s="39">
        <f>SUMPRODUCT(SUMIF(SurtaxRatesSAS!$B$2:$B$324,$C236:$E236,SurtaxRatesSAS!$L$2:$L$324))</f>
        <v>0</v>
      </c>
      <c r="P236" s="39">
        <f>SUMPRODUCT(SUMIF(SurtaxRatesSAS!$B$2:$B$324,$C236:$E236,SurtaxRatesSAS!$M$2:$M$324))</f>
        <v>0</v>
      </c>
      <c r="Q236" s="39">
        <f>SUMPRODUCT(SUMIF(SurtaxRatesSAS!$B$2:$B$324,$C236:$E236,SurtaxRatesSAS!$N$2:$N$324))</f>
        <v>0</v>
      </c>
      <c r="R236" s="38"/>
      <c r="S236" s="39">
        <f t="shared" si="9"/>
        <v>0</v>
      </c>
      <c r="T236" s="39">
        <f t="shared" si="10"/>
        <v>0</v>
      </c>
      <c r="U236" s="39">
        <f t="shared" si="11"/>
        <v>0</v>
      </c>
      <c r="V236" s="29"/>
      <c r="W236" s="31" t="str">
        <f>IF(K236&gt;0,INDEX(cfo!$C$2:$I$326,MATCH(SurtaxPayment!C236,cfo!$C$2:$C$326,0),7),"")</f>
        <v/>
      </c>
      <c r="X236" s="31" t="str">
        <f>IF(IF(K236&gt;0,INDEX(cfo!$C$2:$K$326,MATCH(SurtaxPayment!C236,cfo!$C$2:$C$326,0),9),"")=0,"",IF(K236&gt;0,INDEX(cfo!$C$2:$K$326,MATCH(SurtaxPayment!C236,cfo!$C$2:$C$326,0),9),""))</f>
        <v/>
      </c>
    </row>
    <row r="237" spans="1:24" x14ac:dyDescent="0.25">
      <c r="A237" s="52">
        <v>2025</v>
      </c>
      <c r="B237" s="52" t="s">
        <v>657</v>
      </c>
      <c r="C237" s="57" t="s">
        <v>548</v>
      </c>
      <c r="D237" s="58" t="s">
        <v>693</v>
      </c>
      <c r="E237" s="58" t="s">
        <v>693</v>
      </c>
      <c r="F237" s="58" t="s">
        <v>548</v>
      </c>
      <c r="G237" s="57" t="s">
        <v>210</v>
      </c>
      <c r="H237" s="39">
        <f>SUMPRODUCT(SUMIF(SurtaxRatesSAS!$B$2:$B$324,$C237:$E237,SurtaxRatesSAS!$E$2:$E$324))</f>
        <v>0</v>
      </c>
      <c r="I237" s="39">
        <f>SUMPRODUCT(SUMIF(SurtaxRatesSAS!$B$2:$B$324,$C237:$E237,SurtaxRatesSAS!$D$2:$D$324))</f>
        <v>8</v>
      </c>
      <c r="J237" s="38"/>
      <c r="K237" s="39">
        <f>SUMPRODUCT(SUMIF(SurtaxRatesSAS!$B$2:$B$324,$C237:$E237,SurtaxRatesSAS!$G$2:$G$324))</f>
        <v>330737.03999999998</v>
      </c>
      <c r="L237" s="39">
        <f>SUMPRODUCT(SUMIF(SurtaxRatesSAS!$B$2:$B$324,$C237:$E237,SurtaxRatesSAS!$H$2:$H$324))</f>
        <v>0</v>
      </c>
      <c r="M237" s="39">
        <f>SUMPRODUCT(SUMIF(SurtaxRatesSAS!$B$2:$B$324,$C237:$E237,SurtaxRatesSAS!$I$2:$I$324))</f>
        <v>330737.03999999998</v>
      </c>
      <c r="N237" s="38"/>
      <c r="O237" s="39" t="e">
        <f>SUMPRODUCT(SUMIF(SurtaxRatesSAS!$B$2:$B$324,$C237:$E237,SurtaxRatesSAS!$L$2:$L$324))</f>
        <v>#REF!</v>
      </c>
      <c r="P237" s="39" t="e">
        <f>SUMPRODUCT(SUMIF(SurtaxRatesSAS!$B$2:$B$324,$C237:$E237,SurtaxRatesSAS!$M$2:$M$324))</f>
        <v>#REF!</v>
      </c>
      <c r="Q237" s="39" t="e">
        <f>SUMPRODUCT(SUMIF(SurtaxRatesSAS!$B$2:$B$324,$C237:$E237,SurtaxRatesSAS!$N$2:$N$324))</f>
        <v>#REF!</v>
      </c>
      <c r="R237" s="38"/>
      <c r="S237" s="39" t="e">
        <f t="shared" si="9"/>
        <v>#REF!</v>
      </c>
      <c r="T237" s="39" t="e">
        <f t="shared" si="10"/>
        <v>#REF!</v>
      </c>
      <c r="U237" s="39" t="e">
        <f t="shared" si="11"/>
        <v>#REF!</v>
      </c>
      <c r="V237" s="29"/>
      <c r="W237" s="31" t="str">
        <f>IF(K237&gt;0,INDEX(cfo!$C$2:$I$326,MATCH(SurtaxPayment!C237,cfo!$C$2:$C$326,0),7),"")</f>
        <v>rfriday@pvillecsd.org</v>
      </c>
      <c r="X237" s="31" t="str">
        <f>IF(IF(K237&gt;0,INDEX(cfo!$C$2:$K$326,MATCH(SurtaxPayment!C237,cfo!$C$2:$C$326,0),9),"")=0,"",IF(K237&gt;0,INDEX(cfo!$C$2:$K$326,MATCH(SurtaxPayment!C237,cfo!$C$2:$C$326,0),9),""))</f>
        <v/>
      </c>
    </row>
    <row r="238" spans="1:24" x14ac:dyDescent="0.25">
      <c r="A238" s="52">
        <v>2025</v>
      </c>
      <c r="B238" s="52" t="s">
        <v>661</v>
      </c>
      <c r="C238" s="57" t="s">
        <v>549</v>
      </c>
      <c r="D238" s="58" t="s">
        <v>693</v>
      </c>
      <c r="E238" s="58" t="s">
        <v>693</v>
      </c>
      <c r="F238" s="58" t="s">
        <v>549</v>
      </c>
      <c r="G238" s="57" t="s">
        <v>211</v>
      </c>
      <c r="H238" s="39">
        <f>SUMPRODUCT(SUMIF(SurtaxRatesSAS!$B$2:$B$324,$C238:$E238,SurtaxRatesSAS!$E$2:$E$324))</f>
        <v>0</v>
      </c>
      <c r="I238" s="39">
        <f>SUMPRODUCT(SUMIF(SurtaxRatesSAS!$B$2:$B$324,$C238:$E238,SurtaxRatesSAS!$D$2:$D$324))</f>
        <v>9</v>
      </c>
      <c r="J238" s="38"/>
      <c r="K238" s="39">
        <f>SUMPRODUCT(SUMIF(SurtaxRatesSAS!$B$2:$B$324,$C238:$E238,SurtaxRatesSAS!$G$2:$G$324))</f>
        <v>399534.92</v>
      </c>
      <c r="L238" s="39">
        <f>SUMPRODUCT(SUMIF(SurtaxRatesSAS!$B$2:$B$324,$C238:$E238,SurtaxRatesSAS!$H$2:$H$324))</f>
        <v>0</v>
      </c>
      <c r="M238" s="39">
        <f>SUMPRODUCT(SUMIF(SurtaxRatesSAS!$B$2:$B$324,$C238:$E238,SurtaxRatesSAS!$I$2:$I$324))</f>
        <v>399534.92</v>
      </c>
      <c r="N238" s="38"/>
      <c r="O238" s="39" t="e">
        <f>SUMPRODUCT(SUMIF(SurtaxRatesSAS!$B$2:$B$324,$C238:$E238,SurtaxRatesSAS!$L$2:$L$324))</f>
        <v>#REF!</v>
      </c>
      <c r="P238" s="39" t="e">
        <f>SUMPRODUCT(SUMIF(SurtaxRatesSAS!$B$2:$B$324,$C238:$E238,SurtaxRatesSAS!$M$2:$M$324))</f>
        <v>#REF!</v>
      </c>
      <c r="Q238" s="39" t="e">
        <f>SUMPRODUCT(SUMIF(SurtaxRatesSAS!$B$2:$B$324,$C238:$E238,SurtaxRatesSAS!$N$2:$N$324))</f>
        <v>#REF!</v>
      </c>
      <c r="R238" s="38"/>
      <c r="S238" s="39" t="e">
        <f t="shared" si="9"/>
        <v>#REF!</v>
      </c>
      <c r="T238" s="39" t="e">
        <f t="shared" si="10"/>
        <v>#REF!</v>
      </c>
      <c r="U238" s="39" t="e">
        <f t="shared" si="11"/>
        <v>#REF!</v>
      </c>
      <c r="V238" s="29"/>
      <c r="W238" s="31" t="str">
        <f>IF(K238&gt;0,INDEX(cfo!$C$2:$I$326,MATCH(SurtaxPayment!C238,cfo!$C$2:$C$326,0),7),"")</f>
        <v>khalder@pacsd.org</v>
      </c>
      <c r="X238" s="31" t="str">
        <f>IF(IF(K238&gt;0,INDEX(cfo!$C$2:$K$326,MATCH(SurtaxPayment!C238,cfo!$C$2:$C$326,0),9),"")=0,"",IF(K238&gt;0,INDEX(cfo!$C$2:$K$326,MATCH(SurtaxPayment!C238,cfo!$C$2:$C$326,0),9),""))</f>
        <v/>
      </c>
    </row>
    <row r="239" spans="1:24" x14ac:dyDescent="0.25">
      <c r="A239" s="52">
        <v>2025</v>
      </c>
      <c r="B239" s="52" t="s">
        <v>665</v>
      </c>
      <c r="C239" s="57" t="s">
        <v>550</v>
      </c>
      <c r="D239" s="58" t="s">
        <v>693</v>
      </c>
      <c r="E239" s="58" t="s">
        <v>693</v>
      </c>
      <c r="F239" s="58" t="s">
        <v>550</v>
      </c>
      <c r="G239" s="57" t="s">
        <v>212</v>
      </c>
      <c r="H239" s="39">
        <f>SUMPRODUCT(SUMIF(SurtaxRatesSAS!$B$2:$B$324,$C239:$E239,SurtaxRatesSAS!$E$2:$E$324))</f>
        <v>2</v>
      </c>
      <c r="I239" s="39">
        <f>SUMPRODUCT(SUMIF(SurtaxRatesSAS!$B$2:$B$324,$C239:$E239,SurtaxRatesSAS!$D$2:$D$324))</f>
        <v>13</v>
      </c>
      <c r="J239" s="38"/>
      <c r="K239" s="39">
        <f>SUMPRODUCT(SUMIF(SurtaxRatesSAS!$B$2:$B$324,$C239:$E239,SurtaxRatesSAS!$G$2:$G$324))</f>
        <v>309053.01</v>
      </c>
      <c r="L239" s="39">
        <f>SUMPRODUCT(SUMIF(SurtaxRatesSAS!$B$2:$B$324,$C239:$E239,SurtaxRatesSAS!$H$2:$H$324))</f>
        <v>41207.07</v>
      </c>
      <c r="M239" s="39">
        <f>SUMPRODUCT(SUMIF(SurtaxRatesSAS!$B$2:$B$324,$C239:$E239,SurtaxRatesSAS!$I$2:$I$324))</f>
        <v>267845.94</v>
      </c>
      <c r="N239" s="38"/>
      <c r="O239" s="39" t="e">
        <f>SUMPRODUCT(SUMIF(SurtaxRatesSAS!$B$2:$B$324,$C239:$E239,SurtaxRatesSAS!$L$2:$L$324))</f>
        <v>#REF!</v>
      </c>
      <c r="P239" s="39" t="e">
        <f>SUMPRODUCT(SUMIF(SurtaxRatesSAS!$B$2:$B$324,$C239:$E239,SurtaxRatesSAS!$M$2:$M$324))</f>
        <v>#REF!</v>
      </c>
      <c r="Q239" s="39" t="e">
        <f>SUMPRODUCT(SUMIF(SurtaxRatesSAS!$B$2:$B$324,$C239:$E239,SurtaxRatesSAS!$N$2:$N$324))</f>
        <v>#REF!</v>
      </c>
      <c r="R239" s="38"/>
      <c r="S239" s="39" t="e">
        <f t="shared" si="9"/>
        <v>#REF!</v>
      </c>
      <c r="T239" s="39" t="e">
        <f t="shared" si="10"/>
        <v>#REF!</v>
      </c>
      <c r="U239" s="39" t="e">
        <f t="shared" si="11"/>
        <v>#REF!</v>
      </c>
      <c r="V239" s="29"/>
      <c r="W239" s="31" t="str">
        <f>IF(K239&gt;0,INDEX(cfo!$C$2:$I$326,MATCH(SurtaxPayment!C239,cfo!$C$2:$C$326,0),7),"")</f>
        <v>mfettkether@postville.k12.ia.us</v>
      </c>
      <c r="X239" s="31" t="str">
        <f>IF(IF(K239&gt;0,INDEX(cfo!$C$2:$K$326,MATCH(SurtaxPayment!C239,cfo!$C$2:$C$326,0),9),"")=0,"",IF(K239&gt;0,INDEX(cfo!$C$2:$K$326,MATCH(SurtaxPayment!C239,cfo!$C$2:$C$326,0),9),""))</f>
        <v/>
      </c>
    </row>
    <row r="240" spans="1:24" x14ac:dyDescent="0.25">
      <c r="A240" s="52">
        <v>2025</v>
      </c>
      <c r="B240" s="52" t="s">
        <v>659</v>
      </c>
      <c r="C240" s="57" t="s">
        <v>553</v>
      </c>
      <c r="D240" s="58" t="s">
        <v>693</v>
      </c>
      <c r="E240" s="58" t="s">
        <v>693</v>
      </c>
      <c r="F240" s="58" t="s">
        <v>553</v>
      </c>
      <c r="G240" s="57" t="s">
        <v>214</v>
      </c>
      <c r="H240" s="39">
        <f>SUMPRODUCT(SUMIF(SurtaxRatesSAS!$B$2:$B$324,$C240:$E240,SurtaxRatesSAS!$E$2:$E$324))</f>
        <v>1</v>
      </c>
      <c r="I240" s="39">
        <f>SUMPRODUCT(SUMIF(SurtaxRatesSAS!$B$2:$B$324,$C240:$E240,SurtaxRatesSAS!$D$2:$D$324))</f>
        <v>5</v>
      </c>
      <c r="J240" s="38"/>
      <c r="K240" s="39">
        <f>SUMPRODUCT(SUMIF(SurtaxRatesSAS!$B$2:$B$324,$C240:$E240,SurtaxRatesSAS!$G$2:$G$324))</f>
        <v>359672.08</v>
      </c>
      <c r="L240" s="39">
        <f>SUMPRODUCT(SUMIF(SurtaxRatesSAS!$B$2:$B$324,$C240:$E240,SurtaxRatesSAS!$H$2:$H$324))</f>
        <v>59945.35</v>
      </c>
      <c r="M240" s="39">
        <f>SUMPRODUCT(SUMIF(SurtaxRatesSAS!$B$2:$B$324,$C240:$E240,SurtaxRatesSAS!$I$2:$I$324))</f>
        <v>299726.73000000004</v>
      </c>
      <c r="N240" s="38"/>
      <c r="O240" s="39" t="e">
        <f>SUMPRODUCT(SUMIF(SurtaxRatesSAS!$B$2:$B$324,$C240:$E240,SurtaxRatesSAS!$L$2:$L$324))</f>
        <v>#REF!</v>
      </c>
      <c r="P240" s="39" t="e">
        <f>SUMPRODUCT(SUMIF(SurtaxRatesSAS!$B$2:$B$324,$C240:$E240,SurtaxRatesSAS!$M$2:$M$324))</f>
        <v>#REF!</v>
      </c>
      <c r="Q240" s="39" t="e">
        <f>SUMPRODUCT(SUMIF(SurtaxRatesSAS!$B$2:$B$324,$C240:$E240,SurtaxRatesSAS!$N$2:$N$324))</f>
        <v>#REF!</v>
      </c>
      <c r="R240" s="38"/>
      <c r="S240" s="39" t="e">
        <f t="shared" si="9"/>
        <v>#REF!</v>
      </c>
      <c r="T240" s="39" t="e">
        <f t="shared" si="10"/>
        <v>#REF!</v>
      </c>
      <c r="U240" s="39" t="e">
        <f t="shared" si="11"/>
        <v>#REF!</v>
      </c>
      <c r="V240" s="29"/>
      <c r="W240" s="31" t="str">
        <f>IF(K240&gt;0,INDEX(cfo!$C$2:$I$326,MATCH(SurtaxPayment!C240,cfo!$C$2:$C$326,0),7),"")</f>
        <v>harrish@redoakschools.org</v>
      </c>
      <c r="X240" s="31" t="str">
        <f>IF(IF(K240&gt;0,INDEX(cfo!$C$2:$K$326,MATCH(SurtaxPayment!C240,cfo!$C$2:$C$326,0),9),"")=0,"",IF(K240&gt;0,INDEX(cfo!$C$2:$K$326,MATCH(SurtaxPayment!C240,cfo!$C$2:$C$326,0),9),""))</f>
        <v/>
      </c>
    </row>
    <row r="241" spans="1:24" x14ac:dyDescent="0.25">
      <c r="A241" s="52">
        <v>2025</v>
      </c>
      <c r="B241" s="52" t="s">
        <v>660</v>
      </c>
      <c r="C241" s="57" t="s">
        <v>554</v>
      </c>
      <c r="D241" s="58" t="s">
        <v>693</v>
      </c>
      <c r="E241" s="58" t="s">
        <v>693</v>
      </c>
      <c r="F241" s="58" t="s">
        <v>554</v>
      </c>
      <c r="G241" s="57" t="s">
        <v>215</v>
      </c>
      <c r="H241" s="39">
        <f>SUMPRODUCT(SUMIF(SurtaxRatesSAS!$B$2:$B$324,$C241:$E241,SurtaxRatesSAS!$E$2:$E$324))</f>
        <v>0</v>
      </c>
      <c r="I241" s="39">
        <f>SUMPRODUCT(SUMIF(SurtaxRatesSAS!$B$2:$B$324,$C241:$E241,SurtaxRatesSAS!$D$2:$D$324))</f>
        <v>1</v>
      </c>
      <c r="J241" s="38"/>
      <c r="K241" s="39">
        <f>SUMPRODUCT(SUMIF(SurtaxRatesSAS!$B$2:$B$324,$C241:$E241,SurtaxRatesSAS!$G$2:$G$324))</f>
        <v>33741.51</v>
      </c>
      <c r="L241" s="39">
        <f>SUMPRODUCT(SUMIF(SurtaxRatesSAS!$B$2:$B$324,$C241:$E241,SurtaxRatesSAS!$H$2:$H$324))</f>
        <v>0</v>
      </c>
      <c r="M241" s="39">
        <f>SUMPRODUCT(SUMIF(SurtaxRatesSAS!$B$2:$B$324,$C241:$E241,SurtaxRatesSAS!$I$2:$I$324))</f>
        <v>33741.51</v>
      </c>
      <c r="N241" s="38"/>
      <c r="O241" s="39" t="e">
        <f>SUMPRODUCT(SUMIF(SurtaxRatesSAS!$B$2:$B$324,$C241:$E241,SurtaxRatesSAS!$L$2:$L$324))</f>
        <v>#REF!</v>
      </c>
      <c r="P241" s="39" t="e">
        <f>SUMPRODUCT(SUMIF(SurtaxRatesSAS!$B$2:$B$324,$C241:$E241,SurtaxRatesSAS!$M$2:$M$324))</f>
        <v>#REF!</v>
      </c>
      <c r="Q241" s="39" t="e">
        <f>SUMPRODUCT(SUMIF(SurtaxRatesSAS!$B$2:$B$324,$C241:$E241,SurtaxRatesSAS!$N$2:$N$324))</f>
        <v>#REF!</v>
      </c>
      <c r="R241" s="38"/>
      <c r="S241" s="39" t="e">
        <f t="shared" si="9"/>
        <v>#REF!</v>
      </c>
      <c r="T241" s="39" t="e">
        <f t="shared" si="10"/>
        <v>#REF!</v>
      </c>
      <c r="U241" s="39" t="e">
        <f t="shared" si="11"/>
        <v>#REF!</v>
      </c>
      <c r="V241" s="29"/>
      <c r="W241" s="31" t="str">
        <f>IF(K241&gt;0,INDEX(cfo!$C$2:$I$326,MATCH(SurtaxPayment!C241,cfo!$C$2:$C$326,0),7),"")</f>
        <v>ginell.wetter@mmcruroyals.org</v>
      </c>
      <c r="X241" s="31" t="str">
        <f>IF(IF(K241&gt;0,INDEX(cfo!$C$2:$K$326,MATCH(SurtaxPayment!C241,cfo!$C$2:$C$326,0),9),"")=0,"",IF(K241&gt;0,INDEX(cfo!$C$2:$K$326,MATCH(SurtaxPayment!C241,cfo!$C$2:$C$326,0),9),""))</f>
        <v/>
      </c>
    </row>
    <row r="242" spans="1:24" x14ac:dyDescent="0.25">
      <c r="A242" s="52">
        <v>2025</v>
      </c>
      <c r="B242" s="52" t="s">
        <v>665</v>
      </c>
      <c r="C242" s="57" t="s">
        <v>555</v>
      </c>
      <c r="D242" s="58" t="s">
        <v>693</v>
      </c>
      <c r="E242" s="58" t="s">
        <v>693</v>
      </c>
      <c r="F242" s="58" t="s">
        <v>555</v>
      </c>
      <c r="G242" s="57" t="s">
        <v>216</v>
      </c>
      <c r="H242" s="39">
        <f>SUMPRODUCT(SUMIF(SurtaxRatesSAS!$B$2:$B$324,$C242:$E242,SurtaxRatesSAS!$E$2:$E$324))</f>
        <v>4</v>
      </c>
      <c r="I242" s="39">
        <f>SUMPRODUCT(SUMIF(SurtaxRatesSAS!$B$2:$B$324,$C242:$E242,SurtaxRatesSAS!$D$2:$D$324))</f>
        <v>5</v>
      </c>
      <c r="J242" s="38"/>
      <c r="K242" s="39">
        <f>SUMPRODUCT(SUMIF(SurtaxRatesSAS!$B$2:$B$324,$C242:$E242,SurtaxRatesSAS!$G$2:$G$324))</f>
        <v>195858.05</v>
      </c>
      <c r="L242" s="39">
        <f>SUMPRODUCT(SUMIF(SurtaxRatesSAS!$B$2:$B$324,$C242:$E242,SurtaxRatesSAS!$H$2:$H$324))</f>
        <v>87048.02</v>
      </c>
      <c r="M242" s="39">
        <f>SUMPRODUCT(SUMIF(SurtaxRatesSAS!$B$2:$B$324,$C242:$E242,SurtaxRatesSAS!$I$2:$I$324))</f>
        <v>108810.02999999998</v>
      </c>
      <c r="N242" s="38"/>
      <c r="O242" s="39" t="e">
        <f>SUMPRODUCT(SUMIF(SurtaxRatesSAS!$B$2:$B$324,$C242:$E242,SurtaxRatesSAS!$L$2:$L$324))</f>
        <v>#REF!</v>
      </c>
      <c r="P242" s="39" t="e">
        <f>SUMPRODUCT(SUMIF(SurtaxRatesSAS!$B$2:$B$324,$C242:$E242,SurtaxRatesSAS!$M$2:$M$324))</f>
        <v>#REF!</v>
      </c>
      <c r="Q242" s="39" t="e">
        <f>SUMPRODUCT(SUMIF(SurtaxRatesSAS!$B$2:$B$324,$C242:$E242,SurtaxRatesSAS!$N$2:$N$324))</f>
        <v>#REF!</v>
      </c>
      <c r="R242" s="38"/>
      <c r="S242" s="39" t="e">
        <f t="shared" si="9"/>
        <v>#REF!</v>
      </c>
      <c r="T242" s="39" t="e">
        <f t="shared" si="10"/>
        <v>#REF!</v>
      </c>
      <c r="U242" s="39" t="e">
        <f t="shared" si="11"/>
        <v>#REF!</v>
      </c>
      <c r="V242" s="29"/>
      <c r="W242" s="31" t="str">
        <f>IF(K242&gt;0,INDEX(cfo!$C$2:$I$326,MATCH(SurtaxPayment!C242,cfo!$C$2:$C$326,0),7),"")</f>
        <v>jdunn@riceville.k12.ia.us</v>
      </c>
      <c r="X242" s="31" t="str">
        <f>IF(IF(K242&gt;0,INDEX(cfo!$C$2:$K$326,MATCH(SurtaxPayment!C242,cfo!$C$2:$C$326,0),9),"")=0,"",IF(K242&gt;0,INDEX(cfo!$C$2:$K$326,MATCH(SurtaxPayment!C242,cfo!$C$2:$C$326,0),9),""))</f>
        <v/>
      </c>
    </row>
    <row r="243" spans="1:24" x14ac:dyDescent="0.25">
      <c r="A243" s="52">
        <v>2025</v>
      </c>
      <c r="B243" s="52" t="s">
        <v>660</v>
      </c>
      <c r="C243" s="57" t="s">
        <v>412</v>
      </c>
      <c r="D243" s="58" t="s">
        <v>693</v>
      </c>
      <c r="E243" s="58" t="s">
        <v>693</v>
      </c>
      <c r="F243" s="58" t="s">
        <v>412</v>
      </c>
      <c r="G243" s="57" t="s">
        <v>217</v>
      </c>
      <c r="H243" s="39">
        <f>SUMPRODUCT(SUMIF(SurtaxRatesSAS!$B$2:$B$324,$C243:$E243,SurtaxRatesSAS!$E$2:$E$324))</f>
        <v>1</v>
      </c>
      <c r="I243" s="39">
        <f>SUMPRODUCT(SUMIF(SurtaxRatesSAS!$B$2:$B$324,$C243:$E243,SurtaxRatesSAS!$D$2:$D$324))</f>
        <v>1</v>
      </c>
      <c r="J243" s="38"/>
      <c r="K243" s="39">
        <f>SUMPRODUCT(SUMIF(SurtaxRatesSAS!$B$2:$B$324,$C243:$E243,SurtaxRatesSAS!$G$2:$G$324))</f>
        <v>43149.21</v>
      </c>
      <c r="L243" s="39">
        <f>SUMPRODUCT(SUMIF(SurtaxRatesSAS!$B$2:$B$324,$C243:$E243,SurtaxRatesSAS!$H$2:$H$324))</f>
        <v>21574.61</v>
      </c>
      <c r="M243" s="39">
        <f>SUMPRODUCT(SUMIF(SurtaxRatesSAS!$B$2:$B$324,$C243:$E243,SurtaxRatesSAS!$I$2:$I$324))</f>
        <v>21574.6</v>
      </c>
      <c r="N243" s="38"/>
      <c r="O243" s="39" t="e">
        <f>SUMPRODUCT(SUMIF(SurtaxRatesSAS!$B$2:$B$324,$C243:$E243,SurtaxRatesSAS!$L$2:$L$324))</f>
        <v>#REF!</v>
      </c>
      <c r="P243" s="39" t="e">
        <f>SUMPRODUCT(SUMIF(SurtaxRatesSAS!$B$2:$B$324,$C243:$E243,SurtaxRatesSAS!$M$2:$M$324))</f>
        <v>#REF!</v>
      </c>
      <c r="Q243" s="39" t="e">
        <f>SUMPRODUCT(SUMIF(SurtaxRatesSAS!$B$2:$B$324,$C243:$E243,SurtaxRatesSAS!$N$2:$N$324))</f>
        <v>#REF!</v>
      </c>
      <c r="R243" s="38"/>
      <c r="S243" s="39" t="e">
        <f t="shared" si="9"/>
        <v>#REF!</v>
      </c>
      <c r="T243" s="39" t="e">
        <f t="shared" si="10"/>
        <v>#REF!</v>
      </c>
      <c r="U243" s="39" t="e">
        <f t="shared" si="11"/>
        <v>#REF!</v>
      </c>
      <c r="V243" s="29"/>
      <c r="W243" s="31" t="str">
        <f>IF(K243&gt;0,INDEX(cfo!$C$2:$I$326,MATCH(SurtaxPayment!C243,cfo!$C$2:$C$326,0),7),"")</f>
        <v>tevans@rvwolverines.org</v>
      </c>
      <c r="X243" s="31" t="str">
        <f>IF(IF(K243&gt;0,INDEX(cfo!$C$2:$K$326,MATCH(SurtaxPayment!C243,cfo!$C$2:$C$326,0),9),"")=0,"",IF(K243&gt;0,INDEX(cfo!$C$2:$K$326,MATCH(SurtaxPayment!C243,cfo!$C$2:$C$326,0),9),""))</f>
        <v/>
      </c>
    </row>
    <row r="244" spans="1:24" x14ac:dyDescent="0.25">
      <c r="A244" s="52">
        <v>2025</v>
      </c>
      <c r="B244" s="52" t="s">
        <v>659</v>
      </c>
      <c r="C244" s="57" t="s">
        <v>531</v>
      </c>
      <c r="D244" s="58" t="s">
        <v>693</v>
      </c>
      <c r="E244" s="58" t="s">
        <v>693</v>
      </c>
      <c r="F244" s="58" t="s">
        <v>673</v>
      </c>
      <c r="G244" s="57" t="s">
        <v>218</v>
      </c>
      <c r="H244" s="39">
        <f>SUMPRODUCT(SUMIF(SurtaxRatesSAS!$B$2:$B$324,$C244:$E244,SurtaxRatesSAS!$E$2:$E$324))</f>
        <v>0</v>
      </c>
      <c r="I244" s="39">
        <f>SUMPRODUCT(SUMIF(SurtaxRatesSAS!$B$2:$B$324,$C244:$E244,SurtaxRatesSAS!$D$2:$D$324))</f>
        <v>9</v>
      </c>
      <c r="J244" s="38"/>
      <c r="K244" s="39">
        <f>SUMPRODUCT(SUMIF(SurtaxRatesSAS!$B$2:$B$324,$C244:$E244,SurtaxRatesSAS!$G$2:$G$324))</f>
        <v>349166.96</v>
      </c>
      <c r="L244" s="39">
        <f>SUMPRODUCT(SUMIF(SurtaxRatesSAS!$B$2:$B$324,$C244:$E244,SurtaxRatesSAS!$H$2:$H$324))</f>
        <v>0</v>
      </c>
      <c r="M244" s="39">
        <f>SUMPRODUCT(SUMIF(SurtaxRatesSAS!$B$2:$B$324,$C244:$E244,SurtaxRatesSAS!$I$2:$I$324))</f>
        <v>349166.96</v>
      </c>
      <c r="N244" s="38"/>
      <c r="O244" s="39" t="e">
        <f>SUMPRODUCT(SUMIF(SurtaxRatesSAS!$B$2:$B$324,$C244:$E244,SurtaxRatesSAS!$L$2:$L$324))</f>
        <v>#REF!</v>
      </c>
      <c r="P244" s="39" t="e">
        <f>SUMPRODUCT(SUMIF(SurtaxRatesSAS!$B$2:$B$324,$C244:$E244,SurtaxRatesSAS!$M$2:$M$324))</f>
        <v>#REF!</v>
      </c>
      <c r="Q244" s="39" t="e">
        <f>SUMPRODUCT(SUMIF(SurtaxRatesSAS!$B$2:$B$324,$C244:$E244,SurtaxRatesSAS!$N$2:$N$324))</f>
        <v>#REF!</v>
      </c>
      <c r="R244" s="38"/>
      <c r="S244" s="39" t="e">
        <f t="shared" si="9"/>
        <v>#REF!</v>
      </c>
      <c r="T244" s="39" t="e">
        <f t="shared" si="10"/>
        <v>#REF!</v>
      </c>
      <c r="U244" s="39" t="e">
        <f t="shared" si="11"/>
        <v>#REF!</v>
      </c>
      <c r="V244" s="29"/>
      <c r="W244" s="31" t="str">
        <f>IF(K244&gt;0,INDEX(cfo!$C$2:$I$326,MATCH(SurtaxPayment!C244,cfo!$C$2:$C$326,0),7),"")</f>
        <v>danrold@riverside.k12.ia.us</v>
      </c>
      <c r="X244" s="31" t="str">
        <f>IF(IF(K244&gt;0,INDEX(cfo!$C$2:$K$326,MATCH(SurtaxPayment!C244,cfo!$C$2:$C$326,0),9),"")=0,"",IF(K244&gt;0,INDEX(cfo!$C$2:$K$326,MATCH(SurtaxPayment!C244,cfo!$C$2:$C$326,0),9),""))</f>
        <v/>
      </c>
    </row>
    <row r="245" spans="1:24" x14ac:dyDescent="0.25">
      <c r="A245" s="52">
        <v>2025</v>
      </c>
      <c r="B245" s="52" t="s">
        <v>660</v>
      </c>
      <c r="C245" s="57" t="s">
        <v>556</v>
      </c>
      <c r="D245" s="58" t="s">
        <v>693</v>
      </c>
      <c r="E245" s="58" t="s">
        <v>693</v>
      </c>
      <c r="F245" s="58" t="s">
        <v>556</v>
      </c>
      <c r="G245" s="57" t="s">
        <v>727</v>
      </c>
      <c r="H245" s="39">
        <f>SUMPRODUCT(SUMIF(SurtaxRatesSAS!$B$2:$B$324,$C245:$E245,SurtaxRatesSAS!$E$2:$E$324))</f>
        <v>0</v>
      </c>
      <c r="I245" s="39">
        <f>SUMPRODUCT(SUMIF(SurtaxRatesSAS!$B$2:$B$324,$C245:$E245,SurtaxRatesSAS!$D$2:$D$324))</f>
        <v>0</v>
      </c>
      <c r="J245" s="38"/>
      <c r="K245" s="39">
        <f>SUMPRODUCT(SUMIF(SurtaxRatesSAS!$B$2:$B$324,$C245:$E245,SurtaxRatesSAS!$G$2:$G$324))</f>
        <v>0</v>
      </c>
      <c r="L245" s="39">
        <f>SUMPRODUCT(SUMIF(SurtaxRatesSAS!$B$2:$B$324,$C245:$E245,SurtaxRatesSAS!$H$2:$H$324))</f>
        <v>0</v>
      </c>
      <c r="M245" s="39">
        <f>SUMPRODUCT(SUMIF(SurtaxRatesSAS!$B$2:$B$324,$C245:$E245,SurtaxRatesSAS!$I$2:$I$324))</f>
        <v>0</v>
      </c>
      <c r="N245" s="38"/>
      <c r="O245" s="39">
        <f>SUMPRODUCT(SUMIF(SurtaxRatesSAS!$B$2:$B$324,$C245:$E245,SurtaxRatesSAS!$L$2:$L$324))</f>
        <v>0</v>
      </c>
      <c r="P245" s="39">
        <f>SUMPRODUCT(SUMIF(SurtaxRatesSAS!$B$2:$B$324,$C245:$E245,SurtaxRatesSAS!$M$2:$M$324))</f>
        <v>0</v>
      </c>
      <c r="Q245" s="39">
        <f>SUMPRODUCT(SUMIF(SurtaxRatesSAS!$B$2:$B$324,$C245:$E245,SurtaxRatesSAS!$N$2:$N$324))</f>
        <v>0</v>
      </c>
      <c r="R245" s="38"/>
      <c r="S245" s="39">
        <f t="shared" si="9"/>
        <v>0</v>
      </c>
      <c r="T245" s="39">
        <f t="shared" si="10"/>
        <v>0</v>
      </c>
      <c r="U245" s="39">
        <f t="shared" si="11"/>
        <v>0</v>
      </c>
      <c r="V245" s="29"/>
      <c r="W245" s="31" t="str">
        <f>IF(K245&gt;0,INDEX(cfo!$C$2:$I$326,MATCH(SurtaxPayment!C245,cfo!$C$2:$C$326,0),7),"")</f>
        <v/>
      </c>
      <c r="X245" s="31" t="str">
        <f>IF(IF(K245&gt;0,INDEX(cfo!$C$2:$K$326,MATCH(SurtaxPayment!C245,cfo!$C$2:$C$326,0),9),"")=0,"",IF(K245&gt;0,INDEX(cfo!$C$2:$K$326,MATCH(SurtaxPayment!C245,cfo!$C$2:$C$326,0),9),""))</f>
        <v/>
      </c>
    </row>
    <row r="246" spans="1:24" x14ac:dyDescent="0.25">
      <c r="A246" s="52">
        <v>2025</v>
      </c>
      <c r="B246" s="52" t="s">
        <v>657</v>
      </c>
      <c r="C246" s="57" t="s">
        <v>557</v>
      </c>
      <c r="D246" s="58" t="s">
        <v>693</v>
      </c>
      <c r="E246" s="58" t="s">
        <v>693</v>
      </c>
      <c r="F246" s="58" t="s">
        <v>557</v>
      </c>
      <c r="G246" s="57" t="s">
        <v>219</v>
      </c>
      <c r="H246" s="39">
        <f>SUMPRODUCT(SUMIF(SurtaxRatesSAS!$B$2:$B$324,$C246:$E246,SurtaxRatesSAS!$E$2:$E$324))</f>
        <v>3</v>
      </c>
      <c r="I246" s="39">
        <f>SUMPRODUCT(SUMIF(SurtaxRatesSAS!$B$2:$B$324,$C246:$E246,SurtaxRatesSAS!$D$2:$D$324))</f>
        <v>6</v>
      </c>
      <c r="J246" s="38"/>
      <c r="K246" s="39">
        <f>SUMPRODUCT(SUMIF(SurtaxRatesSAS!$B$2:$B$324,$C246:$E246,SurtaxRatesSAS!$G$2:$G$324))</f>
        <v>725120.94</v>
      </c>
      <c r="L246" s="39">
        <f>SUMPRODUCT(SUMIF(SurtaxRatesSAS!$B$2:$B$324,$C246:$E246,SurtaxRatesSAS!$H$2:$H$324))</f>
        <v>241706.98</v>
      </c>
      <c r="M246" s="39">
        <f>SUMPRODUCT(SUMIF(SurtaxRatesSAS!$B$2:$B$324,$C246:$E246,SurtaxRatesSAS!$I$2:$I$324))</f>
        <v>483413.95999999996</v>
      </c>
      <c r="N246" s="38"/>
      <c r="O246" s="39" t="e">
        <f>SUMPRODUCT(SUMIF(SurtaxRatesSAS!$B$2:$B$324,$C246:$E246,SurtaxRatesSAS!$L$2:$L$324))</f>
        <v>#REF!</v>
      </c>
      <c r="P246" s="39" t="e">
        <f>SUMPRODUCT(SUMIF(SurtaxRatesSAS!$B$2:$B$324,$C246:$E246,SurtaxRatesSAS!$M$2:$M$324))</f>
        <v>#REF!</v>
      </c>
      <c r="Q246" s="39" t="e">
        <f>SUMPRODUCT(SUMIF(SurtaxRatesSAS!$B$2:$B$324,$C246:$E246,SurtaxRatesSAS!$N$2:$N$324))</f>
        <v>#REF!</v>
      </c>
      <c r="R246" s="38"/>
      <c r="S246" s="39" t="e">
        <f t="shared" si="9"/>
        <v>#REF!</v>
      </c>
      <c r="T246" s="39" t="e">
        <f t="shared" si="10"/>
        <v>#REF!</v>
      </c>
      <c r="U246" s="39" t="e">
        <f t="shared" si="11"/>
        <v>#REF!</v>
      </c>
      <c r="V246" s="29"/>
      <c r="W246" s="31" t="str">
        <f>IF(K246&gt;0,INDEX(cfo!$C$2:$I$326,MATCH(SurtaxPayment!C246,cfo!$C$2:$C$326,0),7),"")</f>
        <v>ahubert@roland-story.k12.ia.us</v>
      </c>
      <c r="X246" s="31" t="str">
        <f>IF(IF(K246&gt;0,INDEX(cfo!$C$2:$K$326,MATCH(SurtaxPayment!C246,cfo!$C$2:$C$326,0),9),"")=0,"",IF(K246&gt;0,INDEX(cfo!$C$2:$K$326,MATCH(SurtaxPayment!C246,cfo!$C$2:$C$326,0),9),""))</f>
        <v/>
      </c>
    </row>
    <row r="247" spans="1:24" x14ac:dyDescent="0.25">
      <c r="A247" s="52">
        <v>2025</v>
      </c>
      <c r="B247" s="52" t="s">
        <v>658</v>
      </c>
      <c r="C247" s="57" t="s">
        <v>558</v>
      </c>
      <c r="D247" s="58" t="s">
        <v>693</v>
      </c>
      <c r="E247" s="58" t="s">
        <v>693</v>
      </c>
      <c r="F247" s="58" t="s">
        <v>558</v>
      </c>
      <c r="G247" s="57" t="s">
        <v>220</v>
      </c>
      <c r="H247" s="39">
        <f>SUMPRODUCT(SUMIF(SurtaxRatesSAS!$B$2:$B$324,$C247:$E247,SurtaxRatesSAS!$E$2:$E$324))</f>
        <v>0</v>
      </c>
      <c r="I247" s="39">
        <f>SUMPRODUCT(SUMIF(SurtaxRatesSAS!$B$2:$B$324,$C247:$E247,SurtaxRatesSAS!$D$2:$D$324))</f>
        <v>3</v>
      </c>
      <c r="J247" s="38"/>
      <c r="K247" s="39">
        <f>SUMPRODUCT(SUMIF(SurtaxRatesSAS!$B$2:$B$324,$C247:$E247,SurtaxRatesSAS!$G$2:$G$324))</f>
        <v>87730.4</v>
      </c>
      <c r="L247" s="39">
        <f>SUMPRODUCT(SUMIF(SurtaxRatesSAS!$B$2:$B$324,$C247:$E247,SurtaxRatesSAS!$H$2:$H$324))</f>
        <v>0</v>
      </c>
      <c r="M247" s="39">
        <f>SUMPRODUCT(SUMIF(SurtaxRatesSAS!$B$2:$B$324,$C247:$E247,SurtaxRatesSAS!$I$2:$I$324))</f>
        <v>87730.4</v>
      </c>
      <c r="N247" s="38"/>
      <c r="O247" s="39" t="e">
        <f>SUMPRODUCT(SUMIF(SurtaxRatesSAS!$B$2:$B$324,$C247:$E247,SurtaxRatesSAS!$L$2:$L$324))</f>
        <v>#REF!</v>
      </c>
      <c r="P247" s="39" t="e">
        <f>SUMPRODUCT(SUMIF(SurtaxRatesSAS!$B$2:$B$324,$C247:$E247,SurtaxRatesSAS!$M$2:$M$324))</f>
        <v>#REF!</v>
      </c>
      <c r="Q247" s="39" t="e">
        <f>SUMPRODUCT(SUMIF(SurtaxRatesSAS!$B$2:$B$324,$C247:$E247,SurtaxRatesSAS!$N$2:$N$324))</f>
        <v>#REF!</v>
      </c>
      <c r="R247" s="38"/>
      <c r="S247" s="39" t="e">
        <f t="shared" si="9"/>
        <v>#REF!</v>
      </c>
      <c r="T247" s="39" t="e">
        <f t="shared" si="10"/>
        <v>#REF!</v>
      </c>
      <c r="U247" s="39" t="e">
        <f t="shared" si="11"/>
        <v>#REF!</v>
      </c>
      <c r="V247" s="29"/>
      <c r="W247" s="31" t="str">
        <f>IF(K247&gt;0,INDEX(cfo!$C$2:$I$326,MATCH(SurtaxPayment!C247,cfo!$C$2:$C$326,0),7),"")</f>
        <v>hfischer@rockford.k12.ia.us</v>
      </c>
      <c r="X247" s="31" t="str">
        <f>IF(IF(K247&gt;0,INDEX(cfo!$C$2:$K$326,MATCH(SurtaxPayment!C247,cfo!$C$2:$C$326,0),9),"")=0,"",IF(K247&gt;0,INDEX(cfo!$C$2:$K$326,MATCH(SurtaxPayment!C247,cfo!$C$2:$C$326,0),9),""))</f>
        <v/>
      </c>
    </row>
    <row r="248" spans="1:24" x14ac:dyDescent="0.25">
      <c r="A248" s="52">
        <v>2025</v>
      </c>
      <c r="B248" s="52" t="s">
        <v>661</v>
      </c>
      <c r="C248" s="57" t="s">
        <v>559</v>
      </c>
      <c r="D248" s="58" t="s">
        <v>693</v>
      </c>
      <c r="E248" s="58" t="s">
        <v>693</v>
      </c>
      <c r="F248" s="58" t="s">
        <v>559</v>
      </c>
      <c r="G248" s="57" t="s">
        <v>221</v>
      </c>
      <c r="H248" s="39">
        <f>SUMPRODUCT(SUMIF(SurtaxRatesSAS!$B$2:$B$324,$C248:$E248,SurtaxRatesSAS!$E$2:$E$324))</f>
        <v>0</v>
      </c>
      <c r="I248" s="39">
        <f>SUMPRODUCT(SUMIF(SurtaxRatesSAS!$B$2:$B$324,$C248:$E248,SurtaxRatesSAS!$D$2:$D$324))</f>
        <v>9</v>
      </c>
      <c r="J248" s="38"/>
      <c r="K248" s="39">
        <f>SUMPRODUCT(SUMIF(SurtaxRatesSAS!$B$2:$B$324,$C248:$E248,SurtaxRatesSAS!$G$2:$G$324))</f>
        <v>159939.84</v>
      </c>
      <c r="L248" s="39">
        <f>SUMPRODUCT(SUMIF(SurtaxRatesSAS!$B$2:$B$324,$C248:$E248,SurtaxRatesSAS!$H$2:$H$324))</f>
        <v>0</v>
      </c>
      <c r="M248" s="39">
        <f>SUMPRODUCT(SUMIF(SurtaxRatesSAS!$B$2:$B$324,$C248:$E248,SurtaxRatesSAS!$I$2:$I$324))</f>
        <v>159939.84</v>
      </c>
      <c r="N248" s="38"/>
      <c r="O248" s="39" t="e">
        <f>SUMPRODUCT(SUMIF(SurtaxRatesSAS!$B$2:$B$324,$C248:$E248,SurtaxRatesSAS!$L$2:$L$324))</f>
        <v>#REF!</v>
      </c>
      <c r="P248" s="39" t="e">
        <f>SUMPRODUCT(SUMIF(SurtaxRatesSAS!$B$2:$B$324,$C248:$E248,SurtaxRatesSAS!$M$2:$M$324))</f>
        <v>#REF!</v>
      </c>
      <c r="Q248" s="39" t="e">
        <f>SUMPRODUCT(SUMIF(SurtaxRatesSAS!$B$2:$B$324,$C248:$E248,SurtaxRatesSAS!$N$2:$N$324))</f>
        <v>#REF!</v>
      </c>
      <c r="R248" s="38"/>
      <c r="S248" s="39" t="e">
        <f t="shared" si="9"/>
        <v>#REF!</v>
      </c>
      <c r="T248" s="39" t="e">
        <f t="shared" si="10"/>
        <v>#REF!</v>
      </c>
      <c r="U248" s="39" t="e">
        <f t="shared" si="11"/>
        <v>#REF!</v>
      </c>
      <c r="V248" s="29"/>
      <c r="W248" s="31" t="str">
        <f>IF(K248&gt;0,INDEX(cfo!$C$2:$I$326,MATCH(SurtaxPayment!C248,cfo!$C$2:$C$326,0),7),"")</f>
        <v>jobade@gt.ratitans.org</v>
      </c>
      <c r="X248" s="31" t="str">
        <f>IF(IF(K248&gt;0,INDEX(cfo!$C$2:$K$326,MATCH(SurtaxPayment!C248,cfo!$C$2:$C$326,0),9),"")=0,"",IF(K248&gt;0,INDEX(cfo!$C$2:$K$326,MATCH(SurtaxPayment!C248,cfo!$C$2:$C$326,0),9),""))</f>
        <v/>
      </c>
    </row>
    <row r="249" spans="1:24" x14ac:dyDescent="0.25">
      <c r="A249" s="52">
        <v>2025</v>
      </c>
      <c r="B249" s="52" t="s">
        <v>657</v>
      </c>
      <c r="C249" s="57" t="s">
        <v>561</v>
      </c>
      <c r="D249" s="58" t="s">
        <v>693</v>
      </c>
      <c r="E249" s="58" t="s">
        <v>693</v>
      </c>
      <c r="F249" s="58" t="s">
        <v>561</v>
      </c>
      <c r="G249" s="57" t="s">
        <v>728</v>
      </c>
      <c r="H249" s="39">
        <f>SUMPRODUCT(SUMIF(SurtaxRatesSAS!$B$2:$B$324,$C249:$E249,SurtaxRatesSAS!$E$2:$E$324))</f>
        <v>0</v>
      </c>
      <c r="I249" s="39">
        <f>SUMPRODUCT(SUMIF(SurtaxRatesSAS!$B$2:$B$324,$C249:$E249,SurtaxRatesSAS!$D$2:$D$324))</f>
        <v>0</v>
      </c>
      <c r="J249" s="38"/>
      <c r="K249" s="39">
        <f>SUMPRODUCT(SUMIF(SurtaxRatesSAS!$B$2:$B$324,$C249:$E249,SurtaxRatesSAS!$G$2:$G$324))</f>
        <v>0</v>
      </c>
      <c r="L249" s="39">
        <f>SUMPRODUCT(SUMIF(SurtaxRatesSAS!$B$2:$B$324,$C249:$E249,SurtaxRatesSAS!$H$2:$H$324))</f>
        <v>0</v>
      </c>
      <c r="M249" s="39">
        <f>SUMPRODUCT(SUMIF(SurtaxRatesSAS!$B$2:$B$324,$C249:$E249,SurtaxRatesSAS!$I$2:$I$324))</f>
        <v>0</v>
      </c>
      <c r="N249" s="38"/>
      <c r="O249" s="39">
        <f>SUMPRODUCT(SUMIF(SurtaxRatesSAS!$B$2:$B$324,$C249:$E249,SurtaxRatesSAS!$L$2:$L$324))</f>
        <v>0</v>
      </c>
      <c r="P249" s="39">
        <f>SUMPRODUCT(SUMIF(SurtaxRatesSAS!$B$2:$B$324,$C249:$E249,SurtaxRatesSAS!$M$2:$M$324))</f>
        <v>0</v>
      </c>
      <c r="Q249" s="39">
        <f>SUMPRODUCT(SUMIF(SurtaxRatesSAS!$B$2:$B$324,$C249:$E249,SurtaxRatesSAS!$N$2:$N$324))</f>
        <v>0</v>
      </c>
      <c r="R249" s="38"/>
      <c r="S249" s="39">
        <f t="shared" si="9"/>
        <v>0</v>
      </c>
      <c r="T249" s="39">
        <f t="shared" si="10"/>
        <v>0</v>
      </c>
      <c r="U249" s="39">
        <f t="shared" si="11"/>
        <v>0</v>
      </c>
      <c r="V249" s="29"/>
      <c r="W249" s="31" t="str">
        <f>IF(K249&gt;0,INDEX(cfo!$C$2:$I$326,MATCH(SurtaxPayment!C249,cfo!$C$2:$C$326,0),7),"")</f>
        <v/>
      </c>
      <c r="X249" s="31" t="str">
        <f>IF(IF(K249&gt;0,INDEX(cfo!$C$2:$K$326,MATCH(SurtaxPayment!C249,cfo!$C$2:$C$326,0),9),"")=0,"",IF(K249&gt;0,INDEX(cfo!$C$2:$K$326,MATCH(SurtaxPayment!C249,cfo!$C$2:$C$326,0),9),""))</f>
        <v/>
      </c>
    </row>
    <row r="250" spans="1:24" x14ac:dyDescent="0.25">
      <c r="A250" s="52">
        <v>2025</v>
      </c>
      <c r="B250" s="52" t="s">
        <v>661</v>
      </c>
      <c r="C250" s="57" t="s">
        <v>562</v>
      </c>
      <c r="D250" s="58" t="s">
        <v>693</v>
      </c>
      <c r="E250" s="58" t="s">
        <v>693</v>
      </c>
      <c r="F250" s="58" t="s">
        <v>562</v>
      </c>
      <c r="G250" s="57" t="s">
        <v>222</v>
      </c>
      <c r="H250" s="39">
        <f>SUMPRODUCT(SUMIF(SurtaxRatesSAS!$B$2:$B$324,$C250:$E250,SurtaxRatesSAS!$E$2:$E$324))</f>
        <v>1</v>
      </c>
      <c r="I250" s="39">
        <f>SUMPRODUCT(SUMIF(SurtaxRatesSAS!$B$2:$B$324,$C250:$E250,SurtaxRatesSAS!$D$2:$D$324))</f>
        <v>1</v>
      </c>
      <c r="J250" s="38"/>
      <c r="K250" s="39">
        <f>SUMPRODUCT(SUMIF(SurtaxRatesSAS!$B$2:$B$324,$C250:$E250,SurtaxRatesSAS!$G$2:$G$324))</f>
        <v>43444.54</v>
      </c>
      <c r="L250" s="39">
        <f>SUMPRODUCT(SUMIF(SurtaxRatesSAS!$B$2:$B$324,$C250:$E250,SurtaxRatesSAS!$H$2:$H$324))</f>
        <v>21722.27</v>
      </c>
      <c r="M250" s="39">
        <f>SUMPRODUCT(SUMIF(SurtaxRatesSAS!$B$2:$B$324,$C250:$E250,SurtaxRatesSAS!$I$2:$I$324))</f>
        <v>21722.27</v>
      </c>
      <c r="N250" s="38"/>
      <c r="O250" s="39" t="e">
        <f>SUMPRODUCT(SUMIF(SurtaxRatesSAS!$B$2:$B$324,$C250:$E250,SurtaxRatesSAS!$L$2:$L$324))</f>
        <v>#REF!</v>
      </c>
      <c r="P250" s="39" t="e">
        <f>SUMPRODUCT(SUMIF(SurtaxRatesSAS!$B$2:$B$324,$C250:$E250,SurtaxRatesSAS!$M$2:$M$324))</f>
        <v>#REF!</v>
      </c>
      <c r="Q250" s="39" t="e">
        <f>SUMPRODUCT(SUMIF(SurtaxRatesSAS!$B$2:$B$324,$C250:$E250,SurtaxRatesSAS!$N$2:$N$324))</f>
        <v>#REF!</v>
      </c>
      <c r="R250" s="38"/>
      <c r="S250" s="39" t="e">
        <f t="shared" si="9"/>
        <v>#REF!</v>
      </c>
      <c r="T250" s="39" t="e">
        <f t="shared" si="10"/>
        <v>#REF!</v>
      </c>
      <c r="U250" s="39" t="e">
        <f t="shared" si="11"/>
        <v>#REF!</v>
      </c>
      <c r="V250" s="29"/>
      <c r="W250" s="31" t="str">
        <f>IF(K250&gt;0,INDEX(cfo!$C$2:$I$326,MATCH(SurtaxPayment!C250,cfo!$C$2:$C$326,0),7),"")</f>
        <v>swandrey@rvraptors.org</v>
      </c>
      <c r="X250" s="31" t="str">
        <f>IF(IF(K250&gt;0,INDEX(cfo!$C$2:$K$326,MATCH(SurtaxPayment!C250,cfo!$C$2:$C$326,0),9),"")=0,"",IF(K250&gt;0,INDEX(cfo!$C$2:$K$326,MATCH(SurtaxPayment!C250,cfo!$C$2:$C$326,0),9),""))</f>
        <v/>
      </c>
    </row>
    <row r="251" spans="1:24" x14ac:dyDescent="0.25">
      <c r="A251" s="52">
        <v>2025</v>
      </c>
      <c r="B251" s="52" t="s">
        <v>660</v>
      </c>
      <c r="C251" s="57" t="s">
        <v>563</v>
      </c>
      <c r="D251" s="58" t="s">
        <v>693</v>
      </c>
      <c r="E251" s="58" t="s">
        <v>693</v>
      </c>
      <c r="F251" s="58" t="s">
        <v>563</v>
      </c>
      <c r="G251" s="57" t="s">
        <v>223</v>
      </c>
      <c r="H251" s="39">
        <f>SUMPRODUCT(SUMIF(SurtaxRatesSAS!$B$2:$B$324,$C251:$E251,SurtaxRatesSAS!$E$2:$E$324))</f>
        <v>0</v>
      </c>
      <c r="I251" s="39">
        <f>SUMPRODUCT(SUMIF(SurtaxRatesSAS!$B$2:$B$324,$C251:$E251,SurtaxRatesSAS!$D$2:$D$324))</f>
        <v>5</v>
      </c>
      <c r="J251" s="38"/>
      <c r="K251" s="39">
        <f>SUMPRODUCT(SUMIF(SurtaxRatesSAS!$B$2:$B$324,$C251:$E251,SurtaxRatesSAS!$G$2:$G$324))</f>
        <v>63013.78</v>
      </c>
      <c r="L251" s="39">
        <f>SUMPRODUCT(SUMIF(SurtaxRatesSAS!$B$2:$B$324,$C251:$E251,SurtaxRatesSAS!$H$2:$H$324))</f>
        <v>0</v>
      </c>
      <c r="M251" s="39">
        <f>SUMPRODUCT(SUMIF(SurtaxRatesSAS!$B$2:$B$324,$C251:$E251,SurtaxRatesSAS!$I$2:$I$324))</f>
        <v>63013.78</v>
      </c>
      <c r="N251" s="38"/>
      <c r="O251" s="39" t="e">
        <f>SUMPRODUCT(SUMIF(SurtaxRatesSAS!$B$2:$B$324,$C251:$E251,SurtaxRatesSAS!$L$2:$L$324))</f>
        <v>#REF!</v>
      </c>
      <c r="P251" s="39" t="e">
        <f>SUMPRODUCT(SUMIF(SurtaxRatesSAS!$B$2:$B$324,$C251:$E251,SurtaxRatesSAS!$M$2:$M$324))</f>
        <v>#REF!</v>
      </c>
      <c r="Q251" s="39" t="e">
        <f>SUMPRODUCT(SUMIF(SurtaxRatesSAS!$B$2:$B$324,$C251:$E251,SurtaxRatesSAS!$N$2:$N$324))</f>
        <v>#REF!</v>
      </c>
      <c r="R251" s="38"/>
      <c r="S251" s="39" t="e">
        <f t="shared" si="9"/>
        <v>#REF!</v>
      </c>
      <c r="T251" s="39" t="e">
        <f t="shared" si="10"/>
        <v>#REF!</v>
      </c>
      <c r="U251" s="39" t="e">
        <f t="shared" si="11"/>
        <v>#REF!</v>
      </c>
      <c r="V251" s="29"/>
      <c r="W251" s="31" t="str">
        <f>IF(K251&gt;0,INDEX(cfo!$C$2:$I$326,MATCH(SurtaxPayment!C251,cfo!$C$2:$C$326,0),7),"")</f>
        <v>mallorymeyer@schleswig.k12.ia.us</v>
      </c>
      <c r="X251" s="31" t="str">
        <f>IF(IF(K251&gt;0,INDEX(cfo!$C$2:$K$326,MATCH(SurtaxPayment!C251,cfo!$C$2:$C$326,0),9),"")=0,"",IF(K251&gt;0,INDEX(cfo!$C$2:$K$326,MATCH(SurtaxPayment!C251,cfo!$C$2:$C$326,0),9),""))</f>
        <v/>
      </c>
    </row>
    <row r="252" spans="1:24" x14ac:dyDescent="0.25">
      <c r="A252" s="52">
        <v>2025</v>
      </c>
      <c r="B252" s="52" t="s">
        <v>660</v>
      </c>
      <c r="C252" s="57" t="s">
        <v>564</v>
      </c>
      <c r="D252" s="58" t="s">
        <v>693</v>
      </c>
      <c r="E252" s="58" t="s">
        <v>693</v>
      </c>
      <c r="F252" s="58" t="s">
        <v>564</v>
      </c>
      <c r="G252" s="57" t="s">
        <v>729</v>
      </c>
      <c r="H252" s="39">
        <f>SUMPRODUCT(SUMIF(SurtaxRatesSAS!$B$2:$B$324,$C252:$E252,SurtaxRatesSAS!$E$2:$E$324))</f>
        <v>0</v>
      </c>
      <c r="I252" s="39">
        <f>SUMPRODUCT(SUMIF(SurtaxRatesSAS!$B$2:$B$324,$C252:$E252,SurtaxRatesSAS!$D$2:$D$324))</f>
        <v>0</v>
      </c>
      <c r="J252" s="38"/>
      <c r="K252" s="39">
        <f>SUMPRODUCT(SUMIF(SurtaxRatesSAS!$B$2:$B$324,$C252:$E252,SurtaxRatesSAS!$G$2:$G$324))</f>
        <v>0</v>
      </c>
      <c r="L252" s="39">
        <f>SUMPRODUCT(SUMIF(SurtaxRatesSAS!$B$2:$B$324,$C252:$E252,SurtaxRatesSAS!$H$2:$H$324))</f>
        <v>0</v>
      </c>
      <c r="M252" s="39">
        <f>SUMPRODUCT(SUMIF(SurtaxRatesSAS!$B$2:$B$324,$C252:$E252,SurtaxRatesSAS!$I$2:$I$324))</f>
        <v>0</v>
      </c>
      <c r="N252" s="38"/>
      <c r="O252" s="39">
        <f>SUMPRODUCT(SUMIF(SurtaxRatesSAS!$B$2:$B$324,$C252:$E252,SurtaxRatesSAS!$L$2:$L$324))</f>
        <v>0</v>
      </c>
      <c r="P252" s="39">
        <f>SUMPRODUCT(SUMIF(SurtaxRatesSAS!$B$2:$B$324,$C252:$E252,SurtaxRatesSAS!$M$2:$M$324))</f>
        <v>0</v>
      </c>
      <c r="Q252" s="39">
        <f>SUMPRODUCT(SUMIF(SurtaxRatesSAS!$B$2:$B$324,$C252:$E252,SurtaxRatesSAS!$N$2:$N$324))</f>
        <v>0</v>
      </c>
      <c r="R252" s="38"/>
      <c r="S252" s="39">
        <f t="shared" si="9"/>
        <v>0</v>
      </c>
      <c r="T252" s="39">
        <f t="shared" si="10"/>
        <v>0</v>
      </c>
      <c r="U252" s="39">
        <f t="shared" si="11"/>
        <v>0</v>
      </c>
      <c r="V252" s="29"/>
      <c r="W252" s="31" t="str">
        <f>IF(K252&gt;0,INDEX(cfo!$C$2:$I$326,MATCH(SurtaxPayment!C252,cfo!$C$2:$C$326,0),7),"")</f>
        <v/>
      </c>
      <c r="X252" s="31" t="str">
        <f>IF(IF(K252&gt;0,INDEX(cfo!$C$2:$K$326,MATCH(SurtaxPayment!C252,cfo!$C$2:$C$326,0),9),"")=0,"",IF(K252&gt;0,INDEX(cfo!$C$2:$K$326,MATCH(SurtaxPayment!C252,cfo!$C$2:$C$326,0),9),""))</f>
        <v/>
      </c>
    </row>
    <row r="253" spans="1:24" x14ac:dyDescent="0.25">
      <c r="A253" s="52">
        <v>2025</v>
      </c>
      <c r="B253" s="52" t="s">
        <v>662</v>
      </c>
      <c r="C253" s="57" t="s">
        <v>565</v>
      </c>
      <c r="D253" s="58" t="s">
        <v>693</v>
      </c>
      <c r="E253" s="58" t="s">
        <v>693</v>
      </c>
      <c r="F253" s="58" t="s">
        <v>565</v>
      </c>
      <c r="G253" s="57" t="s">
        <v>224</v>
      </c>
      <c r="H253" s="39">
        <f>SUMPRODUCT(SUMIF(SurtaxRatesSAS!$B$2:$B$324,$C253:$E253,SurtaxRatesSAS!$E$2:$E$324))</f>
        <v>0</v>
      </c>
      <c r="I253" s="39">
        <f>SUMPRODUCT(SUMIF(SurtaxRatesSAS!$B$2:$B$324,$C253:$E253,SurtaxRatesSAS!$D$2:$D$324))</f>
        <v>10</v>
      </c>
      <c r="J253" s="38"/>
      <c r="K253" s="39">
        <f>SUMPRODUCT(SUMIF(SurtaxRatesSAS!$B$2:$B$324,$C253:$E253,SurtaxRatesSAS!$G$2:$G$324))</f>
        <v>152645.04</v>
      </c>
      <c r="L253" s="39">
        <f>SUMPRODUCT(SUMIF(SurtaxRatesSAS!$B$2:$B$324,$C253:$E253,SurtaxRatesSAS!$H$2:$H$324))</f>
        <v>0</v>
      </c>
      <c r="M253" s="39">
        <f>SUMPRODUCT(SUMIF(SurtaxRatesSAS!$B$2:$B$324,$C253:$E253,SurtaxRatesSAS!$I$2:$I$324))</f>
        <v>152645.04</v>
      </c>
      <c r="N253" s="38"/>
      <c r="O253" s="39" t="e">
        <f>SUMPRODUCT(SUMIF(SurtaxRatesSAS!$B$2:$B$324,$C253:$E253,SurtaxRatesSAS!$L$2:$L$324))</f>
        <v>#REF!</v>
      </c>
      <c r="P253" s="39" t="e">
        <f>SUMPRODUCT(SUMIF(SurtaxRatesSAS!$B$2:$B$324,$C253:$E253,SurtaxRatesSAS!$M$2:$M$324))</f>
        <v>#REF!</v>
      </c>
      <c r="Q253" s="39" t="e">
        <f>SUMPRODUCT(SUMIF(SurtaxRatesSAS!$B$2:$B$324,$C253:$E253,SurtaxRatesSAS!$N$2:$N$324))</f>
        <v>#REF!</v>
      </c>
      <c r="R253" s="38"/>
      <c r="S253" s="39" t="e">
        <f t="shared" si="9"/>
        <v>#REF!</v>
      </c>
      <c r="T253" s="39" t="e">
        <f t="shared" si="10"/>
        <v>#REF!</v>
      </c>
      <c r="U253" s="39" t="e">
        <f t="shared" si="11"/>
        <v>#REF!</v>
      </c>
      <c r="V253" s="29"/>
      <c r="W253" s="31" t="str">
        <f>IF(K253&gt;0,INDEX(cfo!$C$2:$I$326,MATCH(SurtaxPayment!C253,cfo!$C$2:$C$326,0),7),"")</f>
        <v>stevie.parmer@seymourcsd.org</v>
      </c>
      <c r="X253" s="31" t="str">
        <f>IF(IF(K253&gt;0,INDEX(cfo!$C$2:$K$326,MATCH(SurtaxPayment!C253,cfo!$C$2:$C$326,0),9),"")=0,"",IF(K253&gt;0,INDEX(cfo!$C$2:$K$326,MATCH(SurtaxPayment!C253,cfo!$C$2:$C$326,0),9),""))</f>
        <v>corrie.wray@seymourcsd.org</v>
      </c>
    </row>
    <row r="254" spans="1:24" x14ac:dyDescent="0.25">
      <c r="A254" s="52">
        <v>2025</v>
      </c>
      <c r="B254" s="52" t="s">
        <v>660</v>
      </c>
      <c r="C254" s="57" t="s">
        <v>567</v>
      </c>
      <c r="D254" s="58" t="s">
        <v>693</v>
      </c>
      <c r="E254" s="58" t="s">
        <v>693</v>
      </c>
      <c r="F254" s="58" t="s">
        <v>567</v>
      </c>
      <c r="G254" s="57" t="s">
        <v>225</v>
      </c>
      <c r="H254" s="39">
        <f>SUMPRODUCT(SUMIF(SurtaxRatesSAS!$B$2:$B$324,$C254:$E254,SurtaxRatesSAS!$E$2:$E$324))</f>
        <v>0</v>
      </c>
      <c r="I254" s="39">
        <f>SUMPRODUCT(SUMIF(SurtaxRatesSAS!$B$2:$B$324,$C254:$E254,SurtaxRatesSAS!$D$2:$D$324))</f>
        <v>7</v>
      </c>
      <c r="J254" s="38"/>
      <c r="K254" s="39">
        <f>SUMPRODUCT(SUMIF(SurtaxRatesSAS!$B$2:$B$324,$C254:$E254,SurtaxRatesSAS!$G$2:$G$324))</f>
        <v>554428.74</v>
      </c>
      <c r="L254" s="39">
        <f>SUMPRODUCT(SUMIF(SurtaxRatesSAS!$B$2:$B$324,$C254:$E254,SurtaxRatesSAS!$H$2:$H$324))</f>
        <v>0</v>
      </c>
      <c r="M254" s="39">
        <f>SUMPRODUCT(SUMIF(SurtaxRatesSAS!$B$2:$B$324,$C254:$E254,SurtaxRatesSAS!$I$2:$I$324))</f>
        <v>554428.74</v>
      </c>
      <c r="N254" s="38"/>
      <c r="O254" s="39" t="e">
        <f>SUMPRODUCT(SUMIF(SurtaxRatesSAS!$B$2:$B$324,$C254:$E254,SurtaxRatesSAS!$L$2:$L$324))</f>
        <v>#REF!</v>
      </c>
      <c r="P254" s="39" t="e">
        <f>SUMPRODUCT(SUMIF(SurtaxRatesSAS!$B$2:$B$324,$C254:$E254,SurtaxRatesSAS!$M$2:$M$324))</f>
        <v>#REF!</v>
      </c>
      <c r="Q254" s="39" t="e">
        <f>SUMPRODUCT(SUMIF(SurtaxRatesSAS!$B$2:$B$324,$C254:$E254,SurtaxRatesSAS!$N$2:$N$324))</f>
        <v>#REF!</v>
      </c>
      <c r="R254" s="38"/>
      <c r="S254" s="39" t="e">
        <f t="shared" si="9"/>
        <v>#REF!</v>
      </c>
      <c r="T254" s="39" t="e">
        <f t="shared" si="10"/>
        <v>#REF!</v>
      </c>
      <c r="U254" s="39" t="e">
        <f t="shared" si="11"/>
        <v>#REF!</v>
      </c>
      <c r="V254" s="29"/>
      <c r="W254" s="31" t="str">
        <f>IF(K254&gt;0,INDEX(cfo!$C$2:$I$326,MATCH(SurtaxPayment!C254,cfo!$C$2:$C$326,0),7),"")</f>
        <v>gwen.mathahs@sheldonschools.com</v>
      </c>
      <c r="X254" s="31" t="str">
        <f>IF(IF(K254&gt;0,INDEX(cfo!$C$2:$K$326,MATCH(SurtaxPayment!C254,cfo!$C$2:$C$326,0),9),"")=0,"",IF(K254&gt;0,INDEX(cfo!$C$2:$K$326,MATCH(SurtaxPayment!C254,cfo!$C$2:$C$326,0),9),""))</f>
        <v/>
      </c>
    </row>
    <row r="255" spans="1:24" x14ac:dyDescent="0.25">
      <c r="A255" s="52">
        <v>2025</v>
      </c>
      <c r="B255" s="52" t="s">
        <v>659</v>
      </c>
      <c r="C255" s="57" t="s">
        <v>568</v>
      </c>
      <c r="D255" s="58" t="s">
        <v>693</v>
      </c>
      <c r="E255" s="58" t="s">
        <v>693</v>
      </c>
      <c r="F255" s="58" t="s">
        <v>568</v>
      </c>
      <c r="G255" s="57" t="s">
        <v>226</v>
      </c>
      <c r="H255" s="39">
        <f>SUMPRODUCT(SUMIF(SurtaxRatesSAS!$B$2:$B$324,$C255:$E255,SurtaxRatesSAS!$E$2:$E$324))</f>
        <v>4</v>
      </c>
      <c r="I255" s="39">
        <f>SUMPRODUCT(SUMIF(SurtaxRatesSAS!$B$2:$B$324,$C255:$E255,SurtaxRatesSAS!$D$2:$D$324))</f>
        <v>4</v>
      </c>
      <c r="J255" s="38"/>
      <c r="K255" s="39">
        <f>SUMPRODUCT(SUMIF(SurtaxRatesSAS!$B$2:$B$324,$C255:$E255,SurtaxRatesSAS!$G$2:$G$324))</f>
        <v>429061.56</v>
      </c>
      <c r="L255" s="39">
        <f>SUMPRODUCT(SUMIF(SurtaxRatesSAS!$B$2:$B$324,$C255:$E255,SurtaxRatesSAS!$H$2:$H$324))</f>
        <v>214530.78</v>
      </c>
      <c r="M255" s="39">
        <f>SUMPRODUCT(SUMIF(SurtaxRatesSAS!$B$2:$B$324,$C255:$E255,SurtaxRatesSAS!$I$2:$I$324))</f>
        <v>214530.78</v>
      </c>
      <c r="N255" s="38"/>
      <c r="O255" s="39" t="e">
        <f>SUMPRODUCT(SUMIF(SurtaxRatesSAS!$B$2:$B$324,$C255:$E255,SurtaxRatesSAS!$L$2:$L$324))</f>
        <v>#REF!</v>
      </c>
      <c r="P255" s="39" t="e">
        <f>SUMPRODUCT(SUMIF(SurtaxRatesSAS!$B$2:$B$324,$C255:$E255,SurtaxRatesSAS!$M$2:$M$324))</f>
        <v>#REF!</v>
      </c>
      <c r="Q255" s="39" t="e">
        <f>SUMPRODUCT(SUMIF(SurtaxRatesSAS!$B$2:$B$324,$C255:$E255,SurtaxRatesSAS!$N$2:$N$324))</f>
        <v>#REF!</v>
      </c>
      <c r="R255" s="38"/>
      <c r="S255" s="39" t="e">
        <f t="shared" si="9"/>
        <v>#REF!</v>
      </c>
      <c r="T255" s="39" t="e">
        <f t="shared" si="10"/>
        <v>#REF!</v>
      </c>
      <c r="U255" s="39" t="e">
        <f t="shared" si="11"/>
        <v>#REF!</v>
      </c>
      <c r="V255" s="29"/>
      <c r="W255" s="31" t="str">
        <f>IF(K255&gt;0,INDEX(cfo!$C$2:$I$326,MATCH(SurtaxPayment!C255,cfo!$C$2:$C$326,0),7),"")</f>
        <v>barrettw@shenandoah.k12.ia.us</v>
      </c>
      <c r="X255" s="31" t="str">
        <f>IF(IF(K255&gt;0,INDEX(cfo!$C$2:$K$326,MATCH(SurtaxPayment!C255,cfo!$C$2:$C$326,0),9),"")=0,"",IF(K255&gt;0,INDEX(cfo!$C$2:$K$326,MATCH(SurtaxPayment!C255,cfo!$C$2:$C$326,0),9),""))</f>
        <v/>
      </c>
    </row>
    <row r="256" spans="1:24" x14ac:dyDescent="0.25">
      <c r="A256" s="52">
        <v>2025</v>
      </c>
      <c r="B256" s="52" t="s">
        <v>660</v>
      </c>
      <c r="C256" s="57" t="s">
        <v>569</v>
      </c>
      <c r="D256" s="58" t="s">
        <v>693</v>
      </c>
      <c r="E256" s="58" t="s">
        <v>693</v>
      </c>
      <c r="F256" s="58" t="s">
        <v>569</v>
      </c>
      <c r="G256" s="57" t="s">
        <v>227</v>
      </c>
      <c r="H256" s="39">
        <f>SUMPRODUCT(SUMIF(SurtaxRatesSAS!$B$2:$B$324,$C256:$E256,SurtaxRatesSAS!$E$2:$E$324))</f>
        <v>5</v>
      </c>
      <c r="I256" s="39">
        <f>SUMPRODUCT(SUMIF(SurtaxRatesSAS!$B$2:$B$324,$C256:$E256,SurtaxRatesSAS!$D$2:$D$324))</f>
        <v>4</v>
      </c>
      <c r="J256" s="38"/>
      <c r="K256" s="39">
        <f>SUMPRODUCT(SUMIF(SurtaxRatesSAS!$B$2:$B$324,$C256:$E256,SurtaxRatesSAS!$G$2:$G$324))</f>
        <v>358893.39</v>
      </c>
      <c r="L256" s="39">
        <f>SUMPRODUCT(SUMIF(SurtaxRatesSAS!$B$2:$B$324,$C256:$E256,SurtaxRatesSAS!$H$2:$H$324))</f>
        <v>199385.22</v>
      </c>
      <c r="M256" s="39">
        <f>SUMPRODUCT(SUMIF(SurtaxRatesSAS!$B$2:$B$324,$C256:$E256,SurtaxRatesSAS!$I$2:$I$324))</f>
        <v>159508.17000000001</v>
      </c>
      <c r="N256" s="38"/>
      <c r="O256" s="39" t="e">
        <f>SUMPRODUCT(SUMIF(SurtaxRatesSAS!$B$2:$B$324,$C256:$E256,SurtaxRatesSAS!$L$2:$L$324))</f>
        <v>#REF!</v>
      </c>
      <c r="P256" s="39" t="e">
        <f>SUMPRODUCT(SUMIF(SurtaxRatesSAS!$B$2:$B$324,$C256:$E256,SurtaxRatesSAS!$M$2:$M$324))</f>
        <v>#REF!</v>
      </c>
      <c r="Q256" s="39" t="e">
        <f>SUMPRODUCT(SUMIF(SurtaxRatesSAS!$B$2:$B$324,$C256:$E256,SurtaxRatesSAS!$N$2:$N$324))</f>
        <v>#REF!</v>
      </c>
      <c r="R256" s="38"/>
      <c r="S256" s="39" t="e">
        <f t="shared" si="9"/>
        <v>#REF!</v>
      </c>
      <c r="T256" s="39" t="e">
        <f t="shared" si="10"/>
        <v>#REF!</v>
      </c>
      <c r="U256" s="39" t="e">
        <f t="shared" si="11"/>
        <v>#REF!</v>
      </c>
      <c r="V256" s="29"/>
      <c r="W256" s="31" t="str">
        <f>IF(K256&gt;0,INDEX(cfo!$C$2:$I$326,MATCH(SurtaxPayment!C256,cfo!$C$2:$C$326,0),7),"")</f>
        <v>kreiter@thegenerals.org</v>
      </c>
      <c r="X256" s="31" t="str">
        <f>IF(IF(K256&gt;0,INDEX(cfo!$C$2:$K$326,MATCH(SurtaxPayment!C256,cfo!$C$2:$C$326,0),9),"")=0,"",IF(K256&gt;0,INDEX(cfo!$C$2:$K$326,MATCH(SurtaxPayment!C256,cfo!$C$2:$C$326,0),9),""))</f>
        <v/>
      </c>
    </row>
    <row r="257" spans="1:24" x14ac:dyDescent="0.25">
      <c r="A257" s="52">
        <v>2025</v>
      </c>
      <c r="B257" s="52" t="s">
        <v>659</v>
      </c>
      <c r="C257" s="57" t="s">
        <v>570</v>
      </c>
      <c r="D257" s="58" t="s">
        <v>693</v>
      </c>
      <c r="E257" s="58" t="s">
        <v>693</v>
      </c>
      <c r="F257" s="58" t="s">
        <v>570</v>
      </c>
      <c r="G257" s="57" t="s">
        <v>228</v>
      </c>
      <c r="H257" s="39">
        <f>SUMPRODUCT(SUMIF(SurtaxRatesSAS!$B$2:$B$324,$C257:$E257,SurtaxRatesSAS!$E$2:$E$324))</f>
        <v>10</v>
      </c>
      <c r="I257" s="39">
        <f>SUMPRODUCT(SUMIF(SurtaxRatesSAS!$B$2:$B$324,$C257:$E257,SurtaxRatesSAS!$D$2:$D$324))</f>
        <v>10</v>
      </c>
      <c r="J257" s="38"/>
      <c r="K257" s="39">
        <f>SUMPRODUCT(SUMIF(SurtaxRatesSAS!$B$2:$B$324,$C257:$E257,SurtaxRatesSAS!$G$2:$G$324))</f>
        <v>356022.18</v>
      </c>
      <c r="L257" s="39">
        <f>SUMPRODUCT(SUMIF(SurtaxRatesSAS!$B$2:$B$324,$C257:$E257,SurtaxRatesSAS!$H$2:$H$324))</f>
        <v>178011.09</v>
      </c>
      <c r="M257" s="39">
        <f>SUMPRODUCT(SUMIF(SurtaxRatesSAS!$B$2:$B$324,$C257:$E257,SurtaxRatesSAS!$I$2:$I$324))</f>
        <v>178011.09</v>
      </c>
      <c r="N257" s="38"/>
      <c r="O257" s="39" t="e">
        <f>SUMPRODUCT(SUMIF(SurtaxRatesSAS!$B$2:$B$324,$C257:$E257,SurtaxRatesSAS!$L$2:$L$324))</f>
        <v>#REF!</v>
      </c>
      <c r="P257" s="39" t="e">
        <f>SUMPRODUCT(SUMIF(SurtaxRatesSAS!$B$2:$B$324,$C257:$E257,SurtaxRatesSAS!$M$2:$M$324))</f>
        <v>#REF!</v>
      </c>
      <c r="Q257" s="39" t="e">
        <f>SUMPRODUCT(SUMIF(SurtaxRatesSAS!$B$2:$B$324,$C257:$E257,SurtaxRatesSAS!$N$2:$N$324))</f>
        <v>#REF!</v>
      </c>
      <c r="R257" s="38"/>
      <c r="S257" s="39" t="e">
        <f t="shared" si="9"/>
        <v>#REF!</v>
      </c>
      <c r="T257" s="39" t="e">
        <f t="shared" si="10"/>
        <v>#REF!</v>
      </c>
      <c r="U257" s="39" t="e">
        <f t="shared" si="11"/>
        <v>#REF!</v>
      </c>
      <c r="V257" s="29"/>
      <c r="W257" s="31" t="str">
        <f>IF(K257&gt;0,INDEX(cfo!$C$2:$I$326,MATCH(SurtaxPayment!C257,cfo!$C$2:$C$326,0),7),"")</f>
        <v>bmcnees@sidney.k12.ia.us</v>
      </c>
      <c r="X257" s="31" t="str">
        <f>IF(IF(K257&gt;0,INDEX(cfo!$C$2:$K$326,MATCH(SurtaxPayment!C257,cfo!$C$2:$C$326,0),9),"")=0,"",IF(K257&gt;0,INDEX(cfo!$C$2:$K$326,MATCH(SurtaxPayment!C257,cfo!$C$2:$C$326,0),9),""))</f>
        <v>dkirkpatrick@sidney.k12.ia.us</v>
      </c>
    </row>
    <row r="258" spans="1:24" x14ac:dyDescent="0.25">
      <c r="A258" s="52">
        <v>2025</v>
      </c>
      <c r="B258" s="52" t="s">
        <v>662</v>
      </c>
      <c r="C258" s="57" t="s">
        <v>571</v>
      </c>
      <c r="D258" s="58" t="s">
        <v>693</v>
      </c>
      <c r="E258" s="58" t="s">
        <v>693</v>
      </c>
      <c r="F258" s="58" t="s">
        <v>571</v>
      </c>
      <c r="G258" s="57" t="s">
        <v>229</v>
      </c>
      <c r="H258" s="39">
        <f>SUMPRODUCT(SUMIF(SurtaxRatesSAS!$B$2:$B$324,$C258:$E258,SurtaxRatesSAS!$E$2:$E$324))</f>
        <v>0</v>
      </c>
      <c r="I258" s="39">
        <f>SUMPRODUCT(SUMIF(SurtaxRatesSAS!$B$2:$B$324,$C258:$E258,SurtaxRatesSAS!$D$2:$D$324))</f>
        <v>1</v>
      </c>
      <c r="J258" s="38"/>
      <c r="K258" s="39">
        <f>SUMPRODUCT(SUMIF(SurtaxRatesSAS!$B$2:$B$324,$C258:$E258,SurtaxRatesSAS!$G$2:$G$324))</f>
        <v>27813.58</v>
      </c>
      <c r="L258" s="39">
        <f>SUMPRODUCT(SUMIF(SurtaxRatesSAS!$B$2:$B$324,$C258:$E258,SurtaxRatesSAS!$H$2:$H$324))</f>
        <v>0</v>
      </c>
      <c r="M258" s="39">
        <f>SUMPRODUCT(SUMIF(SurtaxRatesSAS!$B$2:$B$324,$C258:$E258,SurtaxRatesSAS!$I$2:$I$324))</f>
        <v>27813.58</v>
      </c>
      <c r="N258" s="38"/>
      <c r="O258" s="39" t="e">
        <f>SUMPRODUCT(SUMIF(SurtaxRatesSAS!$B$2:$B$324,$C258:$E258,SurtaxRatesSAS!$L$2:$L$324))</f>
        <v>#REF!</v>
      </c>
      <c r="P258" s="39" t="e">
        <f>SUMPRODUCT(SUMIF(SurtaxRatesSAS!$B$2:$B$324,$C258:$E258,SurtaxRatesSAS!$M$2:$M$324))</f>
        <v>#REF!</v>
      </c>
      <c r="Q258" s="39" t="e">
        <f>SUMPRODUCT(SUMIF(SurtaxRatesSAS!$B$2:$B$324,$C258:$E258,SurtaxRatesSAS!$N$2:$N$324))</f>
        <v>#REF!</v>
      </c>
      <c r="R258" s="38"/>
      <c r="S258" s="39" t="e">
        <f t="shared" si="9"/>
        <v>#REF!</v>
      </c>
      <c r="T258" s="39" t="e">
        <f t="shared" si="10"/>
        <v>#REF!</v>
      </c>
      <c r="U258" s="39" t="e">
        <f t="shared" si="11"/>
        <v>#REF!</v>
      </c>
      <c r="V258" s="29"/>
      <c r="W258" s="31" t="str">
        <f>IF(K258&gt;0,INDEX(cfo!$C$2:$I$326,MATCH(SurtaxPayment!C258,cfo!$C$2:$C$326,0),7),"")</f>
        <v>jessica.meier@sigourneyschools.com</v>
      </c>
      <c r="X258" s="31" t="str">
        <f>IF(IF(K258&gt;0,INDEX(cfo!$C$2:$K$326,MATCH(SurtaxPayment!C258,cfo!$C$2:$C$326,0),9),"")=0,"",IF(K258&gt;0,INDEX(cfo!$C$2:$K$326,MATCH(SurtaxPayment!C258,cfo!$C$2:$C$326,0),9),""))</f>
        <v/>
      </c>
    </row>
    <row r="259" spans="1:24" x14ac:dyDescent="0.25">
      <c r="A259" s="52">
        <v>2025</v>
      </c>
      <c r="B259" s="52" t="s">
        <v>660</v>
      </c>
      <c r="C259" s="57" t="s">
        <v>572</v>
      </c>
      <c r="D259" s="58" t="s">
        <v>693</v>
      </c>
      <c r="E259" s="58" t="s">
        <v>693</v>
      </c>
      <c r="F259" s="58" t="s">
        <v>572</v>
      </c>
      <c r="G259" s="57" t="s">
        <v>230</v>
      </c>
      <c r="H259" s="39">
        <f>SUMPRODUCT(SUMIF(SurtaxRatesSAS!$B$2:$B$324,$C259:$E259,SurtaxRatesSAS!$E$2:$E$324))</f>
        <v>0</v>
      </c>
      <c r="I259" s="39">
        <f>SUMPRODUCT(SUMIF(SurtaxRatesSAS!$B$2:$B$324,$C259:$E259,SurtaxRatesSAS!$D$2:$D$324))</f>
        <v>6</v>
      </c>
      <c r="J259" s="38"/>
      <c r="K259" s="39">
        <f>SUMPRODUCT(SUMIF(SurtaxRatesSAS!$B$2:$B$324,$C259:$E259,SurtaxRatesSAS!$G$2:$G$324))</f>
        <v>703444.59</v>
      </c>
      <c r="L259" s="39">
        <f>SUMPRODUCT(SUMIF(SurtaxRatesSAS!$B$2:$B$324,$C259:$E259,SurtaxRatesSAS!$H$2:$H$324))</f>
        <v>0</v>
      </c>
      <c r="M259" s="39">
        <f>SUMPRODUCT(SUMIF(SurtaxRatesSAS!$B$2:$B$324,$C259:$E259,SurtaxRatesSAS!$I$2:$I$324))</f>
        <v>703444.59</v>
      </c>
      <c r="N259" s="38"/>
      <c r="O259" s="39" t="e">
        <f>SUMPRODUCT(SUMIF(SurtaxRatesSAS!$B$2:$B$324,$C259:$E259,SurtaxRatesSAS!$L$2:$L$324))</f>
        <v>#REF!</v>
      </c>
      <c r="P259" s="39" t="e">
        <f>SUMPRODUCT(SUMIF(SurtaxRatesSAS!$B$2:$B$324,$C259:$E259,SurtaxRatesSAS!$M$2:$M$324))</f>
        <v>#REF!</v>
      </c>
      <c r="Q259" s="39" t="e">
        <f>SUMPRODUCT(SUMIF(SurtaxRatesSAS!$B$2:$B$324,$C259:$E259,SurtaxRatesSAS!$N$2:$N$324))</f>
        <v>#REF!</v>
      </c>
      <c r="R259" s="38"/>
      <c r="S259" s="39" t="e">
        <f t="shared" si="9"/>
        <v>#REF!</v>
      </c>
      <c r="T259" s="39" t="e">
        <f t="shared" si="10"/>
        <v>#REF!</v>
      </c>
      <c r="U259" s="39" t="e">
        <f t="shared" si="11"/>
        <v>#REF!</v>
      </c>
      <c r="V259" s="29"/>
      <c r="W259" s="31" t="str">
        <f>IF(K259&gt;0,INDEX(cfo!$C$2:$I$326,MATCH(SurtaxPayment!C259,cfo!$C$2:$C$326,0),7),"")</f>
        <v>jeana.vanvoorst@scwarriors.org</v>
      </c>
      <c r="X259" s="31" t="str">
        <f>IF(IF(K259&gt;0,INDEX(cfo!$C$2:$K$326,MATCH(SurtaxPayment!C259,cfo!$C$2:$C$326,0),9),"")=0,"",IF(K259&gt;0,INDEX(cfo!$C$2:$K$326,MATCH(SurtaxPayment!C259,cfo!$C$2:$C$326,0),9),""))</f>
        <v/>
      </c>
    </row>
    <row r="260" spans="1:24" x14ac:dyDescent="0.25">
      <c r="A260" s="52">
        <v>2025</v>
      </c>
      <c r="B260" s="52" t="s">
        <v>661</v>
      </c>
      <c r="C260" s="57" t="s">
        <v>574</v>
      </c>
      <c r="D260" s="58" t="s">
        <v>693</v>
      </c>
      <c r="E260" s="58" t="s">
        <v>693</v>
      </c>
      <c r="F260" s="58" t="s">
        <v>674</v>
      </c>
      <c r="G260" s="57" t="s">
        <v>692</v>
      </c>
      <c r="H260" s="39">
        <f>SUMPRODUCT(SUMIF(SurtaxRatesSAS!$B$2:$B$324,$C260:$E260,SurtaxRatesSAS!$E$2:$E$324))</f>
        <v>0</v>
      </c>
      <c r="I260" s="39">
        <f>SUMPRODUCT(SUMIF(SurtaxRatesSAS!$B$2:$B$324,$C260:$E260,SurtaxRatesSAS!$D$2:$D$324))</f>
        <v>5</v>
      </c>
      <c r="J260" s="38"/>
      <c r="K260" s="39">
        <f>SUMPRODUCT(SUMIF(SurtaxRatesSAS!$B$2:$B$324,$C260:$E260,SurtaxRatesSAS!$G$2:$G$324))</f>
        <v>146308.45000000001</v>
      </c>
      <c r="L260" s="39">
        <f>SUMPRODUCT(SUMIF(SurtaxRatesSAS!$B$2:$B$324,$C260:$E260,SurtaxRatesSAS!$H$2:$H$324))</f>
        <v>0</v>
      </c>
      <c r="M260" s="39">
        <f>SUMPRODUCT(SUMIF(SurtaxRatesSAS!$B$2:$B$324,$C260:$E260,SurtaxRatesSAS!$I$2:$I$324))</f>
        <v>146308.45000000001</v>
      </c>
      <c r="N260" s="38"/>
      <c r="O260" s="39" t="e">
        <f>SUMPRODUCT(SUMIF(SurtaxRatesSAS!$B$2:$B$324,$C260:$E260,SurtaxRatesSAS!$L$2:$L$324))</f>
        <v>#REF!</v>
      </c>
      <c r="P260" s="39" t="e">
        <f>SUMPRODUCT(SUMIF(SurtaxRatesSAS!$B$2:$B$324,$C260:$E260,SurtaxRatesSAS!$M$2:$M$324))</f>
        <v>#REF!</v>
      </c>
      <c r="Q260" s="39" t="e">
        <f>SUMPRODUCT(SUMIF(SurtaxRatesSAS!$B$2:$B$324,$C260:$E260,SurtaxRatesSAS!$N$2:$N$324))</f>
        <v>#REF!</v>
      </c>
      <c r="R260" s="38"/>
      <c r="S260" s="39" t="e">
        <f t="shared" si="9"/>
        <v>#REF!</v>
      </c>
      <c r="T260" s="39" t="e">
        <f t="shared" si="10"/>
        <v>#REF!</v>
      </c>
      <c r="U260" s="39" t="e">
        <f t="shared" si="11"/>
        <v>#REF!</v>
      </c>
      <c r="V260" s="29"/>
      <c r="W260" s="31" t="str">
        <f>IF(K260&gt;0,INDEX(cfo!$C$2:$I$326,MATCH(SurtaxPayment!C260,cfo!$C$2:$C$326,0),7),"")</f>
        <v>kmiller@siouxcentral.org</v>
      </c>
      <c r="X260" s="31" t="str">
        <f>IF(IF(K260&gt;0,INDEX(cfo!$C$2:$K$326,MATCH(SurtaxPayment!C260,cfo!$C$2:$C$326,0),9),"")=0,"",IF(K260&gt;0,INDEX(cfo!$C$2:$K$326,MATCH(SurtaxPayment!C260,cfo!$C$2:$C$326,0),9),""))</f>
        <v>skopfmann@siouxcentral.org</v>
      </c>
    </row>
    <row r="261" spans="1:24" x14ac:dyDescent="0.25">
      <c r="A261" s="52">
        <v>2025</v>
      </c>
      <c r="B261" s="52" t="s">
        <v>660</v>
      </c>
      <c r="C261" s="57" t="s">
        <v>573</v>
      </c>
      <c r="D261" s="58" t="s">
        <v>693</v>
      </c>
      <c r="E261" s="58" t="s">
        <v>693</v>
      </c>
      <c r="F261" s="58" t="s">
        <v>573</v>
      </c>
      <c r="G261" s="57" t="s">
        <v>231</v>
      </c>
      <c r="H261" s="39">
        <f>SUMPRODUCT(SUMIF(SurtaxRatesSAS!$B$2:$B$324,$C261:$E261,SurtaxRatesSAS!$E$2:$E$324))</f>
        <v>0</v>
      </c>
      <c r="I261" s="39">
        <f>SUMPRODUCT(SUMIF(SurtaxRatesSAS!$B$2:$B$324,$C261:$E261,SurtaxRatesSAS!$D$2:$D$324))</f>
        <v>3</v>
      </c>
      <c r="J261" s="38"/>
      <c r="K261" s="39">
        <f>SUMPRODUCT(SUMIF(SurtaxRatesSAS!$B$2:$B$324,$C261:$E261,SurtaxRatesSAS!$G$2:$G$324))</f>
        <v>2086372.09</v>
      </c>
      <c r="L261" s="39">
        <f>SUMPRODUCT(SUMIF(SurtaxRatesSAS!$B$2:$B$324,$C261:$E261,SurtaxRatesSAS!$H$2:$H$324))</f>
        <v>0</v>
      </c>
      <c r="M261" s="39">
        <f>SUMPRODUCT(SUMIF(SurtaxRatesSAS!$B$2:$B$324,$C261:$E261,SurtaxRatesSAS!$I$2:$I$324))</f>
        <v>2086372.09</v>
      </c>
      <c r="N261" s="38"/>
      <c r="O261" s="39" t="e">
        <f>SUMPRODUCT(SUMIF(SurtaxRatesSAS!$B$2:$B$324,$C261:$E261,SurtaxRatesSAS!$L$2:$L$324))</f>
        <v>#REF!</v>
      </c>
      <c r="P261" s="39" t="e">
        <f>SUMPRODUCT(SUMIF(SurtaxRatesSAS!$B$2:$B$324,$C261:$E261,SurtaxRatesSAS!$M$2:$M$324))</f>
        <v>#REF!</v>
      </c>
      <c r="Q261" s="39" t="e">
        <f>SUMPRODUCT(SUMIF(SurtaxRatesSAS!$B$2:$B$324,$C261:$E261,SurtaxRatesSAS!$N$2:$N$324))</f>
        <v>#REF!</v>
      </c>
      <c r="R261" s="38"/>
      <c r="S261" s="39" t="e">
        <f t="shared" si="9"/>
        <v>#REF!</v>
      </c>
      <c r="T261" s="39" t="e">
        <f t="shared" si="10"/>
        <v>#REF!</v>
      </c>
      <c r="U261" s="39" t="e">
        <f t="shared" si="11"/>
        <v>#REF!</v>
      </c>
      <c r="V261" s="29"/>
      <c r="W261" s="31" t="str">
        <f>IF(K261&gt;0,INDEX(cfo!$C$2:$I$326,MATCH(SurtaxPayment!C261,cfo!$C$2:$C$326,0),7),"")</f>
        <v>blankep@live.siouxcityschools.com</v>
      </c>
      <c r="X261" s="31" t="str">
        <f>IF(IF(K261&gt;0,INDEX(cfo!$C$2:$K$326,MATCH(SurtaxPayment!C261,cfo!$C$2:$C$326,0),9),"")=0,"",IF(K261&gt;0,INDEX(cfo!$C$2:$K$326,MATCH(SurtaxPayment!C261,cfo!$C$2:$C$326,0),9),""))</f>
        <v>zimmerm@live.siouxcityschools.com</v>
      </c>
    </row>
    <row r="262" spans="1:24" x14ac:dyDescent="0.25">
      <c r="A262" s="52">
        <v>2025</v>
      </c>
      <c r="B262" s="52" t="s">
        <v>663</v>
      </c>
      <c r="C262" s="57" t="s">
        <v>575</v>
      </c>
      <c r="D262" s="58" t="s">
        <v>693</v>
      </c>
      <c r="E262" s="58" t="s">
        <v>693</v>
      </c>
      <c r="F262" s="58" t="s">
        <v>575</v>
      </c>
      <c r="G262" s="57" t="s">
        <v>232</v>
      </c>
      <c r="H262" s="39">
        <f>SUMPRODUCT(SUMIF(SurtaxRatesSAS!$B$2:$B$324,$C262:$E262,SurtaxRatesSAS!$E$2:$E$324))</f>
        <v>0</v>
      </c>
      <c r="I262" s="39">
        <f>SUMPRODUCT(SUMIF(SurtaxRatesSAS!$B$2:$B$324,$C262:$E262,SurtaxRatesSAS!$D$2:$D$324))</f>
        <v>1</v>
      </c>
      <c r="J262" s="38"/>
      <c r="K262" s="39">
        <f>SUMPRODUCT(SUMIF(SurtaxRatesSAS!$B$2:$B$324,$C262:$E262,SurtaxRatesSAS!$G$2:$G$324))</f>
        <v>157387.04</v>
      </c>
      <c r="L262" s="39">
        <f>SUMPRODUCT(SUMIF(SurtaxRatesSAS!$B$2:$B$324,$C262:$E262,SurtaxRatesSAS!$H$2:$H$324))</f>
        <v>0</v>
      </c>
      <c r="M262" s="39">
        <f>SUMPRODUCT(SUMIF(SurtaxRatesSAS!$B$2:$B$324,$C262:$E262,SurtaxRatesSAS!$I$2:$I$324))</f>
        <v>157387.04</v>
      </c>
      <c r="N262" s="38"/>
      <c r="O262" s="39" t="e">
        <f>SUMPRODUCT(SUMIF(SurtaxRatesSAS!$B$2:$B$324,$C262:$E262,SurtaxRatesSAS!$L$2:$L$324))</f>
        <v>#REF!</v>
      </c>
      <c r="P262" s="39" t="e">
        <f>SUMPRODUCT(SUMIF(SurtaxRatesSAS!$B$2:$B$324,$C262:$E262,SurtaxRatesSAS!$M$2:$M$324))</f>
        <v>#REF!</v>
      </c>
      <c r="Q262" s="39" t="e">
        <f>SUMPRODUCT(SUMIF(SurtaxRatesSAS!$B$2:$B$324,$C262:$E262,SurtaxRatesSAS!$N$2:$N$324))</f>
        <v>#REF!</v>
      </c>
      <c r="R262" s="38"/>
      <c r="S262" s="39" t="e">
        <f t="shared" si="9"/>
        <v>#REF!</v>
      </c>
      <c r="T262" s="39" t="e">
        <f t="shared" si="10"/>
        <v>#REF!</v>
      </c>
      <c r="U262" s="39" t="e">
        <f t="shared" si="11"/>
        <v>#REF!</v>
      </c>
      <c r="V262" s="29"/>
      <c r="W262" s="31" t="str">
        <f>IF(K262&gt;0,INDEX(cfo!$C$2:$I$326,MATCH(SurtaxPayment!C262,cfo!$C$2:$C$326,0),7),"")</f>
        <v>pmoore@solon.k12.ia.us</v>
      </c>
      <c r="X262" s="31" t="str">
        <f>IF(IF(K262&gt;0,INDEX(cfo!$C$2:$K$326,MATCH(SurtaxPayment!C262,cfo!$C$2:$C$326,0),9),"")=0,"",IF(K262&gt;0,INDEX(cfo!$C$2:$K$326,MATCH(SurtaxPayment!C262,cfo!$C$2:$C$326,0),9),""))</f>
        <v/>
      </c>
    </row>
    <row r="263" spans="1:24" x14ac:dyDescent="0.25">
      <c r="A263" s="52">
        <v>2025</v>
      </c>
      <c r="B263" s="52" t="s">
        <v>661</v>
      </c>
      <c r="C263" s="57" t="s">
        <v>651</v>
      </c>
      <c r="D263" s="58" t="s">
        <v>693</v>
      </c>
      <c r="E263" s="58" t="s">
        <v>693</v>
      </c>
      <c r="F263" s="58" t="s">
        <v>651</v>
      </c>
      <c r="G263" s="57" t="s">
        <v>730</v>
      </c>
      <c r="H263" s="39">
        <f>SUMPRODUCT(SUMIF(SurtaxRatesSAS!$B$2:$B$324,$C263:$E263,SurtaxRatesSAS!$E$2:$E$324))</f>
        <v>0</v>
      </c>
      <c r="I263" s="39">
        <f>SUMPRODUCT(SUMIF(SurtaxRatesSAS!$B$2:$B$324,$C263:$E263,SurtaxRatesSAS!$D$2:$D$324))</f>
        <v>1</v>
      </c>
      <c r="J263" s="38"/>
      <c r="K263" s="39">
        <f>SUMPRODUCT(SUMIF(SurtaxRatesSAS!$B$2:$B$324,$C263:$E263,SurtaxRatesSAS!$G$2:$G$324))</f>
        <v>54219.06</v>
      </c>
      <c r="L263" s="39">
        <f>SUMPRODUCT(SUMIF(SurtaxRatesSAS!$B$2:$B$324,$C263:$E263,SurtaxRatesSAS!$H$2:$H$324))</f>
        <v>0</v>
      </c>
      <c r="M263" s="39">
        <f>SUMPRODUCT(SUMIF(SurtaxRatesSAS!$B$2:$B$324,$C263:$E263,SurtaxRatesSAS!$I$2:$I$324))</f>
        <v>54219.06</v>
      </c>
      <c r="N263" s="38"/>
      <c r="O263" s="39" t="e">
        <f>SUMPRODUCT(SUMIF(SurtaxRatesSAS!$B$2:$B$324,$C263:$E263,SurtaxRatesSAS!$L$2:$L$324))</f>
        <v>#REF!</v>
      </c>
      <c r="P263" s="39" t="e">
        <f>SUMPRODUCT(SUMIF(SurtaxRatesSAS!$B$2:$B$324,$C263:$E263,SurtaxRatesSAS!$M$2:$M$324))</f>
        <v>#REF!</v>
      </c>
      <c r="Q263" s="39" t="e">
        <f>SUMPRODUCT(SUMIF(SurtaxRatesSAS!$B$2:$B$324,$C263:$E263,SurtaxRatesSAS!$N$2:$N$324))</f>
        <v>#REF!</v>
      </c>
      <c r="R263" s="38"/>
      <c r="S263" s="39" t="e">
        <f t="shared" ref="S263:S326" si="12">SUM(K263,O263)</f>
        <v>#REF!</v>
      </c>
      <c r="T263" s="39" t="e">
        <f t="shared" ref="T263:T326" si="13">SUM(L263,P263)</f>
        <v>#REF!</v>
      </c>
      <c r="U263" s="39" t="e">
        <f t="shared" ref="U263:U326" si="14">SUM(M263,Q263)</f>
        <v>#REF!</v>
      </c>
      <c r="V263" s="29"/>
      <c r="W263" s="31" t="str">
        <f>IF(K263&gt;0,INDEX(cfo!$C$2:$I$326,MATCH(SurtaxPayment!C263,cfo!$C$2:$C$326,0),7),"")</f>
        <v>ccollins@scc.k12.ia.us</v>
      </c>
      <c r="X263" s="31" t="str">
        <f>IF(IF(K263&gt;0,INDEX(cfo!$C$2:$K$326,MATCH(SurtaxPayment!C263,cfo!$C$2:$C$326,0),9),"")=0,"",IF(K263&gt;0,INDEX(cfo!$C$2:$K$326,MATCH(SurtaxPayment!C263,cfo!$C$2:$C$326,0),9),""))</f>
        <v>bmccarter@scc.k12.ia.us</v>
      </c>
    </row>
    <row r="264" spans="1:24" x14ac:dyDescent="0.25">
      <c r="A264" s="52">
        <v>2025</v>
      </c>
      <c r="B264" s="52" t="s">
        <v>661</v>
      </c>
      <c r="C264" s="57" t="s">
        <v>577</v>
      </c>
      <c r="D264" s="58" t="s">
        <v>693</v>
      </c>
      <c r="E264" s="58" t="s">
        <v>693</v>
      </c>
      <c r="F264" s="58" t="s">
        <v>577</v>
      </c>
      <c r="G264" s="57" t="s">
        <v>233</v>
      </c>
      <c r="H264" s="39">
        <f>SUMPRODUCT(SUMIF(SurtaxRatesSAS!$B$2:$B$324,$C264:$E264,SurtaxRatesSAS!$E$2:$E$324))</f>
        <v>0</v>
      </c>
      <c r="I264" s="39">
        <f>SUMPRODUCT(SUMIF(SurtaxRatesSAS!$B$2:$B$324,$C264:$E264,SurtaxRatesSAS!$D$2:$D$324))</f>
        <v>7</v>
      </c>
      <c r="J264" s="38"/>
      <c r="K264" s="39">
        <f>SUMPRODUCT(SUMIF(SurtaxRatesSAS!$B$2:$B$324,$C264:$E264,SurtaxRatesSAS!$G$2:$G$324))</f>
        <v>318648.90999999997</v>
      </c>
      <c r="L264" s="39">
        <f>SUMPRODUCT(SUMIF(SurtaxRatesSAS!$B$2:$B$324,$C264:$E264,SurtaxRatesSAS!$H$2:$H$324))</f>
        <v>0</v>
      </c>
      <c r="M264" s="39">
        <f>SUMPRODUCT(SUMIF(SurtaxRatesSAS!$B$2:$B$324,$C264:$E264,SurtaxRatesSAS!$I$2:$I$324))</f>
        <v>318648.90999999997</v>
      </c>
      <c r="N264" s="38"/>
      <c r="O264" s="39" t="e">
        <f>SUMPRODUCT(SUMIF(SurtaxRatesSAS!$B$2:$B$324,$C264:$E264,SurtaxRatesSAS!$L$2:$L$324))</f>
        <v>#REF!</v>
      </c>
      <c r="P264" s="39" t="e">
        <f>SUMPRODUCT(SUMIF(SurtaxRatesSAS!$B$2:$B$324,$C264:$E264,SurtaxRatesSAS!$M$2:$M$324))</f>
        <v>#REF!</v>
      </c>
      <c r="Q264" s="39" t="e">
        <f>SUMPRODUCT(SUMIF(SurtaxRatesSAS!$B$2:$B$324,$C264:$E264,SurtaxRatesSAS!$N$2:$N$324))</f>
        <v>#REF!</v>
      </c>
      <c r="R264" s="38"/>
      <c r="S264" s="39" t="e">
        <f t="shared" si="12"/>
        <v>#REF!</v>
      </c>
      <c r="T264" s="39" t="e">
        <f t="shared" si="13"/>
        <v>#REF!</v>
      </c>
      <c r="U264" s="39" t="e">
        <f t="shared" si="14"/>
        <v>#REF!</v>
      </c>
      <c r="V264" s="29"/>
      <c r="W264" s="31" t="str">
        <f>IF(K264&gt;0,INDEX(cfo!$C$2:$I$326,MATCH(SurtaxPayment!C264,cfo!$C$2:$C$326,0),7),"")</f>
        <v>lisa_ziesman@s-hamilton.k12.ia.us</v>
      </c>
      <c r="X264" s="31" t="str">
        <f>IF(IF(K264&gt;0,INDEX(cfo!$C$2:$K$326,MATCH(SurtaxPayment!C264,cfo!$C$2:$C$326,0),9),"")=0,"",IF(K264&gt;0,INDEX(cfo!$C$2:$K$326,MATCH(SurtaxPayment!C264,cfo!$C$2:$C$326,0),9),""))</f>
        <v/>
      </c>
    </row>
    <row r="265" spans="1:24" x14ac:dyDescent="0.25">
      <c r="A265" s="52">
        <v>2025</v>
      </c>
      <c r="B265" s="52" t="s">
        <v>660</v>
      </c>
      <c r="C265" s="57" t="s">
        <v>543</v>
      </c>
      <c r="D265" s="58" t="s">
        <v>693</v>
      </c>
      <c r="E265" s="58" t="s">
        <v>693</v>
      </c>
      <c r="F265" s="58" t="s">
        <v>675</v>
      </c>
      <c r="G265" s="57" t="s">
        <v>234</v>
      </c>
      <c r="H265" s="39">
        <f>SUMPRODUCT(SUMIF(SurtaxRatesSAS!$B$2:$B$324,$C265:$E265,SurtaxRatesSAS!$E$2:$E$324))</f>
        <v>4</v>
      </c>
      <c r="I265" s="39">
        <f>SUMPRODUCT(SUMIF(SurtaxRatesSAS!$B$2:$B$324,$C265:$E265,SurtaxRatesSAS!$D$2:$D$324))</f>
        <v>6</v>
      </c>
      <c r="J265" s="38"/>
      <c r="K265" s="39">
        <f>SUMPRODUCT(SUMIF(SurtaxRatesSAS!$B$2:$B$324,$C265:$E265,SurtaxRatesSAS!$G$2:$G$324))</f>
        <v>429307.42</v>
      </c>
      <c r="L265" s="39">
        <f>SUMPRODUCT(SUMIF(SurtaxRatesSAS!$B$2:$B$324,$C265:$E265,SurtaxRatesSAS!$H$2:$H$324))</f>
        <v>171722.97</v>
      </c>
      <c r="M265" s="39">
        <f>SUMPRODUCT(SUMIF(SurtaxRatesSAS!$B$2:$B$324,$C265:$E265,SurtaxRatesSAS!$I$2:$I$324))</f>
        <v>257584.44999999998</v>
      </c>
      <c r="N265" s="38"/>
      <c r="O265" s="39" t="e">
        <f>SUMPRODUCT(SUMIF(SurtaxRatesSAS!$B$2:$B$324,$C265:$E265,SurtaxRatesSAS!$L$2:$L$324))</f>
        <v>#REF!</v>
      </c>
      <c r="P265" s="39" t="e">
        <f>SUMPRODUCT(SUMIF(SurtaxRatesSAS!$B$2:$B$324,$C265:$E265,SurtaxRatesSAS!$M$2:$M$324))</f>
        <v>#REF!</v>
      </c>
      <c r="Q265" s="39" t="e">
        <f>SUMPRODUCT(SUMIF(SurtaxRatesSAS!$B$2:$B$324,$C265:$E265,SurtaxRatesSAS!$N$2:$N$324))</f>
        <v>#REF!</v>
      </c>
      <c r="R265" s="38"/>
      <c r="S265" s="39" t="e">
        <f t="shared" si="12"/>
        <v>#REF!</v>
      </c>
      <c r="T265" s="39" t="e">
        <f t="shared" si="13"/>
        <v>#REF!</v>
      </c>
      <c r="U265" s="39" t="e">
        <f t="shared" si="14"/>
        <v>#REF!</v>
      </c>
      <c r="V265" s="29"/>
      <c r="W265" s="31" t="str">
        <f>IF(K265&gt;0,INDEX(cfo!$C$2:$I$326,MATCH(SurtaxPayment!C265,cfo!$C$2:$C$326,0),7),"")</f>
        <v>agiese@soswolverines.org</v>
      </c>
      <c r="X265" s="31" t="str">
        <f>IF(IF(K265&gt;0,INDEX(cfo!$C$2:$K$326,MATCH(SurtaxPayment!C265,cfo!$C$2:$C$326,0),9),"")=0,"",IF(K265&gt;0,INDEX(cfo!$C$2:$K$326,MATCH(SurtaxPayment!C265,cfo!$C$2:$C$326,0),9),""))</f>
        <v/>
      </c>
    </row>
    <row r="266" spans="1:24" x14ac:dyDescent="0.25">
      <c r="A266" s="52">
        <v>2025</v>
      </c>
      <c r="B266" s="52" t="s">
        <v>659</v>
      </c>
      <c r="C266" s="57" t="s">
        <v>579</v>
      </c>
      <c r="D266" s="58" t="s">
        <v>693</v>
      </c>
      <c r="E266" s="58" t="s">
        <v>693</v>
      </c>
      <c r="F266" s="58" t="s">
        <v>579</v>
      </c>
      <c r="G266" s="57" t="s">
        <v>235</v>
      </c>
      <c r="H266" s="39">
        <f>SUMPRODUCT(SUMIF(SurtaxRatesSAS!$B$2:$B$324,$C266:$E266,SurtaxRatesSAS!$E$2:$E$324))</f>
        <v>0</v>
      </c>
      <c r="I266" s="39">
        <f>SUMPRODUCT(SUMIF(SurtaxRatesSAS!$B$2:$B$324,$C266:$E266,SurtaxRatesSAS!$D$2:$D$324))</f>
        <v>5</v>
      </c>
      <c r="J266" s="38"/>
      <c r="K266" s="39">
        <f>SUMPRODUCT(SUMIF(SurtaxRatesSAS!$B$2:$B$324,$C266:$E266,SurtaxRatesSAS!$G$2:$G$324))</f>
        <v>46206.68</v>
      </c>
      <c r="L266" s="39">
        <f>SUMPRODUCT(SUMIF(SurtaxRatesSAS!$B$2:$B$324,$C266:$E266,SurtaxRatesSAS!$H$2:$H$324))</f>
        <v>0</v>
      </c>
      <c r="M266" s="39">
        <f>SUMPRODUCT(SUMIF(SurtaxRatesSAS!$B$2:$B$324,$C266:$E266,SurtaxRatesSAS!$I$2:$I$324))</f>
        <v>46206.68</v>
      </c>
      <c r="N266" s="38"/>
      <c r="O266" s="39" t="e">
        <f>SUMPRODUCT(SUMIF(SurtaxRatesSAS!$B$2:$B$324,$C266:$E266,SurtaxRatesSAS!$L$2:$L$324))</f>
        <v>#REF!</v>
      </c>
      <c r="P266" s="39" t="e">
        <f>SUMPRODUCT(SUMIF(SurtaxRatesSAS!$B$2:$B$324,$C266:$E266,SurtaxRatesSAS!$M$2:$M$324))</f>
        <v>#REF!</v>
      </c>
      <c r="Q266" s="39" t="e">
        <f>SUMPRODUCT(SUMIF(SurtaxRatesSAS!$B$2:$B$324,$C266:$E266,SurtaxRatesSAS!$N$2:$N$324))</f>
        <v>#REF!</v>
      </c>
      <c r="R266" s="38"/>
      <c r="S266" s="39" t="e">
        <f t="shared" si="12"/>
        <v>#REF!</v>
      </c>
      <c r="T266" s="39" t="e">
        <f t="shared" si="13"/>
        <v>#REF!</v>
      </c>
      <c r="U266" s="39" t="e">
        <f t="shared" si="14"/>
        <v>#REF!</v>
      </c>
      <c r="V266" s="29"/>
      <c r="W266" s="31" t="str">
        <f>IF(K266&gt;0,INDEX(cfo!$C$2:$I$326,MATCH(SurtaxPayment!C266,cfo!$C$2:$C$326,0),7),"")</f>
        <v>sharonhart@southpageschools.com</v>
      </c>
      <c r="X266" s="31" t="str">
        <f>IF(IF(K266&gt;0,INDEX(cfo!$C$2:$K$326,MATCH(SurtaxPayment!C266,cfo!$C$2:$C$326,0),9),"")=0,"",IF(K266&gt;0,INDEX(cfo!$C$2:$K$326,MATCH(SurtaxPayment!C266,cfo!$C$2:$C$326,0),9),""))</f>
        <v/>
      </c>
    </row>
    <row r="267" spans="1:24" x14ac:dyDescent="0.25">
      <c r="A267" s="52">
        <v>2025</v>
      </c>
      <c r="B267" s="52" t="s">
        <v>658</v>
      </c>
      <c r="C267" s="57" t="s">
        <v>580</v>
      </c>
      <c r="D267" s="58" t="s">
        <v>693</v>
      </c>
      <c r="E267" s="58" t="s">
        <v>693</v>
      </c>
      <c r="F267" s="58" t="s">
        <v>580</v>
      </c>
      <c r="G267" s="57" t="s">
        <v>236</v>
      </c>
      <c r="H267" s="39">
        <f>SUMPRODUCT(SUMIF(SurtaxRatesSAS!$B$2:$B$324,$C267:$E267,SurtaxRatesSAS!$E$2:$E$324))</f>
        <v>0</v>
      </c>
      <c r="I267" s="39">
        <f>SUMPRODUCT(SUMIF(SurtaxRatesSAS!$B$2:$B$324,$C267:$E267,SurtaxRatesSAS!$D$2:$D$324))</f>
        <v>4</v>
      </c>
      <c r="J267" s="38"/>
      <c r="K267" s="39">
        <f>SUMPRODUCT(SUMIF(SurtaxRatesSAS!$B$2:$B$324,$C267:$E267,SurtaxRatesSAS!$G$2:$G$324))</f>
        <v>255359.09</v>
      </c>
      <c r="L267" s="39">
        <f>SUMPRODUCT(SUMIF(SurtaxRatesSAS!$B$2:$B$324,$C267:$E267,SurtaxRatesSAS!$H$2:$H$324))</f>
        <v>0</v>
      </c>
      <c r="M267" s="39">
        <f>SUMPRODUCT(SUMIF(SurtaxRatesSAS!$B$2:$B$324,$C267:$E267,SurtaxRatesSAS!$I$2:$I$324))</f>
        <v>255359.09</v>
      </c>
      <c r="N267" s="38"/>
      <c r="O267" s="39" t="e">
        <f>SUMPRODUCT(SUMIF(SurtaxRatesSAS!$B$2:$B$324,$C267:$E267,SurtaxRatesSAS!$L$2:$L$324))</f>
        <v>#REF!</v>
      </c>
      <c r="P267" s="39" t="e">
        <f>SUMPRODUCT(SUMIF(SurtaxRatesSAS!$B$2:$B$324,$C267:$E267,SurtaxRatesSAS!$M$2:$M$324))</f>
        <v>#REF!</v>
      </c>
      <c r="Q267" s="39" t="e">
        <f>SUMPRODUCT(SUMIF(SurtaxRatesSAS!$B$2:$B$324,$C267:$E267,SurtaxRatesSAS!$N$2:$N$324))</f>
        <v>#REF!</v>
      </c>
      <c r="R267" s="38"/>
      <c r="S267" s="39" t="e">
        <f t="shared" si="12"/>
        <v>#REF!</v>
      </c>
      <c r="T267" s="39" t="e">
        <f t="shared" si="13"/>
        <v>#REF!</v>
      </c>
      <c r="U267" s="39" t="e">
        <f t="shared" si="14"/>
        <v>#REF!</v>
      </c>
      <c r="V267" s="29"/>
      <c r="W267" s="31" t="str">
        <f>IF(K267&gt;0,INDEX(cfo!$C$2:$I$326,MATCH(SurtaxPayment!C267,cfo!$C$2:$C$326,0),7),"")</f>
        <v>kmathern@s-tama.k12.ia.us</v>
      </c>
      <c r="X267" s="31" t="str">
        <f>IF(IF(K267&gt;0,INDEX(cfo!$C$2:$K$326,MATCH(SurtaxPayment!C267,cfo!$C$2:$C$326,0),9),"")=0,"",IF(K267&gt;0,INDEX(cfo!$C$2:$K$326,MATCH(SurtaxPayment!C267,cfo!$C$2:$C$326,0),9),""))</f>
        <v/>
      </c>
    </row>
    <row r="268" spans="1:24" x14ac:dyDescent="0.25">
      <c r="A268" s="52">
        <v>2025</v>
      </c>
      <c r="B268" s="52" t="s">
        <v>665</v>
      </c>
      <c r="C268" s="57" t="s">
        <v>581</v>
      </c>
      <c r="D268" s="58" t="s">
        <v>693</v>
      </c>
      <c r="E268" s="58" t="s">
        <v>693</v>
      </c>
      <c r="F268" s="58" t="s">
        <v>581</v>
      </c>
      <c r="G268" s="57" t="s">
        <v>237</v>
      </c>
      <c r="H268" s="39">
        <f>SUMPRODUCT(SUMIF(SurtaxRatesSAS!$B$2:$B$324,$C268:$E268,SurtaxRatesSAS!$E$2:$E$324))</f>
        <v>3</v>
      </c>
      <c r="I268" s="39">
        <f>SUMPRODUCT(SUMIF(SurtaxRatesSAS!$B$2:$B$324,$C268:$E268,SurtaxRatesSAS!$D$2:$D$324))</f>
        <v>3</v>
      </c>
      <c r="J268" s="38"/>
      <c r="K268" s="39">
        <f>SUMPRODUCT(SUMIF(SurtaxRatesSAS!$B$2:$B$324,$C268:$E268,SurtaxRatesSAS!$G$2:$G$324))</f>
        <v>244609.36</v>
      </c>
      <c r="L268" s="39">
        <f>SUMPRODUCT(SUMIF(SurtaxRatesSAS!$B$2:$B$324,$C268:$E268,SurtaxRatesSAS!$H$2:$H$324))</f>
        <v>122304.68</v>
      </c>
      <c r="M268" s="39">
        <f>SUMPRODUCT(SUMIF(SurtaxRatesSAS!$B$2:$B$324,$C268:$E268,SurtaxRatesSAS!$I$2:$I$324))</f>
        <v>122304.68</v>
      </c>
      <c r="N268" s="38"/>
      <c r="O268" s="39" t="e">
        <f>SUMPRODUCT(SUMIF(SurtaxRatesSAS!$B$2:$B$324,$C268:$E268,SurtaxRatesSAS!$L$2:$L$324))</f>
        <v>#REF!</v>
      </c>
      <c r="P268" s="39" t="e">
        <f>SUMPRODUCT(SUMIF(SurtaxRatesSAS!$B$2:$B$324,$C268:$E268,SurtaxRatesSAS!$M$2:$M$324))</f>
        <v>#REF!</v>
      </c>
      <c r="Q268" s="39" t="e">
        <f>SUMPRODUCT(SUMIF(SurtaxRatesSAS!$B$2:$B$324,$C268:$E268,SurtaxRatesSAS!$N$2:$N$324))</f>
        <v>#REF!</v>
      </c>
      <c r="R268" s="38"/>
      <c r="S268" s="39" t="e">
        <f t="shared" si="12"/>
        <v>#REF!</v>
      </c>
      <c r="T268" s="39" t="e">
        <f t="shared" si="13"/>
        <v>#REF!</v>
      </c>
      <c r="U268" s="39" t="e">
        <f t="shared" si="14"/>
        <v>#REF!</v>
      </c>
      <c r="V268" s="29"/>
      <c r="W268" s="31" t="str">
        <f>IF(K268&gt;0,INDEX(cfo!$C$2:$I$326,MATCH(SurtaxPayment!C268,cfo!$C$2:$C$326,0),7),"")</f>
        <v>ksmith@swinn.k12.ia.us</v>
      </c>
      <c r="X268" s="31" t="str">
        <f>IF(IF(K268&gt;0,INDEX(cfo!$C$2:$K$326,MATCH(SurtaxPayment!C268,cfo!$C$2:$C$326,0),9),"")=0,"",IF(K268&gt;0,INDEX(cfo!$C$2:$K$326,MATCH(SurtaxPayment!C268,cfo!$C$2:$C$326,0),9),""))</f>
        <v/>
      </c>
    </row>
    <row r="269" spans="1:24" x14ac:dyDescent="0.25">
      <c r="A269" s="52">
        <v>2025</v>
      </c>
      <c r="B269" s="52" t="s">
        <v>657</v>
      </c>
      <c r="C269" s="57" t="s">
        <v>582</v>
      </c>
      <c r="D269" s="58" t="s">
        <v>693</v>
      </c>
      <c r="E269" s="58" t="s">
        <v>693</v>
      </c>
      <c r="F269" s="58" t="s">
        <v>582</v>
      </c>
      <c r="G269" s="57" t="s">
        <v>238</v>
      </c>
      <c r="H269" s="39">
        <f>SUMPRODUCT(SUMIF(SurtaxRatesSAS!$B$2:$B$324,$C269:$E269,SurtaxRatesSAS!$E$2:$E$324))</f>
        <v>0</v>
      </c>
      <c r="I269" s="39">
        <f>SUMPRODUCT(SUMIF(SurtaxRatesSAS!$B$2:$B$324,$C269:$E269,SurtaxRatesSAS!$D$2:$D$324))</f>
        <v>5</v>
      </c>
      <c r="J269" s="38"/>
      <c r="K269" s="39">
        <f>SUMPRODUCT(SUMIF(SurtaxRatesSAS!$B$2:$B$324,$C269:$E269,SurtaxRatesSAS!$G$2:$G$324))</f>
        <v>2861507.22</v>
      </c>
      <c r="L269" s="39">
        <f>SUMPRODUCT(SUMIF(SurtaxRatesSAS!$B$2:$B$324,$C269:$E269,SurtaxRatesSAS!$H$2:$H$324))</f>
        <v>0</v>
      </c>
      <c r="M269" s="39">
        <f>SUMPRODUCT(SUMIF(SurtaxRatesSAS!$B$2:$B$324,$C269:$E269,SurtaxRatesSAS!$I$2:$I$324))</f>
        <v>2861507.22</v>
      </c>
      <c r="N269" s="38"/>
      <c r="O269" s="39" t="e">
        <f>SUMPRODUCT(SUMIF(SurtaxRatesSAS!$B$2:$B$324,$C269:$E269,SurtaxRatesSAS!$L$2:$L$324))</f>
        <v>#REF!</v>
      </c>
      <c r="P269" s="39" t="e">
        <f>SUMPRODUCT(SUMIF(SurtaxRatesSAS!$B$2:$B$324,$C269:$E269,SurtaxRatesSAS!$M$2:$M$324))</f>
        <v>#REF!</v>
      </c>
      <c r="Q269" s="39" t="e">
        <f>SUMPRODUCT(SUMIF(SurtaxRatesSAS!$B$2:$B$324,$C269:$E269,SurtaxRatesSAS!$N$2:$N$324))</f>
        <v>#REF!</v>
      </c>
      <c r="R269" s="38"/>
      <c r="S269" s="39" t="e">
        <f t="shared" si="12"/>
        <v>#REF!</v>
      </c>
      <c r="T269" s="39" t="e">
        <f t="shared" si="13"/>
        <v>#REF!</v>
      </c>
      <c r="U269" s="39" t="e">
        <f t="shared" si="14"/>
        <v>#REF!</v>
      </c>
      <c r="V269" s="29"/>
      <c r="W269" s="31" t="str">
        <f>IF(K269&gt;0,INDEX(cfo!$C$2:$I$326,MATCH(SurtaxPayment!C269,cfo!$C$2:$C$326,0),7),"")</f>
        <v>kevin.baccam@southeastpolk.org</v>
      </c>
      <c r="X269" s="31" t="str">
        <f>IF(IF(K269&gt;0,INDEX(cfo!$C$2:$K$326,MATCH(SurtaxPayment!C269,cfo!$C$2:$C$326,0),9),"")=0,"",IF(K269&gt;0,INDEX(cfo!$C$2:$K$326,MATCH(SurtaxPayment!C269,cfo!$C$2:$C$326,0),9),""))</f>
        <v>lisa.stewart@southeastpolk.org</v>
      </c>
    </row>
    <row r="270" spans="1:24" x14ac:dyDescent="0.25">
      <c r="A270" s="52">
        <v>2025</v>
      </c>
      <c r="B270" s="52" t="s">
        <v>657</v>
      </c>
      <c r="C270" s="57" t="s">
        <v>576</v>
      </c>
      <c r="D270" s="58" t="s">
        <v>693</v>
      </c>
      <c r="E270" s="58" t="s">
        <v>693</v>
      </c>
      <c r="F270" s="58" t="s">
        <v>576</v>
      </c>
      <c r="G270" s="57" t="s">
        <v>239</v>
      </c>
      <c r="H270" s="39">
        <f>SUMPRODUCT(SUMIF(SurtaxRatesSAS!$B$2:$B$324,$C270:$E270,SurtaxRatesSAS!$E$2:$E$324))</f>
        <v>0</v>
      </c>
      <c r="I270" s="39">
        <f>SUMPRODUCT(SUMIF(SurtaxRatesSAS!$B$2:$B$324,$C270:$E270,SurtaxRatesSAS!$D$2:$D$324))</f>
        <v>5</v>
      </c>
      <c r="J270" s="38"/>
      <c r="K270" s="39">
        <f>SUMPRODUCT(SUMIF(SurtaxRatesSAS!$B$2:$B$324,$C270:$E270,SurtaxRatesSAS!$G$2:$G$324))</f>
        <v>162289.54</v>
      </c>
      <c r="L270" s="39">
        <f>SUMPRODUCT(SUMIF(SurtaxRatesSAS!$B$2:$B$324,$C270:$E270,SurtaxRatesSAS!$H$2:$H$324))</f>
        <v>0</v>
      </c>
      <c r="M270" s="39">
        <f>SUMPRODUCT(SUMIF(SurtaxRatesSAS!$B$2:$B$324,$C270:$E270,SurtaxRatesSAS!$I$2:$I$324))</f>
        <v>162289.54</v>
      </c>
      <c r="N270" s="38"/>
      <c r="O270" s="39" t="e">
        <f>SUMPRODUCT(SUMIF(SurtaxRatesSAS!$B$2:$B$324,$C270:$E270,SurtaxRatesSAS!$L$2:$L$324))</f>
        <v>#REF!</v>
      </c>
      <c r="P270" s="39" t="e">
        <f>SUMPRODUCT(SUMIF(SurtaxRatesSAS!$B$2:$B$324,$C270:$E270,SurtaxRatesSAS!$M$2:$M$324))</f>
        <v>#REF!</v>
      </c>
      <c r="Q270" s="39" t="e">
        <f>SUMPRODUCT(SUMIF(SurtaxRatesSAS!$B$2:$B$324,$C270:$E270,SurtaxRatesSAS!$N$2:$N$324))</f>
        <v>#REF!</v>
      </c>
      <c r="R270" s="38"/>
      <c r="S270" s="39" t="e">
        <f t="shared" si="12"/>
        <v>#REF!</v>
      </c>
      <c r="T270" s="39" t="e">
        <f t="shared" si="13"/>
        <v>#REF!</v>
      </c>
      <c r="U270" s="39" t="e">
        <f t="shared" si="14"/>
        <v>#REF!</v>
      </c>
      <c r="V270" s="29"/>
      <c r="W270" s="31" t="str">
        <f>IF(K270&gt;0,INDEX(cfo!$C$2:$I$326,MATCH(SurtaxPayment!C270,cfo!$C$2:$C$326,0),7),"")</f>
        <v>dalton.weeks@se-warren.k12.ia.us</v>
      </c>
      <c r="X270" s="31" t="str">
        <f>IF(IF(K270&gt;0,INDEX(cfo!$C$2:$K$326,MATCH(SurtaxPayment!C270,cfo!$C$2:$C$326,0),9),"")=0,"",IF(K270&gt;0,INDEX(cfo!$C$2:$K$326,MATCH(SurtaxPayment!C270,cfo!$C$2:$C$326,0),9),""))</f>
        <v/>
      </c>
    </row>
    <row r="271" spans="1:24" x14ac:dyDescent="0.25">
      <c r="A271" s="52">
        <v>2025</v>
      </c>
      <c r="B271" s="52" t="s">
        <v>661</v>
      </c>
      <c r="C271" s="57" t="s">
        <v>578</v>
      </c>
      <c r="D271" s="58" t="s">
        <v>552</v>
      </c>
      <c r="E271" s="58" t="s">
        <v>693</v>
      </c>
      <c r="F271" s="58" t="s">
        <v>578</v>
      </c>
      <c r="G271" s="57" t="s">
        <v>1681</v>
      </c>
      <c r="H271" s="39">
        <f>SUMPRODUCT(SUMIF(SurtaxRatesSAS!$B$2:$B$324,$C271:$E271,SurtaxRatesSAS!$E$2:$E$324))</f>
        <v>1</v>
      </c>
      <c r="I271" s="39">
        <f>SUMPRODUCT(SUMIF(SurtaxRatesSAS!$B$2:$B$324,$C271:$E271,SurtaxRatesSAS!$D$2:$D$324))</f>
        <v>5</v>
      </c>
      <c r="J271" s="38"/>
      <c r="K271" s="39">
        <f>SUMPRODUCT(SUMIF(SurtaxRatesSAS!$B$2:$B$324,$C271:$E271,SurtaxRatesSAS!$G$2:$G$324))</f>
        <v>360508.47</v>
      </c>
      <c r="L271" s="39">
        <f>SUMPRODUCT(SUMIF(SurtaxRatesSAS!$B$2:$B$324,$C271:$E271,SurtaxRatesSAS!$H$2:$H$324))</f>
        <v>60084.75</v>
      </c>
      <c r="M271" s="39">
        <f>SUMPRODUCT(SUMIF(SurtaxRatesSAS!$B$2:$B$324,$C271:$E271,SurtaxRatesSAS!$I$2:$I$324))</f>
        <v>300423.71999999997</v>
      </c>
      <c r="N271" s="38"/>
      <c r="O271" s="39" t="e">
        <f>SUMPRODUCT(SUMIF(SurtaxRatesSAS!$B$2:$B$324,$C271:$E271,SurtaxRatesSAS!$L$2:$L$324))</f>
        <v>#REF!</v>
      </c>
      <c r="P271" s="39" t="e">
        <f>SUMPRODUCT(SUMIF(SurtaxRatesSAS!$B$2:$B$324,$C271:$E271,SurtaxRatesSAS!$M$2:$M$324))</f>
        <v>#REF!</v>
      </c>
      <c r="Q271" s="39" t="e">
        <f>SUMPRODUCT(SUMIF(SurtaxRatesSAS!$B$2:$B$324,$C271:$E271,SurtaxRatesSAS!$N$2:$N$324))</f>
        <v>#REF!</v>
      </c>
      <c r="R271" s="38"/>
      <c r="S271" s="39" t="e">
        <f t="shared" si="12"/>
        <v>#REF!</v>
      </c>
      <c r="T271" s="39" t="e">
        <f t="shared" si="13"/>
        <v>#REF!</v>
      </c>
      <c r="U271" s="39" t="e">
        <f t="shared" si="14"/>
        <v>#REF!</v>
      </c>
      <c r="V271" s="29"/>
      <c r="W271" s="31" t="str">
        <f>IF(K271&gt;0,INDEX(cfo!$C$2:$I$326,MATCH(SurtaxPayment!C271,cfo!$C$2:$C$326,0),7),"")</f>
        <v>lwillardson@svjags.org</v>
      </c>
      <c r="X271" s="31" t="str">
        <f>IF(IF(K271&gt;0,INDEX(cfo!$C$2:$K$326,MATCH(SurtaxPayment!C271,cfo!$C$2:$C$326,0),9),"")=0,"",IF(K271&gt;0,INDEX(cfo!$C$2:$K$326,MATCH(SurtaxPayment!C271,cfo!$C$2:$C$326,0),9),""))</f>
        <v/>
      </c>
    </row>
    <row r="272" spans="1:24" x14ac:dyDescent="0.25">
      <c r="A272" s="52">
        <v>2025</v>
      </c>
      <c r="B272" s="52" t="s">
        <v>661</v>
      </c>
      <c r="C272" s="57" t="s">
        <v>583</v>
      </c>
      <c r="D272" s="58" t="s">
        <v>693</v>
      </c>
      <c r="E272" s="58" t="s">
        <v>693</v>
      </c>
      <c r="F272" s="58" t="s">
        <v>583</v>
      </c>
      <c r="G272" s="57" t="s">
        <v>241</v>
      </c>
      <c r="H272" s="39">
        <f>SUMPRODUCT(SUMIF(SurtaxRatesSAS!$B$2:$B$324,$C272:$E272,SurtaxRatesSAS!$E$2:$E$324))</f>
        <v>0</v>
      </c>
      <c r="I272" s="39">
        <f>SUMPRODUCT(SUMIF(SurtaxRatesSAS!$B$2:$B$324,$C272:$E272,SurtaxRatesSAS!$D$2:$D$324))</f>
        <v>4</v>
      </c>
      <c r="J272" s="38"/>
      <c r="K272" s="39">
        <f>SUMPRODUCT(SUMIF(SurtaxRatesSAS!$B$2:$B$324,$C272:$E272,SurtaxRatesSAS!$G$2:$G$324))</f>
        <v>549811.74</v>
      </c>
      <c r="L272" s="39">
        <f>SUMPRODUCT(SUMIF(SurtaxRatesSAS!$B$2:$B$324,$C272:$E272,SurtaxRatesSAS!$H$2:$H$324))</f>
        <v>0</v>
      </c>
      <c r="M272" s="39">
        <f>SUMPRODUCT(SUMIF(SurtaxRatesSAS!$B$2:$B$324,$C272:$E272,SurtaxRatesSAS!$I$2:$I$324))</f>
        <v>549811.74</v>
      </c>
      <c r="N272" s="38"/>
      <c r="O272" s="39" t="e">
        <f>SUMPRODUCT(SUMIF(SurtaxRatesSAS!$B$2:$B$324,$C272:$E272,SurtaxRatesSAS!$L$2:$L$324))</f>
        <v>#REF!</v>
      </c>
      <c r="P272" s="39" t="e">
        <f>SUMPRODUCT(SUMIF(SurtaxRatesSAS!$B$2:$B$324,$C272:$E272,SurtaxRatesSAS!$M$2:$M$324))</f>
        <v>#REF!</v>
      </c>
      <c r="Q272" s="39" t="e">
        <f>SUMPRODUCT(SUMIF(SurtaxRatesSAS!$B$2:$B$324,$C272:$E272,SurtaxRatesSAS!$N$2:$N$324))</f>
        <v>#REF!</v>
      </c>
      <c r="R272" s="38"/>
      <c r="S272" s="39" t="e">
        <f t="shared" si="12"/>
        <v>#REF!</v>
      </c>
      <c r="T272" s="39" t="e">
        <f t="shared" si="13"/>
        <v>#REF!</v>
      </c>
      <c r="U272" s="39" t="e">
        <f t="shared" si="14"/>
        <v>#REF!</v>
      </c>
      <c r="V272" s="29"/>
      <c r="W272" s="31" t="str">
        <f>IF(K272&gt;0,INDEX(cfo!$C$2:$I$326,MATCH(SurtaxPayment!C272,cfo!$C$2:$C$326,0),7),"")</f>
        <v>jeilts@spencerschools.org</v>
      </c>
      <c r="X272" s="31" t="str">
        <f>IF(IF(K272&gt;0,INDEX(cfo!$C$2:$K$326,MATCH(SurtaxPayment!C272,cfo!$C$2:$C$326,0),9),"")=0,"",IF(K272&gt;0,INDEX(cfo!$C$2:$K$326,MATCH(SurtaxPayment!C272,cfo!$C$2:$C$326,0),9),""))</f>
        <v/>
      </c>
    </row>
    <row r="273" spans="1:24" x14ac:dyDescent="0.25">
      <c r="A273" s="52">
        <v>2025</v>
      </c>
      <c r="B273" s="52" t="s">
        <v>661</v>
      </c>
      <c r="C273" s="57" t="s">
        <v>584</v>
      </c>
      <c r="D273" s="58" t="s">
        <v>693</v>
      </c>
      <c r="E273" s="58" t="s">
        <v>693</v>
      </c>
      <c r="F273" s="58" t="s">
        <v>584</v>
      </c>
      <c r="G273" s="57" t="s">
        <v>242</v>
      </c>
      <c r="H273" s="39">
        <f>SUMPRODUCT(SUMIF(SurtaxRatesSAS!$B$2:$B$324,$C273:$E273,SurtaxRatesSAS!$E$2:$E$324))</f>
        <v>0</v>
      </c>
      <c r="I273" s="39">
        <f>SUMPRODUCT(SUMIF(SurtaxRatesSAS!$B$2:$B$324,$C273:$E273,SurtaxRatesSAS!$D$2:$D$324))</f>
        <v>1</v>
      </c>
      <c r="J273" s="38"/>
      <c r="K273" s="39">
        <f>SUMPRODUCT(SUMIF(SurtaxRatesSAS!$B$2:$B$324,$C273:$E273,SurtaxRatesSAS!$G$2:$G$324))</f>
        <v>126351.47</v>
      </c>
      <c r="L273" s="39">
        <f>SUMPRODUCT(SUMIF(SurtaxRatesSAS!$B$2:$B$324,$C273:$E273,SurtaxRatesSAS!$H$2:$H$324))</f>
        <v>0</v>
      </c>
      <c r="M273" s="39">
        <f>SUMPRODUCT(SUMIF(SurtaxRatesSAS!$B$2:$B$324,$C273:$E273,SurtaxRatesSAS!$I$2:$I$324))</f>
        <v>126351.47</v>
      </c>
      <c r="N273" s="38"/>
      <c r="O273" s="39" t="e">
        <f>SUMPRODUCT(SUMIF(SurtaxRatesSAS!$B$2:$B$324,$C273:$E273,SurtaxRatesSAS!$L$2:$L$324))</f>
        <v>#REF!</v>
      </c>
      <c r="P273" s="39" t="e">
        <f>SUMPRODUCT(SUMIF(SurtaxRatesSAS!$B$2:$B$324,$C273:$E273,SurtaxRatesSAS!$M$2:$M$324))</f>
        <v>#REF!</v>
      </c>
      <c r="Q273" s="39" t="e">
        <f>SUMPRODUCT(SUMIF(SurtaxRatesSAS!$B$2:$B$324,$C273:$E273,SurtaxRatesSAS!$N$2:$N$324))</f>
        <v>#REF!</v>
      </c>
      <c r="R273" s="38"/>
      <c r="S273" s="39" t="e">
        <f t="shared" si="12"/>
        <v>#REF!</v>
      </c>
      <c r="T273" s="39" t="e">
        <f t="shared" si="13"/>
        <v>#REF!</v>
      </c>
      <c r="U273" s="39" t="e">
        <f t="shared" si="14"/>
        <v>#REF!</v>
      </c>
      <c r="V273" s="29"/>
      <c r="W273" s="31" t="str">
        <f>IF(K273&gt;0,INDEX(cfo!$C$2:$I$326,MATCH(SurtaxPayment!C273,cfo!$C$2:$C$326,0),7),"")</f>
        <v>aweber@spirit-lake.k12.ia.us</v>
      </c>
      <c r="X273" s="31" t="str">
        <f>IF(IF(K273&gt;0,INDEX(cfo!$C$2:$K$326,MATCH(SurtaxPayment!C273,cfo!$C$2:$C$326,0),9),"")=0,"",IF(K273&gt;0,INDEX(cfo!$C$2:$K$326,MATCH(SurtaxPayment!C273,cfo!$C$2:$C$326,0),9),""))</f>
        <v>jloveall@spirit-lake.k12.ia.us</v>
      </c>
    </row>
    <row r="274" spans="1:24" x14ac:dyDescent="0.25">
      <c r="A274" s="52">
        <v>2025</v>
      </c>
      <c r="B274" s="52" t="s">
        <v>663</v>
      </c>
      <c r="C274" s="57" t="s">
        <v>585</v>
      </c>
      <c r="D274" s="58" t="s">
        <v>693</v>
      </c>
      <c r="E274" s="58" t="s">
        <v>693</v>
      </c>
      <c r="F274" s="58" t="s">
        <v>585</v>
      </c>
      <c r="G274" s="57" t="s">
        <v>243</v>
      </c>
      <c r="H274" s="39">
        <f>SUMPRODUCT(SUMIF(SurtaxRatesSAS!$B$2:$B$324,$C274:$E274,SurtaxRatesSAS!$E$2:$E$324))</f>
        <v>0</v>
      </c>
      <c r="I274" s="39">
        <f>SUMPRODUCT(SUMIF(SurtaxRatesSAS!$B$2:$B$324,$C274:$E274,SurtaxRatesSAS!$D$2:$D$324))</f>
        <v>1</v>
      </c>
      <c r="J274" s="38"/>
      <c r="K274" s="39">
        <f>SUMPRODUCT(SUMIF(SurtaxRatesSAS!$B$2:$B$324,$C274:$E274,SurtaxRatesSAS!$G$2:$G$324))</f>
        <v>34611.56</v>
      </c>
      <c r="L274" s="39">
        <f>SUMPRODUCT(SUMIF(SurtaxRatesSAS!$B$2:$B$324,$C274:$E274,SurtaxRatesSAS!$H$2:$H$324))</f>
        <v>0</v>
      </c>
      <c r="M274" s="39">
        <f>SUMPRODUCT(SUMIF(SurtaxRatesSAS!$B$2:$B$324,$C274:$E274,SurtaxRatesSAS!$I$2:$I$324))</f>
        <v>34611.56</v>
      </c>
      <c r="N274" s="38"/>
      <c r="O274" s="39" t="e">
        <f>SUMPRODUCT(SUMIF(SurtaxRatesSAS!$B$2:$B$324,$C274:$E274,SurtaxRatesSAS!$L$2:$L$324))</f>
        <v>#REF!</v>
      </c>
      <c r="P274" s="39" t="e">
        <f>SUMPRODUCT(SUMIF(SurtaxRatesSAS!$B$2:$B$324,$C274:$E274,SurtaxRatesSAS!$M$2:$M$324))</f>
        <v>#REF!</v>
      </c>
      <c r="Q274" s="39" t="e">
        <f>SUMPRODUCT(SUMIF(SurtaxRatesSAS!$B$2:$B$324,$C274:$E274,SurtaxRatesSAS!$N$2:$N$324))</f>
        <v>#REF!</v>
      </c>
      <c r="R274" s="38"/>
      <c r="S274" s="39" t="e">
        <f t="shared" si="12"/>
        <v>#REF!</v>
      </c>
      <c r="T274" s="39" t="e">
        <f t="shared" si="13"/>
        <v>#REF!</v>
      </c>
      <c r="U274" s="39" t="e">
        <f t="shared" si="14"/>
        <v>#REF!</v>
      </c>
      <c r="V274" s="29"/>
      <c r="W274" s="31" t="str">
        <f>IF(K274&gt;0,INDEX(cfo!$C$2:$I$326,MATCH(SurtaxPayment!C274,cfo!$C$2:$C$326,0),7),"")</f>
        <v>smatus@springville.k12.ia.us</v>
      </c>
      <c r="X274" s="31" t="str">
        <f>IF(IF(K274&gt;0,INDEX(cfo!$C$2:$K$326,MATCH(SurtaxPayment!C274,cfo!$C$2:$C$326,0),9),"")=0,"",IF(K274&gt;0,INDEX(cfo!$C$2:$K$326,MATCH(SurtaxPayment!C274,cfo!$C$2:$C$326,0),9),""))</f>
        <v/>
      </c>
    </row>
    <row r="275" spans="1:24" x14ac:dyDescent="0.25">
      <c r="A275" s="52">
        <v>2025</v>
      </c>
      <c r="B275" s="52" t="s">
        <v>658</v>
      </c>
      <c r="C275" s="57" t="s">
        <v>560</v>
      </c>
      <c r="D275" s="58" t="s">
        <v>693</v>
      </c>
      <c r="E275" s="58" t="s">
        <v>693</v>
      </c>
      <c r="F275" s="58" t="s">
        <v>560</v>
      </c>
      <c r="G275" s="57" t="s">
        <v>244</v>
      </c>
      <c r="H275" s="39">
        <f>SUMPRODUCT(SUMIF(SurtaxRatesSAS!$B$2:$B$324,$C275:$E275,SurtaxRatesSAS!$E$2:$E$324))</f>
        <v>0</v>
      </c>
      <c r="I275" s="39">
        <f>SUMPRODUCT(SUMIF(SurtaxRatesSAS!$B$2:$B$324,$C275:$E275,SurtaxRatesSAS!$D$2:$D$324))</f>
        <v>7</v>
      </c>
      <c r="J275" s="38"/>
      <c r="K275" s="39">
        <f>SUMPRODUCT(SUMIF(SurtaxRatesSAS!$B$2:$B$324,$C275:$E275,SurtaxRatesSAS!$G$2:$G$324))</f>
        <v>288449.05</v>
      </c>
      <c r="L275" s="39">
        <f>SUMPRODUCT(SUMIF(SurtaxRatesSAS!$B$2:$B$324,$C275:$E275,SurtaxRatesSAS!$H$2:$H$324))</f>
        <v>0</v>
      </c>
      <c r="M275" s="39">
        <f>SUMPRODUCT(SUMIF(SurtaxRatesSAS!$B$2:$B$324,$C275:$E275,SurtaxRatesSAS!$I$2:$I$324))</f>
        <v>288449.05</v>
      </c>
      <c r="N275" s="38"/>
      <c r="O275" s="39" t="e">
        <f>SUMPRODUCT(SUMIF(SurtaxRatesSAS!$B$2:$B$324,$C275:$E275,SurtaxRatesSAS!$L$2:$L$324))</f>
        <v>#REF!</v>
      </c>
      <c r="P275" s="39" t="e">
        <f>SUMPRODUCT(SUMIF(SurtaxRatesSAS!$B$2:$B$324,$C275:$E275,SurtaxRatesSAS!$M$2:$M$324))</f>
        <v>#REF!</v>
      </c>
      <c r="Q275" s="39" t="e">
        <f>SUMPRODUCT(SUMIF(SurtaxRatesSAS!$B$2:$B$324,$C275:$E275,SurtaxRatesSAS!$N$2:$N$324))</f>
        <v>#REF!</v>
      </c>
      <c r="R275" s="38"/>
      <c r="S275" s="39" t="e">
        <f t="shared" si="12"/>
        <v>#REF!</v>
      </c>
      <c r="T275" s="39" t="e">
        <f t="shared" si="13"/>
        <v>#REF!</v>
      </c>
      <c r="U275" s="39" t="e">
        <f t="shared" si="14"/>
        <v>#REF!</v>
      </c>
      <c r="V275" s="29"/>
      <c r="W275" s="31" t="str">
        <f>IF(K275&gt;0,INDEX(cfo!$C$2:$I$326,MATCH(SurtaxPayment!C275,cfo!$C$2:$C$326,0),7),"")</f>
        <v>ewoods@st-ansgar.k12.ia.us</v>
      </c>
      <c r="X275" s="31" t="str">
        <f>IF(IF(K275&gt;0,INDEX(cfo!$C$2:$K$326,MATCH(SurtaxPayment!C275,cfo!$C$2:$C$326,0),9),"")=0,"",IF(K275&gt;0,INDEX(cfo!$C$2:$K$326,MATCH(SurtaxPayment!C275,cfo!$C$2:$C$326,0),9),""))</f>
        <v/>
      </c>
    </row>
    <row r="276" spans="1:24" x14ac:dyDescent="0.25">
      <c r="A276" s="52">
        <v>2025</v>
      </c>
      <c r="B276" s="52" t="s">
        <v>659</v>
      </c>
      <c r="C276" s="57" t="s">
        <v>586</v>
      </c>
      <c r="D276" s="58" t="s">
        <v>693</v>
      </c>
      <c r="E276" s="58" t="s">
        <v>693</v>
      </c>
      <c r="F276" s="58" t="s">
        <v>586</v>
      </c>
      <c r="G276" s="57" t="s">
        <v>245</v>
      </c>
      <c r="H276" s="39">
        <f>SUMPRODUCT(SUMIF(SurtaxRatesSAS!$B$2:$B$324,$C276:$E276,SurtaxRatesSAS!$E$2:$E$324))</f>
        <v>1</v>
      </c>
      <c r="I276" s="39">
        <f>SUMPRODUCT(SUMIF(SurtaxRatesSAS!$B$2:$B$324,$C276:$E276,SurtaxRatesSAS!$D$2:$D$324))</f>
        <v>1</v>
      </c>
      <c r="J276" s="38"/>
      <c r="K276" s="39">
        <f>SUMPRODUCT(SUMIF(SurtaxRatesSAS!$B$2:$B$324,$C276:$E276,SurtaxRatesSAS!$G$2:$G$324))</f>
        <v>23250.12</v>
      </c>
      <c r="L276" s="39">
        <f>SUMPRODUCT(SUMIF(SurtaxRatesSAS!$B$2:$B$324,$C276:$E276,SurtaxRatesSAS!$H$2:$H$324))</f>
        <v>11625.06</v>
      </c>
      <c r="M276" s="39">
        <f>SUMPRODUCT(SUMIF(SurtaxRatesSAS!$B$2:$B$324,$C276:$E276,SurtaxRatesSAS!$I$2:$I$324))</f>
        <v>11625.06</v>
      </c>
      <c r="N276" s="38"/>
      <c r="O276" s="39" t="e">
        <f>SUMPRODUCT(SUMIF(SurtaxRatesSAS!$B$2:$B$324,$C276:$E276,SurtaxRatesSAS!$L$2:$L$324))</f>
        <v>#REF!</v>
      </c>
      <c r="P276" s="39" t="e">
        <f>SUMPRODUCT(SUMIF(SurtaxRatesSAS!$B$2:$B$324,$C276:$E276,SurtaxRatesSAS!$M$2:$M$324))</f>
        <v>#REF!</v>
      </c>
      <c r="Q276" s="39" t="e">
        <f>SUMPRODUCT(SUMIF(SurtaxRatesSAS!$B$2:$B$324,$C276:$E276,SurtaxRatesSAS!$N$2:$N$324))</f>
        <v>#REF!</v>
      </c>
      <c r="R276" s="38"/>
      <c r="S276" s="39" t="e">
        <f t="shared" si="12"/>
        <v>#REF!</v>
      </c>
      <c r="T276" s="39" t="e">
        <f t="shared" si="13"/>
        <v>#REF!</v>
      </c>
      <c r="U276" s="39" t="e">
        <f t="shared" si="14"/>
        <v>#REF!</v>
      </c>
      <c r="V276" s="29"/>
      <c r="W276" s="31" t="str">
        <f>IF(K276&gt;0,INDEX(cfo!$C$2:$I$326,MATCH(SurtaxPayment!C276,cfo!$C$2:$C$326,0),7),"")</f>
        <v>sburke@stantonschools.com</v>
      </c>
      <c r="X276" s="31" t="str">
        <f>IF(IF(K276&gt;0,INDEX(cfo!$C$2:$K$326,MATCH(SurtaxPayment!C276,cfo!$C$2:$C$326,0),9),"")=0,"",IF(K276&gt;0,INDEX(cfo!$C$2:$K$326,MATCH(SurtaxPayment!C276,cfo!$C$2:$C$326,0),9),""))</f>
        <v/>
      </c>
    </row>
    <row r="277" spans="1:24" x14ac:dyDescent="0.25">
      <c r="A277" s="52">
        <v>2025</v>
      </c>
      <c r="B277" s="52" t="s">
        <v>665</v>
      </c>
      <c r="C277" s="57" t="s">
        <v>587</v>
      </c>
      <c r="D277" s="58" t="s">
        <v>693</v>
      </c>
      <c r="E277" s="58" t="s">
        <v>693</v>
      </c>
      <c r="F277" s="58" t="s">
        <v>587</v>
      </c>
      <c r="G277" s="57" t="s">
        <v>641</v>
      </c>
      <c r="H277" s="39">
        <f>SUMPRODUCT(SUMIF(SurtaxRatesSAS!$B$2:$B$324,$C277:$E277,SurtaxRatesSAS!$E$2:$E$324))</f>
        <v>1</v>
      </c>
      <c r="I277" s="39">
        <f>SUMPRODUCT(SUMIF(SurtaxRatesSAS!$B$2:$B$324,$C277:$E277,SurtaxRatesSAS!$D$2:$D$324))</f>
        <v>1</v>
      </c>
      <c r="J277" s="38"/>
      <c r="K277" s="39">
        <f>SUMPRODUCT(SUMIF(SurtaxRatesSAS!$B$2:$B$324,$C277:$E277,SurtaxRatesSAS!$G$2:$G$324))</f>
        <v>62022.82</v>
      </c>
      <c r="L277" s="39">
        <f>SUMPRODUCT(SUMIF(SurtaxRatesSAS!$B$2:$B$324,$C277:$E277,SurtaxRatesSAS!$H$2:$H$324))</f>
        <v>31011.41</v>
      </c>
      <c r="M277" s="39">
        <f>SUMPRODUCT(SUMIF(SurtaxRatesSAS!$B$2:$B$324,$C277:$E277,SurtaxRatesSAS!$I$2:$I$324))</f>
        <v>31011.41</v>
      </c>
      <c r="N277" s="38"/>
      <c r="O277" s="39" t="e">
        <f>SUMPRODUCT(SUMIF(SurtaxRatesSAS!$B$2:$B$324,$C277:$E277,SurtaxRatesSAS!$L$2:$L$324))</f>
        <v>#REF!</v>
      </c>
      <c r="P277" s="39" t="e">
        <f>SUMPRODUCT(SUMIF(SurtaxRatesSAS!$B$2:$B$324,$C277:$E277,SurtaxRatesSAS!$M$2:$M$324))</f>
        <v>#REF!</v>
      </c>
      <c r="Q277" s="39" t="e">
        <f>SUMPRODUCT(SUMIF(SurtaxRatesSAS!$B$2:$B$324,$C277:$E277,SurtaxRatesSAS!$N$2:$N$324))</f>
        <v>#REF!</v>
      </c>
      <c r="R277" s="38"/>
      <c r="S277" s="39" t="e">
        <f t="shared" si="12"/>
        <v>#REF!</v>
      </c>
      <c r="T277" s="39" t="e">
        <f t="shared" si="13"/>
        <v>#REF!</v>
      </c>
      <c r="U277" s="39" t="e">
        <f t="shared" si="14"/>
        <v>#REF!</v>
      </c>
      <c r="V277" s="29"/>
      <c r="W277" s="31" t="str">
        <f>IF(K277&gt;0,INDEX(cfo!$C$2:$I$326,MATCH(SurtaxPayment!C277,cfo!$C$2:$C$326,0),7),"")</f>
        <v>ktaylor@starmont.k12.ia.us</v>
      </c>
      <c r="X277" s="31" t="str">
        <f>IF(IF(K277&gt;0,INDEX(cfo!$C$2:$K$326,MATCH(SurtaxPayment!C277,cfo!$C$2:$C$326,0),9),"")=0,"",IF(K277&gt;0,INDEX(cfo!$C$2:$K$326,MATCH(SurtaxPayment!C277,cfo!$C$2:$C$326,0),9),""))</f>
        <v/>
      </c>
    </row>
    <row r="278" spans="1:24" x14ac:dyDescent="0.25">
      <c r="A278" s="52">
        <v>2025</v>
      </c>
      <c r="B278" s="52" t="s">
        <v>661</v>
      </c>
      <c r="C278" s="57" t="s">
        <v>588</v>
      </c>
      <c r="D278" s="58" t="s">
        <v>693</v>
      </c>
      <c r="E278" s="58" t="s">
        <v>693</v>
      </c>
      <c r="F278" s="58" t="s">
        <v>588</v>
      </c>
      <c r="G278" s="57" t="s">
        <v>246</v>
      </c>
      <c r="H278" s="39">
        <f>SUMPRODUCT(SUMIF(SurtaxRatesSAS!$B$2:$B$324,$C278:$E278,SurtaxRatesSAS!$E$2:$E$324))</f>
        <v>0</v>
      </c>
      <c r="I278" s="39">
        <f>SUMPRODUCT(SUMIF(SurtaxRatesSAS!$B$2:$B$324,$C278:$E278,SurtaxRatesSAS!$D$2:$D$324))</f>
        <v>5</v>
      </c>
      <c r="J278" s="38"/>
      <c r="K278" s="39">
        <f>SUMPRODUCT(SUMIF(SurtaxRatesSAS!$B$2:$B$324,$C278:$E278,SurtaxRatesSAS!$G$2:$G$324))</f>
        <v>561275.47</v>
      </c>
      <c r="L278" s="39">
        <f>SUMPRODUCT(SUMIF(SurtaxRatesSAS!$B$2:$B$324,$C278:$E278,SurtaxRatesSAS!$H$2:$H$324))</f>
        <v>0</v>
      </c>
      <c r="M278" s="39">
        <f>SUMPRODUCT(SUMIF(SurtaxRatesSAS!$B$2:$B$324,$C278:$E278,SurtaxRatesSAS!$I$2:$I$324))</f>
        <v>561275.47</v>
      </c>
      <c r="N278" s="38"/>
      <c r="O278" s="39" t="e">
        <f>SUMPRODUCT(SUMIF(SurtaxRatesSAS!$B$2:$B$324,$C278:$E278,SurtaxRatesSAS!$L$2:$L$324))</f>
        <v>#REF!</v>
      </c>
      <c r="P278" s="39" t="e">
        <f>SUMPRODUCT(SUMIF(SurtaxRatesSAS!$B$2:$B$324,$C278:$E278,SurtaxRatesSAS!$M$2:$M$324))</f>
        <v>#REF!</v>
      </c>
      <c r="Q278" s="39" t="e">
        <f>SUMPRODUCT(SUMIF(SurtaxRatesSAS!$B$2:$B$324,$C278:$E278,SurtaxRatesSAS!$N$2:$N$324))</f>
        <v>#REF!</v>
      </c>
      <c r="R278" s="38"/>
      <c r="S278" s="39" t="e">
        <f t="shared" si="12"/>
        <v>#REF!</v>
      </c>
      <c r="T278" s="39" t="e">
        <f t="shared" si="13"/>
        <v>#REF!</v>
      </c>
      <c r="U278" s="39" t="e">
        <f t="shared" si="14"/>
        <v>#REF!</v>
      </c>
      <c r="V278" s="29"/>
      <c r="W278" s="31" t="str">
        <f>IF(K278&gt;0,INDEX(cfo!$C$2:$I$326,MATCH(SurtaxPayment!C278,cfo!$C$2:$C$326,0),7),"")</f>
        <v>tpedersen@slcsd.org</v>
      </c>
      <c r="X278" s="31" t="str">
        <f>IF(IF(K278&gt;0,INDEX(cfo!$C$2:$K$326,MATCH(SurtaxPayment!C278,cfo!$C$2:$C$326,0),9),"")=0,"",IF(K278&gt;0,INDEX(cfo!$C$2:$K$326,MATCH(SurtaxPayment!C278,cfo!$C$2:$C$326,0),9),""))</f>
        <v/>
      </c>
    </row>
    <row r="279" spans="1:24" x14ac:dyDescent="0.25">
      <c r="A279" s="52">
        <v>2025</v>
      </c>
      <c r="B279" s="52" t="s">
        <v>661</v>
      </c>
      <c r="C279" s="57" t="s">
        <v>589</v>
      </c>
      <c r="D279" s="58" t="s">
        <v>693</v>
      </c>
      <c r="E279" s="58" t="s">
        <v>693</v>
      </c>
      <c r="F279" s="58" t="s">
        <v>589</v>
      </c>
      <c r="G279" s="57" t="s">
        <v>247</v>
      </c>
      <c r="H279" s="39">
        <f>SUMPRODUCT(SUMIF(SurtaxRatesSAS!$B$2:$B$324,$C279:$E279,SurtaxRatesSAS!$E$2:$E$324))</f>
        <v>0</v>
      </c>
      <c r="I279" s="39">
        <f>SUMPRODUCT(SUMIF(SurtaxRatesSAS!$B$2:$B$324,$C279:$E279,SurtaxRatesSAS!$D$2:$D$324))</f>
        <v>4</v>
      </c>
      <c r="J279" s="38"/>
      <c r="K279" s="39">
        <f>SUMPRODUCT(SUMIF(SurtaxRatesSAS!$B$2:$B$324,$C279:$E279,SurtaxRatesSAS!$G$2:$G$324))</f>
        <v>46745.58</v>
      </c>
      <c r="L279" s="39">
        <f>SUMPRODUCT(SUMIF(SurtaxRatesSAS!$B$2:$B$324,$C279:$E279,SurtaxRatesSAS!$H$2:$H$324))</f>
        <v>0</v>
      </c>
      <c r="M279" s="39">
        <f>SUMPRODUCT(SUMIF(SurtaxRatesSAS!$B$2:$B$324,$C279:$E279,SurtaxRatesSAS!$I$2:$I$324))</f>
        <v>46745.58</v>
      </c>
      <c r="N279" s="38"/>
      <c r="O279" s="39" t="e">
        <f>SUMPRODUCT(SUMIF(SurtaxRatesSAS!$B$2:$B$324,$C279:$E279,SurtaxRatesSAS!$L$2:$L$324))</f>
        <v>#REF!</v>
      </c>
      <c r="P279" s="39" t="e">
        <f>SUMPRODUCT(SUMIF(SurtaxRatesSAS!$B$2:$B$324,$C279:$E279,SurtaxRatesSAS!$M$2:$M$324))</f>
        <v>#REF!</v>
      </c>
      <c r="Q279" s="39" t="e">
        <f>SUMPRODUCT(SUMIF(SurtaxRatesSAS!$B$2:$B$324,$C279:$E279,SurtaxRatesSAS!$N$2:$N$324))</f>
        <v>#REF!</v>
      </c>
      <c r="R279" s="38"/>
      <c r="S279" s="39" t="e">
        <f t="shared" si="12"/>
        <v>#REF!</v>
      </c>
      <c r="T279" s="39" t="e">
        <f t="shared" si="13"/>
        <v>#REF!</v>
      </c>
      <c r="U279" s="39" t="e">
        <f t="shared" si="14"/>
        <v>#REF!</v>
      </c>
      <c r="V279" s="29"/>
      <c r="W279" s="31" t="str">
        <f>IF(K279&gt;0,INDEX(cfo!$C$2:$I$326,MATCH(SurtaxPayment!C279,cfo!$C$2:$C$326,0),7),"")</f>
        <v>kbiere@webster-city.k12.ia.us</v>
      </c>
      <c r="X279" s="31" t="str">
        <f>IF(IF(K279&gt;0,INDEX(cfo!$C$2:$K$326,MATCH(SurtaxPayment!C279,cfo!$C$2:$C$326,0),9),"")=0,"",IF(K279&gt;0,INDEX(cfo!$C$2:$K$326,MATCH(SurtaxPayment!C279,cfo!$C$2:$C$326,0),9),""))</f>
        <v/>
      </c>
    </row>
    <row r="280" spans="1:24" x14ac:dyDescent="0.25">
      <c r="A280" s="52">
        <v>2025</v>
      </c>
      <c r="B280" s="52" t="s">
        <v>658</v>
      </c>
      <c r="C280" s="57" t="s">
        <v>591</v>
      </c>
      <c r="D280" s="58" t="s">
        <v>693</v>
      </c>
      <c r="E280" s="58" t="s">
        <v>693</v>
      </c>
      <c r="F280" s="58" t="s">
        <v>591</v>
      </c>
      <c r="G280" s="57" t="s">
        <v>248</v>
      </c>
      <c r="H280" s="39">
        <f>SUMPRODUCT(SUMIF(SurtaxRatesSAS!$B$2:$B$324,$C280:$E280,SurtaxRatesSAS!$E$2:$E$324))</f>
        <v>3</v>
      </c>
      <c r="I280" s="39">
        <f>SUMPRODUCT(SUMIF(SurtaxRatesSAS!$B$2:$B$324,$C280:$E280,SurtaxRatesSAS!$D$2:$D$324))</f>
        <v>7</v>
      </c>
      <c r="J280" s="38"/>
      <c r="K280" s="39">
        <f>SUMPRODUCT(SUMIF(SurtaxRatesSAS!$B$2:$B$324,$C280:$E280,SurtaxRatesSAS!$G$2:$G$324))</f>
        <v>478658.63</v>
      </c>
      <c r="L280" s="39">
        <f>SUMPRODUCT(SUMIF(SurtaxRatesSAS!$B$2:$B$324,$C280:$E280,SurtaxRatesSAS!$H$2:$H$324))</f>
        <v>143597.59</v>
      </c>
      <c r="M280" s="39">
        <f>SUMPRODUCT(SUMIF(SurtaxRatesSAS!$B$2:$B$324,$C280:$E280,SurtaxRatesSAS!$I$2:$I$324))</f>
        <v>335061.04000000004</v>
      </c>
      <c r="N280" s="38"/>
      <c r="O280" s="39" t="e">
        <f>SUMPRODUCT(SUMIF(SurtaxRatesSAS!$B$2:$B$324,$C280:$E280,SurtaxRatesSAS!$L$2:$L$324))</f>
        <v>#REF!</v>
      </c>
      <c r="P280" s="39" t="e">
        <f>SUMPRODUCT(SUMIF(SurtaxRatesSAS!$B$2:$B$324,$C280:$E280,SurtaxRatesSAS!$M$2:$M$324))</f>
        <v>#REF!</v>
      </c>
      <c r="Q280" s="39" t="e">
        <f>SUMPRODUCT(SUMIF(SurtaxRatesSAS!$B$2:$B$324,$C280:$E280,SurtaxRatesSAS!$N$2:$N$324))</f>
        <v>#REF!</v>
      </c>
      <c r="R280" s="38"/>
      <c r="S280" s="39" t="e">
        <f t="shared" si="12"/>
        <v>#REF!</v>
      </c>
      <c r="T280" s="39" t="e">
        <f t="shared" si="13"/>
        <v>#REF!</v>
      </c>
      <c r="U280" s="39" t="e">
        <f t="shared" si="14"/>
        <v>#REF!</v>
      </c>
      <c r="V280" s="29"/>
      <c r="W280" s="31" t="str">
        <f>IF(K280&gt;0,INDEX(cfo!$C$2:$I$326,MATCH(SurtaxPayment!C280,cfo!$C$2:$C$326,0),7),"")</f>
        <v>weepieb@sfcougars.k12.ia.us</v>
      </c>
      <c r="X280" s="31" t="str">
        <f>IF(IF(K280&gt;0,INDEX(cfo!$C$2:$K$326,MATCH(SurtaxPayment!C280,cfo!$C$2:$C$326,0),9),"")=0,"",IF(K280&gt;0,INDEX(cfo!$C$2:$K$326,MATCH(SurtaxPayment!C280,cfo!$C$2:$C$326,0),9),""))</f>
        <v>schulzt@sfcougars.k12.ia.us</v>
      </c>
    </row>
    <row r="281" spans="1:24" x14ac:dyDescent="0.25">
      <c r="A281" s="52">
        <v>2025</v>
      </c>
      <c r="B281" s="52" t="s">
        <v>663</v>
      </c>
      <c r="C281" s="57" t="s">
        <v>592</v>
      </c>
      <c r="D281" s="58" t="s">
        <v>693</v>
      </c>
      <c r="E281" s="58" t="s">
        <v>693</v>
      </c>
      <c r="F281" s="58" t="s">
        <v>592</v>
      </c>
      <c r="G281" s="57" t="s">
        <v>249</v>
      </c>
      <c r="H281" s="39">
        <f>SUMPRODUCT(SUMIF(SurtaxRatesSAS!$B$2:$B$324,$C281:$E281,SurtaxRatesSAS!$E$2:$E$324))</f>
        <v>5</v>
      </c>
      <c r="I281" s="39">
        <f>SUMPRODUCT(SUMIF(SurtaxRatesSAS!$B$2:$B$324,$C281:$E281,SurtaxRatesSAS!$D$2:$D$324))</f>
        <v>5</v>
      </c>
      <c r="J281" s="38"/>
      <c r="K281" s="39">
        <f>SUMPRODUCT(SUMIF(SurtaxRatesSAS!$B$2:$B$324,$C281:$E281,SurtaxRatesSAS!$G$2:$G$324))</f>
        <v>582405.23</v>
      </c>
      <c r="L281" s="39">
        <f>SUMPRODUCT(SUMIF(SurtaxRatesSAS!$B$2:$B$324,$C281:$E281,SurtaxRatesSAS!$H$2:$H$324))</f>
        <v>291202.62</v>
      </c>
      <c r="M281" s="39">
        <f>SUMPRODUCT(SUMIF(SurtaxRatesSAS!$B$2:$B$324,$C281:$E281,SurtaxRatesSAS!$I$2:$I$324))</f>
        <v>291202.61</v>
      </c>
      <c r="N281" s="38"/>
      <c r="O281" s="39" t="e">
        <f>SUMPRODUCT(SUMIF(SurtaxRatesSAS!$B$2:$B$324,$C281:$E281,SurtaxRatesSAS!$L$2:$L$324))</f>
        <v>#REF!</v>
      </c>
      <c r="P281" s="39" t="e">
        <f>SUMPRODUCT(SUMIF(SurtaxRatesSAS!$B$2:$B$324,$C281:$E281,SurtaxRatesSAS!$M$2:$M$324))</f>
        <v>#REF!</v>
      </c>
      <c r="Q281" s="39" t="e">
        <f>SUMPRODUCT(SUMIF(SurtaxRatesSAS!$B$2:$B$324,$C281:$E281,SurtaxRatesSAS!$N$2:$N$324))</f>
        <v>#REF!</v>
      </c>
      <c r="R281" s="38"/>
      <c r="S281" s="39" t="e">
        <f t="shared" si="12"/>
        <v>#REF!</v>
      </c>
      <c r="T281" s="39" t="e">
        <f t="shared" si="13"/>
        <v>#REF!</v>
      </c>
      <c r="U281" s="39" t="e">
        <f t="shared" si="14"/>
        <v>#REF!</v>
      </c>
      <c r="V281" s="29"/>
      <c r="W281" s="31" t="str">
        <f>IF(K281&gt;0,INDEX(cfo!$C$2:$I$326,MATCH(SurtaxPayment!C281,cfo!$C$2:$C$326,0),7),"")</f>
        <v>stephen.emrich@tipton.k12.ia.us</v>
      </c>
      <c r="X281" s="31" t="str">
        <f>IF(IF(K281&gt;0,INDEX(cfo!$C$2:$K$326,MATCH(SurtaxPayment!C281,cfo!$C$2:$C$326,0),9),"")=0,"",IF(K281&gt;0,INDEX(cfo!$C$2:$K$326,MATCH(SurtaxPayment!C281,cfo!$C$2:$C$326,0),9),""))</f>
        <v/>
      </c>
    </row>
    <row r="282" spans="1:24" x14ac:dyDescent="0.25">
      <c r="A282" s="52">
        <v>2025</v>
      </c>
      <c r="B282" s="52" t="s">
        <v>659</v>
      </c>
      <c r="C282" s="57" t="s">
        <v>593</v>
      </c>
      <c r="D282" s="58" t="s">
        <v>693</v>
      </c>
      <c r="E282" s="58" t="s">
        <v>693</v>
      </c>
      <c r="F282" s="58" t="s">
        <v>593</v>
      </c>
      <c r="G282" s="57" t="s">
        <v>250</v>
      </c>
      <c r="H282" s="39">
        <f>SUMPRODUCT(SUMIF(SurtaxRatesSAS!$B$2:$B$324,$C282:$E282,SurtaxRatesSAS!$E$2:$E$324))</f>
        <v>0</v>
      </c>
      <c r="I282" s="39">
        <f>SUMPRODUCT(SUMIF(SurtaxRatesSAS!$B$2:$B$324,$C282:$E282,SurtaxRatesSAS!$D$2:$D$324))</f>
        <v>4</v>
      </c>
      <c r="J282" s="38"/>
      <c r="K282" s="39">
        <f>SUMPRODUCT(SUMIF(SurtaxRatesSAS!$B$2:$B$324,$C282:$E282,SurtaxRatesSAS!$G$2:$G$324))</f>
        <v>178238.93</v>
      </c>
      <c r="L282" s="39">
        <f>SUMPRODUCT(SUMIF(SurtaxRatesSAS!$B$2:$B$324,$C282:$E282,SurtaxRatesSAS!$H$2:$H$324))</f>
        <v>0</v>
      </c>
      <c r="M282" s="39">
        <f>SUMPRODUCT(SUMIF(SurtaxRatesSAS!$B$2:$B$324,$C282:$E282,SurtaxRatesSAS!$I$2:$I$324))</f>
        <v>178238.93</v>
      </c>
      <c r="N282" s="38"/>
      <c r="O282" s="39" t="e">
        <f>SUMPRODUCT(SUMIF(SurtaxRatesSAS!$B$2:$B$324,$C282:$E282,SurtaxRatesSAS!$L$2:$L$324))</f>
        <v>#REF!</v>
      </c>
      <c r="P282" s="39" t="e">
        <f>SUMPRODUCT(SUMIF(SurtaxRatesSAS!$B$2:$B$324,$C282:$E282,SurtaxRatesSAS!$M$2:$M$324))</f>
        <v>#REF!</v>
      </c>
      <c r="Q282" s="39" t="e">
        <f>SUMPRODUCT(SUMIF(SurtaxRatesSAS!$B$2:$B$324,$C282:$E282,SurtaxRatesSAS!$N$2:$N$324))</f>
        <v>#REF!</v>
      </c>
      <c r="R282" s="38"/>
      <c r="S282" s="39" t="e">
        <f t="shared" si="12"/>
        <v>#REF!</v>
      </c>
      <c r="T282" s="39" t="e">
        <f t="shared" si="13"/>
        <v>#REF!</v>
      </c>
      <c r="U282" s="39" t="e">
        <f t="shared" si="14"/>
        <v>#REF!</v>
      </c>
      <c r="V282" s="29"/>
      <c r="W282" s="31" t="str">
        <f>IF(K282&gt;0,INDEX(cfo!$C$2:$I$326,MATCH(SurtaxPayment!C282,cfo!$C$2:$C$326,0),7),"")</f>
        <v>agill@treynorcardinals.org</v>
      </c>
      <c r="X282" s="31" t="str">
        <f>IF(IF(K282&gt;0,INDEX(cfo!$C$2:$K$326,MATCH(SurtaxPayment!C282,cfo!$C$2:$C$326,0),9),"")=0,"",IF(K282&gt;0,INDEX(cfo!$C$2:$K$326,MATCH(SurtaxPayment!C282,cfo!$C$2:$C$326,0),9),""))</f>
        <v/>
      </c>
    </row>
    <row r="283" spans="1:24" x14ac:dyDescent="0.25">
      <c r="A283" s="52">
        <v>2025</v>
      </c>
      <c r="B283" s="52" t="s">
        <v>659</v>
      </c>
      <c r="C283" s="57" t="s">
        <v>594</v>
      </c>
      <c r="D283" s="58" t="s">
        <v>693</v>
      </c>
      <c r="E283" s="58" t="s">
        <v>693</v>
      </c>
      <c r="F283" s="58" t="s">
        <v>594</v>
      </c>
      <c r="G283" s="57" t="s">
        <v>251</v>
      </c>
      <c r="H283" s="39">
        <f>SUMPRODUCT(SUMIF(SurtaxRatesSAS!$B$2:$B$324,$C283:$E283,SurtaxRatesSAS!$E$2:$E$324))</f>
        <v>0</v>
      </c>
      <c r="I283" s="39">
        <f>SUMPRODUCT(SUMIF(SurtaxRatesSAS!$B$2:$B$324,$C283:$E283,SurtaxRatesSAS!$D$2:$D$324))</f>
        <v>2</v>
      </c>
      <c r="J283" s="38"/>
      <c r="K283" s="39">
        <f>SUMPRODUCT(SUMIF(SurtaxRatesSAS!$B$2:$B$324,$C283:$E283,SurtaxRatesSAS!$G$2:$G$324))</f>
        <v>62618.52</v>
      </c>
      <c r="L283" s="39">
        <f>SUMPRODUCT(SUMIF(SurtaxRatesSAS!$B$2:$B$324,$C283:$E283,SurtaxRatesSAS!$H$2:$H$324))</f>
        <v>0</v>
      </c>
      <c r="M283" s="39">
        <f>SUMPRODUCT(SUMIF(SurtaxRatesSAS!$B$2:$B$324,$C283:$E283,SurtaxRatesSAS!$I$2:$I$324))</f>
        <v>62618.52</v>
      </c>
      <c r="N283" s="38"/>
      <c r="O283" s="39" t="e">
        <f>SUMPRODUCT(SUMIF(SurtaxRatesSAS!$B$2:$B$324,$C283:$E283,SurtaxRatesSAS!$L$2:$L$324))</f>
        <v>#REF!</v>
      </c>
      <c r="P283" s="39" t="e">
        <f>SUMPRODUCT(SUMIF(SurtaxRatesSAS!$B$2:$B$324,$C283:$E283,SurtaxRatesSAS!$M$2:$M$324))</f>
        <v>#REF!</v>
      </c>
      <c r="Q283" s="39" t="e">
        <f>SUMPRODUCT(SUMIF(SurtaxRatesSAS!$B$2:$B$324,$C283:$E283,SurtaxRatesSAS!$N$2:$N$324))</f>
        <v>#REF!</v>
      </c>
      <c r="R283" s="38"/>
      <c r="S283" s="39" t="e">
        <f t="shared" si="12"/>
        <v>#REF!</v>
      </c>
      <c r="T283" s="39" t="e">
        <f t="shared" si="13"/>
        <v>#REF!</v>
      </c>
      <c r="U283" s="39" t="e">
        <f t="shared" si="14"/>
        <v>#REF!</v>
      </c>
      <c r="V283" s="29"/>
      <c r="W283" s="31" t="str">
        <f>IF(K283&gt;0,INDEX(cfo!$C$2:$I$326,MATCH(SurtaxPayment!C283,cfo!$C$2:$C$326,0),7),"")</f>
        <v>jharder@tctrojans.org</v>
      </c>
      <c r="X283" s="31" t="str">
        <f>IF(IF(K283&gt;0,INDEX(cfo!$C$2:$K$326,MATCH(SurtaxPayment!C283,cfo!$C$2:$C$326,0),9),"")=0,"",IF(K283&gt;0,INDEX(cfo!$C$2:$K$326,MATCH(SurtaxPayment!C283,cfo!$C$2:$C$326,0),9),""))</f>
        <v/>
      </c>
    </row>
    <row r="284" spans="1:24" x14ac:dyDescent="0.25">
      <c r="A284" s="52">
        <v>2025</v>
      </c>
      <c r="B284" s="52" t="s">
        <v>662</v>
      </c>
      <c r="C284" s="57" t="s">
        <v>595</v>
      </c>
      <c r="D284" s="58" t="s">
        <v>693</v>
      </c>
      <c r="E284" s="58" t="s">
        <v>693</v>
      </c>
      <c r="F284" s="58" t="s">
        <v>595</v>
      </c>
      <c r="G284" s="57" t="s">
        <v>252</v>
      </c>
      <c r="H284" s="39">
        <f>SUMPRODUCT(SUMIF(SurtaxRatesSAS!$B$2:$B$324,$C284:$E284,SurtaxRatesSAS!$E$2:$E$324))</f>
        <v>1</v>
      </c>
      <c r="I284" s="39">
        <f>SUMPRODUCT(SUMIF(SurtaxRatesSAS!$B$2:$B$324,$C284:$E284,SurtaxRatesSAS!$D$2:$D$324))</f>
        <v>1</v>
      </c>
      <c r="J284" s="38"/>
      <c r="K284" s="39">
        <f>SUMPRODUCT(SUMIF(SurtaxRatesSAS!$B$2:$B$324,$C284:$E284,SurtaxRatesSAS!$G$2:$G$324))</f>
        <v>27016.16</v>
      </c>
      <c r="L284" s="39">
        <f>SUMPRODUCT(SUMIF(SurtaxRatesSAS!$B$2:$B$324,$C284:$E284,SurtaxRatesSAS!$H$2:$H$324))</f>
        <v>13508.08</v>
      </c>
      <c r="M284" s="39">
        <f>SUMPRODUCT(SUMIF(SurtaxRatesSAS!$B$2:$B$324,$C284:$E284,SurtaxRatesSAS!$I$2:$I$324))</f>
        <v>13508.08</v>
      </c>
      <c r="N284" s="38"/>
      <c r="O284" s="39" t="e">
        <f>SUMPRODUCT(SUMIF(SurtaxRatesSAS!$B$2:$B$324,$C284:$E284,SurtaxRatesSAS!$L$2:$L$324))</f>
        <v>#REF!</v>
      </c>
      <c r="P284" s="39" t="e">
        <f>SUMPRODUCT(SUMIF(SurtaxRatesSAS!$B$2:$B$324,$C284:$E284,SurtaxRatesSAS!$M$2:$M$324))</f>
        <v>#REF!</v>
      </c>
      <c r="Q284" s="39" t="e">
        <f>SUMPRODUCT(SUMIF(SurtaxRatesSAS!$B$2:$B$324,$C284:$E284,SurtaxRatesSAS!$N$2:$N$324))</f>
        <v>#REF!</v>
      </c>
      <c r="R284" s="38"/>
      <c r="S284" s="39" t="e">
        <f t="shared" si="12"/>
        <v>#REF!</v>
      </c>
      <c r="T284" s="39" t="e">
        <f t="shared" si="13"/>
        <v>#REF!</v>
      </c>
      <c r="U284" s="39" t="e">
        <f t="shared" si="14"/>
        <v>#REF!</v>
      </c>
      <c r="V284" s="29"/>
      <c r="W284" s="31" t="str">
        <f>IF(K284&gt;0,INDEX(cfo!$C$2:$I$326,MATCH(SurtaxPayment!C284,cfo!$C$2:$C$326,0),7),"")</f>
        <v>skolars@belle-plaine.k12.ia.us</v>
      </c>
      <c r="X284" s="31" t="str">
        <f>IF(IF(K284&gt;0,INDEX(cfo!$C$2:$K$326,MATCH(SurtaxPayment!C284,cfo!$C$2:$C$326,0),9),"")=0,"",IF(K284&gt;0,INDEX(cfo!$C$2:$K$326,MATCH(SurtaxPayment!C284,cfo!$C$2:$C$326,0),9),""))</f>
        <v/>
      </c>
    </row>
    <row r="285" spans="1:24" x14ac:dyDescent="0.25">
      <c r="A285" s="52">
        <v>2025</v>
      </c>
      <c r="B285" s="52" t="s">
        <v>658</v>
      </c>
      <c r="C285" s="57" t="s">
        <v>596</v>
      </c>
      <c r="D285" s="58" t="s">
        <v>693</v>
      </c>
      <c r="E285" s="58" t="s">
        <v>693</v>
      </c>
      <c r="F285" s="58" t="s">
        <v>596</v>
      </c>
      <c r="G285" s="57" t="s">
        <v>642</v>
      </c>
      <c r="H285" s="39">
        <f>SUMPRODUCT(SUMIF(SurtaxRatesSAS!$B$2:$B$324,$C285:$E285,SurtaxRatesSAS!$E$2:$E$324))</f>
        <v>0</v>
      </c>
      <c r="I285" s="39">
        <f>SUMPRODUCT(SUMIF(SurtaxRatesSAS!$B$2:$B$324,$C285:$E285,SurtaxRatesSAS!$D$2:$D$324))</f>
        <v>7</v>
      </c>
      <c r="J285" s="38"/>
      <c r="K285" s="39">
        <f>SUMPRODUCT(SUMIF(SurtaxRatesSAS!$B$2:$B$324,$C285:$E285,SurtaxRatesSAS!$G$2:$G$324))</f>
        <v>163890.46</v>
      </c>
      <c r="L285" s="39">
        <f>SUMPRODUCT(SUMIF(SurtaxRatesSAS!$B$2:$B$324,$C285:$E285,SurtaxRatesSAS!$H$2:$H$324))</f>
        <v>0</v>
      </c>
      <c r="M285" s="39">
        <f>SUMPRODUCT(SUMIF(SurtaxRatesSAS!$B$2:$B$324,$C285:$E285,SurtaxRatesSAS!$I$2:$I$324))</f>
        <v>163890.46</v>
      </c>
      <c r="N285" s="38"/>
      <c r="O285" s="39" t="e">
        <f>SUMPRODUCT(SUMIF(SurtaxRatesSAS!$B$2:$B$324,$C285:$E285,SurtaxRatesSAS!$L$2:$L$324))</f>
        <v>#REF!</v>
      </c>
      <c r="P285" s="39" t="e">
        <f>SUMPRODUCT(SUMIF(SurtaxRatesSAS!$B$2:$B$324,$C285:$E285,SurtaxRatesSAS!$M$2:$M$324))</f>
        <v>#REF!</v>
      </c>
      <c r="Q285" s="39" t="e">
        <f>SUMPRODUCT(SUMIF(SurtaxRatesSAS!$B$2:$B$324,$C285:$E285,SurtaxRatesSAS!$N$2:$N$324))</f>
        <v>#REF!</v>
      </c>
      <c r="R285" s="38"/>
      <c r="S285" s="39" t="e">
        <f t="shared" si="12"/>
        <v>#REF!</v>
      </c>
      <c r="T285" s="39" t="e">
        <f t="shared" si="13"/>
        <v>#REF!</v>
      </c>
      <c r="U285" s="39" t="e">
        <f t="shared" si="14"/>
        <v>#REF!</v>
      </c>
      <c r="V285" s="29"/>
      <c r="W285" s="31" t="str">
        <f>IF(K285&gt;0,INDEX(cfo!$C$2:$I$326,MATCH(SurtaxPayment!C285,cfo!$C$2:$C$326,0),7),"")</f>
        <v>fettet@tripoli.k12.ia.us</v>
      </c>
      <c r="X285" s="31" t="str">
        <f>IF(IF(K285&gt;0,INDEX(cfo!$C$2:$K$326,MATCH(SurtaxPayment!C285,cfo!$C$2:$C$326,0),9),"")=0,"",IF(K285&gt;0,INDEX(cfo!$C$2:$K$326,MATCH(SurtaxPayment!C285,cfo!$C$2:$C$326,0),9),""))</f>
        <v>marleyj@tripoli.k12.ia.us</v>
      </c>
    </row>
    <row r="286" spans="1:24" x14ac:dyDescent="0.25">
      <c r="A286" s="52">
        <v>2025</v>
      </c>
      <c r="B286" s="52" t="s">
        <v>665</v>
      </c>
      <c r="C286" s="57" t="s">
        <v>597</v>
      </c>
      <c r="D286" s="58" t="s">
        <v>693</v>
      </c>
      <c r="E286" s="58" t="s">
        <v>693</v>
      </c>
      <c r="F286" s="58" t="s">
        <v>597</v>
      </c>
      <c r="G286" s="57" t="s">
        <v>731</v>
      </c>
      <c r="H286" s="39">
        <f>SUMPRODUCT(SUMIF(SurtaxRatesSAS!$B$2:$B$324,$C286:$E286,SurtaxRatesSAS!$E$2:$E$324))</f>
        <v>0</v>
      </c>
      <c r="I286" s="39">
        <f>SUMPRODUCT(SUMIF(SurtaxRatesSAS!$B$2:$B$324,$C286:$E286,SurtaxRatesSAS!$D$2:$D$324))</f>
        <v>0</v>
      </c>
      <c r="J286" s="38"/>
      <c r="K286" s="39">
        <f>SUMPRODUCT(SUMIF(SurtaxRatesSAS!$B$2:$B$324,$C286:$E286,SurtaxRatesSAS!$G$2:$G$324))</f>
        <v>0</v>
      </c>
      <c r="L286" s="39">
        <f>SUMPRODUCT(SUMIF(SurtaxRatesSAS!$B$2:$B$324,$C286:$E286,SurtaxRatesSAS!$H$2:$H$324))</f>
        <v>0</v>
      </c>
      <c r="M286" s="39">
        <f>SUMPRODUCT(SUMIF(SurtaxRatesSAS!$B$2:$B$324,$C286:$E286,SurtaxRatesSAS!$I$2:$I$324))</f>
        <v>0</v>
      </c>
      <c r="N286" s="38"/>
      <c r="O286" s="39">
        <f>SUMPRODUCT(SUMIF(SurtaxRatesSAS!$B$2:$B$324,$C286:$E286,SurtaxRatesSAS!$L$2:$L$324))</f>
        <v>0</v>
      </c>
      <c r="P286" s="39">
        <f>SUMPRODUCT(SUMIF(SurtaxRatesSAS!$B$2:$B$324,$C286:$E286,SurtaxRatesSAS!$M$2:$M$324))</f>
        <v>0</v>
      </c>
      <c r="Q286" s="39">
        <f>SUMPRODUCT(SUMIF(SurtaxRatesSAS!$B$2:$B$324,$C286:$E286,SurtaxRatesSAS!$N$2:$N$324))</f>
        <v>0</v>
      </c>
      <c r="R286" s="38"/>
      <c r="S286" s="39">
        <f t="shared" si="12"/>
        <v>0</v>
      </c>
      <c r="T286" s="39">
        <f t="shared" si="13"/>
        <v>0</v>
      </c>
      <c r="U286" s="39">
        <f t="shared" si="14"/>
        <v>0</v>
      </c>
      <c r="V286" s="29"/>
      <c r="W286" s="31" t="str">
        <f>IF(K286&gt;0,INDEX(cfo!$C$2:$I$326,MATCH(SurtaxPayment!C286,cfo!$C$2:$C$326,0),7),"")</f>
        <v/>
      </c>
      <c r="X286" s="31" t="str">
        <f>IF(IF(K286&gt;0,INDEX(cfo!$C$2:$K$326,MATCH(SurtaxPayment!C286,cfo!$C$2:$C$326,0),9),"")=0,"",IF(K286&gt;0,INDEX(cfo!$C$2:$K$326,MATCH(SurtaxPayment!C286,cfo!$C$2:$C$326,0),9),""))</f>
        <v/>
      </c>
    </row>
    <row r="287" spans="1:24" x14ac:dyDescent="0.25">
      <c r="A287" s="52">
        <v>2025</v>
      </c>
      <c r="B287" s="52" t="s">
        <v>657</v>
      </c>
      <c r="C287" s="57" t="s">
        <v>598</v>
      </c>
      <c r="D287" s="58" t="s">
        <v>693</v>
      </c>
      <c r="E287" s="58" t="s">
        <v>693</v>
      </c>
      <c r="F287" s="58" t="s">
        <v>598</v>
      </c>
      <c r="G287" s="57" t="s">
        <v>253</v>
      </c>
      <c r="H287" s="39">
        <f>SUMPRODUCT(SUMIF(SurtaxRatesSAS!$B$2:$B$324,$C287:$E287,SurtaxRatesSAS!$E$2:$E$324))</f>
        <v>0</v>
      </c>
      <c r="I287" s="39">
        <f>SUMPRODUCT(SUMIF(SurtaxRatesSAS!$B$2:$B$324,$C287:$E287,SurtaxRatesSAS!$D$2:$D$324))</f>
        <v>1</v>
      </c>
      <c r="J287" s="38"/>
      <c r="K287" s="39">
        <f>SUMPRODUCT(SUMIF(SurtaxRatesSAS!$B$2:$B$324,$C287:$E287,SurtaxRatesSAS!$G$2:$G$324))</f>
        <v>17676.830000000002</v>
      </c>
      <c r="L287" s="39">
        <f>SUMPRODUCT(SUMIF(SurtaxRatesSAS!$B$2:$B$324,$C287:$E287,SurtaxRatesSAS!$H$2:$H$324))</f>
        <v>0</v>
      </c>
      <c r="M287" s="39">
        <f>SUMPRODUCT(SUMIF(SurtaxRatesSAS!$B$2:$B$324,$C287:$E287,SurtaxRatesSAS!$I$2:$I$324))</f>
        <v>17676.830000000002</v>
      </c>
      <c r="N287" s="38"/>
      <c r="O287" s="39" t="e">
        <f>SUMPRODUCT(SUMIF(SurtaxRatesSAS!$B$2:$B$324,$C287:$E287,SurtaxRatesSAS!$L$2:$L$324))</f>
        <v>#REF!</v>
      </c>
      <c r="P287" s="39" t="e">
        <f>SUMPRODUCT(SUMIF(SurtaxRatesSAS!$B$2:$B$324,$C287:$E287,SurtaxRatesSAS!$M$2:$M$324))</f>
        <v>#REF!</v>
      </c>
      <c r="Q287" s="39" t="e">
        <f>SUMPRODUCT(SUMIF(SurtaxRatesSAS!$B$2:$B$324,$C287:$E287,SurtaxRatesSAS!$N$2:$N$324))</f>
        <v>#REF!</v>
      </c>
      <c r="R287" s="38"/>
      <c r="S287" s="39" t="e">
        <f t="shared" si="12"/>
        <v>#REF!</v>
      </c>
      <c r="T287" s="39" t="e">
        <f t="shared" si="13"/>
        <v>#REF!</v>
      </c>
      <c r="U287" s="39" t="e">
        <f t="shared" si="14"/>
        <v>#REF!</v>
      </c>
      <c r="V287" s="29"/>
      <c r="W287" s="31" t="str">
        <f>IF(K287&gt;0,INDEX(cfo!$C$2:$I$326,MATCH(SurtaxPayment!C287,cfo!$C$2:$C$326,0),7),"")</f>
        <v>bsnsman@twincedarscsd.org</v>
      </c>
      <c r="X287" s="31" t="str">
        <f>IF(IF(K287&gt;0,INDEX(cfo!$C$2:$K$326,MATCH(SurtaxPayment!C287,cfo!$C$2:$C$326,0),9),"")=0,"",IF(K287&gt;0,INDEX(cfo!$C$2:$K$326,MATCH(SurtaxPayment!C287,cfo!$C$2:$C$326,0),9),""))</f>
        <v/>
      </c>
    </row>
    <row r="288" spans="1:24" x14ac:dyDescent="0.25">
      <c r="A288" s="52">
        <v>2025</v>
      </c>
      <c r="B288" s="52" t="s">
        <v>661</v>
      </c>
      <c r="C288" s="57" t="s">
        <v>599</v>
      </c>
      <c r="D288" s="58" t="s">
        <v>693</v>
      </c>
      <c r="E288" s="58" t="s">
        <v>693</v>
      </c>
      <c r="F288" s="58" t="s">
        <v>599</v>
      </c>
      <c r="G288" s="57" t="s">
        <v>254</v>
      </c>
      <c r="H288" s="39">
        <f>SUMPRODUCT(SUMIF(SurtaxRatesSAS!$B$2:$B$324,$C288:$E288,SurtaxRatesSAS!$E$2:$E$324))</f>
        <v>0</v>
      </c>
      <c r="I288" s="39">
        <f>SUMPRODUCT(SUMIF(SurtaxRatesSAS!$B$2:$B$324,$C288:$E288,SurtaxRatesSAS!$D$2:$D$324))</f>
        <v>6</v>
      </c>
      <c r="J288" s="38"/>
      <c r="K288" s="39">
        <f>SUMPRODUCT(SUMIF(SurtaxRatesSAS!$B$2:$B$324,$C288:$E288,SurtaxRatesSAS!$G$2:$G$324))</f>
        <v>59755.48</v>
      </c>
      <c r="L288" s="39">
        <f>SUMPRODUCT(SUMIF(SurtaxRatesSAS!$B$2:$B$324,$C288:$E288,SurtaxRatesSAS!$H$2:$H$324))</f>
        <v>0</v>
      </c>
      <c r="M288" s="39">
        <f>SUMPRODUCT(SUMIF(SurtaxRatesSAS!$B$2:$B$324,$C288:$E288,SurtaxRatesSAS!$I$2:$I$324))</f>
        <v>59755.48</v>
      </c>
      <c r="N288" s="38"/>
      <c r="O288" s="39" t="e">
        <f>SUMPRODUCT(SUMIF(SurtaxRatesSAS!$B$2:$B$324,$C288:$E288,SurtaxRatesSAS!$L$2:$L$324))</f>
        <v>#REF!</v>
      </c>
      <c r="P288" s="39" t="e">
        <f>SUMPRODUCT(SUMIF(SurtaxRatesSAS!$B$2:$B$324,$C288:$E288,SurtaxRatesSAS!$M$2:$M$324))</f>
        <v>#REF!</v>
      </c>
      <c r="Q288" s="39" t="e">
        <f>SUMPRODUCT(SUMIF(SurtaxRatesSAS!$B$2:$B$324,$C288:$E288,SurtaxRatesSAS!$N$2:$N$324))</f>
        <v>#REF!</v>
      </c>
      <c r="R288" s="38"/>
      <c r="S288" s="39" t="e">
        <f t="shared" si="12"/>
        <v>#REF!</v>
      </c>
      <c r="T288" s="39" t="e">
        <f t="shared" si="13"/>
        <v>#REF!</v>
      </c>
      <c r="U288" s="39" t="e">
        <f t="shared" si="14"/>
        <v>#REF!</v>
      </c>
      <c r="W288" s="31" t="str">
        <f>IF(K288&gt;0,INDEX(cfo!$C$2:$I$326,MATCH(SurtaxPayment!C288,cfo!$C$2:$C$326,0),7),"")</f>
        <v>lthul@humboldt.k12.ia.us</v>
      </c>
      <c r="X288" s="31" t="str">
        <f>IF(IF(K288&gt;0,INDEX(cfo!$C$2:$K$326,MATCH(SurtaxPayment!C288,cfo!$C$2:$C$326,0),9),"")=0,"",IF(K288&gt;0,INDEX(cfo!$C$2:$K$326,MATCH(SurtaxPayment!C288,cfo!$C$2:$C$326,0),9),""))</f>
        <v/>
      </c>
    </row>
    <row r="289" spans="1:24" x14ac:dyDescent="0.25">
      <c r="A289" s="52">
        <v>2025</v>
      </c>
      <c r="B289" s="52" t="s">
        <v>659</v>
      </c>
      <c r="C289" s="57" t="s">
        <v>600</v>
      </c>
      <c r="D289" s="58" t="s">
        <v>693</v>
      </c>
      <c r="E289" s="58" t="s">
        <v>693</v>
      </c>
      <c r="F289" s="58" t="s">
        <v>600</v>
      </c>
      <c r="G289" s="57" t="s">
        <v>732</v>
      </c>
      <c r="H289" s="39">
        <f>SUMPRODUCT(SUMIF(SurtaxRatesSAS!$B$2:$B$324,$C289:$E289,SurtaxRatesSAS!$E$2:$E$324))</f>
        <v>0</v>
      </c>
      <c r="I289" s="39">
        <f>SUMPRODUCT(SUMIF(SurtaxRatesSAS!$B$2:$B$324,$C289:$E289,SurtaxRatesSAS!$D$2:$D$324))</f>
        <v>0</v>
      </c>
      <c r="J289" s="38"/>
      <c r="K289" s="39">
        <f>SUMPRODUCT(SUMIF(SurtaxRatesSAS!$B$2:$B$324,$C289:$E289,SurtaxRatesSAS!$G$2:$G$324))</f>
        <v>0</v>
      </c>
      <c r="L289" s="39">
        <f>SUMPRODUCT(SUMIF(SurtaxRatesSAS!$B$2:$B$324,$C289:$E289,SurtaxRatesSAS!$H$2:$H$324))</f>
        <v>0</v>
      </c>
      <c r="M289" s="39">
        <f>SUMPRODUCT(SUMIF(SurtaxRatesSAS!$B$2:$B$324,$C289:$E289,SurtaxRatesSAS!$I$2:$I$324))</f>
        <v>0</v>
      </c>
      <c r="N289" s="38"/>
      <c r="O289" s="39">
        <f>SUMPRODUCT(SUMIF(SurtaxRatesSAS!$B$2:$B$324,$C289:$E289,SurtaxRatesSAS!$L$2:$L$324))</f>
        <v>0</v>
      </c>
      <c r="P289" s="39">
        <f>SUMPRODUCT(SUMIF(SurtaxRatesSAS!$B$2:$B$324,$C289:$E289,SurtaxRatesSAS!$M$2:$M$324))</f>
        <v>0</v>
      </c>
      <c r="Q289" s="39">
        <f>SUMPRODUCT(SUMIF(SurtaxRatesSAS!$B$2:$B$324,$C289:$E289,SurtaxRatesSAS!$N$2:$N$324))</f>
        <v>0</v>
      </c>
      <c r="R289" s="38"/>
      <c r="S289" s="39">
        <f t="shared" si="12"/>
        <v>0</v>
      </c>
      <c r="T289" s="39">
        <f t="shared" si="13"/>
        <v>0</v>
      </c>
      <c r="U289" s="39">
        <f t="shared" si="14"/>
        <v>0</v>
      </c>
      <c r="W289" s="31" t="str">
        <f>IF(K289&gt;0,INDEX(cfo!$C$2:$I$326,MATCH(SurtaxPayment!C289,cfo!$C$2:$C$326,0),7),"")</f>
        <v/>
      </c>
      <c r="X289" s="31" t="str">
        <f>IF(IF(K289&gt;0,INDEX(cfo!$C$2:$K$326,MATCH(SurtaxPayment!C289,cfo!$C$2:$C$326,0),9),"")=0,"",IF(K289&gt;0,INDEX(cfo!$C$2:$K$326,MATCH(SurtaxPayment!C289,cfo!$C$2:$C$326,0),9),""))</f>
        <v/>
      </c>
    </row>
    <row r="290" spans="1:24" x14ac:dyDescent="0.25">
      <c r="A290" s="52">
        <v>2025</v>
      </c>
      <c r="B290" s="52" t="s">
        <v>658</v>
      </c>
      <c r="C290" s="57" t="s">
        <v>405</v>
      </c>
      <c r="D290" s="58" t="s">
        <v>693</v>
      </c>
      <c r="E290" s="58" t="s">
        <v>693</v>
      </c>
      <c r="F290" s="58" t="s">
        <v>676</v>
      </c>
      <c r="G290" s="57" t="s">
        <v>255</v>
      </c>
      <c r="H290" s="39">
        <f>SUMPRODUCT(SUMIF(SurtaxRatesSAS!$B$2:$B$324,$C290:$E290,SurtaxRatesSAS!$E$2:$E$324))</f>
        <v>1</v>
      </c>
      <c r="I290" s="39">
        <f>SUMPRODUCT(SUMIF(SurtaxRatesSAS!$B$2:$B$324,$C290:$E290,SurtaxRatesSAS!$D$2:$D$324))</f>
        <v>6</v>
      </c>
      <c r="J290" s="38"/>
      <c r="K290" s="39">
        <f>SUMPRODUCT(SUMIF(SurtaxRatesSAS!$B$2:$B$324,$C290:$E290,SurtaxRatesSAS!$G$2:$G$324))</f>
        <v>506731.82</v>
      </c>
      <c r="L290" s="39">
        <f>SUMPRODUCT(SUMIF(SurtaxRatesSAS!$B$2:$B$324,$C290:$E290,SurtaxRatesSAS!$H$2:$H$324))</f>
        <v>72390.259999999995</v>
      </c>
      <c r="M290" s="39">
        <f>SUMPRODUCT(SUMIF(SurtaxRatesSAS!$B$2:$B$324,$C290:$E290,SurtaxRatesSAS!$I$2:$I$324))</f>
        <v>434341.56</v>
      </c>
      <c r="N290" s="38"/>
      <c r="O290" s="39" t="e">
        <f>SUMPRODUCT(SUMIF(SurtaxRatesSAS!$B$2:$B$324,$C290:$E290,SurtaxRatesSAS!$L$2:$L$324))</f>
        <v>#REF!</v>
      </c>
      <c r="P290" s="39" t="e">
        <f>SUMPRODUCT(SUMIF(SurtaxRatesSAS!$B$2:$B$324,$C290:$E290,SurtaxRatesSAS!$M$2:$M$324))</f>
        <v>#REF!</v>
      </c>
      <c r="Q290" s="39" t="e">
        <f>SUMPRODUCT(SUMIF(SurtaxRatesSAS!$B$2:$B$324,$C290:$E290,SurtaxRatesSAS!$N$2:$N$324))</f>
        <v>#REF!</v>
      </c>
      <c r="R290" s="38"/>
      <c r="S290" s="39" t="e">
        <f t="shared" si="12"/>
        <v>#REF!</v>
      </c>
      <c r="T290" s="39" t="e">
        <f t="shared" si="13"/>
        <v>#REF!</v>
      </c>
      <c r="U290" s="39" t="e">
        <f t="shared" si="14"/>
        <v>#REF!</v>
      </c>
      <c r="W290" s="31" t="str">
        <f>IF(K290&gt;0,INDEX(cfo!$C$2:$I$326,MATCH(SurtaxPayment!C290,cfo!$C$2:$C$326,0),7),"")</f>
        <v>k_lubbert@union.k12.ia.us</v>
      </c>
      <c r="X290" s="31" t="str">
        <f>IF(IF(K290&gt;0,INDEX(cfo!$C$2:$K$326,MATCH(SurtaxPayment!C290,cfo!$C$2:$C$326,0),9),"")=0,"",IF(K290&gt;0,INDEX(cfo!$C$2:$K$326,MATCH(SurtaxPayment!C290,cfo!$C$2:$C$326,0),9),""))</f>
        <v/>
      </c>
    </row>
    <row r="291" spans="1:24" x14ac:dyDescent="0.25">
      <c r="A291" s="52">
        <v>2025</v>
      </c>
      <c r="B291" s="52" t="s">
        <v>657</v>
      </c>
      <c r="C291" s="57" t="s">
        <v>601</v>
      </c>
      <c r="D291" s="58" t="s">
        <v>693</v>
      </c>
      <c r="E291" s="58" t="s">
        <v>693</v>
      </c>
      <c r="F291" s="58" t="s">
        <v>601</v>
      </c>
      <c r="G291" s="57" t="s">
        <v>256</v>
      </c>
      <c r="H291" s="39">
        <f>SUMPRODUCT(SUMIF(SurtaxRatesSAS!$B$2:$B$324,$C291:$E291,SurtaxRatesSAS!$E$2:$E$324))</f>
        <v>0</v>
      </c>
      <c r="I291" s="39">
        <f>SUMPRODUCT(SUMIF(SurtaxRatesSAS!$B$2:$B$324,$C291:$E291,SurtaxRatesSAS!$D$2:$D$324))</f>
        <v>1</v>
      </c>
      <c r="J291" s="38"/>
      <c r="K291" s="39">
        <f>SUMPRODUCT(SUMIF(SurtaxRatesSAS!$B$2:$B$324,$C291:$E291,SurtaxRatesSAS!$G$2:$G$324))</f>
        <v>32995.49</v>
      </c>
      <c r="L291" s="39">
        <f>SUMPRODUCT(SUMIF(SurtaxRatesSAS!$B$2:$B$324,$C291:$E291,SurtaxRatesSAS!$H$2:$H$324))</f>
        <v>0</v>
      </c>
      <c r="M291" s="39">
        <f>SUMPRODUCT(SUMIF(SurtaxRatesSAS!$B$2:$B$324,$C291:$E291,SurtaxRatesSAS!$I$2:$I$324))</f>
        <v>32995.49</v>
      </c>
      <c r="N291" s="38"/>
      <c r="O291" s="39" t="e">
        <f>SUMPRODUCT(SUMIF(SurtaxRatesSAS!$B$2:$B$324,$C291:$E291,SurtaxRatesSAS!$L$2:$L$324))</f>
        <v>#REF!</v>
      </c>
      <c r="P291" s="39" t="e">
        <f>SUMPRODUCT(SUMIF(SurtaxRatesSAS!$B$2:$B$324,$C291:$E291,SurtaxRatesSAS!$M$2:$M$324))</f>
        <v>#REF!</v>
      </c>
      <c r="Q291" s="39" t="e">
        <f>SUMPRODUCT(SUMIF(SurtaxRatesSAS!$B$2:$B$324,$C291:$E291,SurtaxRatesSAS!$N$2:$N$324))</f>
        <v>#REF!</v>
      </c>
      <c r="R291" s="38"/>
      <c r="S291" s="39" t="e">
        <f t="shared" si="12"/>
        <v>#REF!</v>
      </c>
      <c r="T291" s="39" t="e">
        <f t="shared" si="13"/>
        <v>#REF!</v>
      </c>
      <c r="U291" s="39" t="e">
        <f t="shared" si="14"/>
        <v>#REF!</v>
      </c>
      <c r="W291" s="31" t="str">
        <f>IF(K291&gt;0,INDEX(cfo!$C$2:$I$326,MATCH(SurtaxPayment!C291,cfo!$C$2:$C$326,0),7),"")</f>
        <v>jclancy@united.k12.ia.us</v>
      </c>
      <c r="X291" s="31" t="str">
        <f>IF(IF(K291&gt;0,INDEX(cfo!$C$2:$K$326,MATCH(SurtaxPayment!C291,cfo!$C$2:$C$326,0),9),"")=0,"",IF(K291&gt;0,INDEX(cfo!$C$2:$K$326,MATCH(SurtaxPayment!C291,cfo!$C$2:$C$326,0),9),""))</f>
        <v/>
      </c>
    </row>
    <row r="292" spans="1:24" x14ac:dyDescent="0.25">
      <c r="A292" s="52">
        <v>2025</v>
      </c>
      <c r="B292" s="52" t="s">
        <v>657</v>
      </c>
      <c r="C292" s="57" t="s">
        <v>602</v>
      </c>
      <c r="D292" s="58" t="s">
        <v>693</v>
      </c>
      <c r="E292" s="58" t="s">
        <v>693</v>
      </c>
      <c r="F292" s="58" t="s">
        <v>602</v>
      </c>
      <c r="G292" s="57" t="s">
        <v>733</v>
      </c>
      <c r="H292" s="39">
        <f>SUMPRODUCT(SUMIF(SurtaxRatesSAS!$B$2:$B$324,$C292:$E292,SurtaxRatesSAS!$E$2:$E$324))</f>
        <v>0</v>
      </c>
      <c r="I292" s="39">
        <f>SUMPRODUCT(SUMIF(SurtaxRatesSAS!$B$2:$B$324,$C292:$E292,SurtaxRatesSAS!$D$2:$D$324))</f>
        <v>0</v>
      </c>
      <c r="J292" s="38"/>
      <c r="K292" s="39">
        <f>SUMPRODUCT(SUMIF(SurtaxRatesSAS!$B$2:$B$324,$C292:$E292,SurtaxRatesSAS!$G$2:$G$324))</f>
        <v>0</v>
      </c>
      <c r="L292" s="39">
        <f>SUMPRODUCT(SUMIF(SurtaxRatesSAS!$B$2:$B$324,$C292:$E292,SurtaxRatesSAS!$H$2:$H$324))</f>
        <v>0</v>
      </c>
      <c r="M292" s="39">
        <f>SUMPRODUCT(SUMIF(SurtaxRatesSAS!$B$2:$B$324,$C292:$E292,SurtaxRatesSAS!$I$2:$I$324))</f>
        <v>0</v>
      </c>
      <c r="N292" s="38"/>
      <c r="O292" s="39">
        <f>SUMPRODUCT(SUMIF(SurtaxRatesSAS!$B$2:$B$324,$C292:$E292,SurtaxRatesSAS!$L$2:$L$324))</f>
        <v>0</v>
      </c>
      <c r="P292" s="39">
        <f>SUMPRODUCT(SUMIF(SurtaxRatesSAS!$B$2:$B$324,$C292:$E292,SurtaxRatesSAS!$M$2:$M$324))</f>
        <v>0</v>
      </c>
      <c r="Q292" s="39">
        <f>SUMPRODUCT(SUMIF(SurtaxRatesSAS!$B$2:$B$324,$C292:$E292,SurtaxRatesSAS!$N$2:$N$324))</f>
        <v>0</v>
      </c>
      <c r="R292" s="38"/>
      <c r="S292" s="39">
        <f t="shared" si="12"/>
        <v>0</v>
      </c>
      <c r="T292" s="39">
        <f t="shared" si="13"/>
        <v>0</v>
      </c>
      <c r="U292" s="39">
        <f t="shared" si="14"/>
        <v>0</v>
      </c>
      <c r="W292" s="31" t="str">
        <f>IF(K292&gt;0,INDEX(cfo!$C$2:$I$326,MATCH(SurtaxPayment!C292,cfo!$C$2:$C$326,0),7),"")</f>
        <v/>
      </c>
      <c r="X292" s="31" t="str">
        <f>IF(IF(K292&gt;0,INDEX(cfo!$C$2:$K$326,MATCH(SurtaxPayment!C292,cfo!$C$2:$C$326,0),9),"")=0,"",IF(K292&gt;0,INDEX(cfo!$C$2:$K$326,MATCH(SurtaxPayment!C292,cfo!$C$2:$C$326,0),9),""))</f>
        <v/>
      </c>
    </row>
    <row r="293" spans="1:24" x14ac:dyDescent="0.25">
      <c r="A293" s="52">
        <v>2025</v>
      </c>
      <c r="B293" s="52" t="s">
        <v>662</v>
      </c>
      <c r="C293" s="57" t="s">
        <v>603</v>
      </c>
      <c r="D293" s="58" t="s">
        <v>693</v>
      </c>
      <c r="E293" s="58" t="s">
        <v>693</v>
      </c>
      <c r="F293" s="58" t="s">
        <v>603</v>
      </c>
      <c r="G293" s="57" t="s">
        <v>734</v>
      </c>
      <c r="H293" s="39">
        <f>SUMPRODUCT(SUMIF(SurtaxRatesSAS!$B$2:$B$324,$C293:$E293,SurtaxRatesSAS!$E$2:$E$324))</f>
        <v>0</v>
      </c>
      <c r="I293" s="39">
        <f>SUMPRODUCT(SUMIF(SurtaxRatesSAS!$B$2:$B$324,$C293:$E293,SurtaxRatesSAS!$D$2:$D$324))</f>
        <v>9</v>
      </c>
      <c r="J293" s="38"/>
      <c r="K293" s="39">
        <f>SUMPRODUCT(SUMIF(SurtaxRatesSAS!$B$2:$B$324,$C293:$E293,SurtaxRatesSAS!$G$2:$G$324))</f>
        <v>498404.82</v>
      </c>
      <c r="L293" s="39">
        <f>SUMPRODUCT(SUMIF(SurtaxRatesSAS!$B$2:$B$324,$C293:$E293,SurtaxRatesSAS!$H$2:$H$324))</f>
        <v>0</v>
      </c>
      <c r="M293" s="39">
        <f>SUMPRODUCT(SUMIF(SurtaxRatesSAS!$B$2:$B$324,$C293:$E293,SurtaxRatesSAS!$I$2:$I$324))</f>
        <v>498404.82</v>
      </c>
      <c r="N293" s="38"/>
      <c r="O293" s="39" t="e">
        <f>SUMPRODUCT(SUMIF(SurtaxRatesSAS!$B$2:$B$324,$C293:$E293,SurtaxRatesSAS!$L$2:$L$324))</f>
        <v>#REF!</v>
      </c>
      <c r="P293" s="39" t="e">
        <f>SUMPRODUCT(SUMIF(SurtaxRatesSAS!$B$2:$B$324,$C293:$E293,SurtaxRatesSAS!$M$2:$M$324))</f>
        <v>#REF!</v>
      </c>
      <c r="Q293" s="39" t="e">
        <f>SUMPRODUCT(SUMIF(SurtaxRatesSAS!$B$2:$B$324,$C293:$E293,SurtaxRatesSAS!$N$2:$N$324))</f>
        <v>#REF!</v>
      </c>
      <c r="R293" s="38"/>
      <c r="S293" s="39" t="e">
        <f t="shared" si="12"/>
        <v>#REF!</v>
      </c>
      <c r="T293" s="39" t="e">
        <f t="shared" si="13"/>
        <v>#REF!</v>
      </c>
      <c r="U293" s="39" t="e">
        <f t="shared" si="14"/>
        <v>#REF!</v>
      </c>
      <c r="W293" s="31" t="str">
        <f>IF(K293&gt;0,INDEX(cfo!$C$2:$I$326,MATCH(SurtaxPayment!C293,cfo!$C$2:$C$326,0),7),"")</f>
        <v>mindy.smith@van-burencsd.org</v>
      </c>
      <c r="X293" s="31" t="str">
        <f>IF(IF(K293&gt;0,INDEX(cfo!$C$2:$K$326,MATCH(SurtaxPayment!C293,cfo!$C$2:$C$326,0),9),"")=0,"",IF(K293&gt;0,INDEX(cfo!$C$2:$K$326,MATCH(SurtaxPayment!C293,cfo!$C$2:$C$326,0),9),""))</f>
        <v/>
      </c>
    </row>
    <row r="294" spans="1:24" x14ac:dyDescent="0.25">
      <c r="A294" s="52">
        <v>2025</v>
      </c>
      <c r="B294" s="52" t="s">
        <v>657</v>
      </c>
      <c r="C294" s="57" t="s">
        <v>604</v>
      </c>
      <c r="D294" s="58" t="s">
        <v>693</v>
      </c>
      <c r="E294" s="58" t="s">
        <v>693</v>
      </c>
      <c r="F294" s="58" t="s">
        <v>604</v>
      </c>
      <c r="G294" s="57" t="s">
        <v>259</v>
      </c>
      <c r="H294" s="39">
        <f>SUMPRODUCT(SUMIF(SurtaxRatesSAS!$B$2:$B$324,$C294:$E294,SurtaxRatesSAS!$E$2:$E$324))</f>
        <v>0</v>
      </c>
      <c r="I294" s="39">
        <f>SUMPRODUCT(SUMIF(SurtaxRatesSAS!$B$2:$B$324,$C294:$E294,SurtaxRatesSAS!$D$2:$D$324))</f>
        <v>3</v>
      </c>
      <c r="J294" s="38"/>
      <c r="K294" s="39">
        <f>SUMPRODUCT(SUMIF(SurtaxRatesSAS!$B$2:$B$324,$C294:$E294,SurtaxRatesSAS!$G$2:$G$324))</f>
        <v>390341.62</v>
      </c>
      <c r="L294" s="39">
        <f>SUMPRODUCT(SUMIF(SurtaxRatesSAS!$B$2:$B$324,$C294:$E294,SurtaxRatesSAS!$H$2:$H$324))</f>
        <v>0</v>
      </c>
      <c r="M294" s="39">
        <f>SUMPRODUCT(SUMIF(SurtaxRatesSAS!$B$2:$B$324,$C294:$E294,SurtaxRatesSAS!$I$2:$I$324))</f>
        <v>390341.62</v>
      </c>
      <c r="N294" s="38"/>
      <c r="O294" s="39" t="e">
        <f>SUMPRODUCT(SUMIF(SurtaxRatesSAS!$B$2:$B$324,$C294:$E294,SurtaxRatesSAS!$L$2:$L$324))</f>
        <v>#REF!</v>
      </c>
      <c r="P294" s="39" t="e">
        <f>SUMPRODUCT(SUMIF(SurtaxRatesSAS!$B$2:$B$324,$C294:$E294,SurtaxRatesSAS!$M$2:$M$324))</f>
        <v>#REF!</v>
      </c>
      <c r="Q294" s="39" t="e">
        <f>SUMPRODUCT(SUMIF(SurtaxRatesSAS!$B$2:$B$324,$C294:$E294,SurtaxRatesSAS!$N$2:$N$324))</f>
        <v>#REF!</v>
      </c>
      <c r="R294" s="38"/>
      <c r="S294" s="39" t="e">
        <f t="shared" si="12"/>
        <v>#REF!</v>
      </c>
      <c r="T294" s="39" t="e">
        <f t="shared" si="13"/>
        <v>#REF!</v>
      </c>
      <c r="U294" s="39" t="e">
        <f t="shared" si="14"/>
        <v>#REF!</v>
      </c>
      <c r="W294" s="31" t="str">
        <f>IF(K294&gt;0,INDEX(cfo!$C$2:$I$326,MATCH(SurtaxPayment!C294,cfo!$C$2:$C$326,0),7),"")</f>
        <v>shonna.trudo@vmbulldogs.com</v>
      </c>
      <c r="X294" s="31" t="str">
        <f>IF(IF(K294&gt;0,INDEX(cfo!$C$2:$K$326,MATCH(SurtaxPayment!C294,cfo!$C$2:$C$326,0),9),"")=0,"",IF(K294&gt;0,INDEX(cfo!$C$2:$K$326,MATCH(SurtaxPayment!C294,cfo!$C$2:$C$326,0),9),""))</f>
        <v/>
      </c>
    </row>
    <row r="295" spans="1:24" x14ac:dyDescent="0.25">
      <c r="A295" s="52">
        <v>2025</v>
      </c>
      <c r="B295" s="52" t="s">
        <v>659</v>
      </c>
      <c r="C295" s="57" t="s">
        <v>605</v>
      </c>
      <c r="D295" s="58" t="s">
        <v>693</v>
      </c>
      <c r="E295" s="58" t="s">
        <v>693</v>
      </c>
      <c r="F295" s="58" t="s">
        <v>605</v>
      </c>
      <c r="G295" s="57" t="s">
        <v>260</v>
      </c>
      <c r="H295" s="39">
        <f>SUMPRODUCT(SUMIF(SurtaxRatesSAS!$B$2:$B$324,$C295:$E295,SurtaxRatesSAS!$E$2:$E$324))</f>
        <v>5</v>
      </c>
      <c r="I295" s="39">
        <f>SUMPRODUCT(SUMIF(SurtaxRatesSAS!$B$2:$B$324,$C295:$E295,SurtaxRatesSAS!$D$2:$D$324))</f>
        <v>0</v>
      </c>
      <c r="J295" s="38"/>
      <c r="K295" s="39">
        <f>SUMPRODUCT(SUMIF(SurtaxRatesSAS!$B$2:$B$324,$C295:$E295,SurtaxRatesSAS!$G$2:$G$324))</f>
        <v>67215.58</v>
      </c>
      <c r="L295" s="39">
        <f>SUMPRODUCT(SUMIF(SurtaxRatesSAS!$B$2:$B$324,$C295:$E295,SurtaxRatesSAS!$H$2:$H$324))</f>
        <v>67215.58</v>
      </c>
      <c r="M295" s="39">
        <f>SUMPRODUCT(SUMIF(SurtaxRatesSAS!$B$2:$B$324,$C295:$E295,SurtaxRatesSAS!$I$2:$I$324))</f>
        <v>0</v>
      </c>
      <c r="N295" s="38"/>
      <c r="O295" s="39" t="e">
        <f>SUMPRODUCT(SUMIF(SurtaxRatesSAS!$B$2:$B$324,$C295:$E295,SurtaxRatesSAS!$L$2:$L$324))</f>
        <v>#REF!</v>
      </c>
      <c r="P295" s="39" t="e">
        <f>SUMPRODUCT(SUMIF(SurtaxRatesSAS!$B$2:$B$324,$C295:$E295,SurtaxRatesSAS!$M$2:$M$324))</f>
        <v>#REF!</v>
      </c>
      <c r="Q295" s="39" t="e">
        <f>SUMPRODUCT(SUMIF(SurtaxRatesSAS!$B$2:$B$324,$C295:$E295,SurtaxRatesSAS!$N$2:$N$324))</f>
        <v>#REF!</v>
      </c>
      <c r="R295" s="38"/>
      <c r="S295" s="39" t="e">
        <f t="shared" si="12"/>
        <v>#REF!</v>
      </c>
      <c r="T295" s="39" t="e">
        <f t="shared" si="13"/>
        <v>#REF!</v>
      </c>
      <c r="U295" s="39" t="e">
        <f t="shared" si="14"/>
        <v>#REF!</v>
      </c>
      <c r="W295" s="31" t="str">
        <f>IF(K295&gt;0,INDEX(cfo!$C$2:$I$326,MATCH(SurtaxPayment!C295,cfo!$C$2:$C$326,0),7),"")</f>
        <v>jforsythe@southwestvalley.org</v>
      </c>
      <c r="X295" s="31" t="str">
        <f>IF(IF(K295&gt;0,INDEX(cfo!$C$2:$K$326,MATCH(SurtaxPayment!C295,cfo!$C$2:$C$326,0),9),"")=0,"",IF(K295&gt;0,INDEX(cfo!$C$2:$K$326,MATCH(SurtaxPayment!C295,cfo!$C$2:$C$326,0),9),""))</f>
        <v/>
      </c>
    </row>
    <row r="296" spans="1:24" x14ac:dyDescent="0.25">
      <c r="A296" s="52">
        <v>2025</v>
      </c>
      <c r="B296" s="52" t="s">
        <v>663</v>
      </c>
      <c r="C296" s="57" t="s">
        <v>606</v>
      </c>
      <c r="D296" s="58" t="s">
        <v>693</v>
      </c>
      <c r="E296" s="58" t="s">
        <v>693</v>
      </c>
      <c r="F296" s="58" t="s">
        <v>606</v>
      </c>
      <c r="G296" s="57" t="s">
        <v>261</v>
      </c>
      <c r="H296" s="39">
        <f>SUMPRODUCT(SUMIF(SurtaxRatesSAS!$B$2:$B$324,$C296:$E296,SurtaxRatesSAS!$E$2:$E$324))</f>
        <v>5</v>
      </c>
      <c r="I296" s="39">
        <f>SUMPRODUCT(SUMIF(SurtaxRatesSAS!$B$2:$B$324,$C296:$E296,SurtaxRatesSAS!$D$2:$D$324))</f>
        <v>2</v>
      </c>
      <c r="J296" s="38"/>
      <c r="K296" s="39">
        <f>SUMPRODUCT(SUMIF(SurtaxRatesSAS!$B$2:$B$324,$C296:$E296,SurtaxRatesSAS!$G$2:$G$324))</f>
        <v>664416.27</v>
      </c>
      <c r="L296" s="39">
        <f>SUMPRODUCT(SUMIF(SurtaxRatesSAS!$B$2:$B$324,$C296:$E296,SurtaxRatesSAS!$H$2:$H$324))</f>
        <v>474583.05</v>
      </c>
      <c r="M296" s="39">
        <f>SUMPRODUCT(SUMIF(SurtaxRatesSAS!$B$2:$B$324,$C296:$E296,SurtaxRatesSAS!$I$2:$I$324))</f>
        <v>189833.22000000003</v>
      </c>
      <c r="N296" s="38"/>
      <c r="O296" s="39" t="e">
        <f>SUMPRODUCT(SUMIF(SurtaxRatesSAS!$B$2:$B$324,$C296:$E296,SurtaxRatesSAS!$L$2:$L$324))</f>
        <v>#REF!</v>
      </c>
      <c r="P296" s="39" t="e">
        <f>SUMPRODUCT(SUMIF(SurtaxRatesSAS!$B$2:$B$324,$C296:$E296,SurtaxRatesSAS!$M$2:$M$324))</f>
        <v>#REF!</v>
      </c>
      <c r="Q296" s="39" t="e">
        <f>SUMPRODUCT(SUMIF(SurtaxRatesSAS!$B$2:$B$324,$C296:$E296,SurtaxRatesSAS!$N$2:$N$324))</f>
        <v>#REF!</v>
      </c>
      <c r="R296" s="38"/>
      <c r="S296" s="39" t="e">
        <f t="shared" si="12"/>
        <v>#REF!</v>
      </c>
      <c r="T296" s="39" t="e">
        <f t="shared" si="13"/>
        <v>#REF!</v>
      </c>
      <c r="U296" s="39" t="e">
        <f t="shared" si="14"/>
        <v>#REF!</v>
      </c>
      <c r="W296" s="31" t="str">
        <f>IF(K296&gt;0,INDEX(cfo!$C$2:$I$326,MATCH(SurtaxPayment!C296,cfo!$C$2:$C$326,0),7),"")</f>
        <v>crystal.coder@govikes.org</v>
      </c>
      <c r="X296" s="31" t="str">
        <f>IF(IF(K296&gt;0,INDEX(cfo!$C$2:$K$326,MATCH(SurtaxPayment!C296,cfo!$C$2:$C$326,0),9),"")=0,"",IF(K296&gt;0,INDEX(cfo!$C$2:$K$326,MATCH(SurtaxPayment!C296,cfo!$C$2:$C$326,0),9),""))</f>
        <v/>
      </c>
    </row>
    <row r="297" spans="1:24" x14ac:dyDescent="0.25">
      <c r="A297" s="52">
        <v>2025</v>
      </c>
      <c r="B297" s="52" t="s">
        <v>662</v>
      </c>
      <c r="C297" s="57" t="s">
        <v>607</v>
      </c>
      <c r="D297" s="58" t="s">
        <v>693</v>
      </c>
      <c r="E297" s="58" t="s">
        <v>693</v>
      </c>
      <c r="F297" s="58" t="s">
        <v>607</v>
      </c>
      <c r="G297" s="57" t="s">
        <v>735</v>
      </c>
      <c r="H297" s="39">
        <f>SUMPRODUCT(SUMIF(SurtaxRatesSAS!$B$2:$B$324,$C297:$E297,SurtaxRatesSAS!$E$2:$E$324))</f>
        <v>0</v>
      </c>
      <c r="I297" s="39">
        <f>SUMPRODUCT(SUMIF(SurtaxRatesSAS!$B$2:$B$324,$C297:$E297,SurtaxRatesSAS!$D$2:$D$324))</f>
        <v>0</v>
      </c>
      <c r="J297" s="38"/>
      <c r="K297" s="39">
        <f>SUMPRODUCT(SUMIF(SurtaxRatesSAS!$B$2:$B$324,$C297:$E297,SurtaxRatesSAS!$G$2:$G$324))</f>
        <v>0</v>
      </c>
      <c r="L297" s="39">
        <f>SUMPRODUCT(SUMIF(SurtaxRatesSAS!$B$2:$B$324,$C297:$E297,SurtaxRatesSAS!$H$2:$H$324))</f>
        <v>0</v>
      </c>
      <c r="M297" s="39">
        <f>SUMPRODUCT(SUMIF(SurtaxRatesSAS!$B$2:$B$324,$C297:$E297,SurtaxRatesSAS!$I$2:$I$324))</f>
        <v>0</v>
      </c>
      <c r="N297" s="38"/>
      <c r="O297" s="39">
        <f>SUMPRODUCT(SUMIF(SurtaxRatesSAS!$B$2:$B$324,$C297:$E297,SurtaxRatesSAS!$L$2:$L$324))</f>
        <v>0</v>
      </c>
      <c r="P297" s="39">
        <f>SUMPRODUCT(SUMIF(SurtaxRatesSAS!$B$2:$B$324,$C297:$E297,SurtaxRatesSAS!$M$2:$M$324))</f>
        <v>0</v>
      </c>
      <c r="Q297" s="39">
        <f>SUMPRODUCT(SUMIF(SurtaxRatesSAS!$B$2:$B$324,$C297:$E297,SurtaxRatesSAS!$N$2:$N$324))</f>
        <v>0</v>
      </c>
      <c r="R297" s="38"/>
      <c r="S297" s="39">
        <f t="shared" si="12"/>
        <v>0</v>
      </c>
      <c r="T297" s="39">
        <f t="shared" si="13"/>
        <v>0</v>
      </c>
      <c r="U297" s="39">
        <f t="shared" si="14"/>
        <v>0</v>
      </c>
      <c r="W297" s="31" t="str">
        <f>IF(K297&gt;0,INDEX(cfo!$C$2:$I$326,MATCH(SurtaxPayment!C297,cfo!$C$2:$C$326,0),7),"")</f>
        <v/>
      </c>
      <c r="X297" s="31" t="str">
        <f>IF(IF(K297&gt;0,INDEX(cfo!$C$2:$K$326,MATCH(SurtaxPayment!C297,cfo!$C$2:$C$326,0),9),"")=0,"",IF(K297&gt;0,INDEX(cfo!$C$2:$K$326,MATCH(SurtaxPayment!C297,cfo!$C$2:$C$326,0),9),""))</f>
        <v/>
      </c>
    </row>
    <row r="298" spans="1:24" x14ac:dyDescent="0.25">
      <c r="A298" s="52">
        <v>2025</v>
      </c>
      <c r="B298" s="52" t="s">
        <v>662</v>
      </c>
      <c r="C298" s="57" t="s">
        <v>609</v>
      </c>
      <c r="D298" s="58" t="s">
        <v>693</v>
      </c>
      <c r="E298" s="58" t="s">
        <v>693</v>
      </c>
      <c r="F298" s="58" t="s">
        <v>609</v>
      </c>
      <c r="G298" s="57" t="s">
        <v>263</v>
      </c>
      <c r="H298" s="39">
        <f>SUMPRODUCT(SUMIF(SurtaxRatesSAS!$B$2:$B$324,$C298:$E298,SurtaxRatesSAS!$E$2:$E$324))</f>
        <v>2</v>
      </c>
      <c r="I298" s="39">
        <f>SUMPRODUCT(SUMIF(SurtaxRatesSAS!$B$2:$B$324,$C298:$E298,SurtaxRatesSAS!$D$2:$D$324))</f>
        <v>2</v>
      </c>
      <c r="J298" s="38"/>
      <c r="K298" s="39">
        <f>SUMPRODUCT(SUMIF(SurtaxRatesSAS!$B$2:$B$324,$C298:$E298,SurtaxRatesSAS!$G$2:$G$324))</f>
        <v>126876.48</v>
      </c>
      <c r="L298" s="39">
        <f>SUMPRODUCT(SUMIF(SurtaxRatesSAS!$B$2:$B$324,$C298:$E298,SurtaxRatesSAS!$H$2:$H$324))</f>
        <v>63438.239999999998</v>
      </c>
      <c r="M298" s="39">
        <f>SUMPRODUCT(SUMIF(SurtaxRatesSAS!$B$2:$B$324,$C298:$E298,SurtaxRatesSAS!$I$2:$I$324))</f>
        <v>63438.239999999998</v>
      </c>
      <c r="N298" s="38"/>
      <c r="O298" s="39" t="e">
        <f>SUMPRODUCT(SUMIF(SurtaxRatesSAS!$B$2:$B$324,$C298:$E298,SurtaxRatesSAS!$L$2:$L$324))</f>
        <v>#REF!</v>
      </c>
      <c r="P298" s="39" t="e">
        <f>SUMPRODUCT(SUMIF(SurtaxRatesSAS!$B$2:$B$324,$C298:$E298,SurtaxRatesSAS!$M$2:$M$324))</f>
        <v>#REF!</v>
      </c>
      <c r="Q298" s="39" t="e">
        <f>SUMPRODUCT(SUMIF(SurtaxRatesSAS!$B$2:$B$324,$C298:$E298,SurtaxRatesSAS!$N$2:$N$324))</f>
        <v>#REF!</v>
      </c>
      <c r="R298" s="38"/>
      <c r="S298" s="39" t="e">
        <f t="shared" si="12"/>
        <v>#REF!</v>
      </c>
      <c r="T298" s="39" t="e">
        <f t="shared" si="13"/>
        <v>#REF!</v>
      </c>
      <c r="U298" s="39" t="e">
        <f t="shared" si="14"/>
        <v>#REF!</v>
      </c>
      <c r="W298" s="31" t="str">
        <f>IF(K298&gt;0,INDEX(cfo!$C$2:$I$326,MATCH(SurtaxPayment!C298,cfo!$C$2:$C$326,0),7),"")</f>
        <v>eric.small@wapellocsd.org</v>
      </c>
      <c r="X298" s="31" t="str">
        <f>IF(IF(K298&gt;0,INDEX(cfo!$C$2:$K$326,MATCH(SurtaxPayment!C298,cfo!$C$2:$C$326,0),9),"")=0,"",IF(K298&gt;0,INDEX(cfo!$C$2:$K$326,MATCH(SurtaxPayment!C298,cfo!$C$2:$C$326,0),9),""))</f>
        <v/>
      </c>
    </row>
    <row r="299" spans="1:24" x14ac:dyDescent="0.25">
      <c r="A299" s="52">
        <v>2025</v>
      </c>
      <c r="B299" s="52" t="s">
        <v>658</v>
      </c>
      <c r="C299" s="57" t="s">
        <v>610</v>
      </c>
      <c r="D299" s="58" t="s">
        <v>693</v>
      </c>
      <c r="E299" s="58" t="s">
        <v>693</v>
      </c>
      <c r="F299" s="58" t="s">
        <v>610</v>
      </c>
      <c r="G299" s="57" t="s">
        <v>264</v>
      </c>
      <c r="H299" s="39">
        <f>SUMPRODUCT(SUMIF(SurtaxRatesSAS!$B$2:$B$324,$C299:$E299,SurtaxRatesSAS!$E$2:$E$324))</f>
        <v>2</v>
      </c>
      <c r="I299" s="39">
        <f>SUMPRODUCT(SUMIF(SurtaxRatesSAS!$B$2:$B$324,$C299:$E299,SurtaxRatesSAS!$D$2:$D$324))</f>
        <v>8</v>
      </c>
      <c r="J299" s="38"/>
      <c r="K299" s="39">
        <f>SUMPRODUCT(SUMIF(SurtaxRatesSAS!$B$2:$B$324,$C299:$E299,SurtaxRatesSAS!$G$2:$G$324))</f>
        <v>408913.11</v>
      </c>
      <c r="L299" s="39">
        <f>SUMPRODUCT(SUMIF(SurtaxRatesSAS!$B$2:$B$324,$C299:$E299,SurtaxRatesSAS!$H$2:$H$324))</f>
        <v>81782.62</v>
      </c>
      <c r="M299" s="39">
        <f>SUMPRODUCT(SUMIF(SurtaxRatesSAS!$B$2:$B$324,$C299:$E299,SurtaxRatesSAS!$I$2:$I$324))</f>
        <v>327130.49</v>
      </c>
      <c r="N299" s="38"/>
      <c r="O299" s="39" t="e">
        <f>SUMPRODUCT(SUMIF(SurtaxRatesSAS!$B$2:$B$324,$C299:$E299,SurtaxRatesSAS!$L$2:$L$324))</f>
        <v>#REF!</v>
      </c>
      <c r="P299" s="39" t="e">
        <f>SUMPRODUCT(SUMIF(SurtaxRatesSAS!$B$2:$B$324,$C299:$E299,SurtaxRatesSAS!$M$2:$M$324))</f>
        <v>#REF!</v>
      </c>
      <c r="Q299" s="39" t="e">
        <f>SUMPRODUCT(SUMIF(SurtaxRatesSAS!$B$2:$B$324,$C299:$E299,SurtaxRatesSAS!$N$2:$N$324))</f>
        <v>#REF!</v>
      </c>
      <c r="R299" s="38"/>
      <c r="S299" s="39" t="e">
        <f t="shared" si="12"/>
        <v>#REF!</v>
      </c>
      <c r="T299" s="39" t="e">
        <f t="shared" si="13"/>
        <v>#REF!</v>
      </c>
      <c r="U299" s="39" t="e">
        <f t="shared" si="14"/>
        <v>#REF!</v>
      </c>
      <c r="W299" s="31" t="str">
        <f>IF(K299&gt;0,INDEX(cfo!$C$2:$I$326,MATCH(SurtaxPayment!C299,cfo!$C$2:$C$326,0),7),"")</f>
        <v>karndt@wapsievalleyschools.org</v>
      </c>
      <c r="X299" s="31" t="str">
        <f>IF(IF(K299&gt;0,INDEX(cfo!$C$2:$K$326,MATCH(SurtaxPayment!C299,cfo!$C$2:$C$326,0),9),"")=0,"",IF(K299&gt;0,INDEX(cfo!$C$2:$K$326,MATCH(SurtaxPayment!C299,cfo!$C$2:$C$326,0),9),""))</f>
        <v/>
      </c>
    </row>
    <row r="300" spans="1:24" x14ac:dyDescent="0.25">
      <c r="A300" s="52">
        <v>2025</v>
      </c>
      <c r="B300" s="52" t="s">
        <v>663</v>
      </c>
      <c r="C300" s="57" t="s">
        <v>611</v>
      </c>
      <c r="D300" s="58" t="s">
        <v>693</v>
      </c>
      <c r="E300" s="58" t="s">
        <v>693</v>
      </c>
      <c r="F300" s="58" t="s">
        <v>611</v>
      </c>
      <c r="G300" s="57" t="s">
        <v>265</v>
      </c>
      <c r="H300" s="39">
        <f>SUMPRODUCT(SUMIF(SurtaxRatesSAS!$B$2:$B$324,$C300:$E300,SurtaxRatesSAS!$E$2:$E$324))</f>
        <v>0</v>
      </c>
      <c r="I300" s="39">
        <f>SUMPRODUCT(SUMIF(SurtaxRatesSAS!$B$2:$B$324,$C300:$E300,SurtaxRatesSAS!$D$2:$D$324))</f>
        <v>8</v>
      </c>
      <c r="J300" s="38"/>
      <c r="K300" s="39">
        <f>SUMPRODUCT(SUMIF(SurtaxRatesSAS!$B$2:$B$324,$C300:$E300,SurtaxRatesSAS!$G$2:$G$324))</f>
        <v>786550.44</v>
      </c>
      <c r="L300" s="39">
        <f>SUMPRODUCT(SUMIF(SurtaxRatesSAS!$B$2:$B$324,$C300:$E300,SurtaxRatesSAS!$H$2:$H$324))</f>
        <v>0</v>
      </c>
      <c r="M300" s="39">
        <f>SUMPRODUCT(SUMIF(SurtaxRatesSAS!$B$2:$B$324,$C300:$E300,SurtaxRatesSAS!$I$2:$I$324))</f>
        <v>786550.44</v>
      </c>
      <c r="N300" s="38"/>
      <c r="O300" s="39" t="e">
        <f>SUMPRODUCT(SUMIF(SurtaxRatesSAS!$B$2:$B$324,$C300:$E300,SurtaxRatesSAS!$L$2:$L$324))</f>
        <v>#REF!</v>
      </c>
      <c r="P300" s="39" t="e">
        <f>SUMPRODUCT(SUMIF(SurtaxRatesSAS!$B$2:$B$324,$C300:$E300,SurtaxRatesSAS!$M$2:$M$324))</f>
        <v>#REF!</v>
      </c>
      <c r="Q300" s="39" t="e">
        <f>SUMPRODUCT(SUMIF(SurtaxRatesSAS!$B$2:$B$324,$C300:$E300,SurtaxRatesSAS!$N$2:$N$324))</f>
        <v>#REF!</v>
      </c>
      <c r="R300" s="38"/>
      <c r="S300" s="39" t="e">
        <f t="shared" si="12"/>
        <v>#REF!</v>
      </c>
      <c r="T300" s="39" t="e">
        <f t="shared" si="13"/>
        <v>#REF!</v>
      </c>
      <c r="U300" s="39" t="e">
        <f t="shared" si="14"/>
        <v>#REF!</v>
      </c>
      <c r="W300" s="31" t="str">
        <f>IF(K300&gt;0,INDEX(cfo!$C$2:$I$326,MATCH(SurtaxPayment!C300,cfo!$C$2:$C$326,0),7),"")</f>
        <v>agreiner@washington.k12.ia.us</v>
      </c>
      <c r="X300" s="31" t="str">
        <f>IF(IF(K300&gt;0,INDEX(cfo!$C$2:$K$326,MATCH(SurtaxPayment!C300,cfo!$C$2:$C$326,0),9),"")=0,"",IF(K300&gt;0,INDEX(cfo!$C$2:$K$326,MATCH(SurtaxPayment!C300,cfo!$C$2:$C$326,0),9),""))</f>
        <v/>
      </c>
    </row>
    <row r="301" spans="1:24" x14ac:dyDescent="0.25">
      <c r="A301" s="52">
        <v>2025</v>
      </c>
      <c r="B301" s="52" t="s">
        <v>658</v>
      </c>
      <c r="C301" s="57" t="s">
        <v>612</v>
      </c>
      <c r="D301" s="58" t="s">
        <v>693</v>
      </c>
      <c r="E301" s="58" t="s">
        <v>693</v>
      </c>
      <c r="F301" s="58" t="s">
        <v>612</v>
      </c>
      <c r="G301" s="57" t="s">
        <v>736</v>
      </c>
      <c r="H301" s="39">
        <f>SUMPRODUCT(SUMIF(SurtaxRatesSAS!$B$2:$B$324,$C301:$E301,SurtaxRatesSAS!$E$2:$E$324))</f>
        <v>0</v>
      </c>
      <c r="I301" s="39">
        <f>SUMPRODUCT(SUMIF(SurtaxRatesSAS!$B$2:$B$324,$C301:$E301,SurtaxRatesSAS!$D$2:$D$324))</f>
        <v>0</v>
      </c>
      <c r="J301" s="38"/>
      <c r="K301" s="39">
        <f>SUMPRODUCT(SUMIF(SurtaxRatesSAS!$B$2:$B$324,$C301:$E301,SurtaxRatesSAS!$G$2:$G$324))</f>
        <v>0</v>
      </c>
      <c r="L301" s="39">
        <f>SUMPRODUCT(SUMIF(SurtaxRatesSAS!$B$2:$B$324,$C301:$E301,SurtaxRatesSAS!$H$2:$H$324))</f>
        <v>0</v>
      </c>
      <c r="M301" s="39">
        <f>SUMPRODUCT(SUMIF(SurtaxRatesSAS!$B$2:$B$324,$C301:$E301,SurtaxRatesSAS!$I$2:$I$324))</f>
        <v>0</v>
      </c>
      <c r="N301" s="38"/>
      <c r="O301" s="39">
        <f>SUMPRODUCT(SUMIF(SurtaxRatesSAS!$B$2:$B$324,$C301:$E301,SurtaxRatesSAS!$L$2:$L$324))</f>
        <v>0</v>
      </c>
      <c r="P301" s="39">
        <f>SUMPRODUCT(SUMIF(SurtaxRatesSAS!$B$2:$B$324,$C301:$E301,SurtaxRatesSAS!$M$2:$M$324))</f>
        <v>0</v>
      </c>
      <c r="Q301" s="39">
        <f>SUMPRODUCT(SUMIF(SurtaxRatesSAS!$B$2:$B$324,$C301:$E301,SurtaxRatesSAS!$N$2:$N$324))</f>
        <v>0</v>
      </c>
      <c r="R301" s="38"/>
      <c r="S301" s="39">
        <f t="shared" si="12"/>
        <v>0</v>
      </c>
      <c r="T301" s="39">
        <f t="shared" si="13"/>
        <v>0</v>
      </c>
      <c r="U301" s="39">
        <f t="shared" si="14"/>
        <v>0</v>
      </c>
      <c r="W301" s="31" t="str">
        <f>IF(K301&gt;0,INDEX(cfo!$C$2:$I$326,MATCH(SurtaxPayment!C301,cfo!$C$2:$C$326,0),7),"")</f>
        <v/>
      </c>
      <c r="X301" s="31" t="str">
        <f>IF(IF(K301&gt;0,INDEX(cfo!$C$2:$K$326,MATCH(SurtaxPayment!C301,cfo!$C$2:$C$326,0),9),"")=0,"",IF(K301&gt;0,INDEX(cfo!$C$2:$K$326,MATCH(SurtaxPayment!C301,cfo!$C$2:$C$326,0),9),""))</f>
        <v/>
      </c>
    </row>
    <row r="302" spans="1:24" x14ac:dyDescent="0.25">
      <c r="A302" s="52">
        <v>2025</v>
      </c>
      <c r="B302" s="52" t="s">
        <v>657</v>
      </c>
      <c r="C302" s="57" t="s">
        <v>613</v>
      </c>
      <c r="D302" s="58" t="s">
        <v>693</v>
      </c>
      <c r="E302" s="58" t="s">
        <v>693</v>
      </c>
      <c r="F302" s="58" t="s">
        <v>613</v>
      </c>
      <c r="G302" s="57" t="s">
        <v>737</v>
      </c>
      <c r="H302" s="39">
        <f>SUMPRODUCT(SUMIF(SurtaxRatesSAS!$B$2:$B$324,$C302:$E302,SurtaxRatesSAS!$E$2:$E$324))</f>
        <v>0</v>
      </c>
      <c r="I302" s="39">
        <f>SUMPRODUCT(SUMIF(SurtaxRatesSAS!$B$2:$B$324,$C302:$E302,SurtaxRatesSAS!$D$2:$D$324))</f>
        <v>0</v>
      </c>
      <c r="J302" s="38"/>
      <c r="K302" s="39">
        <f>SUMPRODUCT(SUMIF(SurtaxRatesSAS!$B$2:$B$324,$C302:$E302,SurtaxRatesSAS!$G$2:$G$324))</f>
        <v>0</v>
      </c>
      <c r="L302" s="39">
        <f>SUMPRODUCT(SUMIF(SurtaxRatesSAS!$B$2:$B$324,$C302:$E302,SurtaxRatesSAS!$H$2:$H$324))</f>
        <v>0</v>
      </c>
      <c r="M302" s="39">
        <f>SUMPRODUCT(SUMIF(SurtaxRatesSAS!$B$2:$B$324,$C302:$E302,SurtaxRatesSAS!$I$2:$I$324))</f>
        <v>0</v>
      </c>
      <c r="N302" s="38"/>
      <c r="O302" s="39">
        <f>SUMPRODUCT(SUMIF(SurtaxRatesSAS!$B$2:$B$324,$C302:$E302,SurtaxRatesSAS!$L$2:$L$324))</f>
        <v>0</v>
      </c>
      <c r="P302" s="39">
        <f>SUMPRODUCT(SUMIF(SurtaxRatesSAS!$B$2:$B$324,$C302:$E302,SurtaxRatesSAS!$M$2:$M$324))</f>
        <v>0</v>
      </c>
      <c r="Q302" s="39">
        <f>SUMPRODUCT(SUMIF(SurtaxRatesSAS!$B$2:$B$324,$C302:$E302,SurtaxRatesSAS!$N$2:$N$324))</f>
        <v>0</v>
      </c>
      <c r="R302" s="38"/>
      <c r="S302" s="39">
        <f t="shared" si="12"/>
        <v>0</v>
      </c>
      <c r="T302" s="39">
        <f t="shared" si="13"/>
        <v>0</v>
      </c>
      <c r="U302" s="39">
        <f t="shared" si="14"/>
        <v>0</v>
      </c>
      <c r="W302" s="31" t="str">
        <f>IF(K302&gt;0,INDEX(cfo!$C$2:$I$326,MATCH(SurtaxPayment!C302,cfo!$C$2:$C$326,0),7),"")</f>
        <v/>
      </c>
      <c r="X302" s="31" t="str">
        <f>IF(IF(K302&gt;0,INDEX(cfo!$C$2:$K$326,MATCH(SurtaxPayment!C302,cfo!$C$2:$C$326,0),9),"")=0,"",IF(K302&gt;0,INDEX(cfo!$C$2:$K$326,MATCH(SurtaxPayment!C302,cfo!$C$2:$C$326,0),9),""))</f>
        <v/>
      </c>
    </row>
    <row r="303" spans="1:24" x14ac:dyDescent="0.25">
      <c r="A303" s="52">
        <v>2025</v>
      </c>
      <c r="B303" s="52" t="s">
        <v>658</v>
      </c>
      <c r="C303" s="57" t="s">
        <v>614</v>
      </c>
      <c r="D303" s="58" t="s">
        <v>693</v>
      </c>
      <c r="E303" s="58" t="s">
        <v>693</v>
      </c>
      <c r="F303" s="58" t="s">
        <v>614</v>
      </c>
      <c r="G303" s="57" t="s">
        <v>266</v>
      </c>
      <c r="H303" s="39">
        <f>SUMPRODUCT(SUMIF(SurtaxRatesSAS!$B$2:$B$324,$C303:$E303,SurtaxRatesSAS!$E$2:$E$324))</f>
        <v>0</v>
      </c>
      <c r="I303" s="39">
        <f>SUMPRODUCT(SUMIF(SurtaxRatesSAS!$B$2:$B$324,$C303:$E303,SurtaxRatesSAS!$D$2:$D$324))</f>
        <v>6</v>
      </c>
      <c r="J303" s="38"/>
      <c r="K303" s="39">
        <f>SUMPRODUCT(SUMIF(SurtaxRatesSAS!$B$2:$B$324,$C303:$E303,SurtaxRatesSAS!$G$2:$G$324))</f>
        <v>1023255.1</v>
      </c>
      <c r="L303" s="39">
        <f>SUMPRODUCT(SUMIF(SurtaxRatesSAS!$B$2:$B$324,$C303:$E303,SurtaxRatesSAS!$H$2:$H$324))</f>
        <v>0</v>
      </c>
      <c r="M303" s="39">
        <f>SUMPRODUCT(SUMIF(SurtaxRatesSAS!$B$2:$B$324,$C303:$E303,SurtaxRatesSAS!$I$2:$I$324))</f>
        <v>1023255.1</v>
      </c>
      <c r="N303" s="38"/>
      <c r="O303" s="39" t="e">
        <f>SUMPRODUCT(SUMIF(SurtaxRatesSAS!$B$2:$B$324,$C303:$E303,SurtaxRatesSAS!$L$2:$L$324))</f>
        <v>#REF!</v>
      </c>
      <c r="P303" s="39" t="e">
        <f>SUMPRODUCT(SUMIF(SurtaxRatesSAS!$B$2:$B$324,$C303:$E303,SurtaxRatesSAS!$M$2:$M$324))</f>
        <v>#REF!</v>
      </c>
      <c r="Q303" s="39" t="e">
        <f>SUMPRODUCT(SUMIF(SurtaxRatesSAS!$B$2:$B$324,$C303:$E303,SurtaxRatesSAS!$N$2:$N$324))</f>
        <v>#REF!</v>
      </c>
      <c r="R303" s="38"/>
      <c r="S303" s="39" t="e">
        <f t="shared" si="12"/>
        <v>#REF!</v>
      </c>
      <c r="T303" s="39" t="e">
        <f t="shared" si="13"/>
        <v>#REF!</v>
      </c>
      <c r="U303" s="39" t="e">
        <f t="shared" si="14"/>
        <v>#REF!</v>
      </c>
      <c r="W303" s="31" t="str">
        <f>IF(K303&gt;0,INDEX(cfo!$C$2:$I$326,MATCH(SurtaxPayment!C303,cfo!$C$2:$C$326,0),7),"")</f>
        <v>mike.kalvig@wsr.k12.ia.us</v>
      </c>
      <c r="X303" s="31" t="str">
        <f>IF(IF(K303&gt;0,INDEX(cfo!$C$2:$K$326,MATCH(SurtaxPayment!C303,cfo!$C$2:$C$326,0),9),"")=0,"",IF(K303&gt;0,INDEX(cfo!$C$2:$K$326,MATCH(SurtaxPayment!C303,cfo!$C$2:$C$326,0),9),""))</f>
        <v/>
      </c>
    </row>
    <row r="304" spans="1:24" x14ac:dyDescent="0.25">
      <c r="A304" s="52">
        <v>2025</v>
      </c>
      <c r="B304" s="52" t="s">
        <v>662</v>
      </c>
      <c r="C304" s="57" t="s">
        <v>615</v>
      </c>
      <c r="D304" s="58" t="s">
        <v>693</v>
      </c>
      <c r="E304" s="58" t="s">
        <v>693</v>
      </c>
      <c r="F304" s="58" t="s">
        <v>615</v>
      </c>
      <c r="G304" s="57" t="s">
        <v>267</v>
      </c>
      <c r="H304" s="39">
        <f>SUMPRODUCT(SUMIF(SurtaxRatesSAS!$B$2:$B$324,$C304:$E304,SurtaxRatesSAS!$E$2:$E$324))</f>
        <v>0</v>
      </c>
      <c r="I304" s="39">
        <f>SUMPRODUCT(SUMIF(SurtaxRatesSAS!$B$2:$B$324,$C304:$E304,SurtaxRatesSAS!$D$2:$D$324))</f>
        <v>3</v>
      </c>
      <c r="J304" s="38"/>
      <c r="K304" s="39">
        <f>SUMPRODUCT(SUMIF(SurtaxRatesSAS!$B$2:$B$324,$C304:$E304,SurtaxRatesSAS!$G$2:$G$324))</f>
        <v>79008</v>
      </c>
      <c r="L304" s="39">
        <f>SUMPRODUCT(SUMIF(SurtaxRatesSAS!$B$2:$B$324,$C304:$E304,SurtaxRatesSAS!$H$2:$H$324))</f>
        <v>0</v>
      </c>
      <c r="M304" s="39">
        <f>SUMPRODUCT(SUMIF(SurtaxRatesSAS!$B$2:$B$324,$C304:$E304,SurtaxRatesSAS!$I$2:$I$324))</f>
        <v>79008</v>
      </c>
      <c r="N304" s="38"/>
      <c r="O304" s="39" t="e">
        <f>SUMPRODUCT(SUMIF(SurtaxRatesSAS!$B$2:$B$324,$C304:$E304,SurtaxRatesSAS!$L$2:$L$324))</f>
        <v>#REF!</v>
      </c>
      <c r="P304" s="39" t="e">
        <f>SUMPRODUCT(SUMIF(SurtaxRatesSAS!$B$2:$B$324,$C304:$E304,SurtaxRatesSAS!$M$2:$M$324))</f>
        <v>#REF!</v>
      </c>
      <c r="Q304" s="39" t="e">
        <f>SUMPRODUCT(SUMIF(SurtaxRatesSAS!$B$2:$B$324,$C304:$E304,SurtaxRatesSAS!$N$2:$N$324))</f>
        <v>#REF!</v>
      </c>
      <c r="R304" s="38"/>
      <c r="S304" s="39" t="e">
        <f t="shared" si="12"/>
        <v>#REF!</v>
      </c>
      <c r="T304" s="39" t="e">
        <f t="shared" si="13"/>
        <v>#REF!</v>
      </c>
      <c r="U304" s="39" t="e">
        <f t="shared" si="14"/>
        <v>#REF!</v>
      </c>
      <c r="W304" s="31" t="str">
        <f>IF(K304&gt;0,INDEX(cfo!$C$2:$I$326,MATCH(SurtaxPayment!C304,cfo!$C$2:$C$326,0),7),"")</f>
        <v>denise.larson@wayne.k12.ia.us</v>
      </c>
      <c r="X304" s="31" t="str">
        <f>IF(IF(K304&gt;0,INDEX(cfo!$C$2:$K$326,MATCH(SurtaxPayment!C304,cfo!$C$2:$C$326,0),9),"")=0,"",IF(K304&gt;0,INDEX(cfo!$C$2:$K$326,MATCH(SurtaxPayment!C304,cfo!$C$2:$C$326,0),9),""))</f>
        <v/>
      </c>
    </row>
    <row r="305" spans="1:24" x14ac:dyDescent="0.25">
      <c r="A305" s="52">
        <v>2025</v>
      </c>
      <c r="B305" s="52" t="s">
        <v>661</v>
      </c>
      <c r="C305" s="57" t="s">
        <v>616</v>
      </c>
      <c r="D305" s="58" t="s">
        <v>522</v>
      </c>
      <c r="E305" s="58" t="s">
        <v>693</v>
      </c>
      <c r="F305" s="58" t="s">
        <v>616</v>
      </c>
      <c r="G305" s="57" t="s">
        <v>268</v>
      </c>
      <c r="H305" s="39">
        <f>SUMPRODUCT(SUMIF(SurtaxRatesSAS!$B$2:$B$324,$C305:$E305,SurtaxRatesSAS!$E$2:$E$324))</f>
        <v>0</v>
      </c>
      <c r="I305" s="39">
        <f>SUMPRODUCT(SUMIF(SurtaxRatesSAS!$B$2:$B$324,$C305:$E305,SurtaxRatesSAS!$D$2:$D$324))</f>
        <v>5</v>
      </c>
      <c r="J305" s="38"/>
      <c r="K305" s="39">
        <f>SUMPRODUCT(SUMIF(SurtaxRatesSAS!$B$2:$B$324,$C305:$E305,SurtaxRatesSAS!$G$2:$G$324))</f>
        <v>731786.32</v>
      </c>
      <c r="L305" s="39">
        <f>SUMPRODUCT(SUMIF(SurtaxRatesSAS!$B$2:$B$324,$C305:$E305,SurtaxRatesSAS!$H$2:$H$324))</f>
        <v>0</v>
      </c>
      <c r="M305" s="39">
        <f>SUMPRODUCT(SUMIF(SurtaxRatesSAS!$B$2:$B$324,$C305:$E305,SurtaxRatesSAS!$I$2:$I$324))</f>
        <v>731786.32</v>
      </c>
      <c r="N305" s="38"/>
      <c r="O305" s="39" t="e">
        <f>SUMPRODUCT(SUMIF(SurtaxRatesSAS!$B$2:$B$324,$C305:$E305,SurtaxRatesSAS!$L$2:$L$324))</f>
        <v>#REF!</v>
      </c>
      <c r="P305" s="39" t="e">
        <f>SUMPRODUCT(SUMIF(SurtaxRatesSAS!$B$2:$B$324,$C305:$E305,SurtaxRatesSAS!$M$2:$M$324))</f>
        <v>#REF!</v>
      </c>
      <c r="Q305" s="39" t="e">
        <f>SUMPRODUCT(SUMIF(SurtaxRatesSAS!$B$2:$B$324,$C305:$E305,SurtaxRatesSAS!$N$2:$N$324))</f>
        <v>#REF!</v>
      </c>
      <c r="R305" s="38"/>
      <c r="S305" s="39" t="e">
        <f t="shared" si="12"/>
        <v>#REF!</v>
      </c>
      <c r="T305" s="39" t="e">
        <f t="shared" si="13"/>
        <v>#REF!</v>
      </c>
      <c r="U305" s="39" t="e">
        <f t="shared" si="14"/>
        <v>#REF!</v>
      </c>
      <c r="W305" s="31" t="str">
        <f>IF(K305&gt;0,INDEX(cfo!$C$2:$I$326,MATCH(SurtaxPayment!C305,cfo!$C$2:$C$326,0),7),"")</f>
        <v>kbiere@webster-city.k12.ia.us</v>
      </c>
      <c r="X305" s="31" t="str">
        <f>IF(IF(K305&gt;0,INDEX(cfo!$C$2:$K$326,MATCH(SurtaxPayment!C305,cfo!$C$2:$C$326,0),9),"")=0,"",IF(K305&gt;0,INDEX(cfo!$C$2:$K$326,MATCH(SurtaxPayment!C305,cfo!$C$2:$C$326,0),9),""))</f>
        <v/>
      </c>
    </row>
    <row r="306" spans="1:24" x14ac:dyDescent="0.25">
      <c r="A306" s="52">
        <v>2025</v>
      </c>
      <c r="B306" s="52" t="s">
        <v>661</v>
      </c>
      <c r="C306" s="57" t="s">
        <v>617</v>
      </c>
      <c r="D306" s="58" t="s">
        <v>693</v>
      </c>
      <c r="E306" s="58" t="s">
        <v>693</v>
      </c>
      <c r="F306" s="58" t="s">
        <v>617</v>
      </c>
      <c r="G306" s="57" t="s">
        <v>738</v>
      </c>
      <c r="H306" s="39">
        <f>SUMPRODUCT(SUMIF(SurtaxRatesSAS!$B$2:$B$324,$C306:$E306,SurtaxRatesSAS!$E$2:$E$324))</f>
        <v>0</v>
      </c>
      <c r="I306" s="39">
        <f>SUMPRODUCT(SUMIF(SurtaxRatesSAS!$B$2:$B$324,$C306:$E306,SurtaxRatesSAS!$D$2:$D$324))</f>
        <v>0</v>
      </c>
      <c r="J306" s="38"/>
      <c r="K306" s="39">
        <f>SUMPRODUCT(SUMIF(SurtaxRatesSAS!$B$2:$B$324,$C306:$E306,SurtaxRatesSAS!$G$2:$G$324))</f>
        <v>0</v>
      </c>
      <c r="L306" s="39">
        <f>SUMPRODUCT(SUMIF(SurtaxRatesSAS!$B$2:$B$324,$C306:$E306,SurtaxRatesSAS!$H$2:$H$324))</f>
        <v>0</v>
      </c>
      <c r="M306" s="39">
        <f>SUMPRODUCT(SUMIF(SurtaxRatesSAS!$B$2:$B$324,$C306:$E306,SurtaxRatesSAS!$I$2:$I$324))</f>
        <v>0</v>
      </c>
      <c r="N306" s="38"/>
      <c r="O306" s="39">
        <f>SUMPRODUCT(SUMIF(SurtaxRatesSAS!$B$2:$B$324,$C306:$E306,SurtaxRatesSAS!$L$2:$L$324))</f>
        <v>0</v>
      </c>
      <c r="P306" s="39">
        <f>SUMPRODUCT(SUMIF(SurtaxRatesSAS!$B$2:$B$324,$C306:$E306,SurtaxRatesSAS!$M$2:$M$324))</f>
        <v>0</v>
      </c>
      <c r="Q306" s="39">
        <f>SUMPRODUCT(SUMIF(SurtaxRatesSAS!$B$2:$B$324,$C306:$E306,SurtaxRatesSAS!$N$2:$N$324))</f>
        <v>0</v>
      </c>
      <c r="R306" s="38"/>
      <c r="S306" s="39">
        <f t="shared" si="12"/>
        <v>0</v>
      </c>
      <c r="T306" s="39">
        <f t="shared" si="13"/>
        <v>0</v>
      </c>
      <c r="U306" s="39">
        <f t="shared" si="14"/>
        <v>0</v>
      </c>
      <c r="W306" s="31" t="str">
        <f>IF(K306&gt;0,INDEX(cfo!$C$2:$I$326,MATCH(SurtaxPayment!C306,cfo!$C$2:$C$326,0),7),"")</f>
        <v/>
      </c>
      <c r="X306" s="31" t="str">
        <f>IF(IF(K306&gt;0,INDEX(cfo!$C$2:$K$326,MATCH(SurtaxPayment!C306,cfo!$C$2:$C$326,0),9),"")=0,"",IF(K306&gt;0,INDEX(cfo!$C$2:$K$326,MATCH(SurtaxPayment!C306,cfo!$C$2:$C$326,0),9),""))</f>
        <v/>
      </c>
    </row>
    <row r="307" spans="1:24" x14ac:dyDescent="0.25">
      <c r="A307" s="52">
        <v>2025</v>
      </c>
      <c r="B307" s="52" t="s">
        <v>663</v>
      </c>
      <c r="C307" s="57" t="s">
        <v>618</v>
      </c>
      <c r="D307" s="58" t="s">
        <v>693</v>
      </c>
      <c r="E307" s="58" t="s">
        <v>693</v>
      </c>
      <c r="F307" s="58" t="s">
        <v>618</v>
      </c>
      <c r="G307" s="57" t="s">
        <v>269</v>
      </c>
      <c r="H307" s="39">
        <f>SUMPRODUCT(SUMIF(SurtaxRatesSAS!$B$2:$B$324,$C307:$E307,SurtaxRatesSAS!$E$2:$E$324))</f>
        <v>1</v>
      </c>
      <c r="I307" s="39">
        <f>SUMPRODUCT(SUMIF(SurtaxRatesSAS!$B$2:$B$324,$C307:$E307,SurtaxRatesSAS!$D$2:$D$324))</f>
        <v>1</v>
      </c>
      <c r="J307" s="38"/>
      <c r="K307" s="39">
        <f>SUMPRODUCT(SUMIF(SurtaxRatesSAS!$B$2:$B$324,$C307:$E307,SurtaxRatesSAS!$G$2:$G$324))</f>
        <v>119636.02</v>
      </c>
      <c r="L307" s="39">
        <f>SUMPRODUCT(SUMIF(SurtaxRatesSAS!$B$2:$B$324,$C307:$E307,SurtaxRatesSAS!$H$2:$H$324))</f>
        <v>59818.01</v>
      </c>
      <c r="M307" s="39">
        <f>SUMPRODUCT(SUMIF(SurtaxRatesSAS!$B$2:$B$324,$C307:$E307,SurtaxRatesSAS!$I$2:$I$324))</f>
        <v>59818.01</v>
      </c>
      <c r="N307" s="38"/>
      <c r="O307" s="39" t="e">
        <f>SUMPRODUCT(SUMIF(SurtaxRatesSAS!$B$2:$B$324,$C307:$E307,SurtaxRatesSAS!$L$2:$L$324))</f>
        <v>#REF!</v>
      </c>
      <c r="P307" s="39" t="e">
        <f>SUMPRODUCT(SUMIF(SurtaxRatesSAS!$B$2:$B$324,$C307:$E307,SurtaxRatesSAS!$M$2:$M$324))</f>
        <v>#REF!</v>
      </c>
      <c r="Q307" s="39" t="e">
        <f>SUMPRODUCT(SUMIF(SurtaxRatesSAS!$B$2:$B$324,$C307:$E307,SurtaxRatesSAS!$N$2:$N$324))</f>
        <v>#REF!</v>
      </c>
      <c r="R307" s="38"/>
      <c r="S307" s="39" t="e">
        <f t="shared" si="12"/>
        <v>#REF!</v>
      </c>
      <c r="T307" s="39" t="e">
        <f t="shared" si="13"/>
        <v>#REF!</v>
      </c>
      <c r="U307" s="39" t="e">
        <f t="shared" si="14"/>
        <v>#REF!</v>
      </c>
      <c r="W307" s="31" t="str">
        <f>IF(K307&gt;0,INDEX(cfo!$C$2:$I$326,MATCH(SurtaxPayment!C307,cfo!$C$2:$C$326,0),7),"")</f>
        <v>aklinkkammer@west-branch.k12.ia.us</v>
      </c>
      <c r="X307" s="31" t="str">
        <f>IF(IF(K307&gt;0,INDEX(cfo!$C$2:$K$326,MATCH(SurtaxPayment!C307,cfo!$C$2:$C$326,0),9),"")=0,"",IF(K307&gt;0,INDEX(cfo!$C$2:$K$326,MATCH(SurtaxPayment!C307,cfo!$C$2:$C$326,0),9),""))</f>
        <v/>
      </c>
    </row>
    <row r="308" spans="1:24" x14ac:dyDescent="0.25">
      <c r="A308" s="52">
        <v>2025</v>
      </c>
      <c r="B308" s="52" t="s">
        <v>662</v>
      </c>
      <c r="C308" s="57" t="s">
        <v>619</v>
      </c>
      <c r="D308" s="58" t="s">
        <v>693</v>
      </c>
      <c r="E308" s="58" t="s">
        <v>693</v>
      </c>
      <c r="F308" s="58" t="s">
        <v>619</v>
      </c>
      <c r="G308" s="57" t="s">
        <v>739</v>
      </c>
      <c r="H308" s="39">
        <f>SUMPRODUCT(SUMIF(SurtaxRatesSAS!$B$2:$B$324,$C308:$E308,SurtaxRatesSAS!$E$2:$E$324))</f>
        <v>0</v>
      </c>
      <c r="I308" s="39">
        <f>SUMPRODUCT(SUMIF(SurtaxRatesSAS!$B$2:$B$324,$C308:$E308,SurtaxRatesSAS!$D$2:$D$324))</f>
        <v>0</v>
      </c>
      <c r="J308" s="38"/>
      <c r="K308" s="39">
        <f>SUMPRODUCT(SUMIF(SurtaxRatesSAS!$B$2:$B$324,$C308:$E308,SurtaxRatesSAS!$G$2:$G$324))</f>
        <v>0</v>
      </c>
      <c r="L308" s="39">
        <f>SUMPRODUCT(SUMIF(SurtaxRatesSAS!$B$2:$B$324,$C308:$E308,SurtaxRatesSAS!$H$2:$H$324))</f>
        <v>0</v>
      </c>
      <c r="M308" s="39">
        <f>SUMPRODUCT(SUMIF(SurtaxRatesSAS!$B$2:$B$324,$C308:$E308,SurtaxRatesSAS!$I$2:$I$324))</f>
        <v>0</v>
      </c>
      <c r="N308" s="38"/>
      <c r="O308" s="39">
        <f>SUMPRODUCT(SUMIF(SurtaxRatesSAS!$B$2:$B$324,$C308:$E308,SurtaxRatesSAS!$L$2:$L$324))</f>
        <v>0</v>
      </c>
      <c r="P308" s="39">
        <f>SUMPRODUCT(SUMIF(SurtaxRatesSAS!$B$2:$B$324,$C308:$E308,SurtaxRatesSAS!$M$2:$M$324))</f>
        <v>0</v>
      </c>
      <c r="Q308" s="39">
        <f>SUMPRODUCT(SUMIF(SurtaxRatesSAS!$B$2:$B$324,$C308:$E308,SurtaxRatesSAS!$N$2:$N$324))</f>
        <v>0</v>
      </c>
      <c r="R308" s="38"/>
      <c r="S308" s="39">
        <f t="shared" si="12"/>
        <v>0</v>
      </c>
      <c r="T308" s="39">
        <f t="shared" si="13"/>
        <v>0</v>
      </c>
      <c r="U308" s="39">
        <f t="shared" si="14"/>
        <v>0</v>
      </c>
      <c r="W308" s="31" t="str">
        <f>IF(K308&gt;0,INDEX(cfo!$C$2:$I$326,MATCH(SurtaxPayment!C308,cfo!$C$2:$C$326,0),7),"")</f>
        <v/>
      </c>
      <c r="X308" s="31" t="str">
        <f>IF(IF(K308&gt;0,INDEX(cfo!$C$2:$K$326,MATCH(SurtaxPayment!C308,cfo!$C$2:$C$326,0),9),"")=0,"",IF(K308&gt;0,INDEX(cfo!$C$2:$K$326,MATCH(SurtaxPayment!C308,cfo!$C$2:$C$326,0),9),""))</f>
        <v/>
      </c>
    </row>
    <row r="309" spans="1:24" x14ac:dyDescent="0.25">
      <c r="A309" s="52">
        <v>2025</v>
      </c>
      <c r="B309" s="52" t="s">
        <v>665</v>
      </c>
      <c r="C309" s="57" t="s">
        <v>620</v>
      </c>
      <c r="D309" s="58" t="s">
        <v>693</v>
      </c>
      <c r="E309" s="58" t="s">
        <v>693</v>
      </c>
      <c r="F309" s="58" t="s">
        <v>620</v>
      </c>
      <c r="G309" s="57" t="s">
        <v>270</v>
      </c>
      <c r="H309" s="39">
        <f>SUMPRODUCT(SUMIF(SurtaxRatesSAS!$B$2:$B$324,$C309:$E309,SurtaxRatesSAS!$E$2:$E$324))</f>
        <v>2</v>
      </c>
      <c r="I309" s="39">
        <f>SUMPRODUCT(SUMIF(SurtaxRatesSAS!$B$2:$B$324,$C309:$E309,SurtaxRatesSAS!$D$2:$D$324))</f>
        <v>3</v>
      </c>
      <c r="J309" s="38"/>
      <c r="K309" s="39">
        <f>SUMPRODUCT(SUMIF(SurtaxRatesSAS!$B$2:$B$324,$C309:$E309,SurtaxRatesSAS!$G$2:$G$324))</f>
        <v>81967.95</v>
      </c>
      <c r="L309" s="39">
        <f>SUMPRODUCT(SUMIF(SurtaxRatesSAS!$B$2:$B$324,$C309:$E309,SurtaxRatesSAS!$H$2:$H$324))</f>
        <v>32787.18</v>
      </c>
      <c r="M309" s="39">
        <f>SUMPRODUCT(SUMIF(SurtaxRatesSAS!$B$2:$B$324,$C309:$E309,SurtaxRatesSAS!$I$2:$I$324))</f>
        <v>49180.77</v>
      </c>
      <c r="N309" s="38"/>
      <c r="O309" s="39" t="e">
        <f>SUMPRODUCT(SUMIF(SurtaxRatesSAS!$B$2:$B$324,$C309:$E309,SurtaxRatesSAS!$L$2:$L$324))</f>
        <v>#REF!</v>
      </c>
      <c r="P309" s="39" t="e">
        <f>SUMPRODUCT(SUMIF(SurtaxRatesSAS!$B$2:$B$324,$C309:$E309,SurtaxRatesSAS!$M$2:$M$324))</f>
        <v>#REF!</v>
      </c>
      <c r="Q309" s="39" t="e">
        <f>SUMPRODUCT(SUMIF(SurtaxRatesSAS!$B$2:$B$324,$C309:$E309,SurtaxRatesSAS!$N$2:$N$324))</f>
        <v>#REF!</v>
      </c>
      <c r="R309" s="38"/>
      <c r="S309" s="39" t="e">
        <f t="shared" si="12"/>
        <v>#REF!</v>
      </c>
      <c r="T309" s="39" t="e">
        <f t="shared" si="13"/>
        <v>#REF!</v>
      </c>
      <c r="U309" s="39" t="e">
        <f t="shared" si="14"/>
        <v>#REF!</v>
      </c>
      <c r="W309" s="31" t="str">
        <f>IF(K309&gt;0,INDEX(cfo!$C$2:$I$326,MATCH(SurtaxPayment!C309,cfo!$C$2:$C$326,0),7),"")</f>
        <v>ktaylor@wc.k12.ia.us</v>
      </c>
      <c r="X309" s="31" t="str">
        <f>IF(IF(K309&gt;0,INDEX(cfo!$C$2:$K$326,MATCH(SurtaxPayment!C309,cfo!$C$2:$C$326,0),9),"")=0,"",IF(K309&gt;0,INDEX(cfo!$C$2:$K$326,MATCH(SurtaxPayment!C309,cfo!$C$2:$C$326,0),9),""))</f>
        <v/>
      </c>
    </row>
    <row r="310" spans="1:24" x14ac:dyDescent="0.25">
      <c r="A310" s="52">
        <v>2025</v>
      </c>
      <c r="B310" s="52" t="s">
        <v>657</v>
      </c>
      <c r="C310" s="57" t="s">
        <v>590</v>
      </c>
      <c r="D310" s="58" t="s">
        <v>693</v>
      </c>
      <c r="E310" s="58" t="s">
        <v>693</v>
      </c>
      <c r="F310" s="58" t="s">
        <v>590</v>
      </c>
      <c r="G310" s="57" t="s">
        <v>271</v>
      </c>
      <c r="H310" s="39">
        <f>SUMPRODUCT(SUMIF(SurtaxRatesSAS!$B$2:$B$324,$C310:$E310,SurtaxRatesSAS!$E$2:$E$324))</f>
        <v>0</v>
      </c>
      <c r="I310" s="39">
        <f>SUMPRODUCT(SUMIF(SurtaxRatesSAS!$B$2:$B$324,$C310:$E310,SurtaxRatesSAS!$D$2:$D$324))</f>
        <v>5</v>
      </c>
      <c r="J310" s="38"/>
      <c r="K310" s="39">
        <f>SUMPRODUCT(SUMIF(SurtaxRatesSAS!$B$2:$B$324,$C310:$E310,SurtaxRatesSAS!$G$2:$G$324))</f>
        <v>297873.64</v>
      </c>
      <c r="L310" s="39">
        <f>SUMPRODUCT(SUMIF(SurtaxRatesSAS!$B$2:$B$324,$C310:$E310,SurtaxRatesSAS!$H$2:$H$324))</f>
        <v>0</v>
      </c>
      <c r="M310" s="39">
        <f>SUMPRODUCT(SUMIF(SurtaxRatesSAS!$B$2:$B$324,$C310:$E310,SurtaxRatesSAS!$I$2:$I$324))</f>
        <v>297873.64</v>
      </c>
      <c r="N310" s="38"/>
      <c r="O310" s="39" t="e">
        <f>SUMPRODUCT(SUMIF(SurtaxRatesSAS!$B$2:$B$324,$C310:$E310,SurtaxRatesSAS!$L$2:$L$324))</f>
        <v>#REF!</v>
      </c>
      <c r="P310" s="39" t="e">
        <f>SUMPRODUCT(SUMIF(SurtaxRatesSAS!$B$2:$B$324,$C310:$E310,SurtaxRatesSAS!$M$2:$M$324))</f>
        <v>#REF!</v>
      </c>
      <c r="Q310" s="39" t="e">
        <f>SUMPRODUCT(SUMIF(SurtaxRatesSAS!$B$2:$B$324,$C310:$E310,SurtaxRatesSAS!$N$2:$N$324))</f>
        <v>#REF!</v>
      </c>
      <c r="R310" s="38"/>
      <c r="S310" s="39" t="e">
        <f t="shared" si="12"/>
        <v>#REF!</v>
      </c>
      <c r="T310" s="39" t="e">
        <f t="shared" si="13"/>
        <v>#REF!</v>
      </c>
      <c r="U310" s="39" t="e">
        <f t="shared" si="14"/>
        <v>#REF!</v>
      </c>
      <c r="W310" s="31" t="str">
        <f>IF(K310&gt;0,INDEX(cfo!$C$2:$I$326,MATCH(SurtaxPayment!C310,cfo!$C$2:$C$326,0),7),"")</f>
        <v>scrawford@wcv.k12.ia.us</v>
      </c>
      <c r="X310" s="31" t="str">
        <f>IF(IF(K310&gt;0,INDEX(cfo!$C$2:$K$326,MATCH(SurtaxPayment!C310,cfo!$C$2:$C$326,0),9),"")=0,"",IF(K310&gt;0,INDEX(cfo!$C$2:$K$326,MATCH(SurtaxPayment!C310,cfo!$C$2:$C$326,0),9),""))</f>
        <v/>
      </c>
    </row>
    <row r="311" spans="1:24" x14ac:dyDescent="0.25">
      <c r="A311" s="52">
        <v>2025</v>
      </c>
      <c r="B311" s="52" t="s">
        <v>665</v>
      </c>
      <c r="C311" s="57" t="s">
        <v>621</v>
      </c>
      <c r="D311" s="58" t="s">
        <v>693</v>
      </c>
      <c r="E311" s="58" t="s">
        <v>693</v>
      </c>
      <c r="F311" s="58" t="s">
        <v>621</v>
      </c>
      <c r="G311" s="57" t="s">
        <v>643</v>
      </c>
      <c r="H311" s="39">
        <f>SUMPRODUCT(SUMIF(SurtaxRatesSAS!$B$2:$B$324,$C311:$E311,SurtaxRatesSAS!$E$2:$E$324))</f>
        <v>0</v>
      </c>
      <c r="I311" s="39">
        <f>SUMPRODUCT(SUMIF(SurtaxRatesSAS!$B$2:$B$324,$C311:$E311,SurtaxRatesSAS!$D$2:$D$324))</f>
        <v>7</v>
      </c>
      <c r="J311" s="38"/>
      <c r="K311" s="39">
        <f>SUMPRODUCT(SUMIF(SurtaxRatesSAS!$B$2:$B$324,$C311:$E311,SurtaxRatesSAS!$G$2:$G$324))</f>
        <v>695317.82</v>
      </c>
      <c r="L311" s="39">
        <f>SUMPRODUCT(SUMIF(SurtaxRatesSAS!$B$2:$B$324,$C311:$E311,SurtaxRatesSAS!$H$2:$H$324))</f>
        <v>0</v>
      </c>
      <c r="M311" s="39">
        <f>SUMPRODUCT(SUMIF(SurtaxRatesSAS!$B$2:$B$324,$C311:$E311,SurtaxRatesSAS!$I$2:$I$324))</f>
        <v>695317.82</v>
      </c>
      <c r="N311" s="38"/>
      <c r="O311" s="39" t="e">
        <f>SUMPRODUCT(SUMIF(SurtaxRatesSAS!$B$2:$B$324,$C311:$E311,SurtaxRatesSAS!$L$2:$L$324))</f>
        <v>#REF!</v>
      </c>
      <c r="P311" s="39" t="e">
        <f>SUMPRODUCT(SUMIF(SurtaxRatesSAS!$B$2:$B$324,$C311:$E311,SurtaxRatesSAS!$M$2:$M$324))</f>
        <v>#REF!</v>
      </c>
      <c r="Q311" s="39" t="e">
        <f>SUMPRODUCT(SUMIF(SurtaxRatesSAS!$B$2:$B$324,$C311:$E311,SurtaxRatesSAS!$N$2:$N$324))</f>
        <v>#REF!</v>
      </c>
      <c r="R311" s="38"/>
      <c r="S311" s="39" t="e">
        <f t="shared" si="12"/>
        <v>#REF!</v>
      </c>
      <c r="T311" s="39" t="e">
        <f t="shared" si="13"/>
        <v>#REF!</v>
      </c>
      <c r="U311" s="39" t="e">
        <f t="shared" si="14"/>
        <v>#REF!</v>
      </c>
      <c r="W311" s="31" t="str">
        <f>IF(K311&gt;0,INDEX(cfo!$C$2:$I$326,MATCH(SurtaxPayment!C311,cfo!$C$2:$C$326,0),7),"")</f>
        <v>lynnetteengel@w-delaware.k12.ia.us</v>
      </c>
      <c r="X311" s="31" t="str">
        <f>IF(IF(K311&gt;0,INDEX(cfo!$C$2:$K$326,MATCH(SurtaxPayment!C311,cfo!$C$2:$C$326,0),9),"")=0,"",IF(K311&gt;0,INDEX(cfo!$C$2:$K$326,MATCH(SurtaxPayment!C311,cfo!$C$2:$C$326,0),9),""))</f>
        <v/>
      </c>
    </row>
    <row r="312" spans="1:24" x14ac:dyDescent="0.25">
      <c r="A312" s="52">
        <v>2025</v>
      </c>
      <c r="B312" s="52" t="s">
        <v>657</v>
      </c>
      <c r="C312" s="57" t="s">
        <v>622</v>
      </c>
      <c r="D312" s="58" t="s">
        <v>693</v>
      </c>
      <c r="E312" s="58" t="s">
        <v>693</v>
      </c>
      <c r="F312" s="58" t="s">
        <v>622</v>
      </c>
      <c r="G312" s="57" t="s">
        <v>740</v>
      </c>
      <c r="H312" s="39">
        <f>SUMPRODUCT(SUMIF(SurtaxRatesSAS!$B$2:$B$324,$C312:$E312,SurtaxRatesSAS!$E$2:$E$324))</f>
        <v>0</v>
      </c>
      <c r="I312" s="39">
        <f>SUMPRODUCT(SUMIF(SurtaxRatesSAS!$B$2:$B$324,$C312:$E312,SurtaxRatesSAS!$D$2:$D$324))</f>
        <v>0</v>
      </c>
      <c r="J312" s="38"/>
      <c r="K312" s="39">
        <f>SUMPRODUCT(SUMIF(SurtaxRatesSAS!$B$2:$B$324,$C312:$E312,SurtaxRatesSAS!$G$2:$G$324))</f>
        <v>0</v>
      </c>
      <c r="L312" s="39">
        <f>SUMPRODUCT(SUMIF(SurtaxRatesSAS!$B$2:$B$324,$C312:$E312,SurtaxRatesSAS!$H$2:$H$324))</f>
        <v>0</v>
      </c>
      <c r="M312" s="39">
        <f>SUMPRODUCT(SUMIF(SurtaxRatesSAS!$B$2:$B$324,$C312:$E312,SurtaxRatesSAS!$I$2:$I$324))</f>
        <v>0</v>
      </c>
      <c r="N312" s="38"/>
      <c r="O312" s="39">
        <f>SUMPRODUCT(SUMIF(SurtaxRatesSAS!$B$2:$B$324,$C312:$E312,SurtaxRatesSAS!$L$2:$L$324))</f>
        <v>0</v>
      </c>
      <c r="P312" s="39">
        <f>SUMPRODUCT(SUMIF(SurtaxRatesSAS!$B$2:$B$324,$C312:$E312,SurtaxRatesSAS!$M$2:$M$324))</f>
        <v>0</v>
      </c>
      <c r="Q312" s="39">
        <f>SUMPRODUCT(SUMIF(SurtaxRatesSAS!$B$2:$B$324,$C312:$E312,SurtaxRatesSAS!$N$2:$N$324))</f>
        <v>0</v>
      </c>
      <c r="R312" s="38"/>
      <c r="S312" s="39">
        <f t="shared" si="12"/>
        <v>0</v>
      </c>
      <c r="T312" s="39">
        <f t="shared" si="13"/>
        <v>0</v>
      </c>
      <c r="U312" s="39">
        <f t="shared" si="14"/>
        <v>0</v>
      </c>
      <c r="W312" s="31" t="str">
        <f>IF(K312&gt;0,INDEX(cfo!$C$2:$I$326,MATCH(SurtaxPayment!C312,cfo!$C$2:$C$326,0),7),"")</f>
        <v/>
      </c>
      <c r="X312" s="31" t="str">
        <f>IF(IF(K312&gt;0,INDEX(cfo!$C$2:$K$326,MATCH(SurtaxPayment!C312,cfo!$C$2:$C$326,0),9),"")=0,"",IF(K312&gt;0,INDEX(cfo!$C$2:$K$326,MATCH(SurtaxPayment!C312,cfo!$C$2:$C$326,0),9),""))</f>
        <v/>
      </c>
    </row>
    <row r="313" spans="1:24" x14ac:dyDescent="0.25">
      <c r="A313" s="52">
        <v>2025</v>
      </c>
      <c r="B313" s="52" t="s">
        <v>658</v>
      </c>
      <c r="C313" s="57" t="s">
        <v>566</v>
      </c>
      <c r="D313" s="58" t="s">
        <v>693</v>
      </c>
      <c r="E313" s="58" t="s">
        <v>693</v>
      </c>
      <c r="F313" s="58" t="s">
        <v>566</v>
      </c>
      <c r="G313" s="57" t="s">
        <v>273</v>
      </c>
      <c r="H313" s="39">
        <f>SUMPRODUCT(SUMIF(SurtaxRatesSAS!$B$2:$B$324,$C313:$E313,SurtaxRatesSAS!$E$2:$E$324))</f>
        <v>0</v>
      </c>
      <c r="I313" s="39">
        <f>SUMPRODUCT(SUMIF(SurtaxRatesSAS!$B$2:$B$324,$C313:$E313,SurtaxRatesSAS!$D$2:$D$324))</f>
        <v>1</v>
      </c>
      <c r="J313" s="38"/>
      <c r="K313" s="39">
        <f>SUMPRODUCT(SUMIF(SurtaxRatesSAS!$B$2:$B$324,$C313:$E313,SurtaxRatesSAS!$G$2:$G$324))</f>
        <v>52409.74</v>
      </c>
      <c r="L313" s="39">
        <f>SUMPRODUCT(SUMIF(SurtaxRatesSAS!$B$2:$B$324,$C313:$E313,SurtaxRatesSAS!$H$2:$H$324))</f>
        <v>0</v>
      </c>
      <c r="M313" s="39">
        <f>SUMPRODUCT(SUMIF(SurtaxRatesSAS!$B$2:$B$324,$C313:$E313,SurtaxRatesSAS!$I$2:$I$324))</f>
        <v>52409.74</v>
      </c>
      <c r="N313" s="38"/>
      <c r="O313" s="39" t="e">
        <f>SUMPRODUCT(SUMIF(SurtaxRatesSAS!$B$2:$B$324,$C313:$E313,SurtaxRatesSAS!$L$2:$L$324))</f>
        <v>#REF!</v>
      </c>
      <c r="P313" s="39" t="e">
        <f>SUMPRODUCT(SUMIF(SurtaxRatesSAS!$B$2:$B$324,$C313:$E313,SurtaxRatesSAS!$M$2:$M$324))</f>
        <v>#REF!</v>
      </c>
      <c r="Q313" s="39" t="e">
        <f>SUMPRODUCT(SUMIF(SurtaxRatesSAS!$B$2:$B$324,$C313:$E313,SurtaxRatesSAS!$N$2:$N$324))</f>
        <v>#REF!</v>
      </c>
      <c r="R313" s="38"/>
      <c r="S313" s="39" t="e">
        <f t="shared" si="12"/>
        <v>#REF!</v>
      </c>
      <c r="T313" s="39" t="e">
        <f t="shared" si="13"/>
        <v>#REF!</v>
      </c>
      <c r="U313" s="39" t="e">
        <f t="shared" si="14"/>
        <v>#REF!</v>
      </c>
      <c r="W313" s="31" t="str">
        <f>IF(K313&gt;0,INDEX(cfo!$C$2:$I$326,MATCH(SurtaxPayment!C313,cfo!$C$2:$C$326,0),7),"")</f>
        <v>lacey.pueggel@westforkschool.org</v>
      </c>
      <c r="X313" s="31" t="str">
        <f>IF(IF(K313&gt;0,INDEX(cfo!$C$2:$K$326,MATCH(SurtaxPayment!C313,cfo!$C$2:$C$326,0),9),"")=0,"",IF(K313&gt;0,INDEX(cfo!$C$2:$K$326,MATCH(SurtaxPayment!C313,cfo!$C$2:$C$326,0),9),""))</f>
        <v/>
      </c>
    </row>
    <row r="314" spans="1:24" x14ac:dyDescent="0.25">
      <c r="A314" s="52">
        <v>2025</v>
      </c>
      <c r="B314" s="52" t="s">
        <v>658</v>
      </c>
      <c r="C314" s="57" t="s">
        <v>348</v>
      </c>
      <c r="D314" s="58" t="s">
        <v>693</v>
      </c>
      <c r="E314" s="58" t="s">
        <v>693</v>
      </c>
      <c r="F314" s="58" t="s">
        <v>348</v>
      </c>
      <c r="G314" s="57" t="s">
        <v>274</v>
      </c>
      <c r="H314" s="39">
        <f>SUMPRODUCT(SUMIF(SurtaxRatesSAS!$B$2:$B$324,$C314:$E314,SurtaxRatesSAS!$E$2:$E$324))</f>
        <v>1</v>
      </c>
      <c r="I314" s="39">
        <f>SUMPRODUCT(SUMIF(SurtaxRatesSAS!$B$2:$B$324,$C314:$E314,SurtaxRatesSAS!$D$2:$D$324))</f>
        <v>1</v>
      </c>
      <c r="J314" s="38"/>
      <c r="K314" s="39">
        <f>SUMPRODUCT(SUMIF(SurtaxRatesSAS!$B$2:$B$324,$C314:$E314,SurtaxRatesSAS!$G$2:$G$324))</f>
        <v>76203.009999999995</v>
      </c>
      <c r="L314" s="39">
        <f>SUMPRODUCT(SUMIF(SurtaxRatesSAS!$B$2:$B$324,$C314:$E314,SurtaxRatesSAS!$H$2:$H$324))</f>
        <v>38101.51</v>
      </c>
      <c r="M314" s="39">
        <f>SUMPRODUCT(SUMIF(SurtaxRatesSAS!$B$2:$B$324,$C314:$E314,SurtaxRatesSAS!$I$2:$I$324))</f>
        <v>38101.499999999993</v>
      </c>
      <c r="N314" s="38"/>
      <c r="O314" s="39" t="e">
        <f>SUMPRODUCT(SUMIF(SurtaxRatesSAS!$B$2:$B$324,$C314:$E314,SurtaxRatesSAS!$L$2:$L$324))</f>
        <v>#REF!</v>
      </c>
      <c r="P314" s="39" t="e">
        <f>SUMPRODUCT(SUMIF(SurtaxRatesSAS!$B$2:$B$324,$C314:$E314,SurtaxRatesSAS!$M$2:$M$324))</f>
        <v>#REF!</v>
      </c>
      <c r="Q314" s="39" t="e">
        <f>SUMPRODUCT(SUMIF(SurtaxRatesSAS!$B$2:$B$324,$C314:$E314,SurtaxRatesSAS!$N$2:$N$324))</f>
        <v>#REF!</v>
      </c>
      <c r="R314" s="38"/>
      <c r="S314" s="39" t="e">
        <f>SUM(K314,O314)</f>
        <v>#REF!</v>
      </c>
      <c r="T314" s="39" t="e">
        <f t="shared" si="13"/>
        <v>#REF!</v>
      </c>
      <c r="U314" s="39" t="e">
        <f t="shared" si="14"/>
        <v>#REF!</v>
      </c>
      <c r="W314" s="31" t="str">
        <f>IF(K314&gt;0,INDEX(cfo!$C$2:$I$326,MATCH(SurtaxPayment!C314,cfo!$C$2:$C$326,0),7),"")</f>
        <v>alarson@whancock.org</v>
      </c>
      <c r="X314" s="31" t="str">
        <f>IF(IF(K314&gt;0,INDEX(cfo!$C$2:$K$326,MATCH(SurtaxPayment!C314,cfo!$C$2:$C$326,0),9),"")=0,"",IF(K314&gt;0,INDEX(cfo!$C$2:$K$326,MATCH(SurtaxPayment!C314,cfo!$C$2:$C$326,0),9),""))</f>
        <v/>
      </c>
    </row>
    <row r="315" spans="1:24" x14ac:dyDescent="0.25">
      <c r="A315" s="52">
        <v>2025</v>
      </c>
      <c r="B315" s="52" t="s">
        <v>659</v>
      </c>
      <c r="C315" s="57" t="s">
        <v>624</v>
      </c>
      <c r="D315" s="58" t="s">
        <v>693</v>
      </c>
      <c r="E315" s="58" t="s">
        <v>693</v>
      </c>
      <c r="F315" s="58" t="s">
        <v>624</v>
      </c>
      <c r="G315" s="57" t="s">
        <v>275</v>
      </c>
      <c r="H315" s="39">
        <f>SUMPRODUCT(SUMIF(SurtaxRatesSAS!$B$2:$B$324,$C315:$E315,SurtaxRatesSAS!$E$2:$E$324))</f>
        <v>2</v>
      </c>
      <c r="I315" s="39">
        <f>SUMPRODUCT(SUMIF(SurtaxRatesSAS!$B$2:$B$324,$C315:$E315,SurtaxRatesSAS!$D$2:$D$324))</f>
        <v>2</v>
      </c>
      <c r="J315" s="38"/>
      <c r="K315" s="39">
        <f>SUMPRODUCT(SUMIF(SurtaxRatesSAS!$B$2:$B$324,$C315:$E315,SurtaxRatesSAS!$G$2:$G$324))</f>
        <v>60592.97</v>
      </c>
      <c r="L315" s="39">
        <f>SUMPRODUCT(SUMIF(SurtaxRatesSAS!$B$2:$B$324,$C315:$E315,SurtaxRatesSAS!$H$2:$H$324))</f>
        <v>30296.49</v>
      </c>
      <c r="M315" s="39">
        <f>SUMPRODUCT(SUMIF(SurtaxRatesSAS!$B$2:$B$324,$C315:$E315,SurtaxRatesSAS!$I$2:$I$324))</f>
        <v>30296.48</v>
      </c>
      <c r="N315" s="38"/>
      <c r="O315" s="39" t="e">
        <f>SUMPRODUCT(SUMIF(SurtaxRatesSAS!$B$2:$B$324,$C315:$E315,SurtaxRatesSAS!$L$2:$L$324))</f>
        <v>#REF!</v>
      </c>
      <c r="P315" s="39" t="e">
        <f>SUMPRODUCT(SUMIF(SurtaxRatesSAS!$B$2:$B$324,$C315:$E315,SurtaxRatesSAS!$M$2:$M$324))</f>
        <v>#REF!</v>
      </c>
      <c r="Q315" s="39" t="e">
        <f>SUMPRODUCT(SUMIF(SurtaxRatesSAS!$B$2:$B$324,$C315:$E315,SurtaxRatesSAS!$N$2:$N$324))</f>
        <v>#REF!</v>
      </c>
      <c r="R315" s="38"/>
      <c r="S315" s="39" t="e">
        <f t="shared" si="12"/>
        <v>#REF!</v>
      </c>
      <c r="T315" s="39" t="e">
        <f t="shared" si="13"/>
        <v>#REF!</v>
      </c>
      <c r="U315" s="39" t="e">
        <f t="shared" si="14"/>
        <v>#REF!</v>
      </c>
      <c r="W315" s="31" t="str">
        <f>IF(K315&gt;0,INDEX(cfo!$C$2:$I$326,MATCH(SurtaxPayment!C315,cfo!$C$2:$C$326,0),7),"")</f>
        <v>dmikels@lomaschools.org</v>
      </c>
      <c r="X315" s="31" t="str">
        <f>IF(IF(K315&gt;0,INDEX(cfo!$C$2:$K$326,MATCH(SurtaxPayment!C315,cfo!$C$2:$C$326,0),9),"")=0,"",IF(K315&gt;0,INDEX(cfo!$C$2:$K$326,MATCH(SurtaxPayment!C315,cfo!$C$2:$C$326,0),9),""))</f>
        <v/>
      </c>
    </row>
    <row r="316" spans="1:24" x14ac:dyDescent="0.25">
      <c r="A316" s="52">
        <v>2025</v>
      </c>
      <c r="B316" s="52" t="s">
        <v>666</v>
      </c>
      <c r="C316" s="57" t="s">
        <v>625</v>
      </c>
      <c r="D316" s="58" t="s">
        <v>693</v>
      </c>
      <c r="E316" s="58" t="s">
        <v>693</v>
      </c>
      <c r="F316" s="58" t="s">
        <v>625</v>
      </c>
      <c r="G316" s="57" t="s">
        <v>276</v>
      </c>
      <c r="H316" s="39">
        <f>SUMPRODUCT(SUMIF(SurtaxRatesSAS!$B$2:$B$324,$C316:$E316,SurtaxRatesSAS!$E$2:$E$324))</f>
        <v>1</v>
      </c>
      <c r="I316" s="39">
        <f>SUMPRODUCT(SUMIF(SurtaxRatesSAS!$B$2:$B$324,$C316:$E316,SurtaxRatesSAS!$D$2:$D$324))</f>
        <v>1</v>
      </c>
      <c r="J316" s="38"/>
      <c r="K316" s="39">
        <f>SUMPRODUCT(SUMIF(SurtaxRatesSAS!$B$2:$B$324,$C316:$E316,SurtaxRatesSAS!$G$2:$G$324))</f>
        <v>126613.88</v>
      </c>
      <c r="L316" s="39">
        <f>SUMPRODUCT(SUMIF(SurtaxRatesSAS!$B$2:$B$324,$C316:$E316,SurtaxRatesSAS!$H$2:$H$324))</f>
        <v>63306.94</v>
      </c>
      <c r="M316" s="39">
        <f>SUMPRODUCT(SUMIF(SurtaxRatesSAS!$B$2:$B$324,$C316:$E316,SurtaxRatesSAS!$I$2:$I$324))</f>
        <v>63306.94</v>
      </c>
      <c r="N316" s="38"/>
      <c r="O316" s="39" t="e">
        <f>SUMPRODUCT(SUMIF(SurtaxRatesSAS!$B$2:$B$324,$C316:$E316,SurtaxRatesSAS!$L$2:$L$324))</f>
        <v>#REF!</v>
      </c>
      <c r="P316" s="39" t="e">
        <f>SUMPRODUCT(SUMIF(SurtaxRatesSAS!$B$2:$B$324,$C316:$E316,SurtaxRatesSAS!$M$2:$M$324))</f>
        <v>#REF!</v>
      </c>
      <c r="Q316" s="39" t="e">
        <f>SUMPRODUCT(SUMIF(SurtaxRatesSAS!$B$2:$B$324,$C316:$E316,SurtaxRatesSAS!$N$2:$N$324))</f>
        <v>#REF!</v>
      </c>
      <c r="R316" s="38"/>
      <c r="S316" s="39" t="e">
        <f t="shared" si="12"/>
        <v>#REF!</v>
      </c>
      <c r="T316" s="39" t="e">
        <f t="shared" si="13"/>
        <v>#REF!</v>
      </c>
      <c r="U316" s="39" t="e">
        <f t="shared" si="14"/>
        <v>#REF!</v>
      </c>
      <c r="W316" s="31" t="str">
        <f>IF(K316&gt;0,INDEX(cfo!$C$2:$I$326,MATCH(SurtaxPayment!C316,cfo!$C$2:$C$326,0),7),"")</f>
        <v>aortiz@wl.k12.ia.us</v>
      </c>
      <c r="X316" s="31" t="str">
        <f>IF(IF(K316&gt;0,INDEX(cfo!$C$2:$K$326,MATCH(SurtaxPayment!C316,cfo!$C$2:$C$326,0),9),"")=0,"",IF(K316&gt;0,INDEX(cfo!$C$2:$K$326,MATCH(SurtaxPayment!C316,cfo!$C$2:$C$326,0),9),""))</f>
        <v/>
      </c>
    </row>
    <row r="317" spans="1:24" x14ac:dyDescent="0.25">
      <c r="A317" s="52">
        <v>2025</v>
      </c>
      <c r="B317" s="52" t="s">
        <v>660</v>
      </c>
      <c r="C317" s="57" t="s">
        <v>626</v>
      </c>
      <c r="D317" s="58" t="s">
        <v>693</v>
      </c>
      <c r="E317" s="58" t="s">
        <v>693</v>
      </c>
      <c r="F317" s="58" t="s">
        <v>626</v>
      </c>
      <c r="G317" s="57" t="s">
        <v>277</v>
      </c>
      <c r="H317" s="39">
        <f>SUMPRODUCT(SUMIF(SurtaxRatesSAS!$B$2:$B$324,$C317:$E317,SurtaxRatesSAS!$E$2:$E$324))</f>
        <v>0</v>
      </c>
      <c r="I317" s="39">
        <f>SUMPRODUCT(SUMIF(SurtaxRatesSAS!$B$2:$B$324,$C317:$E317,SurtaxRatesSAS!$D$2:$D$324))</f>
        <v>7</v>
      </c>
      <c r="J317" s="38"/>
      <c r="K317" s="39">
        <f>SUMPRODUCT(SUMIF(SurtaxRatesSAS!$B$2:$B$324,$C317:$E317,SurtaxRatesSAS!$G$2:$G$324))</f>
        <v>402446.14</v>
      </c>
      <c r="L317" s="39">
        <f>SUMPRODUCT(SUMIF(SurtaxRatesSAS!$B$2:$B$324,$C317:$E317,SurtaxRatesSAS!$H$2:$H$324))</f>
        <v>0</v>
      </c>
      <c r="M317" s="39">
        <f>SUMPRODUCT(SUMIF(SurtaxRatesSAS!$B$2:$B$324,$C317:$E317,SurtaxRatesSAS!$I$2:$I$324))</f>
        <v>402446.14</v>
      </c>
      <c r="N317" s="38"/>
      <c r="O317" s="39" t="e">
        <f>SUMPRODUCT(SUMIF(SurtaxRatesSAS!$B$2:$B$324,$C317:$E317,SurtaxRatesSAS!$L$2:$L$324))</f>
        <v>#REF!</v>
      </c>
      <c r="P317" s="39" t="e">
        <f>SUMPRODUCT(SUMIF(SurtaxRatesSAS!$B$2:$B$324,$C317:$E317,SurtaxRatesSAS!$M$2:$M$324))</f>
        <v>#REF!</v>
      </c>
      <c r="Q317" s="39" t="e">
        <f>SUMPRODUCT(SUMIF(SurtaxRatesSAS!$B$2:$B$324,$C317:$E317,SurtaxRatesSAS!$N$2:$N$324))</f>
        <v>#REF!</v>
      </c>
      <c r="R317" s="38"/>
      <c r="S317" s="39" t="e">
        <f t="shared" si="12"/>
        <v>#REF!</v>
      </c>
      <c r="T317" s="39" t="e">
        <f t="shared" si="13"/>
        <v>#REF!</v>
      </c>
      <c r="U317" s="39" t="e">
        <f t="shared" si="14"/>
        <v>#REF!</v>
      </c>
      <c r="W317" s="31" t="str">
        <f>IF(K317&gt;0,INDEX(cfo!$C$2:$I$326,MATCH(SurtaxPayment!C317,cfo!$C$2:$C$326,0),7),"")</f>
        <v>jfeikema@wlwildcats.org</v>
      </c>
      <c r="X317" s="31" t="str">
        <f>IF(IF(K317&gt;0,INDEX(cfo!$C$2:$K$326,MATCH(SurtaxPayment!C317,cfo!$C$2:$C$326,0),9),"")=0,"",IF(K317&gt;0,INDEX(cfo!$C$2:$K$326,MATCH(SurtaxPayment!C317,cfo!$C$2:$C$326,0),9),""))</f>
        <v/>
      </c>
    </row>
    <row r="318" spans="1:24" x14ac:dyDescent="0.25">
      <c r="A318" s="52">
        <v>2025</v>
      </c>
      <c r="B318" s="52" t="s">
        <v>658</v>
      </c>
      <c r="C318" s="57" t="s">
        <v>627</v>
      </c>
      <c r="D318" s="58" t="s">
        <v>693</v>
      </c>
      <c r="E318" s="58" t="s">
        <v>693</v>
      </c>
      <c r="F318" s="58" t="s">
        <v>627</v>
      </c>
      <c r="G318" s="57" t="s">
        <v>278</v>
      </c>
      <c r="H318" s="39">
        <f>SUMPRODUCT(SUMIF(SurtaxRatesSAS!$B$2:$B$324,$C318:$E318,SurtaxRatesSAS!$E$2:$E$324))</f>
        <v>0</v>
      </c>
      <c r="I318" s="39">
        <f>SUMPRODUCT(SUMIF(SurtaxRatesSAS!$B$2:$B$324,$C318:$E318,SurtaxRatesSAS!$D$2:$D$324))</f>
        <v>6</v>
      </c>
      <c r="J318" s="38"/>
      <c r="K318" s="39">
        <f>SUMPRODUCT(SUMIF(SurtaxRatesSAS!$B$2:$B$324,$C318:$E318,SurtaxRatesSAS!$G$2:$G$324))</f>
        <v>296709.45</v>
      </c>
      <c r="L318" s="39">
        <f>SUMPRODUCT(SUMIF(SurtaxRatesSAS!$B$2:$B$324,$C318:$E318,SurtaxRatesSAS!$H$2:$H$324))</f>
        <v>0</v>
      </c>
      <c r="M318" s="39">
        <f>SUMPRODUCT(SUMIF(SurtaxRatesSAS!$B$2:$B$324,$C318:$E318,SurtaxRatesSAS!$I$2:$I$324))</f>
        <v>296709.45</v>
      </c>
      <c r="N318" s="38"/>
      <c r="O318" s="39" t="e">
        <f>SUMPRODUCT(SUMIF(SurtaxRatesSAS!$B$2:$B$324,$C318:$E318,SurtaxRatesSAS!$L$2:$L$324))</f>
        <v>#REF!</v>
      </c>
      <c r="P318" s="39" t="e">
        <f>SUMPRODUCT(SUMIF(SurtaxRatesSAS!$B$2:$B$324,$C318:$E318,SurtaxRatesSAS!$M$2:$M$324))</f>
        <v>#REF!</v>
      </c>
      <c r="Q318" s="39" t="e">
        <f>SUMPRODUCT(SUMIF(SurtaxRatesSAS!$B$2:$B$324,$C318:$E318,SurtaxRatesSAS!$N$2:$N$324))</f>
        <v>#REF!</v>
      </c>
      <c r="R318" s="38"/>
      <c r="S318" s="39" t="e">
        <f t="shared" si="12"/>
        <v>#REF!</v>
      </c>
      <c r="T318" s="39" t="e">
        <f t="shared" si="13"/>
        <v>#REF!</v>
      </c>
      <c r="U318" s="39" t="e">
        <f t="shared" si="14"/>
        <v>#REF!</v>
      </c>
      <c r="W318" s="31" t="str">
        <f>IF(K318&gt;0,INDEX(cfo!$C$2:$I$326,MATCH(SurtaxPayment!C318,cfo!$C$2:$C$326,0),7),"")</f>
        <v>sduden@wmcsd.org</v>
      </c>
      <c r="X318" s="31" t="str">
        <f>IF(IF(K318&gt;0,INDEX(cfo!$C$2:$K$326,MATCH(SurtaxPayment!C318,cfo!$C$2:$C$326,0),9),"")=0,"",IF(K318&gt;0,INDEX(cfo!$C$2:$K$326,MATCH(SurtaxPayment!C318,cfo!$C$2:$C$326,0),9),""))</f>
        <v/>
      </c>
    </row>
    <row r="319" spans="1:24" x14ac:dyDescent="0.25">
      <c r="A319" s="52">
        <v>2025</v>
      </c>
      <c r="B319" s="52" t="s">
        <v>660</v>
      </c>
      <c r="C319" s="57" t="s">
        <v>628</v>
      </c>
      <c r="D319" s="58" t="s">
        <v>693</v>
      </c>
      <c r="E319" s="58" t="s">
        <v>693</v>
      </c>
      <c r="F319" s="58" t="s">
        <v>628</v>
      </c>
      <c r="G319" s="57" t="s">
        <v>279</v>
      </c>
      <c r="H319" s="39">
        <f>SUMPRODUCT(SUMIF(SurtaxRatesSAS!$B$2:$B$324,$C319:$E319,SurtaxRatesSAS!$E$2:$E$324))</f>
        <v>2</v>
      </c>
      <c r="I319" s="39">
        <f>SUMPRODUCT(SUMIF(SurtaxRatesSAS!$B$2:$B$324,$C319:$E319,SurtaxRatesSAS!$D$2:$D$324))</f>
        <v>2</v>
      </c>
      <c r="J319" s="38"/>
      <c r="K319" s="39">
        <f>SUMPRODUCT(SUMIF(SurtaxRatesSAS!$B$2:$B$324,$C319:$E319,SurtaxRatesSAS!$G$2:$G$324))</f>
        <v>130108.37</v>
      </c>
      <c r="L319" s="39">
        <f>SUMPRODUCT(SUMIF(SurtaxRatesSAS!$B$2:$B$324,$C319:$E319,SurtaxRatesSAS!$H$2:$H$324))</f>
        <v>65054.19</v>
      </c>
      <c r="M319" s="39">
        <f>SUMPRODUCT(SUMIF(SurtaxRatesSAS!$B$2:$B$324,$C319:$E319,SurtaxRatesSAS!$I$2:$I$324))</f>
        <v>65054.179999999993</v>
      </c>
      <c r="N319" s="38"/>
      <c r="O319" s="39" t="e">
        <f>SUMPRODUCT(SUMIF(SurtaxRatesSAS!$B$2:$B$324,$C319:$E319,SurtaxRatesSAS!$L$2:$L$324))</f>
        <v>#REF!</v>
      </c>
      <c r="P319" s="39" t="e">
        <f>SUMPRODUCT(SUMIF(SurtaxRatesSAS!$B$2:$B$324,$C319:$E319,SurtaxRatesSAS!$M$2:$M$324))</f>
        <v>#REF!</v>
      </c>
      <c r="Q319" s="39" t="e">
        <f>SUMPRODUCT(SUMIF(SurtaxRatesSAS!$B$2:$B$324,$C319:$E319,SurtaxRatesSAS!$N$2:$N$324))</f>
        <v>#REF!</v>
      </c>
      <c r="R319" s="38"/>
      <c r="S319" s="39" t="e">
        <f t="shared" si="12"/>
        <v>#REF!</v>
      </c>
      <c r="T319" s="39" t="e">
        <f t="shared" si="13"/>
        <v>#REF!</v>
      </c>
      <c r="U319" s="39" t="e">
        <f t="shared" si="14"/>
        <v>#REF!</v>
      </c>
      <c r="W319" s="31" t="str">
        <f>IF(K319&gt;0,INDEX(cfo!$C$2:$I$326,MATCH(SurtaxPayment!C319,cfo!$C$2:$C$326,0),7),"")</f>
        <v>roxane.bales@westmonona.org</v>
      </c>
      <c r="X319" s="31" t="str">
        <f>IF(IF(K319&gt;0,INDEX(cfo!$C$2:$K$326,MATCH(SurtaxPayment!C319,cfo!$C$2:$C$326,0),9),"")=0,"",IF(K319&gt;0,INDEX(cfo!$C$2:$K$326,MATCH(SurtaxPayment!C319,cfo!$C$2:$C$326,0),9),""))</f>
        <v/>
      </c>
    </row>
    <row r="320" spans="1:24" x14ac:dyDescent="0.25">
      <c r="A320" s="52">
        <v>2025</v>
      </c>
      <c r="B320" s="52" t="s">
        <v>660</v>
      </c>
      <c r="C320" s="57" t="s">
        <v>629</v>
      </c>
      <c r="D320" s="58" t="s">
        <v>693</v>
      </c>
      <c r="E320" s="58" t="s">
        <v>693</v>
      </c>
      <c r="F320" s="58" t="s">
        <v>629</v>
      </c>
      <c r="G320" s="57" t="s">
        <v>280</v>
      </c>
      <c r="H320" s="39">
        <f>SUMPRODUCT(SUMIF(SurtaxRatesSAS!$B$2:$B$324,$C320:$E320,SurtaxRatesSAS!$E$2:$E$324))</f>
        <v>0</v>
      </c>
      <c r="I320" s="39">
        <f>SUMPRODUCT(SUMIF(SurtaxRatesSAS!$B$2:$B$324,$C320:$E320,SurtaxRatesSAS!$D$2:$D$324))</f>
        <v>1</v>
      </c>
      <c r="J320" s="38"/>
      <c r="K320" s="39">
        <f>SUMPRODUCT(SUMIF(SurtaxRatesSAS!$B$2:$B$324,$C320:$E320,SurtaxRatesSAS!$G$2:$G$324))</f>
        <v>43724.83</v>
      </c>
      <c r="L320" s="39">
        <f>SUMPRODUCT(SUMIF(SurtaxRatesSAS!$B$2:$B$324,$C320:$E320,SurtaxRatesSAS!$H$2:$H$324))</f>
        <v>0</v>
      </c>
      <c r="M320" s="39">
        <f>SUMPRODUCT(SUMIF(SurtaxRatesSAS!$B$2:$B$324,$C320:$E320,SurtaxRatesSAS!$I$2:$I$324))</f>
        <v>43724.83</v>
      </c>
      <c r="N320" s="38"/>
      <c r="O320" s="39" t="e">
        <f>SUMPRODUCT(SUMIF(SurtaxRatesSAS!$B$2:$B$324,$C320:$E320,SurtaxRatesSAS!$L$2:$L$324))</f>
        <v>#REF!</v>
      </c>
      <c r="P320" s="39" t="e">
        <f>SUMPRODUCT(SUMIF(SurtaxRatesSAS!$B$2:$B$324,$C320:$E320,SurtaxRatesSAS!$M$2:$M$324))</f>
        <v>#REF!</v>
      </c>
      <c r="Q320" s="39" t="e">
        <f>SUMPRODUCT(SUMIF(SurtaxRatesSAS!$B$2:$B$324,$C320:$E320,SurtaxRatesSAS!$N$2:$N$324))</f>
        <v>#REF!</v>
      </c>
      <c r="R320" s="38"/>
      <c r="S320" s="39" t="e">
        <f t="shared" si="12"/>
        <v>#REF!</v>
      </c>
      <c r="T320" s="39" t="e">
        <f t="shared" si="13"/>
        <v>#REF!</v>
      </c>
      <c r="U320" s="39" t="e">
        <f t="shared" si="14"/>
        <v>#REF!</v>
      </c>
      <c r="W320" s="31" t="str">
        <f>IF(K320&gt;0,INDEX(cfo!$C$2:$I$326,MATCH(SurtaxPayment!C320,cfo!$C$2:$C$326,0),7),"")</f>
        <v>jacobv@w-sioux.k12.ia.us</v>
      </c>
      <c r="X320" s="31" t="str">
        <f>IF(IF(K320&gt;0,INDEX(cfo!$C$2:$K$326,MATCH(SurtaxPayment!C320,cfo!$C$2:$C$326,0),9),"")=0,"",IF(K320&gt;0,INDEX(cfo!$C$2:$K$326,MATCH(SurtaxPayment!C320,cfo!$C$2:$C$326,0),9),""))</f>
        <v/>
      </c>
    </row>
    <row r="321" spans="1:24" x14ac:dyDescent="0.25">
      <c r="A321" s="52">
        <v>2025</v>
      </c>
      <c r="B321" s="52" t="s">
        <v>665</v>
      </c>
      <c r="C321" s="57" t="s">
        <v>623</v>
      </c>
      <c r="D321" s="58" t="s">
        <v>693</v>
      </c>
      <c r="E321" s="58" t="s">
        <v>693</v>
      </c>
      <c r="F321" s="58" t="s">
        <v>623</v>
      </c>
      <c r="G321" s="57" t="s">
        <v>644</v>
      </c>
      <c r="H321" s="39">
        <f>SUMPRODUCT(SUMIF(SurtaxRatesSAS!$B$2:$B$324,$C321:$E321,SurtaxRatesSAS!$E$2:$E$324))</f>
        <v>0</v>
      </c>
      <c r="I321" s="39">
        <f>SUMPRODUCT(SUMIF(SurtaxRatesSAS!$B$2:$B$324,$C321:$E321,SurtaxRatesSAS!$D$2:$D$324))</f>
        <v>6</v>
      </c>
      <c r="J321" s="38"/>
      <c r="K321" s="39">
        <f>SUMPRODUCT(SUMIF(SurtaxRatesSAS!$B$2:$B$324,$C321:$E321,SurtaxRatesSAS!$G$2:$G$324))</f>
        <v>1897285.09</v>
      </c>
      <c r="L321" s="39">
        <f>SUMPRODUCT(SUMIF(SurtaxRatesSAS!$B$2:$B$324,$C321:$E321,SurtaxRatesSAS!$H$2:$H$324))</f>
        <v>0</v>
      </c>
      <c r="M321" s="39">
        <f>SUMPRODUCT(SUMIF(SurtaxRatesSAS!$B$2:$B$324,$C321:$E321,SurtaxRatesSAS!$I$2:$I$324))</f>
        <v>1897285.09</v>
      </c>
      <c r="N321" s="38"/>
      <c r="O321" s="39" t="e">
        <f>SUMPRODUCT(SUMIF(SurtaxRatesSAS!$B$2:$B$324,$C321:$E321,SurtaxRatesSAS!$L$2:$L$324))</f>
        <v>#REF!</v>
      </c>
      <c r="P321" s="39" t="e">
        <f>SUMPRODUCT(SUMIF(SurtaxRatesSAS!$B$2:$B$324,$C321:$E321,SurtaxRatesSAS!$M$2:$M$324))</f>
        <v>#REF!</v>
      </c>
      <c r="Q321" s="39" t="e">
        <f>SUMPRODUCT(SUMIF(SurtaxRatesSAS!$B$2:$B$324,$C321:$E321,SurtaxRatesSAS!$N$2:$N$324))</f>
        <v>#REF!</v>
      </c>
      <c r="R321" s="38"/>
      <c r="S321" s="39" t="e">
        <f t="shared" si="12"/>
        <v>#REF!</v>
      </c>
      <c r="T321" s="39" t="e">
        <f t="shared" si="13"/>
        <v>#REF!</v>
      </c>
      <c r="U321" s="39" t="e">
        <f t="shared" si="14"/>
        <v>#REF!</v>
      </c>
      <c r="W321" s="31" t="str">
        <f>IF(K321&gt;0,INDEX(cfo!$C$2:$I$326,MATCH(SurtaxPayment!C321,cfo!$C$2:$C$326,0),7),"")</f>
        <v>mark.frasher@wdbqschools.org</v>
      </c>
      <c r="X321" s="31" t="str">
        <f>IF(IF(K321&gt;0,INDEX(cfo!$C$2:$K$326,MATCH(SurtaxPayment!C321,cfo!$C$2:$C$326,0),9),"")=0,"",IF(K321&gt;0,INDEX(cfo!$C$2:$K$326,MATCH(SurtaxPayment!C321,cfo!$C$2:$C$326,0),9),""))</f>
        <v>jeni.schindler@wdbqschools.org</v>
      </c>
    </row>
    <row r="322" spans="1:24" x14ac:dyDescent="0.25">
      <c r="A322" s="52">
        <v>2025</v>
      </c>
      <c r="B322" s="52" t="s">
        <v>660</v>
      </c>
      <c r="C322" s="57" t="s">
        <v>630</v>
      </c>
      <c r="D322" s="58" t="s">
        <v>693</v>
      </c>
      <c r="E322" s="58" t="s">
        <v>693</v>
      </c>
      <c r="F322" s="58" t="s">
        <v>630</v>
      </c>
      <c r="G322" s="57" t="s">
        <v>282</v>
      </c>
      <c r="H322" s="39">
        <f>SUMPRODUCT(SUMIF(SurtaxRatesSAS!$B$2:$B$324,$C322:$E322,SurtaxRatesSAS!$E$2:$E$324))</f>
        <v>1</v>
      </c>
      <c r="I322" s="39">
        <f>SUMPRODUCT(SUMIF(SurtaxRatesSAS!$B$2:$B$324,$C322:$E322,SurtaxRatesSAS!$D$2:$D$324))</f>
        <v>3</v>
      </c>
      <c r="J322" s="38"/>
      <c r="K322" s="39">
        <f>SUMPRODUCT(SUMIF(SurtaxRatesSAS!$B$2:$B$324,$C322:$E322,SurtaxRatesSAS!$G$2:$G$324))</f>
        <v>131554.12</v>
      </c>
      <c r="L322" s="39">
        <f>SUMPRODUCT(SUMIF(SurtaxRatesSAS!$B$2:$B$324,$C322:$E322,SurtaxRatesSAS!$H$2:$H$324))</f>
        <v>32888.53</v>
      </c>
      <c r="M322" s="39">
        <f>SUMPRODUCT(SUMIF(SurtaxRatesSAS!$B$2:$B$324,$C322:$E322,SurtaxRatesSAS!$I$2:$I$324))</f>
        <v>98665.59</v>
      </c>
      <c r="N322" s="38"/>
      <c r="O322" s="39" t="e">
        <f>SUMPRODUCT(SUMIF(SurtaxRatesSAS!$B$2:$B$324,$C322:$E322,SurtaxRatesSAS!$L$2:$L$324))</f>
        <v>#REF!</v>
      </c>
      <c r="P322" s="39" t="e">
        <f>SUMPRODUCT(SUMIF(SurtaxRatesSAS!$B$2:$B$324,$C322:$E322,SurtaxRatesSAS!$M$2:$M$324))</f>
        <v>#REF!</v>
      </c>
      <c r="Q322" s="39" t="e">
        <f>SUMPRODUCT(SUMIF(SurtaxRatesSAS!$B$2:$B$324,$C322:$E322,SurtaxRatesSAS!$N$2:$N$324))</f>
        <v>#REF!</v>
      </c>
      <c r="R322" s="38"/>
      <c r="S322" s="39" t="e">
        <f t="shared" si="12"/>
        <v>#REF!</v>
      </c>
      <c r="T322" s="39" t="e">
        <f t="shared" si="13"/>
        <v>#REF!</v>
      </c>
      <c r="U322" s="39" t="e">
        <f t="shared" si="14"/>
        <v>#REF!</v>
      </c>
      <c r="W322" s="31" t="str">
        <f>IF(K322&gt;0,INDEX(cfo!$C$2:$I$326,MATCH(SurtaxPayment!C322,cfo!$C$2:$C$326,0),7),"")</f>
        <v>aworrell@wcsdrebels.com</v>
      </c>
      <c r="X322" s="31" t="str">
        <f>IF(IF(K322&gt;0,INDEX(cfo!$C$2:$K$326,MATCH(SurtaxPayment!C322,cfo!$C$2:$C$326,0),9),"")=0,"",IF(K322&gt;0,INDEX(cfo!$C$2:$K$326,MATCH(SurtaxPayment!C322,cfo!$C$2:$C$326,0),9),""))</f>
        <v/>
      </c>
    </row>
    <row r="323" spans="1:24" x14ac:dyDescent="0.25">
      <c r="A323" s="52">
        <v>2025</v>
      </c>
      <c r="B323" s="52" t="s">
        <v>660</v>
      </c>
      <c r="C323" s="57" t="s">
        <v>631</v>
      </c>
      <c r="D323" s="58" t="s">
        <v>693</v>
      </c>
      <c r="E323" s="58" t="s">
        <v>693</v>
      </c>
      <c r="F323" s="58" t="s">
        <v>631</v>
      </c>
      <c r="G323" s="57" t="s">
        <v>283</v>
      </c>
      <c r="H323" s="39">
        <f>SUMPRODUCT(SUMIF(SurtaxRatesSAS!$B$2:$B$324,$C323:$E323,SurtaxRatesSAS!$E$2:$E$324))</f>
        <v>0</v>
      </c>
      <c r="I323" s="39">
        <f>SUMPRODUCT(SUMIF(SurtaxRatesSAS!$B$2:$B$324,$C323:$E323,SurtaxRatesSAS!$D$2:$D$324))</f>
        <v>5</v>
      </c>
      <c r="J323" s="38"/>
      <c r="K323" s="39">
        <f>SUMPRODUCT(SUMIF(SurtaxRatesSAS!$B$2:$B$324,$C323:$E323,SurtaxRatesSAS!$G$2:$G$324))</f>
        <v>54014.36</v>
      </c>
      <c r="L323" s="39">
        <f>SUMPRODUCT(SUMIF(SurtaxRatesSAS!$B$2:$B$324,$C323:$E323,SurtaxRatesSAS!$H$2:$H$324))</f>
        <v>0</v>
      </c>
      <c r="M323" s="39">
        <f>SUMPRODUCT(SUMIF(SurtaxRatesSAS!$B$2:$B$324,$C323:$E323,SurtaxRatesSAS!$I$2:$I$324))</f>
        <v>54014.36</v>
      </c>
      <c r="N323" s="38"/>
      <c r="O323" s="39" t="e">
        <f>SUMPRODUCT(SUMIF(SurtaxRatesSAS!$B$2:$B$324,$C323:$E323,SurtaxRatesSAS!$L$2:$L$324))</f>
        <v>#REF!</v>
      </c>
      <c r="P323" s="39" t="e">
        <f>SUMPRODUCT(SUMIF(SurtaxRatesSAS!$B$2:$B$324,$C323:$E323,SurtaxRatesSAS!$M$2:$M$324))</f>
        <v>#REF!</v>
      </c>
      <c r="Q323" s="39" t="e">
        <f>SUMPRODUCT(SUMIF(SurtaxRatesSAS!$B$2:$B$324,$C323:$E323,SurtaxRatesSAS!$N$2:$N$324))</f>
        <v>#REF!</v>
      </c>
      <c r="R323" s="38"/>
      <c r="S323" s="39" t="e">
        <f t="shared" si="12"/>
        <v>#REF!</v>
      </c>
      <c r="T323" s="39" t="e">
        <f t="shared" si="13"/>
        <v>#REF!</v>
      </c>
      <c r="U323" s="39" t="e">
        <f t="shared" si="14"/>
        <v>#REF!</v>
      </c>
      <c r="W323" s="31" t="str">
        <f>IF(K323&gt;0,INDEX(cfo!$C$2:$I$326,MATCH(SurtaxPayment!C323,cfo!$C$2:$C$326,0),7),"")</f>
        <v>lwest@whitingcsd.org</v>
      </c>
      <c r="X323" s="31" t="str">
        <f>IF(IF(K323&gt;0,INDEX(cfo!$C$2:$K$326,MATCH(SurtaxPayment!C323,cfo!$C$2:$C$326,0),9),"")=0,"",IF(K323&gt;0,INDEX(cfo!$C$2:$K$326,MATCH(SurtaxPayment!C323,cfo!$C$2:$C$326,0),9),""))</f>
        <v/>
      </c>
    </row>
    <row r="324" spans="1:24" x14ac:dyDescent="0.25">
      <c r="A324" s="52">
        <v>2025</v>
      </c>
      <c r="B324" s="52" t="s">
        <v>663</v>
      </c>
      <c r="C324" s="57" t="s">
        <v>632</v>
      </c>
      <c r="D324" s="58" t="s">
        <v>693</v>
      </c>
      <c r="E324" s="58" t="s">
        <v>693</v>
      </c>
      <c r="F324" s="58" t="s">
        <v>632</v>
      </c>
      <c r="G324" s="57" t="s">
        <v>284</v>
      </c>
      <c r="H324" s="39">
        <f>SUMPRODUCT(SUMIF(SurtaxRatesSAS!$B$2:$B$324,$C324:$E324,SurtaxRatesSAS!$E$2:$E$324))</f>
        <v>0</v>
      </c>
      <c r="I324" s="39">
        <f>SUMPRODUCT(SUMIF(SurtaxRatesSAS!$B$2:$B$324,$C324:$E324,SurtaxRatesSAS!$D$2:$D$324))</f>
        <v>7</v>
      </c>
      <c r="J324" s="38"/>
      <c r="K324" s="39">
        <f>SUMPRODUCT(SUMIF(SurtaxRatesSAS!$B$2:$B$324,$C324:$E324,SurtaxRatesSAS!$G$2:$G$324))</f>
        <v>630071.73</v>
      </c>
      <c r="L324" s="39">
        <f>SUMPRODUCT(SUMIF(SurtaxRatesSAS!$B$2:$B$324,$C324:$E324,SurtaxRatesSAS!$H$2:$H$324))</f>
        <v>0</v>
      </c>
      <c r="M324" s="39">
        <f>SUMPRODUCT(SUMIF(SurtaxRatesSAS!$B$2:$B$324,$C324:$E324,SurtaxRatesSAS!$I$2:$I$324))</f>
        <v>630071.73</v>
      </c>
      <c r="N324" s="38"/>
      <c r="O324" s="39" t="e">
        <f>SUMPRODUCT(SUMIF(SurtaxRatesSAS!$B$2:$B$324,$C324:$E324,SurtaxRatesSAS!$L$2:$L$324))</f>
        <v>#REF!</v>
      </c>
      <c r="P324" s="39" t="e">
        <f>SUMPRODUCT(SUMIF(SurtaxRatesSAS!$B$2:$B$324,$C324:$E324,SurtaxRatesSAS!$M$2:$M$324))</f>
        <v>#REF!</v>
      </c>
      <c r="Q324" s="39" t="e">
        <f>SUMPRODUCT(SUMIF(SurtaxRatesSAS!$B$2:$B$324,$C324:$E324,SurtaxRatesSAS!$N$2:$N$324))</f>
        <v>#REF!</v>
      </c>
      <c r="R324" s="38"/>
      <c r="S324" s="39" t="e">
        <f t="shared" si="12"/>
        <v>#REF!</v>
      </c>
      <c r="T324" s="39" t="e">
        <f t="shared" si="13"/>
        <v>#REF!</v>
      </c>
      <c r="U324" s="39" t="e">
        <f t="shared" si="14"/>
        <v>#REF!</v>
      </c>
      <c r="W324" s="31" t="str">
        <f>IF(K324&gt;0,INDEX(cfo!$C$2:$I$326,MATCH(SurtaxPayment!C324,cfo!$C$2:$C$326,0),7),"")</f>
        <v>cindygingerich@williamsburg.k12.ia.us</v>
      </c>
      <c r="X324" s="31" t="str">
        <f>IF(IF(K324&gt;0,INDEX(cfo!$C$2:$K$326,MATCH(SurtaxPayment!C324,cfo!$C$2:$C$326,0),9),"")=0,"",IF(K324&gt;0,INDEX(cfo!$C$2:$K$326,MATCH(SurtaxPayment!C324,cfo!$C$2:$C$326,0),9),""))</f>
        <v/>
      </c>
    </row>
    <row r="325" spans="1:24" x14ac:dyDescent="0.25">
      <c r="A325" s="52">
        <v>2025</v>
      </c>
      <c r="B325" s="52" t="s">
        <v>666</v>
      </c>
      <c r="C325" s="57" t="s">
        <v>633</v>
      </c>
      <c r="D325" s="58" t="s">
        <v>693</v>
      </c>
      <c r="E325" s="58" t="s">
        <v>693</v>
      </c>
      <c r="F325" s="58" t="s">
        <v>633</v>
      </c>
      <c r="G325" s="57" t="s">
        <v>285</v>
      </c>
      <c r="H325" s="39">
        <f>SUMPRODUCT(SUMIF(SurtaxRatesSAS!$B$2:$B$324,$C325:$E325,SurtaxRatesSAS!$E$2:$E$324))</f>
        <v>0</v>
      </c>
      <c r="I325" s="39">
        <f>SUMPRODUCT(SUMIF(SurtaxRatesSAS!$B$2:$B$324,$C325:$E325,SurtaxRatesSAS!$D$2:$D$324))</f>
        <v>4</v>
      </c>
      <c r="J325" s="38"/>
      <c r="K325" s="39">
        <f>SUMPRODUCT(SUMIF(SurtaxRatesSAS!$B$2:$B$324,$C325:$E325,SurtaxRatesSAS!$G$2:$G$324))</f>
        <v>200816.66</v>
      </c>
      <c r="L325" s="39">
        <f>SUMPRODUCT(SUMIF(SurtaxRatesSAS!$B$2:$B$324,$C325:$E325,SurtaxRatesSAS!$H$2:$H$324))</f>
        <v>0</v>
      </c>
      <c r="M325" s="39">
        <f>SUMPRODUCT(SUMIF(SurtaxRatesSAS!$B$2:$B$324,$C325:$E325,SurtaxRatesSAS!$I$2:$I$324))</f>
        <v>200816.66</v>
      </c>
      <c r="N325" s="38"/>
      <c r="O325" s="39" t="e">
        <f>SUMPRODUCT(SUMIF(SurtaxRatesSAS!$B$2:$B$324,$C325:$E325,SurtaxRatesSAS!$L$2:$L$324))</f>
        <v>#REF!</v>
      </c>
      <c r="P325" s="39" t="e">
        <f>SUMPRODUCT(SUMIF(SurtaxRatesSAS!$B$2:$B$324,$C325:$E325,SurtaxRatesSAS!$M$2:$M$324))</f>
        <v>#REF!</v>
      </c>
      <c r="Q325" s="39" t="e">
        <f>SUMPRODUCT(SUMIF(SurtaxRatesSAS!$B$2:$B$324,$C325:$E325,SurtaxRatesSAS!$N$2:$N$324))</f>
        <v>#REF!</v>
      </c>
      <c r="R325" s="38"/>
      <c r="S325" s="39" t="e">
        <f t="shared" si="12"/>
        <v>#REF!</v>
      </c>
      <c r="T325" s="39" t="e">
        <f t="shared" si="13"/>
        <v>#REF!</v>
      </c>
      <c r="U325" s="39" t="e">
        <f t="shared" si="14"/>
        <v>#REF!</v>
      </c>
      <c r="W325" s="31" t="str">
        <f>IF(K325&gt;0,INDEX(cfo!$C$2:$I$326,MATCH(SurtaxPayment!C325,cfo!$C$2:$C$326,0),7),"")</f>
        <v>angelafreeman@wiltoncsd.org</v>
      </c>
      <c r="X325" s="31" t="str">
        <f>IF(IF(K325&gt;0,INDEX(cfo!$C$2:$K$326,MATCH(SurtaxPayment!C325,cfo!$C$2:$C$326,0),9),"")=0,"",IF(K325&gt;0,INDEX(cfo!$C$2:$K$326,MATCH(SurtaxPayment!C325,cfo!$C$2:$C$326,0),9),""))</f>
        <v/>
      </c>
    </row>
    <row r="326" spans="1:24" x14ac:dyDescent="0.25">
      <c r="A326" s="52">
        <v>2025</v>
      </c>
      <c r="B326" s="52" t="s">
        <v>662</v>
      </c>
      <c r="C326" s="57" t="s">
        <v>634</v>
      </c>
      <c r="D326" s="58" t="s">
        <v>693</v>
      </c>
      <c r="E326" s="58" t="s">
        <v>693</v>
      </c>
      <c r="F326" s="58" t="s">
        <v>634</v>
      </c>
      <c r="G326" s="57" t="s">
        <v>286</v>
      </c>
      <c r="H326" s="39">
        <f>SUMPRODUCT(SUMIF(SurtaxRatesSAS!$B$2:$B$324,$C326:$E326,SurtaxRatesSAS!$E$2:$E$324))</f>
        <v>0</v>
      </c>
      <c r="I326" s="39">
        <f>SUMPRODUCT(SUMIF(SurtaxRatesSAS!$B$2:$B$324,$C326:$E326,SurtaxRatesSAS!$D$2:$D$324))</f>
        <v>6</v>
      </c>
      <c r="J326" s="38"/>
      <c r="K326" s="39">
        <f>SUMPRODUCT(SUMIF(SurtaxRatesSAS!$B$2:$B$324,$C326:$E326,SurtaxRatesSAS!$G$2:$G$324))</f>
        <v>86228.800000000003</v>
      </c>
      <c r="L326" s="39">
        <f>SUMPRODUCT(SUMIF(SurtaxRatesSAS!$B$2:$B$324,$C326:$E326,SurtaxRatesSAS!$H$2:$H$324))</f>
        <v>0</v>
      </c>
      <c r="M326" s="39">
        <f>SUMPRODUCT(SUMIF(SurtaxRatesSAS!$B$2:$B$324,$C326:$E326,SurtaxRatesSAS!$I$2:$I$324))</f>
        <v>86228.800000000003</v>
      </c>
      <c r="N326" s="38"/>
      <c r="O326" s="39" t="e">
        <f>SUMPRODUCT(SUMIF(SurtaxRatesSAS!$B$2:$B$324,$C326:$E326,SurtaxRatesSAS!$L$2:$L$324))</f>
        <v>#REF!</v>
      </c>
      <c r="P326" s="39" t="e">
        <f>SUMPRODUCT(SUMIF(SurtaxRatesSAS!$B$2:$B$324,$C326:$E326,SurtaxRatesSAS!$M$2:$M$324))</f>
        <v>#REF!</v>
      </c>
      <c r="Q326" s="39" t="e">
        <f>SUMPRODUCT(SUMIF(SurtaxRatesSAS!$B$2:$B$324,$C326:$E326,SurtaxRatesSAS!$N$2:$N$324))</f>
        <v>#REF!</v>
      </c>
      <c r="R326" s="38"/>
      <c r="S326" s="39" t="e">
        <f t="shared" si="12"/>
        <v>#REF!</v>
      </c>
      <c r="T326" s="39" t="e">
        <f t="shared" si="13"/>
        <v>#REF!</v>
      </c>
      <c r="U326" s="39" t="e">
        <f t="shared" si="14"/>
        <v>#REF!</v>
      </c>
      <c r="W326" s="31" t="str">
        <f>IF(K326&gt;0,INDEX(cfo!$C$2:$I$326,MATCH(SurtaxPayment!C326,cfo!$C$2:$C$326,0),7),"")</f>
        <v>carmen.benson@wmucsd.org</v>
      </c>
      <c r="X326" s="31" t="str">
        <f>IF(IF(K326&gt;0,INDEX(cfo!$C$2:$K$326,MATCH(SurtaxPayment!C326,cfo!$C$2:$C$326,0),9),"")=0,"",IF(K326&gt;0,INDEX(cfo!$C$2:$K$326,MATCH(SurtaxPayment!C326,cfo!$C$2:$C$326,0),9),""))</f>
        <v/>
      </c>
    </row>
    <row r="327" spans="1:24" x14ac:dyDescent="0.25">
      <c r="A327" s="52">
        <v>2025</v>
      </c>
      <c r="B327" s="52" t="s">
        <v>657</v>
      </c>
      <c r="C327" s="57" t="s">
        <v>635</v>
      </c>
      <c r="D327" s="58" t="s">
        <v>693</v>
      </c>
      <c r="E327" s="58" t="s">
        <v>693</v>
      </c>
      <c r="F327" s="58" t="s">
        <v>635</v>
      </c>
      <c r="G327" s="57" t="s">
        <v>287</v>
      </c>
      <c r="H327" s="39">
        <f>SUMPRODUCT(SUMIF(SurtaxRatesSAS!$B$2:$B$324,$C327:$E327,SurtaxRatesSAS!$E$2:$E$324))</f>
        <v>0</v>
      </c>
      <c r="I327" s="39">
        <f>SUMPRODUCT(SUMIF(SurtaxRatesSAS!$B$2:$B$324,$C327:$E327,SurtaxRatesSAS!$D$2:$D$324))</f>
        <v>4</v>
      </c>
      <c r="J327" s="38"/>
      <c r="K327" s="39">
        <f>SUMPRODUCT(SUMIF(SurtaxRatesSAS!$B$2:$B$324,$C327:$E327,SurtaxRatesSAS!$G$2:$G$324))</f>
        <v>525305.92000000004</v>
      </c>
      <c r="L327" s="39">
        <f>SUMPRODUCT(SUMIF(SurtaxRatesSAS!$B$2:$B$324,$C327:$E327,SurtaxRatesSAS!$H$2:$H$324))</f>
        <v>0</v>
      </c>
      <c r="M327" s="39">
        <f>SUMPRODUCT(SUMIF(SurtaxRatesSAS!$B$2:$B$324,$C327:$E327,SurtaxRatesSAS!$I$2:$I$324))</f>
        <v>525305.92000000004</v>
      </c>
      <c r="N327" s="38"/>
      <c r="O327" s="39" t="e">
        <f>SUMPRODUCT(SUMIF(SurtaxRatesSAS!$B$2:$B$324,$C327:$E327,SurtaxRatesSAS!$L$2:$L$324))</f>
        <v>#REF!</v>
      </c>
      <c r="P327" s="39" t="e">
        <f>SUMPRODUCT(SUMIF(SurtaxRatesSAS!$B$2:$B$324,$C327:$E327,SurtaxRatesSAS!$M$2:$M$324))</f>
        <v>#REF!</v>
      </c>
      <c r="Q327" s="39" t="e">
        <f>SUMPRODUCT(SUMIF(SurtaxRatesSAS!$B$2:$B$324,$C327:$E327,SurtaxRatesSAS!$N$2:$N$324))</f>
        <v>#REF!</v>
      </c>
      <c r="R327" s="38"/>
      <c r="S327" s="39" t="e">
        <f t="shared" ref="S327:S330" si="15">SUM(K327,O327)</f>
        <v>#REF!</v>
      </c>
      <c r="T327" s="39" t="e">
        <f t="shared" ref="T327:T329" si="16">SUM(L327,P327)</f>
        <v>#REF!</v>
      </c>
      <c r="U327" s="39" t="e">
        <f t="shared" ref="U327:U330" si="17">SUM(M327,Q327)</f>
        <v>#REF!</v>
      </c>
      <c r="W327" s="31" t="str">
        <f>IF(K327&gt;0,INDEX(cfo!$C$2:$I$326,MATCH(SurtaxPayment!C327,cfo!$C$2:$C$326,0),7),"")</f>
        <v>cleners@winterset.k12.ia.us</v>
      </c>
      <c r="X327" s="31" t="str">
        <f>IF(IF(K327&gt;0,INDEX(cfo!$C$2:$K$326,MATCH(SurtaxPayment!C327,cfo!$C$2:$C$326,0),9),"")=0,"",IF(K327&gt;0,INDEX(cfo!$C$2:$K$326,MATCH(SurtaxPayment!C327,cfo!$C$2:$C$326,0),9),""))</f>
        <v/>
      </c>
    </row>
    <row r="328" spans="1:24" x14ac:dyDescent="0.25">
      <c r="A328" s="52">
        <v>2025</v>
      </c>
      <c r="B328" s="52" t="s">
        <v>659</v>
      </c>
      <c r="C328" s="57" t="s">
        <v>636</v>
      </c>
      <c r="D328" s="58" t="s">
        <v>693</v>
      </c>
      <c r="E328" s="58" t="s">
        <v>693</v>
      </c>
      <c r="F328" s="58" t="s">
        <v>636</v>
      </c>
      <c r="G328" s="57" t="s">
        <v>288</v>
      </c>
      <c r="H328" s="39">
        <f>SUMPRODUCT(SUMIF(SurtaxRatesSAS!$B$2:$B$324,$C328:$E328,SurtaxRatesSAS!$E$2:$E$324))</f>
        <v>2</v>
      </c>
      <c r="I328" s="39">
        <f>SUMPRODUCT(SUMIF(SurtaxRatesSAS!$B$2:$B$324,$C328:$E328,SurtaxRatesSAS!$D$2:$D$324))</f>
        <v>12</v>
      </c>
      <c r="J328" s="38"/>
      <c r="K328" s="39">
        <f>SUMPRODUCT(SUMIF(SurtaxRatesSAS!$B$2:$B$324,$C328:$E328,SurtaxRatesSAS!$G$2:$G$324))</f>
        <v>268720.71999999997</v>
      </c>
      <c r="L328" s="39">
        <f>SUMPRODUCT(SUMIF(SurtaxRatesSAS!$B$2:$B$324,$C328:$E328,SurtaxRatesSAS!$H$2:$H$324))</f>
        <v>38388.67</v>
      </c>
      <c r="M328" s="39">
        <f>SUMPRODUCT(SUMIF(SurtaxRatesSAS!$B$2:$B$324,$C328:$E328,SurtaxRatesSAS!$I$2:$I$324))</f>
        <v>230332.05</v>
      </c>
      <c r="N328" s="38"/>
      <c r="O328" s="39" t="e">
        <f>SUMPRODUCT(SUMIF(SurtaxRatesSAS!$B$2:$B$324,$C328:$E328,SurtaxRatesSAS!$L$2:$L$324))</f>
        <v>#REF!</v>
      </c>
      <c r="P328" s="39" t="e">
        <f>SUMPRODUCT(SUMIF(SurtaxRatesSAS!$B$2:$B$324,$C328:$E328,SurtaxRatesSAS!$M$2:$M$324))</f>
        <v>#REF!</v>
      </c>
      <c r="Q328" s="39" t="e">
        <f>SUMPRODUCT(SUMIF(SurtaxRatesSAS!$B$2:$B$324,$C328:$E328,SurtaxRatesSAS!$N$2:$N$324))</f>
        <v>#REF!</v>
      </c>
      <c r="R328" s="38"/>
      <c r="S328" s="39" t="e">
        <f t="shared" si="15"/>
        <v>#REF!</v>
      </c>
      <c r="T328" s="39" t="e">
        <f t="shared" si="16"/>
        <v>#REF!</v>
      </c>
      <c r="U328" s="39" t="e">
        <f t="shared" si="17"/>
        <v>#REF!</v>
      </c>
      <c r="W328" s="31" t="str">
        <f>IF(K328&gt;0,INDEX(cfo!$C$2:$I$326,MATCH(SurtaxPayment!C328,cfo!$C$2:$C$326,0),7),"")</f>
        <v>kklaassen@woodbine.k12.ia.us</v>
      </c>
      <c r="X328" s="31" t="str">
        <f>IF(IF(K328&gt;0,INDEX(cfo!$C$2:$K$326,MATCH(SurtaxPayment!C328,cfo!$C$2:$C$326,0),9),"")=0,"",IF(K328&gt;0,INDEX(cfo!$C$2:$K$326,MATCH(SurtaxPayment!C328,cfo!$C$2:$C$326,0),9),""))</f>
        <v/>
      </c>
    </row>
    <row r="329" spans="1:24" x14ac:dyDescent="0.25">
      <c r="A329" s="52">
        <v>2025</v>
      </c>
      <c r="B329" s="52" t="s">
        <v>660</v>
      </c>
      <c r="C329" s="57" t="s">
        <v>637</v>
      </c>
      <c r="D329" s="58" t="s">
        <v>693</v>
      </c>
      <c r="E329" s="58" t="s">
        <v>693</v>
      </c>
      <c r="F329" s="58" t="s">
        <v>637</v>
      </c>
      <c r="G329" s="57" t="s">
        <v>289</v>
      </c>
      <c r="H329" s="39">
        <f>SUMPRODUCT(SUMIF(SurtaxRatesSAS!$B$2:$B$324,$C329:$E329,SurtaxRatesSAS!$E$2:$E$324))</f>
        <v>2</v>
      </c>
      <c r="I329" s="39">
        <f>SUMPRODUCT(SUMIF(SurtaxRatesSAS!$B$2:$B$324,$C329:$E329,SurtaxRatesSAS!$D$2:$D$324))</f>
        <v>2</v>
      </c>
      <c r="J329" s="38"/>
      <c r="K329" s="39">
        <f>SUMPRODUCT(SUMIF(SurtaxRatesSAS!$B$2:$B$324,$C329:$E329,SurtaxRatesSAS!$G$2:$G$324))</f>
        <v>167745.54</v>
      </c>
      <c r="L329" s="39">
        <f>SUMPRODUCT(SUMIF(SurtaxRatesSAS!$B$2:$B$324,$C329:$E329,SurtaxRatesSAS!$H$2:$H$324))</f>
        <v>83872.77</v>
      </c>
      <c r="M329" s="39">
        <f>SUMPRODUCT(SUMIF(SurtaxRatesSAS!$B$2:$B$324,$C329:$E329,SurtaxRatesSAS!$I$2:$I$324))</f>
        <v>83872.77</v>
      </c>
      <c r="N329" s="38"/>
      <c r="O329" s="39" t="e">
        <f>SUMPRODUCT(SUMIF(SurtaxRatesSAS!$B$2:$B$324,$C329:$E329,SurtaxRatesSAS!$L$2:$L$324))</f>
        <v>#REF!</v>
      </c>
      <c r="P329" s="39" t="e">
        <f>SUMPRODUCT(SUMIF(SurtaxRatesSAS!$B$2:$B$324,$C329:$E329,SurtaxRatesSAS!$M$2:$M$324))</f>
        <v>#REF!</v>
      </c>
      <c r="Q329" s="39" t="e">
        <f>SUMPRODUCT(SUMIF(SurtaxRatesSAS!$B$2:$B$324,$C329:$E329,SurtaxRatesSAS!$N$2:$N$324))</f>
        <v>#REF!</v>
      </c>
      <c r="R329" s="38"/>
      <c r="S329" s="39" t="e">
        <f t="shared" si="15"/>
        <v>#REF!</v>
      </c>
      <c r="T329" s="39" t="e">
        <f t="shared" si="16"/>
        <v>#REF!</v>
      </c>
      <c r="U329" s="39" t="e">
        <f t="shared" si="17"/>
        <v>#REF!</v>
      </c>
      <c r="W329" s="31" t="str">
        <f>IF(K329&gt;0,INDEX(cfo!$C$2:$I$326,MATCH(SurtaxPayment!C329,cfo!$C$2:$C$326,0),7),"")</f>
        <v>chowrey@wcwildcats.org</v>
      </c>
      <c r="X329" s="31" t="str">
        <f>IF(IF(K329&gt;0,INDEX(cfo!$C$2:$K$326,MATCH(SurtaxPayment!C329,cfo!$C$2:$C$326,0),9),"")=0,"",IF(K329&gt;0,INDEX(cfo!$C$2:$K$326,MATCH(SurtaxPayment!C329,cfo!$C$2:$C$326,0),9),""))</f>
        <v/>
      </c>
    </row>
    <row r="330" spans="1:24" x14ac:dyDescent="0.25">
      <c r="A330" s="52">
        <v>2025</v>
      </c>
      <c r="B330" s="52" t="s">
        <v>657</v>
      </c>
      <c r="C330" s="57" t="s">
        <v>638</v>
      </c>
      <c r="D330" s="58" t="s">
        <v>693</v>
      </c>
      <c r="E330" s="58" t="s">
        <v>693</v>
      </c>
      <c r="F330" s="58" t="s">
        <v>638</v>
      </c>
      <c r="G330" s="57" t="s">
        <v>290</v>
      </c>
      <c r="H330" s="39">
        <f>SUMPRODUCT(SUMIF(SurtaxRatesSAS!$B$2:$B$324,$C330:$E330,SurtaxRatesSAS!$E$2:$E$324))</f>
        <v>0</v>
      </c>
      <c r="I330" s="39">
        <f>SUMPRODUCT(SUMIF(SurtaxRatesSAS!$B$2:$B$324,$C330:$E330,SurtaxRatesSAS!$D$2:$D$324))</f>
        <v>1</v>
      </c>
      <c r="J330" s="38"/>
      <c r="K330" s="39">
        <f>SUMPRODUCT(SUMIF(SurtaxRatesSAS!$B$2:$B$324,$C330:$E330,SurtaxRatesSAS!$G$2:$G$324))</f>
        <v>96351.15</v>
      </c>
      <c r="L330" s="39">
        <f>SUMPRODUCT(SUMIF(SurtaxRatesSAS!$B$2:$B$324,$C330:$E330,SurtaxRatesSAS!$H$2:$H$324))</f>
        <v>0</v>
      </c>
      <c r="M330" s="39">
        <f>SUMPRODUCT(SUMIF(SurtaxRatesSAS!$B$2:$B$324,$C330:$E330,SurtaxRatesSAS!$I$2:$I$324))</f>
        <v>96351.15</v>
      </c>
      <c r="N330" s="38"/>
      <c r="O330" s="39" t="e">
        <f>SUMPRODUCT(SUMIF(SurtaxRatesSAS!$B$2:$B$324,$C330:$E330,SurtaxRatesSAS!$L$2:$L$324))</f>
        <v>#REF!</v>
      </c>
      <c r="P330" s="39" t="e">
        <f>SUMPRODUCT(SUMIF(SurtaxRatesSAS!$B$2:$B$324,$C330:$E330,SurtaxRatesSAS!$M$2:$M$324))</f>
        <v>#REF!</v>
      </c>
      <c r="Q330" s="39" t="e">
        <f>SUMPRODUCT(SUMIF(SurtaxRatesSAS!$B$2:$B$324,$C330:$E330,SurtaxRatesSAS!$N$2:$N$324))</f>
        <v>#REF!</v>
      </c>
      <c r="R330" s="38"/>
      <c r="S330" s="39" t="e">
        <f t="shared" si="15"/>
        <v>#REF!</v>
      </c>
      <c r="T330" s="39" t="e">
        <f>SUM(L330,P330)</f>
        <v>#REF!</v>
      </c>
      <c r="U330" s="39" t="e">
        <f t="shared" si="17"/>
        <v>#REF!</v>
      </c>
      <c r="W330" s="31" t="str">
        <f>IF(K330&gt;0,INDEX(cfo!$C$2:$I$326,MATCH(SurtaxPayment!C330,cfo!$C$2:$C$326,0),7),"")</f>
        <v>mattcrooks@wghawks.school</v>
      </c>
      <c r="X330" s="31" t="str">
        <f>IF(IF(K330&gt;0,INDEX(cfo!$C$2:$K$326,MATCH(SurtaxPayment!C330,cfo!$C$2:$C$326,0),9),"")=0,"",IF(K330&gt;0,INDEX(cfo!$C$2:$K$326,MATCH(SurtaxPayment!C330,cfo!$C$2:$C$326,0),9),""))</f>
        <v>valfinestead@wghawks.school</v>
      </c>
    </row>
    <row r="331" spans="1:24" ht="15.75" thickBot="1" x14ac:dyDescent="0.3">
      <c r="K331" s="43">
        <f>SUBTOTAL(9,K6:K330)</f>
        <v>102235960.10000004</v>
      </c>
      <c r="L331" s="43">
        <f>SUBTOTAL(9,L6:L330)</f>
        <v>12737796.819999995</v>
      </c>
      <c r="M331" s="43">
        <f>SUBTOTAL(9,M6:M330)</f>
        <v>89498163.280000001</v>
      </c>
      <c r="O331" s="43" t="e">
        <f>SUBTOTAL(9,O6:O330)</f>
        <v>#REF!</v>
      </c>
      <c r="P331" s="43" t="e">
        <f>SUBTOTAL(9,P6:P330)</f>
        <v>#REF!</v>
      </c>
      <c r="Q331" s="43" t="e">
        <f>SUBTOTAL(9,Q6:Q330)</f>
        <v>#REF!</v>
      </c>
      <c r="S331" s="43" t="e">
        <f>SUBTOTAL(9,S6:S330)</f>
        <v>#REF!</v>
      </c>
      <c r="T331" s="43" t="e">
        <f>SUBTOTAL(9,T6:T330)</f>
        <v>#REF!</v>
      </c>
      <c r="U331" s="43" t="e">
        <f>SUBTOTAL(9,U6:U330)</f>
        <v>#REF!</v>
      </c>
    </row>
    <row r="332" spans="1:24" ht="15.75" thickTop="1" x14ac:dyDescent="0.25"/>
    <row r="333" spans="1:24" x14ac:dyDescent="0.25">
      <c r="O333" s="29"/>
      <c r="S333" s="69"/>
    </row>
    <row r="335" spans="1:24" x14ac:dyDescent="0.25">
      <c r="S335" s="29"/>
    </row>
    <row r="336" spans="1:24" x14ac:dyDescent="0.25">
      <c r="S336" s="29"/>
    </row>
    <row r="337" spans="19:19" x14ac:dyDescent="0.25">
      <c r="S337" s="29"/>
    </row>
  </sheetData>
  <sheetProtection sheet="1" objects="1" scenarios="1"/>
  <mergeCells count="5">
    <mergeCell ref="G1:U1"/>
    <mergeCell ref="G2:U2"/>
    <mergeCell ref="K4:M4"/>
    <mergeCell ref="O4:Q4"/>
    <mergeCell ref="S4:U4"/>
  </mergeCells>
  <printOptions horizontalCentered="1"/>
  <pageMargins left="0.25" right="0.25" top="0.25" bottom="0.75" header="0.05" footer="0.3"/>
  <pageSetup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88"/>
  <sheetViews>
    <sheetView topLeftCell="A265" workbookViewId="0">
      <selection activeCell="C285" sqref="C2:C285"/>
    </sheetView>
  </sheetViews>
  <sheetFormatPr defaultRowHeight="15" x14ac:dyDescent="0.25"/>
  <cols>
    <col min="1" max="1" width="9.7109375" bestFit="1" customWidth="1"/>
    <col min="2" max="2" width="5" style="3" bestFit="1" customWidth="1"/>
    <col min="3" max="3" width="28.42578125" bestFit="1" customWidth="1"/>
    <col min="4" max="4" width="23.7109375" bestFit="1" customWidth="1"/>
    <col min="5" max="5" width="17" bestFit="1" customWidth="1"/>
    <col min="6" max="6" width="24.7109375" bestFit="1" customWidth="1"/>
    <col min="7" max="7" width="12.140625" bestFit="1" customWidth="1"/>
    <col min="8" max="8" width="13.5703125" bestFit="1" customWidth="1"/>
    <col min="9" max="9" width="20.140625" bestFit="1" customWidth="1"/>
    <col min="10" max="10" width="1.42578125" style="59" customWidth="1"/>
    <col min="11" max="11" width="24.7109375" bestFit="1" customWidth="1"/>
    <col min="12" max="12" width="16.85546875" bestFit="1" customWidth="1"/>
    <col min="13" max="13" width="13.5703125" bestFit="1" customWidth="1"/>
    <col min="14" max="14" width="20.140625" bestFit="1" customWidth="1"/>
    <col min="15" max="15" width="7" customWidth="1"/>
    <col min="17" max="17" width="19" bestFit="1" customWidth="1"/>
    <col min="18" max="18" width="11.140625" bestFit="1" customWidth="1"/>
    <col min="19" max="19" width="15" customWidth="1"/>
    <col min="20" max="20" width="12.7109375" bestFit="1" customWidth="1"/>
  </cols>
  <sheetData>
    <row r="1" spans="1:25" ht="15" customHeight="1" x14ac:dyDescent="0.25">
      <c r="A1" t="s">
        <v>8</v>
      </c>
      <c r="B1" s="3" t="s">
        <v>292</v>
      </c>
      <c r="C1" t="s">
        <v>648</v>
      </c>
      <c r="D1" t="s">
        <v>296</v>
      </c>
      <c r="E1" t="s">
        <v>303</v>
      </c>
      <c r="F1" t="s">
        <v>652</v>
      </c>
      <c r="G1" t="s">
        <v>2088</v>
      </c>
      <c r="H1" t="s">
        <v>304</v>
      </c>
      <c r="I1" t="s">
        <v>305</v>
      </c>
      <c r="K1" t="s">
        <v>1777</v>
      </c>
      <c r="L1" t="s">
        <v>685</v>
      </c>
      <c r="M1" t="s">
        <v>304</v>
      </c>
      <c r="N1" t="s">
        <v>305</v>
      </c>
      <c r="P1" s="48" t="s">
        <v>655</v>
      </c>
      <c r="Q1" s="47"/>
      <c r="R1" s="47"/>
      <c r="S1" s="47"/>
      <c r="T1" s="47"/>
      <c r="U1" s="47"/>
      <c r="V1" s="47"/>
      <c r="W1" s="47"/>
      <c r="X1" s="47"/>
      <c r="Y1" s="47"/>
    </row>
    <row r="2" spans="1:25" x14ac:dyDescent="0.25">
      <c r="A2">
        <v>2024</v>
      </c>
      <c r="B2" s="3" t="s">
        <v>312</v>
      </c>
      <c r="C2" t="s">
        <v>0</v>
      </c>
      <c r="D2">
        <v>0</v>
      </c>
      <c r="E2">
        <v>14</v>
      </c>
      <c r="F2" s="1">
        <f>INDEX('Dec100%_DOR PDF'!$B$3:$F$323,MATCH(SurtaxRatesSAS!$B2,'Dec100%_DOR PDF'!$F$3:$F$323,0),1)</f>
        <v>591650.63</v>
      </c>
      <c r="G2" s="1">
        <f>F2</f>
        <v>591650.63</v>
      </c>
      <c r="H2" s="1">
        <f>ROUND((E2/(E2+D2))*G2,2)</f>
        <v>591650.63</v>
      </c>
      <c r="I2" s="1">
        <f>G2-H2</f>
        <v>0</v>
      </c>
      <c r="J2" s="60"/>
      <c r="K2" s="1" t="e">
        <f>INDEX(#REF!,MATCH(SurtaxRatesSAS!$B2,#REF!,0),1)</f>
        <v>#REF!</v>
      </c>
      <c r="L2" s="1" t="e">
        <f>K2</f>
        <v>#REF!</v>
      </c>
      <c r="M2" s="1" t="e">
        <f>ROUND((E2/(E2+D2))*L2,2)</f>
        <v>#REF!</v>
      </c>
      <c r="N2" s="1" t="e">
        <f>L2-M2</f>
        <v>#REF!</v>
      </c>
      <c r="P2" s="47"/>
      <c r="Q2" s="47"/>
      <c r="R2" s="47"/>
      <c r="S2" s="47"/>
      <c r="T2" s="47"/>
      <c r="U2" s="47"/>
      <c r="V2" s="47"/>
      <c r="W2" s="47"/>
      <c r="X2" s="47"/>
      <c r="Y2" s="47"/>
    </row>
    <row r="3" spans="1:25" x14ac:dyDescent="0.25">
      <c r="A3">
        <v>2024</v>
      </c>
      <c r="B3" s="3" t="s">
        <v>333</v>
      </c>
      <c r="C3" t="s">
        <v>7</v>
      </c>
      <c r="D3">
        <v>3</v>
      </c>
      <c r="E3">
        <v>0</v>
      </c>
      <c r="F3" s="1">
        <f>INDEX('Dec100%_DOR PDF'!$B$3:$F$323,MATCH(SurtaxRatesSAS!$B3,'Dec100%_DOR PDF'!$F$3:$F$323,0),1)</f>
        <v>140896.35</v>
      </c>
      <c r="G3" s="1">
        <f t="shared" ref="G3:G66" si="0">F3</f>
        <v>140896.35</v>
      </c>
      <c r="H3" s="1">
        <f t="shared" ref="H3:H66" si="1">ROUND((E3/(E3+D3))*G3,2)</f>
        <v>0</v>
      </c>
      <c r="I3" s="1">
        <f t="shared" ref="I3:I66" si="2">G3-H3</f>
        <v>140896.35</v>
      </c>
      <c r="J3" s="60"/>
      <c r="K3" s="1" t="e">
        <f>INDEX(#REF!,MATCH(SurtaxRatesSAS!$B3,#REF!,0),1)</f>
        <v>#REF!</v>
      </c>
      <c r="L3" s="1" t="e">
        <f t="shared" ref="L3:L66" si="3">K3</f>
        <v>#REF!</v>
      </c>
      <c r="M3" s="1" t="e">
        <f>ROUND((E3/(E3+D3))*L3,2)</f>
        <v>#REF!</v>
      </c>
      <c r="N3" s="1" t="e">
        <f>L3-M3</f>
        <v>#REF!</v>
      </c>
      <c r="P3" s="47"/>
      <c r="Q3" s="47"/>
      <c r="R3" s="47"/>
      <c r="S3" s="47"/>
      <c r="T3" s="47"/>
      <c r="U3" s="47"/>
      <c r="V3" s="47"/>
      <c r="W3" s="47"/>
      <c r="X3" s="47"/>
      <c r="Y3" s="47"/>
    </row>
    <row r="4" spans="1:25" x14ac:dyDescent="0.25">
      <c r="A4">
        <v>2024</v>
      </c>
      <c r="B4" s="3" t="s">
        <v>313</v>
      </c>
      <c r="C4" t="s">
        <v>15</v>
      </c>
      <c r="D4">
        <v>4</v>
      </c>
      <c r="E4">
        <v>4</v>
      </c>
      <c r="F4" s="1">
        <f>INDEX('Dec100%_DOR PDF'!$B$3:$F$323,MATCH(SurtaxRatesSAS!$B4,'Dec100%_DOR PDF'!$F$3:$F$323,0),1)</f>
        <v>189597.3</v>
      </c>
      <c r="G4" s="1">
        <f t="shared" si="0"/>
        <v>189597.3</v>
      </c>
      <c r="H4" s="1">
        <f t="shared" si="1"/>
        <v>94798.65</v>
      </c>
      <c r="I4" s="1">
        <f t="shared" si="2"/>
        <v>94798.65</v>
      </c>
      <c r="J4" s="60"/>
      <c r="K4" s="1" t="e">
        <f>INDEX(#REF!,MATCH(SurtaxRatesSAS!$B4,#REF!,0),1)</f>
        <v>#REF!</v>
      </c>
      <c r="L4" s="1" t="e">
        <f t="shared" si="3"/>
        <v>#REF!</v>
      </c>
      <c r="M4" s="1" t="e">
        <f t="shared" ref="M4:M66" si="4">ROUND((E4/(E4+D4))*L4,2)</f>
        <v>#REF!</v>
      </c>
      <c r="N4" s="1" t="e">
        <f t="shared" ref="N4:N66" si="5">L4-M4</f>
        <v>#REF!</v>
      </c>
      <c r="P4" s="110" t="s">
        <v>656</v>
      </c>
      <c r="Q4" s="110"/>
      <c r="R4" s="110"/>
      <c r="S4" s="110"/>
      <c r="T4" s="110"/>
      <c r="U4" s="110"/>
      <c r="V4" s="110"/>
      <c r="W4" s="110"/>
      <c r="X4" s="110"/>
      <c r="Y4" s="110"/>
    </row>
    <row r="5" spans="1:25" x14ac:dyDescent="0.25">
      <c r="A5">
        <v>2024</v>
      </c>
      <c r="B5" s="3" t="s">
        <v>315</v>
      </c>
      <c r="C5" t="s">
        <v>16</v>
      </c>
      <c r="D5">
        <v>4</v>
      </c>
      <c r="E5">
        <v>0</v>
      </c>
      <c r="F5" s="1">
        <f>INDEX('Dec100%_DOR PDF'!$B$3:$F$323,MATCH(SurtaxRatesSAS!$B5,'Dec100%_DOR PDF'!$F$3:$F$323,0),1)</f>
        <v>107116.8</v>
      </c>
      <c r="G5" s="1">
        <f t="shared" si="0"/>
        <v>107116.8</v>
      </c>
      <c r="H5" s="1">
        <f t="shared" si="1"/>
        <v>0</v>
      </c>
      <c r="I5" s="1">
        <f t="shared" si="2"/>
        <v>107116.8</v>
      </c>
      <c r="J5" s="60"/>
      <c r="K5" s="1" t="e">
        <f>INDEX(#REF!,MATCH(SurtaxRatesSAS!$B5,#REF!,0),1)</f>
        <v>#REF!</v>
      </c>
      <c r="L5" s="1" t="e">
        <f t="shared" si="3"/>
        <v>#REF!</v>
      </c>
      <c r="M5" s="1" t="e">
        <f t="shared" si="4"/>
        <v>#REF!</v>
      </c>
      <c r="N5" s="1" t="e">
        <f t="shared" si="5"/>
        <v>#REF!</v>
      </c>
      <c r="P5" s="110"/>
      <c r="Q5" s="110"/>
      <c r="R5" s="110"/>
      <c r="S5" s="110"/>
      <c r="T5" s="110"/>
      <c r="U5" s="110"/>
      <c r="V5" s="110"/>
      <c r="W5" s="110"/>
      <c r="X5" s="110"/>
      <c r="Y5" s="110"/>
    </row>
    <row r="6" spans="1:25" x14ac:dyDescent="0.25">
      <c r="A6">
        <v>2024</v>
      </c>
      <c r="B6" s="3" t="s">
        <v>317</v>
      </c>
      <c r="C6" t="s">
        <v>17</v>
      </c>
      <c r="D6">
        <v>2</v>
      </c>
      <c r="E6">
        <v>0</v>
      </c>
      <c r="F6" s="1">
        <f>INDEX('Dec100%_DOR PDF'!$B$3:$F$323,MATCH(SurtaxRatesSAS!$B6,'Dec100%_DOR PDF'!$F$3:$F$323,0),1)</f>
        <v>133163.45000000001</v>
      </c>
      <c r="G6" s="1">
        <f t="shared" si="0"/>
        <v>133163.45000000001</v>
      </c>
      <c r="H6" s="1">
        <f t="shared" si="1"/>
        <v>0</v>
      </c>
      <c r="I6" s="1">
        <f t="shared" si="2"/>
        <v>133163.45000000001</v>
      </c>
      <c r="J6" s="60"/>
      <c r="K6" s="1" t="e">
        <f>INDEX(#REF!,MATCH(SurtaxRatesSAS!$B6,#REF!,0),1)</f>
        <v>#REF!</v>
      </c>
      <c r="L6" s="1" t="e">
        <f t="shared" si="3"/>
        <v>#REF!</v>
      </c>
      <c r="M6" s="1" t="e">
        <f t="shared" si="4"/>
        <v>#REF!</v>
      </c>
      <c r="N6" s="1" t="e">
        <f t="shared" si="5"/>
        <v>#REF!</v>
      </c>
      <c r="P6" s="110"/>
      <c r="Q6" s="110"/>
      <c r="R6" s="110"/>
      <c r="S6" s="110"/>
      <c r="T6" s="110"/>
      <c r="U6" s="110"/>
      <c r="V6" s="110"/>
      <c r="W6" s="110"/>
      <c r="X6" s="110"/>
      <c r="Y6" s="110"/>
    </row>
    <row r="7" spans="1:25" x14ac:dyDescent="0.25">
      <c r="A7">
        <v>2024</v>
      </c>
      <c r="B7" s="3" t="s">
        <v>318</v>
      </c>
      <c r="C7" t="s">
        <v>18</v>
      </c>
      <c r="D7">
        <v>0</v>
      </c>
      <c r="E7">
        <v>3</v>
      </c>
      <c r="F7" s="1">
        <f>INDEX('Dec100%_DOR PDF'!$B$3:$F$323,MATCH(SurtaxRatesSAS!$B7,'Dec100%_DOR PDF'!$F$3:$F$323,0),1)</f>
        <v>149795.53</v>
      </c>
      <c r="G7" s="1">
        <f t="shared" si="0"/>
        <v>149795.53</v>
      </c>
      <c r="H7" s="1">
        <f t="shared" si="1"/>
        <v>149795.53</v>
      </c>
      <c r="I7" s="1">
        <f t="shared" si="2"/>
        <v>0</v>
      </c>
      <c r="J7" s="60"/>
      <c r="K7" s="1" t="e">
        <f>INDEX(#REF!,MATCH(SurtaxRatesSAS!$B7,#REF!,0),1)</f>
        <v>#REF!</v>
      </c>
      <c r="L7" s="1" t="e">
        <f t="shared" si="3"/>
        <v>#REF!</v>
      </c>
      <c r="M7" s="1" t="e">
        <f t="shared" si="4"/>
        <v>#REF!</v>
      </c>
      <c r="N7" s="1" t="e">
        <f t="shared" si="5"/>
        <v>#REF!</v>
      </c>
      <c r="P7" s="110"/>
      <c r="Q7" s="110"/>
      <c r="R7" s="110"/>
      <c r="S7" s="110"/>
      <c r="T7" s="110"/>
      <c r="U7" s="110"/>
      <c r="V7" s="110"/>
      <c r="W7" s="110"/>
      <c r="X7" s="110"/>
      <c r="Y7" s="110"/>
    </row>
    <row r="8" spans="1:25" x14ac:dyDescent="0.25">
      <c r="A8">
        <v>2024</v>
      </c>
      <c r="B8" s="3" t="s">
        <v>319</v>
      </c>
      <c r="C8" t="s">
        <v>19</v>
      </c>
      <c r="D8">
        <v>11</v>
      </c>
      <c r="E8">
        <v>0</v>
      </c>
      <c r="F8" s="1">
        <f>INDEX('Dec100%_DOR PDF'!$B$3:$F$323,MATCH(SurtaxRatesSAS!$B8,'Dec100%_DOR PDF'!$F$3:$F$323,0),1)</f>
        <v>162290.76</v>
      </c>
      <c r="G8" s="1">
        <f t="shared" si="0"/>
        <v>162290.76</v>
      </c>
      <c r="H8" s="1">
        <f t="shared" si="1"/>
        <v>0</v>
      </c>
      <c r="I8" s="1">
        <f t="shared" si="2"/>
        <v>162290.76</v>
      </c>
      <c r="J8" s="60"/>
      <c r="K8" s="1" t="e">
        <f>INDEX(#REF!,MATCH(SurtaxRatesSAS!$B8,#REF!,0),1)</f>
        <v>#REF!</v>
      </c>
      <c r="L8" s="1" t="e">
        <f t="shared" si="3"/>
        <v>#REF!</v>
      </c>
      <c r="M8" s="1" t="e">
        <f t="shared" si="4"/>
        <v>#REF!</v>
      </c>
      <c r="N8" s="1" t="e">
        <f t="shared" si="5"/>
        <v>#REF!</v>
      </c>
      <c r="P8" s="110"/>
      <c r="Q8" s="110"/>
      <c r="R8" s="110"/>
      <c r="S8" s="110"/>
      <c r="T8" s="110"/>
      <c r="U8" s="110"/>
      <c r="V8" s="110"/>
      <c r="W8" s="110"/>
      <c r="X8" s="110"/>
      <c r="Y8" s="110"/>
    </row>
    <row r="9" spans="1:25" x14ac:dyDescent="0.25">
      <c r="A9">
        <v>2024</v>
      </c>
      <c r="B9" s="3" t="s">
        <v>320</v>
      </c>
      <c r="C9" t="s">
        <v>20</v>
      </c>
      <c r="D9">
        <v>6</v>
      </c>
      <c r="E9">
        <v>0</v>
      </c>
      <c r="F9" s="1">
        <f>INDEX('Dec100%_DOR PDF'!$B$3:$F$323,MATCH(SurtaxRatesSAS!$B9,'Dec100%_DOR PDF'!$F$3:$F$323,0),1)</f>
        <v>755659.33</v>
      </c>
      <c r="G9" s="1">
        <f t="shared" si="0"/>
        <v>755659.33</v>
      </c>
      <c r="H9" s="1">
        <f t="shared" si="1"/>
        <v>0</v>
      </c>
      <c r="I9" s="1">
        <f t="shared" si="2"/>
        <v>755659.33</v>
      </c>
      <c r="J9" s="60"/>
      <c r="K9" s="1" t="e">
        <f>INDEX(#REF!,MATCH(SurtaxRatesSAS!$B9,#REF!,0),1)</f>
        <v>#REF!</v>
      </c>
      <c r="L9" s="1" t="e">
        <f t="shared" si="3"/>
        <v>#REF!</v>
      </c>
      <c r="M9" s="1" t="e">
        <f t="shared" si="4"/>
        <v>#REF!</v>
      </c>
      <c r="N9" s="1" t="e">
        <f t="shared" si="5"/>
        <v>#REF!</v>
      </c>
    </row>
    <row r="10" spans="1:25" x14ac:dyDescent="0.25">
      <c r="A10">
        <v>2024</v>
      </c>
      <c r="B10" s="3" t="s">
        <v>321</v>
      </c>
      <c r="C10" t="s">
        <v>21</v>
      </c>
      <c r="D10">
        <v>0</v>
      </c>
      <c r="E10">
        <v>8</v>
      </c>
      <c r="F10" s="1">
        <f>INDEX('Dec100%_DOR PDF'!$B$3:$F$323,MATCH(SurtaxRatesSAS!$B10,'Dec100%_DOR PDF'!$F$3:$F$323,0),1)</f>
        <v>519685.31</v>
      </c>
      <c r="G10" s="1">
        <f t="shared" si="0"/>
        <v>519685.31</v>
      </c>
      <c r="H10" s="1">
        <f t="shared" si="1"/>
        <v>519685.31</v>
      </c>
      <c r="I10" s="1">
        <f t="shared" si="2"/>
        <v>0</v>
      </c>
      <c r="J10" s="60"/>
      <c r="K10" s="1" t="e">
        <f>INDEX(#REF!,MATCH(SurtaxRatesSAS!$B10,#REF!,0),1)</f>
        <v>#REF!</v>
      </c>
      <c r="L10" s="1" t="e">
        <f t="shared" si="3"/>
        <v>#REF!</v>
      </c>
      <c r="M10" s="1" t="e">
        <f t="shared" si="4"/>
        <v>#REF!</v>
      </c>
      <c r="N10" s="1" t="e">
        <f t="shared" si="5"/>
        <v>#REF!</v>
      </c>
    </row>
    <row r="11" spans="1:25" x14ac:dyDescent="0.25">
      <c r="A11">
        <v>2024</v>
      </c>
      <c r="B11" s="3" t="s">
        <v>323</v>
      </c>
      <c r="C11" t="s">
        <v>687</v>
      </c>
      <c r="D11">
        <v>8</v>
      </c>
      <c r="E11">
        <v>1</v>
      </c>
      <c r="F11" s="1">
        <f>INDEX('Dec100%_DOR PDF'!$B$3:$F$323,MATCH(SurtaxRatesSAS!$B11,'Dec100%_DOR PDF'!$F$3:$F$323,0),1)</f>
        <v>430039.02</v>
      </c>
      <c r="G11" s="1">
        <f t="shared" si="0"/>
        <v>430039.02</v>
      </c>
      <c r="H11" s="1">
        <f t="shared" si="1"/>
        <v>47782.11</v>
      </c>
      <c r="I11" s="1">
        <f t="shared" si="2"/>
        <v>382256.91000000003</v>
      </c>
      <c r="J11" s="60"/>
      <c r="K11" s="1" t="e">
        <f>INDEX(#REF!,MATCH(SurtaxRatesSAS!$B11,#REF!,0),1)</f>
        <v>#REF!</v>
      </c>
      <c r="L11" s="1" t="e">
        <f t="shared" si="3"/>
        <v>#REF!</v>
      </c>
      <c r="M11" s="1" t="e">
        <f t="shared" si="4"/>
        <v>#REF!</v>
      </c>
      <c r="N11" s="1" t="e">
        <f t="shared" si="5"/>
        <v>#REF!</v>
      </c>
    </row>
    <row r="12" spans="1:25" x14ac:dyDescent="0.25">
      <c r="A12">
        <v>2024</v>
      </c>
      <c r="B12" s="3" t="s">
        <v>324</v>
      </c>
      <c r="C12" t="s">
        <v>23</v>
      </c>
      <c r="D12">
        <v>3</v>
      </c>
      <c r="E12">
        <v>0</v>
      </c>
      <c r="F12" s="1">
        <f>INDEX('Dec100%_DOR PDF'!$B$3:$F$323,MATCH(SurtaxRatesSAS!$B12,'Dec100%_DOR PDF'!$F$3:$F$323,0),1)</f>
        <v>1650796.16</v>
      </c>
      <c r="G12" s="1">
        <f t="shared" si="0"/>
        <v>1650796.16</v>
      </c>
      <c r="H12" s="1">
        <f t="shared" si="1"/>
        <v>0</v>
      </c>
      <c r="I12" s="1">
        <f t="shared" si="2"/>
        <v>1650796.16</v>
      </c>
      <c r="J12" s="60"/>
      <c r="K12" s="1" t="e">
        <f>INDEX(#REF!,MATCH(SurtaxRatesSAS!$B12,#REF!,0),1)</f>
        <v>#REF!</v>
      </c>
      <c r="L12" s="1" t="e">
        <f t="shared" si="3"/>
        <v>#REF!</v>
      </c>
      <c r="M12" s="1" t="e">
        <f t="shared" si="4"/>
        <v>#REF!</v>
      </c>
      <c r="N12" s="1" t="e">
        <f t="shared" si="5"/>
        <v>#REF!</v>
      </c>
    </row>
    <row r="13" spans="1:25" x14ac:dyDescent="0.25">
      <c r="A13">
        <v>2024</v>
      </c>
      <c r="B13" s="3" t="s">
        <v>325</v>
      </c>
      <c r="C13" t="s">
        <v>24</v>
      </c>
      <c r="D13">
        <v>5</v>
      </c>
      <c r="E13">
        <v>1</v>
      </c>
      <c r="F13" s="1">
        <f>INDEX('Dec100%_DOR PDF'!$B$3:$F$323,MATCH(SurtaxRatesSAS!$B13,'Dec100%_DOR PDF'!$F$3:$F$323,0),1)</f>
        <v>588603.62</v>
      </c>
      <c r="G13" s="1">
        <f t="shared" si="0"/>
        <v>588603.62</v>
      </c>
      <c r="H13" s="1">
        <f t="shared" si="1"/>
        <v>98100.6</v>
      </c>
      <c r="I13" s="1">
        <f t="shared" si="2"/>
        <v>490503.02</v>
      </c>
      <c r="J13" s="60"/>
      <c r="K13" s="1" t="e">
        <f>INDEX(#REF!,MATCH(SurtaxRatesSAS!$B13,#REF!,0),1)</f>
        <v>#REF!</v>
      </c>
      <c r="L13" s="1" t="e">
        <f t="shared" si="3"/>
        <v>#REF!</v>
      </c>
      <c r="M13" s="1" t="e">
        <f t="shared" si="4"/>
        <v>#REF!</v>
      </c>
      <c r="N13" s="1" t="e">
        <f t="shared" si="5"/>
        <v>#REF!</v>
      </c>
      <c r="R13" s="33"/>
      <c r="S13" s="1"/>
      <c r="T13" s="1"/>
      <c r="U13" s="1"/>
    </row>
    <row r="14" spans="1:25" x14ac:dyDescent="0.25">
      <c r="A14">
        <v>2024</v>
      </c>
      <c r="B14" s="3" t="s">
        <v>326</v>
      </c>
      <c r="C14" t="s">
        <v>25</v>
      </c>
      <c r="D14">
        <v>2</v>
      </c>
      <c r="E14">
        <v>0</v>
      </c>
      <c r="F14" s="1">
        <f>INDEX('Dec100%_DOR PDF'!$B$3:$F$323,MATCH(SurtaxRatesSAS!$B14,'Dec100%_DOR PDF'!$F$3:$F$323,0),1)</f>
        <v>29922.82</v>
      </c>
      <c r="G14" s="1">
        <f t="shared" si="0"/>
        <v>29922.82</v>
      </c>
      <c r="H14" s="1">
        <f t="shared" si="1"/>
        <v>0</v>
      </c>
      <c r="I14" s="1">
        <f t="shared" si="2"/>
        <v>29922.82</v>
      </c>
      <c r="J14" s="60"/>
      <c r="K14" s="1" t="e">
        <f>INDEX(#REF!,MATCH(SurtaxRatesSAS!$B14,#REF!,0),1)</f>
        <v>#REF!</v>
      </c>
      <c r="L14" s="1" t="e">
        <f t="shared" si="3"/>
        <v>#REF!</v>
      </c>
      <c r="M14" s="1" t="e">
        <f t="shared" si="4"/>
        <v>#REF!</v>
      </c>
      <c r="N14" s="1" t="e">
        <f t="shared" si="5"/>
        <v>#REF!</v>
      </c>
      <c r="R14" s="33"/>
      <c r="U14" s="1"/>
      <c r="V14" s="63"/>
    </row>
    <row r="15" spans="1:25" x14ac:dyDescent="0.25">
      <c r="A15">
        <v>2024</v>
      </c>
      <c r="B15" s="3" t="s">
        <v>328</v>
      </c>
      <c r="C15" t="s">
        <v>26</v>
      </c>
      <c r="D15">
        <v>4</v>
      </c>
      <c r="E15">
        <v>0</v>
      </c>
      <c r="F15" s="1">
        <f>INDEX('Dec100%_DOR PDF'!$B$3:$F$323,MATCH(SurtaxRatesSAS!$B15,'Dec100%_DOR PDF'!$F$3:$F$323,0),1)</f>
        <v>207601.65</v>
      </c>
      <c r="G15" s="1">
        <f t="shared" si="0"/>
        <v>207601.65</v>
      </c>
      <c r="H15" s="1">
        <f t="shared" si="1"/>
        <v>0</v>
      </c>
      <c r="I15" s="1">
        <f t="shared" si="2"/>
        <v>207601.65</v>
      </c>
      <c r="J15" s="60"/>
      <c r="K15" s="1" t="e">
        <f>INDEX(#REF!,MATCH(SurtaxRatesSAS!$B15,#REF!,0),1)</f>
        <v>#REF!</v>
      </c>
      <c r="L15" s="1" t="e">
        <f t="shared" si="3"/>
        <v>#REF!</v>
      </c>
      <c r="M15" s="1" t="e">
        <f t="shared" si="4"/>
        <v>#REF!</v>
      </c>
      <c r="N15" s="1" t="e">
        <f t="shared" si="5"/>
        <v>#REF!</v>
      </c>
      <c r="R15" s="33"/>
      <c r="U15" s="1"/>
      <c r="V15" s="63"/>
    </row>
    <row r="16" spans="1:25" x14ac:dyDescent="0.25">
      <c r="A16">
        <v>2024</v>
      </c>
      <c r="B16" s="3" t="s">
        <v>330</v>
      </c>
      <c r="C16" t="s">
        <v>27</v>
      </c>
      <c r="D16">
        <v>5</v>
      </c>
      <c r="E16">
        <v>0</v>
      </c>
      <c r="F16" s="1">
        <f>INDEX('Dec100%_DOR PDF'!$B$3:$F$323,MATCH(SurtaxRatesSAS!$B16,'Dec100%_DOR PDF'!$F$3:$F$323,0),1)</f>
        <v>91488.92</v>
      </c>
      <c r="G16" s="1">
        <f t="shared" si="0"/>
        <v>91488.92</v>
      </c>
      <c r="H16" s="1">
        <f t="shared" si="1"/>
        <v>0</v>
      </c>
      <c r="I16" s="1">
        <f t="shared" si="2"/>
        <v>91488.92</v>
      </c>
      <c r="J16" s="60"/>
      <c r="K16" s="1" t="e">
        <f>INDEX(#REF!,MATCH(SurtaxRatesSAS!$B16,#REF!,0),1)</f>
        <v>#REF!</v>
      </c>
      <c r="L16" s="1" t="e">
        <f t="shared" si="3"/>
        <v>#REF!</v>
      </c>
      <c r="M16" s="1" t="e">
        <f t="shared" si="4"/>
        <v>#REF!</v>
      </c>
      <c r="N16" s="1" t="e">
        <f t="shared" si="5"/>
        <v>#REF!</v>
      </c>
      <c r="U16" s="1"/>
      <c r="V16" s="63"/>
    </row>
    <row r="17" spans="1:18" x14ac:dyDescent="0.25">
      <c r="A17">
        <v>2024</v>
      </c>
      <c r="B17" s="3" t="s">
        <v>331</v>
      </c>
      <c r="C17" t="s">
        <v>28</v>
      </c>
      <c r="D17">
        <v>8</v>
      </c>
      <c r="E17">
        <v>4</v>
      </c>
      <c r="F17" s="1">
        <f>INDEX('Dec100%_DOR PDF'!$B$3:$F$323,MATCH(SurtaxRatesSAS!$B17,'Dec100%_DOR PDF'!$F$3:$F$323,0),1)</f>
        <v>956280.21</v>
      </c>
      <c r="G17" s="1">
        <f t="shared" si="0"/>
        <v>956280.21</v>
      </c>
      <c r="H17" s="1">
        <f t="shared" si="1"/>
        <v>318760.07</v>
      </c>
      <c r="I17" s="1">
        <f t="shared" si="2"/>
        <v>637520.1399999999</v>
      </c>
      <c r="J17" s="60"/>
      <c r="K17" s="1" t="e">
        <f>INDEX(#REF!,MATCH(SurtaxRatesSAS!$B17,#REF!,0),1)</f>
        <v>#REF!</v>
      </c>
      <c r="L17" s="1" t="e">
        <f t="shared" si="3"/>
        <v>#REF!</v>
      </c>
      <c r="M17" s="1" t="e">
        <f t="shared" si="4"/>
        <v>#REF!</v>
      </c>
      <c r="N17" s="1" t="e">
        <f t="shared" si="5"/>
        <v>#REF!</v>
      </c>
      <c r="Q17" t="s">
        <v>686</v>
      </c>
      <c r="R17" s="33" t="e">
        <f>#REF!</f>
        <v>#REF!</v>
      </c>
    </row>
    <row r="18" spans="1:18" x14ac:dyDescent="0.25">
      <c r="A18">
        <v>2024</v>
      </c>
      <c r="B18" s="3" t="s">
        <v>332</v>
      </c>
      <c r="C18" t="s">
        <v>29</v>
      </c>
      <c r="D18">
        <v>8</v>
      </c>
      <c r="E18">
        <v>0</v>
      </c>
      <c r="F18" s="1">
        <f>INDEX('Dec100%_DOR PDF'!$B$3:$F$323,MATCH(SurtaxRatesSAS!$B18,'Dec100%_DOR PDF'!$F$3:$F$323,0),1)</f>
        <v>281595.51</v>
      </c>
      <c r="G18" s="1">
        <f t="shared" si="0"/>
        <v>281595.51</v>
      </c>
      <c r="H18" s="1">
        <f t="shared" si="1"/>
        <v>0</v>
      </c>
      <c r="I18" s="1">
        <f t="shared" si="2"/>
        <v>281595.51</v>
      </c>
      <c r="J18" s="60"/>
      <c r="K18" s="1" t="e">
        <f>INDEX(#REF!,MATCH(SurtaxRatesSAS!$B18,#REF!,0),1)</f>
        <v>#REF!</v>
      </c>
      <c r="L18" s="1" t="e">
        <f t="shared" si="3"/>
        <v>#REF!</v>
      </c>
      <c r="M18" s="1" t="e">
        <f t="shared" si="4"/>
        <v>#REF!</v>
      </c>
      <c r="N18" s="1" t="e">
        <f t="shared" si="5"/>
        <v>#REF!</v>
      </c>
      <c r="Q18" t="s">
        <v>653</v>
      </c>
      <c r="R18" s="33" t="e">
        <f>SUM(K:K)</f>
        <v>#REF!</v>
      </c>
    </row>
    <row r="19" spans="1:18" x14ac:dyDescent="0.25">
      <c r="A19">
        <v>2024</v>
      </c>
      <c r="B19" s="3" t="s">
        <v>336</v>
      </c>
      <c r="C19" t="s">
        <v>1</v>
      </c>
      <c r="D19">
        <v>5</v>
      </c>
      <c r="E19">
        <v>0</v>
      </c>
      <c r="F19" s="1">
        <f>INDEX('Dec100%_DOR PDF'!$B$3:$F$323,MATCH(SurtaxRatesSAS!$B19,'Dec100%_DOR PDF'!$F$3:$F$323,0),1)</f>
        <v>182826.04</v>
      </c>
      <c r="G19" s="1">
        <f t="shared" si="0"/>
        <v>182826.04</v>
      </c>
      <c r="H19" s="1">
        <f t="shared" si="1"/>
        <v>0</v>
      </c>
      <c r="I19" s="1">
        <f t="shared" si="2"/>
        <v>182826.04</v>
      </c>
      <c r="J19" s="60"/>
      <c r="K19" s="1" t="e">
        <f>INDEX(#REF!,MATCH(SurtaxRatesSAS!$B19,#REF!,0),1)</f>
        <v>#REF!</v>
      </c>
      <c r="L19" s="1" t="e">
        <f t="shared" si="3"/>
        <v>#REF!</v>
      </c>
      <c r="M19" s="1" t="e">
        <f t="shared" si="4"/>
        <v>#REF!</v>
      </c>
      <c r="N19" s="1" t="e">
        <f t="shared" si="5"/>
        <v>#REF!</v>
      </c>
      <c r="Q19" t="s">
        <v>654</v>
      </c>
      <c r="R19" s="33" t="e">
        <f>R17-R18</f>
        <v>#REF!</v>
      </c>
    </row>
    <row r="20" spans="1:18" x14ac:dyDescent="0.25">
      <c r="A20">
        <v>2024</v>
      </c>
      <c r="B20" s="3" t="s">
        <v>334</v>
      </c>
      <c r="C20" t="s">
        <v>31</v>
      </c>
      <c r="D20">
        <v>0</v>
      </c>
      <c r="E20">
        <v>2</v>
      </c>
      <c r="F20" s="1">
        <f>INDEX('Dec100%_DOR PDF'!$B$3:$F$323,MATCH(SurtaxRatesSAS!$B20,'Dec100%_DOR PDF'!$F$3:$F$323,0),1)</f>
        <v>269020.03000000003</v>
      </c>
      <c r="G20" s="1">
        <f t="shared" si="0"/>
        <v>269020.03000000003</v>
      </c>
      <c r="H20" s="1">
        <f t="shared" si="1"/>
        <v>269020.03000000003</v>
      </c>
      <c r="I20" s="1">
        <f t="shared" si="2"/>
        <v>0</v>
      </c>
      <c r="J20" s="60"/>
      <c r="K20" s="1" t="e">
        <f>INDEX(#REF!,MATCH(SurtaxRatesSAS!$B20,#REF!,0),1)</f>
        <v>#REF!</v>
      </c>
      <c r="L20" s="1" t="e">
        <f t="shared" si="3"/>
        <v>#REF!</v>
      </c>
      <c r="M20" s="1" t="e">
        <f t="shared" si="4"/>
        <v>#REF!</v>
      </c>
      <c r="N20" s="1" t="e">
        <f t="shared" si="5"/>
        <v>#REF!</v>
      </c>
    </row>
    <row r="21" spans="1:18" x14ac:dyDescent="0.25">
      <c r="A21">
        <v>2024</v>
      </c>
      <c r="B21" s="3" t="s">
        <v>335</v>
      </c>
      <c r="C21" t="s">
        <v>33</v>
      </c>
      <c r="D21">
        <v>7</v>
      </c>
      <c r="E21">
        <v>2</v>
      </c>
      <c r="F21" s="1">
        <f>INDEX('Dec100%_DOR PDF'!$B$3:$F$323,MATCH(SurtaxRatesSAS!$B21,'Dec100%_DOR PDF'!$F$3:$F$323,0),1)</f>
        <v>206210.86</v>
      </c>
      <c r="G21" s="1">
        <f t="shared" si="0"/>
        <v>206210.86</v>
      </c>
      <c r="H21" s="1">
        <f t="shared" si="1"/>
        <v>45824.639999999999</v>
      </c>
      <c r="I21" s="1">
        <f t="shared" si="2"/>
        <v>160386.21999999997</v>
      </c>
      <c r="J21" s="60"/>
      <c r="K21" s="1" t="e">
        <f>INDEX(#REF!,MATCH(SurtaxRatesSAS!$B21,#REF!,0),1)</f>
        <v>#REF!</v>
      </c>
      <c r="L21" s="1" t="e">
        <f t="shared" si="3"/>
        <v>#REF!</v>
      </c>
      <c r="M21" s="1" t="e">
        <f t="shared" si="4"/>
        <v>#REF!</v>
      </c>
      <c r="N21" s="1" t="e">
        <f t="shared" si="5"/>
        <v>#REF!</v>
      </c>
    </row>
    <row r="22" spans="1:18" x14ac:dyDescent="0.25">
      <c r="A22">
        <v>2024</v>
      </c>
      <c r="B22" s="3" t="s">
        <v>337</v>
      </c>
      <c r="C22" t="s">
        <v>34</v>
      </c>
      <c r="D22">
        <v>8</v>
      </c>
      <c r="E22">
        <v>0</v>
      </c>
      <c r="F22" s="1">
        <f>INDEX('Dec100%_DOR PDF'!$B$3:$F$323,MATCH(SurtaxRatesSAS!$B22,'Dec100%_DOR PDF'!$F$3:$F$323,0),1)</f>
        <v>181226.62</v>
      </c>
      <c r="G22" s="1">
        <f t="shared" si="0"/>
        <v>181226.62</v>
      </c>
      <c r="H22" s="1">
        <f t="shared" si="1"/>
        <v>0</v>
      </c>
      <c r="I22" s="1">
        <f t="shared" si="2"/>
        <v>181226.62</v>
      </c>
      <c r="J22" s="60"/>
      <c r="K22" s="1" t="e">
        <f>INDEX(#REF!,MATCH(SurtaxRatesSAS!$B22,#REF!,0),1)</f>
        <v>#REF!</v>
      </c>
      <c r="L22" s="1" t="e">
        <f t="shared" si="3"/>
        <v>#REF!</v>
      </c>
      <c r="M22" s="1" t="e">
        <f t="shared" si="4"/>
        <v>#REF!</v>
      </c>
      <c r="N22" s="1" t="e">
        <f t="shared" si="5"/>
        <v>#REF!</v>
      </c>
    </row>
    <row r="23" spans="1:18" x14ac:dyDescent="0.25">
      <c r="A23">
        <v>2024</v>
      </c>
      <c r="B23" s="3" t="s">
        <v>338</v>
      </c>
      <c r="C23" t="s">
        <v>35</v>
      </c>
      <c r="D23">
        <v>1</v>
      </c>
      <c r="E23">
        <v>1</v>
      </c>
      <c r="F23" s="1">
        <f>INDEX('Dec100%_DOR PDF'!$B$3:$F$323,MATCH(SurtaxRatesSAS!$B23,'Dec100%_DOR PDF'!$F$3:$F$323,0),1)</f>
        <v>66751.710000000006</v>
      </c>
      <c r="G23" s="1">
        <f t="shared" si="0"/>
        <v>66751.710000000006</v>
      </c>
      <c r="H23" s="1">
        <f t="shared" si="1"/>
        <v>33375.86</v>
      </c>
      <c r="I23" s="1">
        <f t="shared" si="2"/>
        <v>33375.850000000006</v>
      </c>
      <c r="J23" s="60"/>
      <c r="K23" s="1" t="e">
        <f>INDEX(#REF!,MATCH(SurtaxRatesSAS!$B23,#REF!,0),1)</f>
        <v>#REF!</v>
      </c>
      <c r="L23" s="1" t="e">
        <f t="shared" si="3"/>
        <v>#REF!</v>
      </c>
      <c r="M23" s="1" t="e">
        <f t="shared" si="4"/>
        <v>#REF!</v>
      </c>
      <c r="N23" s="1" t="e">
        <f t="shared" si="5"/>
        <v>#REF!</v>
      </c>
    </row>
    <row r="24" spans="1:18" x14ac:dyDescent="0.25">
      <c r="A24">
        <v>2024</v>
      </c>
      <c r="B24" s="3" t="s">
        <v>339</v>
      </c>
      <c r="C24" t="s">
        <v>36</v>
      </c>
      <c r="D24">
        <v>0</v>
      </c>
      <c r="E24">
        <v>5</v>
      </c>
      <c r="F24" s="1">
        <f>INDEX('Dec100%_DOR PDF'!$B$3:$F$323,MATCH(SurtaxRatesSAS!$B24,'Dec100%_DOR PDF'!$F$3:$F$323,0),1)</f>
        <v>311898.36</v>
      </c>
      <c r="G24" s="1">
        <f t="shared" si="0"/>
        <v>311898.36</v>
      </c>
      <c r="H24" s="1">
        <f t="shared" si="1"/>
        <v>311898.36</v>
      </c>
      <c r="I24" s="1">
        <f t="shared" si="2"/>
        <v>0</v>
      </c>
      <c r="J24" s="60"/>
      <c r="K24" s="1" t="e">
        <f>INDEX(#REF!,MATCH(SurtaxRatesSAS!$B24,#REF!,0),1)</f>
        <v>#REF!</v>
      </c>
      <c r="L24" s="1" t="e">
        <f t="shared" si="3"/>
        <v>#REF!</v>
      </c>
      <c r="M24" s="1" t="e">
        <f t="shared" si="4"/>
        <v>#REF!</v>
      </c>
      <c r="N24" s="1" t="e">
        <f t="shared" si="5"/>
        <v>#REF!</v>
      </c>
    </row>
    <row r="25" spans="1:18" x14ac:dyDescent="0.25">
      <c r="A25">
        <v>2024</v>
      </c>
      <c r="B25" s="3" t="s">
        <v>340</v>
      </c>
      <c r="C25" t="s">
        <v>649</v>
      </c>
      <c r="D25">
        <v>3</v>
      </c>
      <c r="E25">
        <v>0</v>
      </c>
      <c r="F25" s="1">
        <f>INDEX('Dec100%_DOR PDF'!$B$3:$F$323,MATCH(SurtaxRatesSAS!$B25,'Dec100%_DOR PDF'!$F$3:$F$323,0),1)</f>
        <v>100468</v>
      </c>
      <c r="G25" s="1">
        <f t="shared" si="0"/>
        <v>100468</v>
      </c>
      <c r="H25" s="1">
        <f t="shared" si="1"/>
        <v>0</v>
      </c>
      <c r="I25" s="1">
        <f t="shared" si="2"/>
        <v>100468</v>
      </c>
      <c r="J25" s="60"/>
      <c r="K25" s="1" t="e">
        <f>INDEX(#REF!,MATCH(SurtaxRatesSAS!$B25,#REF!,0),1)</f>
        <v>#REF!</v>
      </c>
      <c r="L25" s="1" t="e">
        <f t="shared" si="3"/>
        <v>#REF!</v>
      </c>
      <c r="M25" s="1" t="e">
        <f t="shared" si="4"/>
        <v>#REF!</v>
      </c>
      <c r="N25" s="1" t="e">
        <f t="shared" si="5"/>
        <v>#REF!</v>
      </c>
    </row>
    <row r="26" spans="1:18" x14ac:dyDescent="0.25">
      <c r="A26">
        <v>2024</v>
      </c>
      <c r="B26" s="3" t="s">
        <v>341</v>
      </c>
      <c r="C26" t="s">
        <v>37</v>
      </c>
      <c r="D26">
        <v>1</v>
      </c>
      <c r="E26">
        <v>0</v>
      </c>
      <c r="F26" s="1">
        <f>INDEX('Dec100%_DOR PDF'!$B$3:$F$323,MATCH(SurtaxRatesSAS!$B26,'Dec100%_DOR PDF'!$F$3:$F$323,0),1)</f>
        <v>14713.27</v>
      </c>
      <c r="G26" s="1">
        <f t="shared" si="0"/>
        <v>14713.27</v>
      </c>
      <c r="H26" s="1">
        <f t="shared" si="1"/>
        <v>0</v>
      </c>
      <c r="I26" s="1">
        <f t="shared" si="2"/>
        <v>14713.27</v>
      </c>
      <c r="J26" s="60"/>
      <c r="K26" s="1" t="e">
        <f>INDEX(#REF!,MATCH(SurtaxRatesSAS!$B26,#REF!,0),1)</f>
        <v>#REF!</v>
      </c>
      <c r="L26" s="1" t="e">
        <f t="shared" si="3"/>
        <v>#REF!</v>
      </c>
      <c r="M26" s="1" t="e">
        <f t="shared" si="4"/>
        <v>#REF!</v>
      </c>
      <c r="N26" s="1" t="e">
        <f t="shared" si="5"/>
        <v>#REF!</v>
      </c>
    </row>
    <row r="27" spans="1:18" x14ac:dyDescent="0.25">
      <c r="A27">
        <v>2024</v>
      </c>
      <c r="B27" s="3" t="s">
        <v>342</v>
      </c>
      <c r="C27" t="s">
        <v>38</v>
      </c>
      <c r="D27">
        <v>4</v>
      </c>
      <c r="E27">
        <v>0</v>
      </c>
      <c r="F27" s="1">
        <f>INDEX('Dec100%_DOR PDF'!$B$3:$F$323,MATCH(SurtaxRatesSAS!$B27,'Dec100%_DOR PDF'!$F$3:$F$323,0),1)</f>
        <v>500997.41</v>
      </c>
      <c r="G27" s="1">
        <f t="shared" si="0"/>
        <v>500997.41</v>
      </c>
      <c r="H27" s="1">
        <f t="shared" si="1"/>
        <v>0</v>
      </c>
      <c r="I27" s="1">
        <f t="shared" si="2"/>
        <v>500997.41</v>
      </c>
      <c r="J27" s="60"/>
      <c r="K27" s="1" t="e">
        <f>INDEX(#REF!,MATCH(SurtaxRatesSAS!$B27,#REF!,0),1)</f>
        <v>#REF!</v>
      </c>
      <c r="L27" s="1" t="e">
        <f t="shared" si="3"/>
        <v>#REF!</v>
      </c>
      <c r="M27" s="1" t="e">
        <f t="shared" si="4"/>
        <v>#REF!</v>
      </c>
      <c r="N27" s="1" t="e">
        <f t="shared" si="5"/>
        <v>#REF!</v>
      </c>
    </row>
    <row r="28" spans="1:18" x14ac:dyDescent="0.25">
      <c r="A28">
        <v>2024</v>
      </c>
      <c r="B28" s="3" t="s">
        <v>346</v>
      </c>
      <c r="C28" t="s">
        <v>40</v>
      </c>
      <c r="D28">
        <v>1</v>
      </c>
      <c r="E28">
        <v>0</v>
      </c>
      <c r="F28" s="1">
        <f>INDEX('Dec100%_DOR PDF'!$B$3:$F$323,MATCH(SurtaxRatesSAS!$B28,'Dec100%_DOR PDF'!$F$3:$F$323,0),1)</f>
        <v>151348.14000000001</v>
      </c>
      <c r="G28" s="1">
        <f t="shared" si="0"/>
        <v>151348.14000000001</v>
      </c>
      <c r="H28" s="1">
        <f t="shared" si="1"/>
        <v>0</v>
      </c>
      <c r="I28" s="1">
        <f t="shared" si="2"/>
        <v>151348.14000000001</v>
      </c>
      <c r="J28" s="60"/>
      <c r="K28" s="1" t="e">
        <f>INDEX(#REF!,MATCH(SurtaxRatesSAS!$B28,#REF!,0),1)</f>
        <v>#REF!</v>
      </c>
      <c r="L28" s="1" t="e">
        <f t="shared" si="3"/>
        <v>#REF!</v>
      </c>
      <c r="M28" s="1" t="e">
        <f t="shared" si="4"/>
        <v>#REF!</v>
      </c>
      <c r="N28" s="1" t="e">
        <f t="shared" si="5"/>
        <v>#REF!</v>
      </c>
    </row>
    <row r="29" spans="1:18" x14ac:dyDescent="0.25">
      <c r="A29">
        <v>2024</v>
      </c>
      <c r="B29" s="3" t="s">
        <v>347</v>
      </c>
      <c r="C29" t="s">
        <v>41</v>
      </c>
      <c r="D29">
        <v>2</v>
      </c>
      <c r="E29">
        <v>0</v>
      </c>
      <c r="F29" s="1">
        <f>INDEX('Dec100%_DOR PDF'!$B$3:$F$323,MATCH(SurtaxRatesSAS!$B29,'Dec100%_DOR PDF'!$F$3:$F$323,0),1)</f>
        <v>111629.33</v>
      </c>
      <c r="G29" s="1">
        <f t="shared" si="0"/>
        <v>111629.33</v>
      </c>
      <c r="H29" s="1">
        <f t="shared" si="1"/>
        <v>0</v>
      </c>
      <c r="I29" s="1">
        <f t="shared" si="2"/>
        <v>111629.33</v>
      </c>
      <c r="J29" s="60"/>
      <c r="K29" s="1" t="e">
        <f>INDEX(#REF!,MATCH(SurtaxRatesSAS!$B29,#REF!,0),1)</f>
        <v>#REF!</v>
      </c>
      <c r="L29" s="1" t="e">
        <f t="shared" si="3"/>
        <v>#REF!</v>
      </c>
      <c r="M29" s="1" t="e">
        <f t="shared" si="4"/>
        <v>#REF!</v>
      </c>
      <c r="N29" s="1" t="e">
        <f t="shared" si="5"/>
        <v>#REF!</v>
      </c>
    </row>
    <row r="30" spans="1:18" x14ac:dyDescent="0.25">
      <c r="A30">
        <v>2024</v>
      </c>
      <c r="B30" s="3" t="s">
        <v>403</v>
      </c>
      <c r="C30" t="s">
        <v>42</v>
      </c>
      <c r="D30">
        <v>5</v>
      </c>
      <c r="E30">
        <v>1</v>
      </c>
      <c r="F30" s="1">
        <f>INDEX('Dec100%_DOR PDF'!$B$3:$F$323,MATCH(SurtaxRatesSAS!$B30,'Dec100%_DOR PDF'!$F$3:$F$323,0),1)</f>
        <v>145643.63</v>
      </c>
      <c r="G30" s="1">
        <f t="shared" si="0"/>
        <v>145643.63</v>
      </c>
      <c r="H30" s="1">
        <f t="shared" si="1"/>
        <v>24273.94</v>
      </c>
      <c r="I30" s="1">
        <f t="shared" si="2"/>
        <v>121369.69</v>
      </c>
      <c r="J30" s="60"/>
      <c r="K30" s="1" t="e">
        <f>INDEX(#REF!,MATCH(SurtaxRatesSAS!$B30,#REF!,0),1)</f>
        <v>#REF!</v>
      </c>
      <c r="L30" s="1" t="e">
        <f t="shared" si="3"/>
        <v>#REF!</v>
      </c>
      <c r="M30" s="1" t="e">
        <f t="shared" si="4"/>
        <v>#REF!</v>
      </c>
      <c r="N30" s="1" t="e">
        <f t="shared" si="5"/>
        <v>#REF!</v>
      </c>
    </row>
    <row r="31" spans="1:18" x14ac:dyDescent="0.25">
      <c r="A31">
        <v>2024</v>
      </c>
      <c r="B31" s="3" t="s">
        <v>349</v>
      </c>
      <c r="C31" t="s">
        <v>43</v>
      </c>
      <c r="D31">
        <v>1</v>
      </c>
      <c r="E31">
        <v>1</v>
      </c>
      <c r="F31" s="1">
        <f>INDEX('Dec100%_DOR PDF'!$B$3:$F$323,MATCH(SurtaxRatesSAS!$B31,'Dec100%_DOR PDF'!$F$3:$F$323,0),1)</f>
        <v>82442.789999999994</v>
      </c>
      <c r="G31" s="1">
        <f t="shared" si="0"/>
        <v>82442.789999999994</v>
      </c>
      <c r="H31" s="1">
        <f t="shared" si="1"/>
        <v>41221.4</v>
      </c>
      <c r="I31" s="1">
        <f t="shared" si="2"/>
        <v>41221.389999999992</v>
      </c>
      <c r="J31" s="60"/>
      <c r="K31" s="1" t="e">
        <f>INDEX(#REF!,MATCH(SurtaxRatesSAS!$B31,#REF!,0),1)</f>
        <v>#REF!</v>
      </c>
      <c r="L31" s="1" t="e">
        <f t="shared" si="3"/>
        <v>#REF!</v>
      </c>
      <c r="M31" s="1" t="e">
        <f t="shared" si="4"/>
        <v>#REF!</v>
      </c>
      <c r="N31" s="1" t="e">
        <f t="shared" si="5"/>
        <v>#REF!</v>
      </c>
    </row>
    <row r="32" spans="1:18" x14ac:dyDescent="0.25">
      <c r="A32">
        <v>2024</v>
      </c>
      <c r="B32" s="3" t="s">
        <v>353</v>
      </c>
      <c r="C32" t="s">
        <v>2</v>
      </c>
      <c r="D32">
        <v>8</v>
      </c>
      <c r="E32">
        <v>3</v>
      </c>
      <c r="F32" s="1">
        <f>INDEX('Dec100%_DOR PDF'!$B$3:$F$323,MATCH(SurtaxRatesSAS!$B32,'Dec100%_DOR PDF'!$F$3:$F$323,0),1)</f>
        <v>131364.39000000001</v>
      </c>
      <c r="G32" s="1">
        <f t="shared" si="0"/>
        <v>131364.39000000001</v>
      </c>
      <c r="H32" s="1">
        <f t="shared" si="1"/>
        <v>35826.65</v>
      </c>
      <c r="I32" s="1">
        <f t="shared" si="2"/>
        <v>95537.74000000002</v>
      </c>
      <c r="J32" s="60"/>
      <c r="K32" s="1" t="e">
        <f>INDEX(#REF!,MATCH(SurtaxRatesSAS!$B32,#REF!,0),1)</f>
        <v>#REF!</v>
      </c>
      <c r="L32" s="1" t="e">
        <f t="shared" si="3"/>
        <v>#REF!</v>
      </c>
      <c r="M32" s="1" t="e">
        <f t="shared" si="4"/>
        <v>#REF!</v>
      </c>
      <c r="N32" s="1" t="e">
        <f t="shared" si="5"/>
        <v>#REF!</v>
      </c>
    </row>
    <row r="33" spans="1:14" x14ac:dyDescent="0.25">
      <c r="A33">
        <v>2024</v>
      </c>
      <c r="B33" s="3" t="s">
        <v>352</v>
      </c>
      <c r="C33" t="s">
        <v>3</v>
      </c>
      <c r="D33">
        <v>10</v>
      </c>
      <c r="E33">
        <v>0</v>
      </c>
      <c r="F33" s="1">
        <f>INDEX('Dec100%_DOR PDF'!$B$3:$F$323,MATCH(SurtaxRatesSAS!$B33,'Dec100%_DOR PDF'!$F$3:$F$323,0),1)</f>
        <v>258416.62</v>
      </c>
      <c r="G33" s="1">
        <f t="shared" si="0"/>
        <v>258416.62</v>
      </c>
      <c r="H33" s="1">
        <f t="shared" si="1"/>
        <v>0</v>
      </c>
      <c r="I33" s="1">
        <f t="shared" si="2"/>
        <v>258416.62</v>
      </c>
      <c r="J33" s="60"/>
      <c r="K33" s="1" t="e">
        <f>INDEX(#REF!,MATCH(SurtaxRatesSAS!$B33,#REF!,0),1)</f>
        <v>#REF!</v>
      </c>
      <c r="L33" s="1" t="e">
        <f t="shared" si="3"/>
        <v>#REF!</v>
      </c>
      <c r="M33" s="1" t="e">
        <f t="shared" si="4"/>
        <v>#REF!</v>
      </c>
      <c r="N33" s="1" t="e">
        <f t="shared" si="5"/>
        <v>#REF!</v>
      </c>
    </row>
    <row r="34" spans="1:14" x14ac:dyDescent="0.25">
      <c r="A34">
        <v>2024</v>
      </c>
      <c r="B34" s="3" t="s">
        <v>354</v>
      </c>
      <c r="C34" t="s">
        <v>688</v>
      </c>
      <c r="D34">
        <v>6</v>
      </c>
      <c r="E34">
        <v>0</v>
      </c>
      <c r="F34" s="1">
        <f>INDEX('Dec100%_DOR PDF'!$B$3:$F$323,MATCH(SurtaxRatesSAS!$B34,'Dec100%_DOR PDF'!$F$3:$F$323,0),1)</f>
        <v>146403</v>
      </c>
      <c r="G34" s="1">
        <f t="shared" si="0"/>
        <v>146403</v>
      </c>
      <c r="H34" s="1">
        <f t="shared" si="1"/>
        <v>0</v>
      </c>
      <c r="I34" s="1">
        <f t="shared" si="2"/>
        <v>146403</v>
      </c>
      <c r="J34" s="60"/>
      <c r="K34" s="1" t="e">
        <f>INDEX(#REF!,MATCH(SurtaxRatesSAS!$B34,#REF!,0),1)</f>
        <v>#REF!</v>
      </c>
      <c r="L34" s="1" t="e">
        <f t="shared" si="3"/>
        <v>#REF!</v>
      </c>
      <c r="M34" s="1" t="e">
        <f t="shared" si="4"/>
        <v>#REF!</v>
      </c>
      <c r="N34" s="1" t="e">
        <f t="shared" si="5"/>
        <v>#REF!</v>
      </c>
    </row>
    <row r="35" spans="1:14" x14ac:dyDescent="0.25">
      <c r="A35">
        <v>2024</v>
      </c>
      <c r="B35" s="3" t="s">
        <v>356</v>
      </c>
      <c r="C35" t="s">
        <v>45</v>
      </c>
      <c r="D35">
        <v>7</v>
      </c>
      <c r="E35">
        <v>0</v>
      </c>
      <c r="F35" s="1">
        <f>INDEX('Dec100%_DOR PDF'!$B$3:$F$323,MATCH(SurtaxRatesSAS!$B35,'Dec100%_DOR PDF'!$F$3:$F$323,0),1)</f>
        <v>236387.43</v>
      </c>
      <c r="G35" s="1">
        <f t="shared" si="0"/>
        <v>236387.43</v>
      </c>
      <c r="H35" s="1">
        <f t="shared" si="1"/>
        <v>0</v>
      </c>
      <c r="I35" s="1">
        <f t="shared" si="2"/>
        <v>236387.43</v>
      </c>
      <c r="J35" s="60"/>
      <c r="K35" s="1" t="e">
        <f>INDEX(#REF!,MATCH(SurtaxRatesSAS!$B35,#REF!,0),1)</f>
        <v>#REF!</v>
      </c>
      <c r="L35" s="1" t="e">
        <f t="shared" si="3"/>
        <v>#REF!</v>
      </c>
      <c r="M35" s="1" t="e">
        <f t="shared" si="4"/>
        <v>#REF!</v>
      </c>
      <c r="N35" s="1" t="e">
        <f t="shared" si="5"/>
        <v>#REF!</v>
      </c>
    </row>
    <row r="36" spans="1:14" x14ac:dyDescent="0.25">
      <c r="A36">
        <v>2024</v>
      </c>
      <c r="B36" s="3" t="s">
        <v>358</v>
      </c>
      <c r="C36" t="s">
        <v>46</v>
      </c>
      <c r="D36">
        <v>3</v>
      </c>
      <c r="E36">
        <v>0</v>
      </c>
      <c r="F36" s="1">
        <f>INDEX('Dec100%_DOR PDF'!$B$3:$F$323,MATCH(SurtaxRatesSAS!$B36,'Dec100%_DOR PDF'!$F$3:$F$323,0),1)</f>
        <v>535364.92000000004</v>
      </c>
      <c r="G36" s="1">
        <f t="shared" si="0"/>
        <v>535364.92000000004</v>
      </c>
      <c r="H36" s="1">
        <f t="shared" si="1"/>
        <v>0</v>
      </c>
      <c r="I36" s="1">
        <f t="shared" si="2"/>
        <v>535364.92000000004</v>
      </c>
      <c r="J36" s="60"/>
      <c r="K36" s="1" t="e">
        <f>INDEX(#REF!,MATCH(SurtaxRatesSAS!$B36,#REF!,0),1)</f>
        <v>#REF!</v>
      </c>
      <c r="L36" s="1" t="e">
        <f t="shared" si="3"/>
        <v>#REF!</v>
      </c>
      <c r="M36" s="1" t="e">
        <f t="shared" si="4"/>
        <v>#REF!</v>
      </c>
      <c r="N36" s="1" t="e">
        <f t="shared" si="5"/>
        <v>#REF!</v>
      </c>
    </row>
    <row r="37" spans="1:14" x14ac:dyDescent="0.25">
      <c r="A37">
        <v>2024</v>
      </c>
      <c r="B37" s="3" t="s">
        <v>359</v>
      </c>
      <c r="C37" t="s">
        <v>701</v>
      </c>
      <c r="D37">
        <v>1</v>
      </c>
      <c r="E37">
        <v>0</v>
      </c>
      <c r="F37" s="1">
        <f>INDEX('Dec100%_DOR PDF'!$B$3:$F$323,MATCH(SurtaxRatesSAS!$B37,'Dec100%_DOR PDF'!$F$3:$F$323,0),1)</f>
        <v>596078.9</v>
      </c>
      <c r="G37" s="1">
        <f t="shared" si="0"/>
        <v>596078.9</v>
      </c>
      <c r="H37" s="1">
        <f t="shared" si="1"/>
        <v>0</v>
      </c>
      <c r="I37" s="1">
        <f t="shared" si="2"/>
        <v>596078.9</v>
      </c>
      <c r="J37" s="60"/>
      <c r="K37" s="1" t="e">
        <f>INDEX(#REF!,MATCH(SurtaxRatesSAS!$B37,#REF!,0),1)</f>
        <v>#REF!</v>
      </c>
      <c r="L37" s="1" t="e">
        <f t="shared" si="3"/>
        <v>#REF!</v>
      </c>
      <c r="M37" s="1" t="e">
        <f t="shared" si="4"/>
        <v>#REF!</v>
      </c>
      <c r="N37" s="1" t="e">
        <f t="shared" si="5"/>
        <v>#REF!</v>
      </c>
    </row>
    <row r="38" spans="1:14" x14ac:dyDescent="0.25">
      <c r="A38">
        <v>2024</v>
      </c>
      <c r="B38" s="3" t="s">
        <v>360</v>
      </c>
      <c r="C38" t="s">
        <v>47</v>
      </c>
      <c r="D38">
        <v>5</v>
      </c>
      <c r="E38">
        <v>0</v>
      </c>
      <c r="F38" s="1">
        <f>INDEX('Dec100%_DOR PDF'!$B$3:$F$323,MATCH(SurtaxRatesSAS!$B38,'Dec100%_DOR PDF'!$F$3:$F$323,0),1)</f>
        <v>8052490.5300000003</v>
      </c>
      <c r="G38" s="1">
        <f t="shared" si="0"/>
        <v>8052490.5300000003</v>
      </c>
      <c r="H38" s="1">
        <f t="shared" si="1"/>
        <v>0</v>
      </c>
      <c r="I38" s="1">
        <f t="shared" si="2"/>
        <v>8052490.5300000003</v>
      </c>
      <c r="J38" s="60"/>
      <c r="K38" s="1" t="e">
        <f>INDEX(#REF!,MATCH(SurtaxRatesSAS!$B38,#REF!,0),1)</f>
        <v>#REF!</v>
      </c>
      <c r="L38" s="1" t="e">
        <f t="shared" si="3"/>
        <v>#REF!</v>
      </c>
      <c r="M38" s="1" t="e">
        <f t="shared" si="4"/>
        <v>#REF!</v>
      </c>
      <c r="N38" s="1" t="e">
        <f t="shared" si="5"/>
        <v>#REF!</v>
      </c>
    </row>
    <row r="39" spans="1:14" x14ac:dyDescent="0.25">
      <c r="A39">
        <v>2024</v>
      </c>
      <c r="B39" s="3" t="s">
        <v>361</v>
      </c>
      <c r="C39" t="s">
        <v>48</v>
      </c>
      <c r="D39">
        <v>3</v>
      </c>
      <c r="E39">
        <v>0</v>
      </c>
      <c r="F39" s="1">
        <f>INDEX('Dec100%_DOR PDF'!$B$3:$F$323,MATCH(SurtaxRatesSAS!$B39,'Dec100%_DOR PDF'!$F$3:$F$323,0),1)</f>
        <v>280990.03999999998</v>
      </c>
      <c r="G39" s="1">
        <f t="shared" si="0"/>
        <v>280990.03999999998</v>
      </c>
      <c r="H39" s="1">
        <f t="shared" si="1"/>
        <v>0</v>
      </c>
      <c r="I39" s="1">
        <f t="shared" si="2"/>
        <v>280990.03999999998</v>
      </c>
      <c r="J39" s="60"/>
      <c r="K39" s="1" t="e">
        <f>INDEX(#REF!,MATCH(SurtaxRatesSAS!$B39,#REF!,0),1)</f>
        <v>#REF!</v>
      </c>
      <c r="L39" s="1" t="e">
        <f t="shared" si="3"/>
        <v>#REF!</v>
      </c>
      <c r="M39" s="1" t="e">
        <f t="shared" si="4"/>
        <v>#REF!</v>
      </c>
      <c r="N39" s="1" t="e">
        <f t="shared" si="5"/>
        <v>#REF!</v>
      </c>
    </row>
    <row r="40" spans="1:14" x14ac:dyDescent="0.25">
      <c r="A40">
        <v>2024</v>
      </c>
      <c r="B40" s="3" t="s">
        <v>362</v>
      </c>
      <c r="C40" t="s">
        <v>49</v>
      </c>
      <c r="D40">
        <v>2</v>
      </c>
      <c r="E40">
        <v>2</v>
      </c>
      <c r="F40" s="1">
        <f>INDEX('Dec100%_DOR PDF'!$B$3:$F$323,MATCH(SurtaxRatesSAS!$B40,'Dec100%_DOR PDF'!$F$3:$F$323,0),1)</f>
        <v>237972.17</v>
      </c>
      <c r="G40" s="1">
        <f t="shared" si="0"/>
        <v>237972.17</v>
      </c>
      <c r="H40" s="1">
        <f t="shared" si="1"/>
        <v>118986.09</v>
      </c>
      <c r="I40" s="1">
        <f t="shared" si="2"/>
        <v>118986.08000000002</v>
      </c>
      <c r="J40" s="60"/>
      <c r="K40" s="1" t="e">
        <f>INDEX(#REF!,MATCH(SurtaxRatesSAS!$B40,#REF!,0),1)</f>
        <v>#REF!</v>
      </c>
      <c r="L40" s="1" t="e">
        <f t="shared" si="3"/>
        <v>#REF!</v>
      </c>
      <c r="M40" s="1" t="e">
        <f t="shared" si="4"/>
        <v>#REF!</v>
      </c>
      <c r="N40" s="1" t="e">
        <f t="shared" si="5"/>
        <v>#REF!</v>
      </c>
    </row>
    <row r="41" spans="1:14" x14ac:dyDescent="0.25">
      <c r="A41">
        <v>2024</v>
      </c>
      <c r="B41" s="3" t="s">
        <v>364</v>
      </c>
      <c r="C41" t="s">
        <v>50</v>
      </c>
      <c r="D41">
        <v>1</v>
      </c>
      <c r="E41">
        <v>0</v>
      </c>
      <c r="F41" s="1">
        <f>INDEX('Dec100%_DOR PDF'!$B$3:$F$323,MATCH(SurtaxRatesSAS!$B41,'Dec100%_DOR PDF'!$F$3:$F$323,0),1)</f>
        <v>30515.5</v>
      </c>
      <c r="G41" s="1">
        <f t="shared" si="0"/>
        <v>30515.5</v>
      </c>
      <c r="H41" s="1">
        <f t="shared" si="1"/>
        <v>0</v>
      </c>
      <c r="I41" s="1">
        <f t="shared" si="2"/>
        <v>30515.5</v>
      </c>
      <c r="J41" s="60"/>
      <c r="K41" s="1" t="e">
        <f>INDEX(#REF!,MATCH(SurtaxRatesSAS!$B41,#REF!,0),1)</f>
        <v>#REF!</v>
      </c>
      <c r="L41" s="1" t="e">
        <f t="shared" si="3"/>
        <v>#REF!</v>
      </c>
      <c r="M41" s="1" t="e">
        <f t="shared" si="4"/>
        <v>#REF!</v>
      </c>
      <c r="N41" s="1" t="e">
        <f t="shared" si="5"/>
        <v>#REF!</v>
      </c>
    </row>
    <row r="42" spans="1:14" x14ac:dyDescent="0.25">
      <c r="A42">
        <v>2024</v>
      </c>
      <c r="B42" s="3" t="s">
        <v>365</v>
      </c>
      <c r="C42" t="s">
        <v>51</v>
      </c>
      <c r="D42">
        <v>7</v>
      </c>
      <c r="E42">
        <v>0</v>
      </c>
      <c r="F42" s="1">
        <f>INDEX('Dec100%_DOR PDF'!$B$3:$F$323,MATCH(SurtaxRatesSAS!$B42,'Dec100%_DOR PDF'!$F$3:$F$323,0),1)</f>
        <v>779769.63</v>
      </c>
      <c r="G42" s="1">
        <f t="shared" si="0"/>
        <v>779769.63</v>
      </c>
      <c r="H42" s="1">
        <f t="shared" si="1"/>
        <v>0</v>
      </c>
      <c r="I42" s="1">
        <f t="shared" si="2"/>
        <v>779769.63</v>
      </c>
      <c r="J42" s="60"/>
      <c r="K42" s="1" t="e">
        <f>INDEX(#REF!,MATCH(SurtaxRatesSAS!$B42,#REF!,0),1)</f>
        <v>#REF!</v>
      </c>
      <c r="L42" s="1" t="e">
        <f t="shared" si="3"/>
        <v>#REF!</v>
      </c>
      <c r="M42" s="1" t="e">
        <f t="shared" si="4"/>
        <v>#REF!</v>
      </c>
      <c r="N42" s="1" t="e">
        <f t="shared" si="5"/>
        <v>#REF!</v>
      </c>
    </row>
    <row r="43" spans="1:14" x14ac:dyDescent="0.25">
      <c r="A43">
        <v>2024</v>
      </c>
      <c r="B43" s="3" t="s">
        <v>367</v>
      </c>
      <c r="C43" t="s">
        <v>52</v>
      </c>
      <c r="D43">
        <v>1</v>
      </c>
      <c r="E43">
        <v>0</v>
      </c>
      <c r="F43" s="1">
        <f>INDEX('Dec100%_DOR PDF'!$B$3:$F$323,MATCH(SurtaxRatesSAS!$B43,'Dec100%_DOR PDF'!$F$3:$F$323,0),1)</f>
        <v>28036.51</v>
      </c>
      <c r="G43" s="1">
        <f t="shared" si="0"/>
        <v>28036.51</v>
      </c>
      <c r="H43" s="1">
        <f t="shared" si="1"/>
        <v>0</v>
      </c>
      <c r="I43" s="1">
        <f t="shared" si="2"/>
        <v>28036.51</v>
      </c>
      <c r="J43" s="60"/>
      <c r="K43" s="1" t="e">
        <f>INDEX(#REF!,MATCH(SurtaxRatesSAS!$B43,#REF!,0),1)</f>
        <v>#REF!</v>
      </c>
      <c r="L43" s="1" t="e">
        <f t="shared" si="3"/>
        <v>#REF!</v>
      </c>
      <c r="M43" s="1" t="e">
        <f t="shared" si="4"/>
        <v>#REF!</v>
      </c>
      <c r="N43" s="1" t="e">
        <f t="shared" si="5"/>
        <v>#REF!</v>
      </c>
    </row>
    <row r="44" spans="1:14" x14ac:dyDescent="0.25">
      <c r="A44">
        <v>2024</v>
      </c>
      <c r="B44" s="3" t="s">
        <v>363</v>
      </c>
      <c r="C44" t="s">
        <v>53</v>
      </c>
      <c r="D44">
        <v>3</v>
      </c>
      <c r="E44">
        <v>0</v>
      </c>
      <c r="F44" s="1">
        <f>INDEX('Dec100%_DOR PDF'!$B$3:$F$323,MATCH(SurtaxRatesSAS!$B44,'Dec100%_DOR PDF'!$F$3:$F$323,0),1)</f>
        <v>137013.59</v>
      </c>
      <c r="G44" s="1">
        <f t="shared" si="0"/>
        <v>137013.59</v>
      </c>
      <c r="H44" s="1">
        <f t="shared" si="1"/>
        <v>0</v>
      </c>
      <c r="I44" s="1">
        <f t="shared" si="2"/>
        <v>137013.59</v>
      </c>
      <c r="J44" s="60"/>
      <c r="K44" s="1" t="e">
        <f>INDEX(#REF!,MATCH(SurtaxRatesSAS!$B44,#REF!,0),1)</f>
        <v>#REF!</v>
      </c>
      <c r="L44" s="1" t="e">
        <f t="shared" si="3"/>
        <v>#REF!</v>
      </c>
      <c r="M44" s="1" t="e">
        <f t="shared" si="4"/>
        <v>#REF!</v>
      </c>
      <c r="N44" s="1" t="e">
        <f t="shared" si="5"/>
        <v>#REF!</v>
      </c>
    </row>
    <row r="45" spans="1:14" x14ac:dyDescent="0.25">
      <c r="A45">
        <v>2024</v>
      </c>
      <c r="B45" s="3" t="s">
        <v>368</v>
      </c>
      <c r="C45" t="s">
        <v>54</v>
      </c>
      <c r="D45">
        <v>4</v>
      </c>
      <c r="E45">
        <v>0</v>
      </c>
      <c r="F45" s="1">
        <f>INDEX('Dec100%_DOR PDF'!$B$3:$F$323,MATCH(SurtaxRatesSAS!$B45,'Dec100%_DOR PDF'!$F$3:$F$323,0),1)</f>
        <v>256821.59</v>
      </c>
      <c r="G45" s="1">
        <f t="shared" si="0"/>
        <v>256821.59</v>
      </c>
      <c r="H45" s="1">
        <f t="shared" si="1"/>
        <v>0</v>
      </c>
      <c r="I45" s="1">
        <f t="shared" si="2"/>
        <v>256821.59</v>
      </c>
      <c r="J45" s="60"/>
      <c r="K45" s="1" t="e">
        <f>INDEX(#REF!,MATCH(SurtaxRatesSAS!$B45,#REF!,0),1)</f>
        <v>#REF!</v>
      </c>
      <c r="L45" s="1" t="e">
        <f t="shared" si="3"/>
        <v>#REF!</v>
      </c>
      <c r="M45" s="1" t="e">
        <f t="shared" si="4"/>
        <v>#REF!</v>
      </c>
      <c r="N45" s="1" t="e">
        <f t="shared" si="5"/>
        <v>#REF!</v>
      </c>
    </row>
    <row r="46" spans="1:14" x14ac:dyDescent="0.25">
      <c r="A46">
        <v>2024</v>
      </c>
      <c r="B46" s="3" t="s">
        <v>519</v>
      </c>
      <c r="C46" t="s">
        <v>55</v>
      </c>
      <c r="D46">
        <v>7</v>
      </c>
      <c r="E46">
        <v>0</v>
      </c>
      <c r="F46" s="1">
        <f>INDEX('Dec100%_DOR PDF'!$B$3:$F$323,MATCH(SurtaxRatesSAS!$B46,'Dec100%_DOR PDF'!$F$3:$F$323,0),1)</f>
        <v>349913.92</v>
      </c>
      <c r="G46" s="1">
        <f t="shared" si="0"/>
        <v>349913.92</v>
      </c>
      <c r="H46" s="1">
        <f t="shared" si="1"/>
        <v>0</v>
      </c>
      <c r="I46" s="1">
        <f t="shared" si="2"/>
        <v>349913.92</v>
      </c>
      <c r="J46" s="60"/>
      <c r="K46" s="1" t="e">
        <f>INDEX(#REF!,MATCH(SurtaxRatesSAS!$B46,#REF!,0),1)</f>
        <v>#REF!</v>
      </c>
      <c r="L46" s="1" t="e">
        <f t="shared" si="3"/>
        <v>#REF!</v>
      </c>
      <c r="M46" s="1" t="e">
        <f t="shared" si="4"/>
        <v>#REF!</v>
      </c>
      <c r="N46" s="1" t="e">
        <f t="shared" si="5"/>
        <v>#REF!</v>
      </c>
    </row>
    <row r="47" spans="1:14" x14ac:dyDescent="0.25">
      <c r="A47">
        <v>2024</v>
      </c>
      <c r="B47" s="3" t="s">
        <v>369</v>
      </c>
      <c r="C47" t="s">
        <v>56</v>
      </c>
      <c r="D47">
        <v>1</v>
      </c>
      <c r="E47">
        <v>1</v>
      </c>
      <c r="F47" s="1">
        <f>INDEX('Dec100%_DOR PDF'!$B$3:$F$323,MATCH(SurtaxRatesSAS!$B47,'Dec100%_DOR PDF'!$F$3:$F$323,0),1)</f>
        <v>133679.54</v>
      </c>
      <c r="G47" s="1">
        <f t="shared" si="0"/>
        <v>133679.54</v>
      </c>
      <c r="H47" s="1">
        <f t="shared" si="1"/>
        <v>66839.77</v>
      </c>
      <c r="I47" s="1">
        <f t="shared" si="2"/>
        <v>66839.77</v>
      </c>
      <c r="J47" s="60"/>
      <c r="K47" s="1" t="e">
        <f>INDEX(#REF!,MATCH(SurtaxRatesSAS!$B47,#REF!,0),1)</f>
        <v>#REF!</v>
      </c>
      <c r="L47" s="1" t="e">
        <f t="shared" si="3"/>
        <v>#REF!</v>
      </c>
      <c r="M47" s="1" t="e">
        <f t="shared" si="4"/>
        <v>#REF!</v>
      </c>
      <c r="N47" s="1" t="e">
        <f t="shared" si="5"/>
        <v>#REF!</v>
      </c>
    </row>
    <row r="48" spans="1:14" x14ac:dyDescent="0.25">
      <c r="A48">
        <v>2024</v>
      </c>
      <c r="B48" s="3" t="s">
        <v>370</v>
      </c>
      <c r="C48" t="s">
        <v>57</v>
      </c>
      <c r="D48">
        <v>6</v>
      </c>
      <c r="E48">
        <v>1</v>
      </c>
      <c r="F48" s="1">
        <f>INDEX('Dec100%_DOR PDF'!$B$3:$F$323,MATCH(SurtaxRatesSAS!$B48,'Dec100%_DOR PDF'!$F$3:$F$323,0),1)</f>
        <v>685657.35</v>
      </c>
      <c r="G48" s="1">
        <f t="shared" si="0"/>
        <v>685657.35</v>
      </c>
      <c r="H48" s="1">
        <f t="shared" si="1"/>
        <v>97951.05</v>
      </c>
      <c r="I48" s="1">
        <f t="shared" si="2"/>
        <v>587706.29999999993</v>
      </c>
      <c r="J48" s="60"/>
      <c r="K48" s="1" t="e">
        <f>INDEX(#REF!,MATCH(SurtaxRatesSAS!$B48,#REF!,0),1)</f>
        <v>#REF!</v>
      </c>
      <c r="L48" s="1" t="e">
        <f t="shared" si="3"/>
        <v>#REF!</v>
      </c>
      <c r="M48" s="1" t="e">
        <f t="shared" si="4"/>
        <v>#REF!</v>
      </c>
      <c r="N48" s="1" t="e">
        <f t="shared" si="5"/>
        <v>#REF!</v>
      </c>
    </row>
    <row r="49" spans="1:14" x14ac:dyDescent="0.25">
      <c r="A49">
        <v>2024</v>
      </c>
      <c r="B49" s="3" t="s">
        <v>371</v>
      </c>
      <c r="C49" t="s">
        <v>58</v>
      </c>
      <c r="D49">
        <v>1</v>
      </c>
      <c r="E49">
        <v>1</v>
      </c>
      <c r="F49" s="1">
        <f>INDEX('Dec100%_DOR PDF'!$B$3:$F$323,MATCH(SurtaxRatesSAS!$B49,'Dec100%_DOR PDF'!$F$3:$F$323,0),1)</f>
        <v>31007.55</v>
      </c>
      <c r="G49" s="1">
        <f t="shared" si="0"/>
        <v>31007.55</v>
      </c>
      <c r="H49" s="1">
        <f t="shared" si="1"/>
        <v>15503.78</v>
      </c>
      <c r="I49" s="1">
        <f t="shared" si="2"/>
        <v>15503.769999999999</v>
      </c>
      <c r="J49" s="60"/>
      <c r="K49" s="1" t="e">
        <f>INDEX(#REF!,MATCH(SurtaxRatesSAS!$B49,#REF!,0),1)</f>
        <v>#REF!</v>
      </c>
      <c r="L49" s="1" t="e">
        <f t="shared" si="3"/>
        <v>#REF!</v>
      </c>
      <c r="M49" s="1" t="e">
        <f t="shared" si="4"/>
        <v>#REF!</v>
      </c>
      <c r="N49" s="1" t="e">
        <f t="shared" si="5"/>
        <v>#REF!</v>
      </c>
    </row>
    <row r="50" spans="1:14" x14ac:dyDescent="0.25">
      <c r="A50">
        <v>2024</v>
      </c>
      <c r="B50" s="3" t="s">
        <v>372</v>
      </c>
      <c r="C50" t="s">
        <v>59</v>
      </c>
      <c r="D50">
        <v>3</v>
      </c>
      <c r="E50">
        <v>0</v>
      </c>
      <c r="F50" s="1">
        <f>INDEX('Dec100%_DOR PDF'!$B$3:$F$323,MATCH(SurtaxRatesSAS!$B50,'Dec100%_DOR PDF'!$F$3:$F$323,0),1)</f>
        <v>183052.42</v>
      </c>
      <c r="G50" s="1">
        <f t="shared" si="0"/>
        <v>183052.42</v>
      </c>
      <c r="H50" s="1">
        <f t="shared" si="1"/>
        <v>0</v>
      </c>
      <c r="I50" s="1">
        <f t="shared" si="2"/>
        <v>183052.42</v>
      </c>
      <c r="J50" s="60"/>
      <c r="K50" s="1" t="e">
        <f>INDEX(#REF!,MATCH(SurtaxRatesSAS!$B50,#REF!,0),1)</f>
        <v>#REF!</v>
      </c>
      <c r="L50" s="1" t="e">
        <f t="shared" si="3"/>
        <v>#REF!</v>
      </c>
      <c r="M50" s="1" t="e">
        <f t="shared" si="4"/>
        <v>#REF!</v>
      </c>
      <c r="N50" s="1" t="e">
        <f t="shared" si="5"/>
        <v>#REF!</v>
      </c>
    </row>
    <row r="51" spans="1:14" x14ac:dyDescent="0.25">
      <c r="A51">
        <v>2024</v>
      </c>
      <c r="B51" s="3" t="s">
        <v>373</v>
      </c>
      <c r="C51" t="s">
        <v>60</v>
      </c>
      <c r="D51">
        <v>3</v>
      </c>
      <c r="E51">
        <v>0</v>
      </c>
      <c r="F51" s="1">
        <f>INDEX('Dec100%_DOR PDF'!$B$3:$F$323,MATCH(SurtaxRatesSAS!$B51,'Dec100%_DOR PDF'!$F$3:$F$323,0),1)</f>
        <v>164439.71</v>
      </c>
      <c r="G51" s="1">
        <f t="shared" si="0"/>
        <v>164439.71</v>
      </c>
      <c r="H51" s="1">
        <f t="shared" si="1"/>
        <v>0</v>
      </c>
      <c r="I51" s="1">
        <f t="shared" si="2"/>
        <v>164439.71</v>
      </c>
      <c r="J51" s="60"/>
      <c r="K51" s="1" t="e">
        <f>INDEX(#REF!,MATCH(SurtaxRatesSAS!$B51,#REF!,0),1)</f>
        <v>#REF!</v>
      </c>
      <c r="L51" s="1" t="e">
        <f t="shared" si="3"/>
        <v>#REF!</v>
      </c>
      <c r="M51" s="1" t="e">
        <f t="shared" si="4"/>
        <v>#REF!</v>
      </c>
      <c r="N51" s="1" t="e">
        <f t="shared" si="5"/>
        <v>#REF!</v>
      </c>
    </row>
    <row r="52" spans="1:14" x14ac:dyDescent="0.25">
      <c r="A52">
        <v>2024</v>
      </c>
      <c r="B52" s="3" t="s">
        <v>374</v>
      </c>
      <c r="C52" t="s">
        <v>703</v>
      </c>
      <c r="D52">
        <v>8</v>
      </c>
      <c r="E52">
        <v>0</v>
      </c>
      <c r="F52" s="1">
        <f>INDEX('Dec100%_DOR PDF'!$B$3:$F$323,MATCH(SurtaxRatesSAS!$B52,'Dec100%_DOR PDF'!$F$3:$F$323,0),1)</f>
        <v>420097.09</v>
      </c>
      <c r="G52" s="1">
        <f t="shared" si="0"/>
        <v>420097.09</v>
      </c>
      <c r="H52" s="1">
        <f t="shared" si="1"/>
        <v>0</v>
      </c>
      <c r="I52" s="1">
        <f t="shared" si="2"/>
        <v>420097.09</v>
      </c>
      <c r="J52" s="60"/>
      <c r="K52" s="1" t="e">
        <f>INDEX(#REF!,MATCH(SurtaxRatesSAS!$B52,#REF!,0),1)</f>
        <v>#REF!</v>
      </c>
      <c r="L52" s="1" t="e">
        <f t="shared" si="3"/>
        <v>#REF!</v>
      </c>
      <c r="M52" s="1" t="e">
        <f t="shared" si="4"/>
        <v>#REF!</v>
      </c>
      <c r="N52" s="1" t="e">
        <f t="shared" si="5"/>
        <v>#REF!</v>
      </c>
    </row>
    <row r="53" spans="1:14" x14ac:dyDescent="0.25">
      <c r="A53">
        <v>2024</v>
      </c>
      <c r="B53" s="3" t="s">
        <v>375</v>
      </c>
      <c r="C53" t="s">
        <v>61</v>
      </c>
      <c r="D53">
        <v>9</v>
      </c>
      <c r="E53">
        <v>8</v>
      </c>
      <c r="F53" s="1">
        <f>INDEX('Dec100%_DOR PDF'!$B$3:$F$323,MATCH(SurtaxRatesSAS!$B53,'Dec100%_DOR PDF'!$F$3:$F$323,0),1)</f>
        <v>1058377.8600000001</v>
      </c>
      <c r="G53" s="1">
        <f t="shared" si="0"/>
        <v>1058377.8600000001</v>
      </c>
      <c r="H53" s="1">
        <f t="shared" si="1"/>
        <v>498060.17</v>
      </c>
      <c r="I53" s="1">
        <f t="shared" si="2"/>
        <v>560317.69000000018</v>
      </c>
      <c r="J53" s="60"/>
      <c r="K53" s="1" t="e">
        <f>INDEX(#REF!,MATCH(SurtaxRatesSAS!$B53,#REF!,0),1)</f>
        <v>#REF!</v>
      </c>
      <c r="L53" s="1" t="e">
        <f t="shared" si="3"/>
        <v>#REF!</v>
      </c>
      <c r="M53" s="1" t="e">
        <f t="shared" si="4"/>
        <v>#REF!</v>
      </c>
      <c r="N53" s="1" t="e">
        <f t="shared" si="5"/>
        <v>#REF!</v>
      </c>
    </row>
    <row r="54" spans="1:14" x14ac:dyDescent="0.25">
      <c r="A54">
        <v>2024</v>
      </c>
      <c r="B54" s="3" t="s">
        <v>376</v>
      </c>
      <c r="C54" t="s">
        <v>62</v>
      </c>
      <c r="D54">
        <v>2</v>
      </c>
      <c r="E54">
        <v>1</v>
      </c>
      <c r="F54" s="1">
        <f>INDEX('Dec100%_DOR PDF'!$B$3:$F$323,MATCH(SurtaxRatesSAS!$B54,'Dec100%_DOR PDF'!$F$3:$F$323,0),1)</f>
        <v>52545.47</v>
      </c>
      <c r="G54" s="1">
        <f t="shared" si="0"/>
        <v>52545.47</v>
      </c>
      <c r="H54" s="1">
        <f t="shared" si="1"/>
        <v>17515.16</v>
      </c>
      <c r="I54" s="1">
        <f t="shared" si="2"/>
        <v>35030.31</v>
      </c>
      <c r="J54" s="60"/>
      <c r="K54" s="1" t="e">
        <f>INDEX(#REF!,MATCH(SurtaxRatesSAS!$B54,#REF!,0),1)</f>
        <v>#REF!</v>
      </c>
      <c r="L54" s="1" t="e">
        <f t="shared" si="3"/>
        <v>#REF!</v>
      </c>
      <c r="M54" s="1" t="e">
        <f t="shared" si="4"/>
        <v>#REF!</v>
      </c>
      <c r="N54" s="1" t="e">
        <f t="shared" si="5"/>
        <v>#REF!</v>
      </c>
    </row>
    <row r="55" spans="1:14" x14ac:dyDescent="0.25">
      <c r="A55">
        <v>2024</v>
      </c>
      <c r="B55" s="3" t="s">
        <v>377</v>
      </c>
      <c r="C55" t="s">
        <v>63</v>
      </c>
      <c r="D55">
        <v>1</v>
      </c>
      <c r="E55">
        <v>0</v>
      </c>
      <c r="F55" s="1">
        <f>INDEX('Dec100%_DOR PDF'!$B$3:$F$323,MATCH(SurtaxRatesSAS!$B55,'Dec100%_DOR PDF'!$F$3:$F$323,0),1)</f>
        <v>22668.7</v>
      </c>
      <c r="G55" s="1">
        <f t="shared" si="0"/>
        <v>22668.7</v>
      </c>
      <c r="H55" s="1">
        <f t="shared" si="1"/>
        <v>0</v>
      </c>
      <c r="I55" s="1">
        <f t="shared" si="2"/>
        <v>22668.7</v>
      </c>
      <c r="J55" s="60"/>
      <c r="K55" s="1" t="e">
        <f>INDEX(#REF!,MATCH(SurtaxRatesSAS!$B55,#REF!,0),1)</f>
        <v>#REF!</v>
      </c>
      <c r="L55" s="1" t="e">
        <f t="shared" si="3"/>
        <v>#REF!</v>
      </c>
      <c r="M55" s="1" t="e">
        <f t="shared" si="4"/>
        <v>#REF!</v>
      </c>
      <c r="N55" s="1" t="e">
        <f t="shared" si="5"/>
        <v>#REF!</v>
      </c>
    </row>
    <row r="56" spans="1:14" x14ac:dyDescent="0.25">
      <c r="A56">
        <v>2024</v>
      </c>
      <c r="B56" s="3" t="s">
        <v>378</v>
      </c>
      <c r="C56" t="s">
        <v>64</v>
      </c>
      <c r="D56">
        <v>6</v>
      </c>
      <c r="E56">
        <v>4</v>
      </c>
      <c r="F56" s="1">
        <f>INDEX('Dec100%_DOR PDF'!$B$3:$F$323,MATCH(SurtaxRatesSAS!$B56,'Dec100%_DOR PDF'!$F$3:$F$323,0),1)</f>
        <v>2558264.91</v>
      </c>
      <c r="G56" s="1">
        <f t="shared" si="0"/>
        <v>2558264.91</v>
      </c>
      <c r="H56" s="1">
        <f t="shared" si="1"/>
        <v>1023305.96</v>
      </c>
      <c r="I56" s="1">
        <f t="shared" si="2"/>
        <v>1534958.9500000002</v>
      </c>
      <c r="J56" s="60"/>
      <c r="K56" s="1" t="e">
        <f>INDEX(#REF!,MATCH(SurtaxRatesSAS!$B56,#REF!,0),1)</f>
        <v>#REF!</v>
      </c>
      <c r="L56" s="1" t="e">
        <f t="shared" si="3"/>
        <v>#REF!</v>
      </c>
      <c r="M56" s="1" t="e">
        <f t="shared" si="4"/>
        <v>#REF!</v>
      </c>
      <c r="N56" s="1" t="e">
        <f t="shared" si="5"/>
        <v>#REF!</v>
      </c>
    </row>
    <row r="57" spans="1:14" x14ac:dyDescent="0.25">
      <c r="A57">
        <v>2024</v>
      </c>
      <c r="B57" s="3" t="s">
        <v>379</v>
      </c>
      <c r="C57" t="s">
        <v>65</v>
      </c>
      <c r="D57">
        <v>4</v>
      </c>
      <c r="E57">
        <v>0</v>
      </c>
      <c r="F57" s="1">
        <f>INDEX('Dec100%_DOR PDF'!$B$3:$F$323,MATCH(SurtaxRatesSAS!$B57,'Dec100%_DOR PDF'!$F$3:$F$323,0),1)</f>
        <v>609122.18999999994</v>
      </c>
      <c r="G57" s="1">
        <f t="shared" si="0"/>
        <v>609122.18999999994</v>
      </c>
      <c r="H57" s="1">
        <f t="shared" si="1"/>
        <v>0</v>
      </c>
      <c r="I57" s="1">
        <f t="shared" si="2"/>
        <v>609122.18999999994</v>
      </c>
      <c r="J57" s="60"/>
      <c r="K57" s="1" t="e">
        <f>INDEX(#REF!,MATCH(SurtaxRatesSAS!$B57,#REF!,0),1)</f>
        <v>#REF!</v>
      </c>
      <c r="L57" s="1" t="e">
        <f t="shared" si="3"/>
        <v>#REF!</v>
      </c>
      <c r="M57" s="1" t="e">
        <f t="shared" si="4"/>
        <v>#REF!</v>
      </c>
      <c r="N57" s="1" t="e">
        <f t="shared" si="5"/>
        <v>#REF!</v>
      </c>
    </row>
    <row r="58" spans="1:14" x14ac:dyDescent="0.25">
      <c r="A58">
        <v>2024</v>
      </c>
      <c r="B58" s="3" t="s">
        <v>380</v>
      </c>
      <c r="C58" t="s">
        <v>66</v>
      </c>
      <c r="D58">
        <v>3</v>
      </c>
      <c r="E58">
        <v>0</v>
      </c>
      <c r="F58" s="1">
        <f>INDEX('Dec100%_DOR PDF'!$B$3:$F$323,MATCH(SurtaxRatesSAS!$B58,'Dec100%_DOR PDF'!$F$3:$F$323,0),1)</f>
        <v>548551.63</v>
      </c>
      <c r="G58" s="1">
        <f t="shared" si="0"/>
        <v>548551.63</v>
      </c>
      <c r="H58" s="1">
        <f t="shared" si="1"/>
        <v>0</v>
      </c>
      <c r="I58" s="1">
        <f t="shared" si="2"/>
        <v>548551.63</v>
      </c>
      <c r="J58" s="60"/>
      <c r="K58" s="1" t="e">
        <f>INDEX(#REF!,MATCH(SurtaxRatesSAS!$B58,#REF!,0),1)</f>
        <v>#REF!</v>
      </c>
      <c r="L58" s="1" t="e">
        <f t="shared" si="3"/>
        <v>#REF!</v>
      </c>
      <c r="M58" s="1" t="e">
        <f t="shared" si="4"/>
        <v>#REF!</v>
      </c>
      <c r="N58" s="1" t="e">
        <f t="shared" si="5"/>
        <v>#REF!</v>
      </c>
    </row>
    <row r="59" spans="1:14" x14ac:dyDescent="0.25">
      <c r="A59">
        <v>2024</v>
      </c>
      <c r="B59" s="3" t="s">
        <v>381</v>
      </c>
      <c r="C59" t="s">
        <v>67</v>
      </c>
      <c r="D59">
        <v>1</v>
      </c>
      <c r="E59">
        <v>1</v>
      </c>
      <c r="F59" s="1">
        <f>INDEX('Dec100%_DOR PDF'!$B$3:$F$323,MATCH(SurtaxRatesSAS!$B59,'Dec100%_DOR PDF'!$F$3:$F$323,0),1)</f>
        <v>92945.53</v>
      </c>
      <c r="G59" s="1">
        <f t="shared" si="0"/>
        <v>92945.53</v>
      </c>
      <c r="H59" s="1">
        <f t="shared" si="1"/>
        <v>46472.77</v>
      </c>
      <c r="I59" s="1">
        <f t="shared" si="2"/>
        <v>46472.76</v>
      </c>
      <c r="J59" s="60"/>
      <c r="K59" s="1" t="e">
        <f>INDEX(#REF!,MATCH(SurtaxRatesSAS!$B59,#REF!,0),1)</f>
        <v>#REF!</v>
      </c>
      <c r="L59" s="1" t="e">
        <f t="shared" si="3"/>
        <v>#REF!</v>
      </c>
      <c r="M59" s="1" t="e">
        <f t="shared" si="4"/>
        <v>#REF!</v>
      </c>
      <c r="N59" s="1" t="e">
        <f t="shared" si="5"/>
        <v>#REF!</v>
      </c>
    </row>
    <row r="60" spans="1:14" x14ac:dyDescent="0.25">
      <c r="A60">
        <v>2024</v>
      </c>
      <c r="B60" s="3" t="s">
        <v>383</v>
      </c>
      <c r="C60" t="s">
        <v>68</v>
      </c>
      <c r="D60">
        <v>4</v>
      </c>
      <c r="E60">
        <v>0</v>
      </c>
      <c r="F60" s="1">
        <f>INDEX('Dec100%_DOR PDF'!$B$3:$F$323,MATCH(SurtaxRatesSAS!$B60,'Dec100%_DOR PDF'!$F$3:$F$323,0),1)</f>
        <v>142556.68</v>
      </c>
      <c r="G60" s="1">
        <f t="shared" si="0"/>
        <v>142556.68</v>
      </c>
      <c r="H60" s="1">
        <f t="shared" si="1"/>
        <v>0</v>
      </c>
      <c r="I60" s="1">
        <f t="shared" si="2"/>
        <v>142556.68</v>
      </c>
      <c r="J60" s="60"/>
      <c r="K60" s="1" t="e">
        <f>INDEX(#REF!,MATCH(SurtaxRatesSAS!$B60,#REF!,0),1)</f>
        <v>#REF!</v>
      </c>
      <c r="L60" s="1" t="e">
        <f t="shared" si="3"/>
        <v>#REF!</v>
      </c>
      <c r="M60" s="1" t="e">
        <f t="shared" si="4"/>
        <v>#REF!</v>
      </c>
      <c r="N60" s="1" t="e">
        <f t="shared" si="5"/>
        <v>#REF!</v>
      </c>
    </row>
    <row r="61" spans="1:14" x14ac:dyDescent="0.25">
      <c r="A61">
        <v>2024</v>
      </c>
      <c r="B61" s="3" t="s">
        <v>384</v>
      </c>
      <c r="C61" t="s">
        <v>69</v>
      </c>
      <c r="D61">
        <v>5</v>
      </c>
      <c r="E61">
        <v>0</v>
      </c>
      <c r="F61" s="1">
        <f>INDEX('Dec100%_DOR PDF'!$B$3:$F$323,MATCH(SurtaxRatesSAS!$B61,'Dec100%_DOR PDF'!$F$3:$F$323,0),1)</f>
        <v>157112.63</v>
      </c>
      <c r="G61" s="1">
        <f t="shared" si="0"/>
        <v>157112.63</v>
      </c>
      <c r="H61" s="1">
        <f t="shared" si="1"/>
        <v>0</v>
      </c>
      <c r="I61" s="1">
        <f t="shared" si="2"/>
        <v>157112.63</v>
      </c>
      <c r="J61" s="60"/>
      <c r="K61" s="1" t="e">
        <f>INDEX(#REF!,MATCH(SurtaxRatesSAS!$B61,#REF!,0),1)</f>
        <v>#REF!</v>
      </c>
      <c r="L61" s="1" t="e">
        <f t="shared" si="3"/>
        <v>#REF!</v>
      </c>
      <c r="M61" s="1" t="e">
        <f t="shared" si="4"/>
        <v>#REF!</v>
      </c>
      <c r="N61" s="1" t="e">
        <f t="shared" si="5"/>
        <v>#REF!</v>
      </c>
    </row>
    <row r="62" spans="1:14" x14ac:dyDescent="0.25">
      <c r="A62">
        <v>2024</v>
      </c>
      <c r="B62" s="3" t="s">
        <v>385</v>
      </c>
      <c r="C62" t="s">
        <v>70</v>
      </c>
      <c r="D62">
        <v>10</v>
      </c>
      <c r="E62">
        <v>0</v>
      </c>
      <c r="F62" s="1">
        <f>INDEX('Dec100%_DOR PDF'!$B$3:$F$323,MATCH(SurtaxRatesSAS!$B62,'Dec100%_DOR PDF'!$F$3:$F$323,0),1)</f>
        <v>336095.17</v>
      </c>
      <c r="G62" s="1">
        <f t="shared" si="0"/>
        <v>336095.17</v>
      </c>
      <c r="H62" s="1">
        <f t="shared" si="1"/>
        <v>0</v>
      </c>
      <c r="I62" s="1">
        <f t="shared" si="2"/>
        <v>336095.17</v>
      </c>
      <c r="J62" s="60"/>
      <c r="K62" s="1" t="e">
        <f>INDEX(#REF!,MATCH(SurtaxRatesSAS!$B62,#REF!,0),1)</f>
        <v>#REF!</v>
      </c>
      <c r="L62" s="1" t="e">
        <f t="shared" si="3"/>
        <v>#REF!</v>
      </c>
      <c r="M62" s="1" t="e">
        <f t="shared" si="4"/>
        <v>#REF!</v>
      </c>
      <c r="N62" s="1" t="e">
        <f t="shared" si="5"/>
        <v>#REF!</v>
      </c>
    </row>
    <row r="63" spans="1:14" x14ac:dyDescent="0.25">
      <c r="A63">
        <v>2024</v>
      </c>
      <c r="B63" s="3" t="s">
        <v>386</v>
      </c>
      <c r="C63" t="s">
        <v>71</v>
      </c>
      <c r="D63">
        <v>7</v>
      </c>
      <c r="E63">
        <v>0</v>
      </c>
      <c r="F63" s="1">
        <f>INDEX('Dec100%_DOR PDF'!$B$3:$F$323,MATCH(SurtaxRatesSAS!$B63,'Dec100%_DOR PDF'!$F$3:$F$323,0),1)</f>
        <v>150984.89000000001</v>
      </c>
      <c r="G63" s="1">
        <f t="shared" si="0"/>
        <v>150984.89000000001</v>
      </c>
      <c r="H63" s="1">
        <f t="shared" si="1"/>
        <v>0</v>
      </c>
      <c r="I63" s="1">
        <f t="shared" si="2"/>
        <v>150984.89000000001</v>
      </c>
      <c r="J63" s="60"/>
      <c r="K63" s="1" t="e">
        <f>INDEX(#REF!,MATCH(SurtaxRatesSAS!$B63,#REF!,0),1)</f>
        <v>#REF!</v>
      </c>
      <c r="L63" s="1" t="e">
        <f t="shared" si="3"/>
        <v>#REF!</v>
      </c>
      <c r="M63" s="1" t="e">
        <f t="shared" si="4"/>
        <v>#REF!</v>
      </c>
      <c r="N63" s="1" t="e">
        <f t="shared" si="5"/>
        <v>#REF!</v>
      </c>
    </row>
    <row r="64" spans="1:14" x14ac:dyDescent="0.25">
      <c r="A64">
        <v>2024</v>
      </c>
      <c r="B64" s="3" t="s">
        <v>387</v>
      </c>
      <c r="C64" t="s">
        <v>72</v>
      </c>
      <c r="D64">
        <v>7</v>
      </c>
      <c r="E64">
        <v>0</v>
      </c>
      <c r="F64" s="1">
        <f>INDEX('Dec100%_DOR PDF'!$B$3:$F$323,MATCH(SurtaxRatesSAS!$B64,'Dec100%_DOR PDF'!$F$3:$F$323,0),1)</f>
        <v>159836.85999999999</v>
      </c>
      <c r="G64" s="1">
        <f t="shared" si="0"/>
        <v>159836.85999999999</v>
      </c>
      <c r="H64" s="1">
        <f t="shared" si="1"/>
        <v>0</v>
      </c>
      <c r="I64" s="1">
        <f t="shared" si="2"/>
        <v>159836.85999999999</v>
      </c>
      <c r="J64" s="60"/>
      <c r="K64" s="1" t="e">
        <f>INDEX(#REF!,MATCH(SurtaxRatesSAS!$B64,#REF!,0),1)</f>
        <v>#REF!</v>
      </c>
      <c r="L64" s="1" t="e">
        <f t="shared" si="3"/>
        <v>#REF!</v>
      </c>
      <c r="M64" s="1" t="e">
        <f t="shared" si="4"/>
        <v>#REF!</v>
      </c>
      <c r="N64" s="1" t="e">
        <f t="shared" si="5"/>
        <v>#REF!</v>
      </c>
    </row>
    <row r="65" spans="1:14" x14ac:dyDescent="0.25">
      <c r="A65">
        <v>2024</v>
      </c>
      <c r="B65" s="3" t="s">
        <v>389</v>
      </c>
      <c r="C65" t="s">
        <v>73</v>
      </c>
      <c r="D65">
        <v>6</v>
      </c>
      <c r="E65">
        <v>2</v>
      </c>
      <c r="F65" s="1">
        <f>INDEX('Dec100%_DOR PDF'!$B$3:$F$323,MATCH(SurtaxRatesSAS!$B65,'Dec100%_DOR PDF'!$F$3:$F$323,0),1)</f>
        <v>622412</v>
      </c>
      <c r="G65" s="1">
        <f t="shared" si="0"/>
        <v>622412</v>
      </c>
      <c r="H65" s="1">
        <f t="shared" si="1"/>
        <v>155603</v>
      </c>
      <c r="I65" s="1">
        <f t="shared" si="2"/>
        <v>466809</v>
      </c>
      <c r="J65" s="60"/>
      <c r="K65" s="1" t="e">
        <f>INDEX(#REF!,MATCH(SurtaxRatesSAS!$B65,#REF!,0),1)</f>
        <v>#REF!</v>
      </c>
      <c r="L65" s="1" t="e">
        <f t="shared" si="3"/>
        <v>#REF!</v>
      </c>
      <c r="M65" s="1" t="e">
        <f t="shared" si="4"/>
        <v>#REF!</v>
      </c>
      <c r="N65" s="1" t="e">
        <f t="shared" si="5"/>
        <v>#REF!</v>
      </c>
    </row>
    <row r="66" spans="1:14" x14ac:dyDescent="0.25">
      <c r="A66">
        <v>2024</v>
      </c>
      <c r="B66" s="3" t="s">
        <v>391</v>
      </c>
      <c r="C66" t="s">
        <v>74</v>
      </c>
      <c r="D66">
        <v>7</v>
      </c>
      <c r="E66">
        <v>0</v>
      </c>
      <c r="F66" s="1">
        <f>INDEX('Dec100%_DOR PDF'!$B$3:$F$323,MATCH(SurtaxRatesSAS!$B66,'Dec100%_DOR PDF'!$F$3:$F$323,0),1)</f>
        <v>209532.57</v>
      </c>
      <c r="G66" s="1">
        <f t="shared" si="0"/>
        <v>209532.57</v>
      </c>
      <c r="H66" s="1">
        <f t="shared" si="1"/>
        <v>0</v>
      </c>
      <c r="I66" s="1">
        <f t="shared" si="2"/>
        <v>209532.57</v>
      </c>
      <c r="J66" s="60"/>
      <c r="K66" s="1" t="e">
        <f>INDEX(#REF!,MATCH(SurtaxRatesSAS!$B66,#REF!,0),1)</f>
        <v>#REF!</v>
      </c>
      <c r="L66" s="1" t="e">
        <f t="shared" si="3"/>
        <v>#REF!</v>
      </c>
      <c r="M66" s="1" t="e">
        <f t="shared" si="4"/>
        <v>#REF!</v>
      </c>
      <c r="N66" s="1" t="e">
        <f t="shared" si="5"/>
        <v>#REF!</v>
      </c>
    </row>
    <row r="67" spans="1:14" x14ac:dyDescent="0.25">
      <c r="A67">
        <v>2024</v>
      </c>
      <c r="B67" s="3" t="s">
        <v>393</v>
      </c>
      <c r="C67" t="s">
        <v>75</v>
      </c>
      <c r="D67">
        <v>1</v>
      </c>
      <c r="E67">
        <v>0</v>
      </c>
      <c r="F67" s="1">
        <f>INDEX('Dec100%_DOR PDF'!$B$3:$F$323,MATCH(SurtaxRatesSAS!$B67,'Dec100%_DOR PDF'!$F$3:$F$323,0),1)</f>
        <v>68647.320000000007</v>
      </c>
      <c r="G67" s="1">
        <f t="shared" ref="G67:G130" si="6">F67</f>
        <v>68647.320000000007</v>
      </c>
      <c r="H67" s="1">
        <f t="shared" ref="H67" si="7">ROUND((E67/(E67+D67))*G67,2)</f>
        <v>0</v>
      </c>
      <c r="I67" s="1">
        <f t="shared" ref="I67" si="8">G67-H67</f>
        <v>68647.320000000007</v>
      </c>
      <c r="J67" s="60"/>
      <c r="K67" s="1" t="e">
        <f>INDEX(#REF!,MATCH(SurtaxRatesSAS!$B67,#REF!,0),1)</f>
        <v>#REF!</v>
      </c>
      <c r="L67" s="1" t="e">
        <f t="shared" ref="L67:L130" si="9">K67</f>
        <v>#REF!</v>
      </c>
      <c r="M67" s="1" t="e">
        <f t="shared" ref="M67:M130" si="10">ROUND((E67/(E67+D67))*L67,2)</f>
        <v>#REF!</v>
      </c>
      <c r="N67" s="1" t="e">
        <f t="shared" ref="N67:N130" si="11">L67-M67</f>
        <v>#REF!</v>
      </c>
    </row>
    <row r="68" spans="1:14" x14ac:dyDescent="0.25">
      <c r="A68">
        <v>2024</v>
      </c>
      <c r="B68" s="3" t="s">
        <v>394</v>
      </c>
      <c r="C68" t="s">
        <v>76</v>
      </c>
      <c r="D68">
        <v>6</v>
      </c>
      <c r="E68">
        <v>0</v>
      </c>
      <c r="F68" s="1">
        <f>INDEX('Dec100%_DOR PDF'!$B$3:$F$323,MATCH(SurtaxRatesSAS!$B68,'Dec100%_DOR PDF'!$F$3:$F$323,0),1)</f>
        <v>834449.68</v>
      </c>
      <c r="G68" s="1">
        <f t="shared" si="6"/>
        <v>834449.68</v>
      </c>
      <c r="H68" s="1">
        <f t="shared" ref="H68:H130" si="12">ROUND((E68/(E68+D68))*G68,2)</f>
        <v>0</v>
      </c>
      <c r="I68" s="1">
        <f t="shared" ref="I68:I130" si="13">G68-H68</f>
        <v>834449.68</v>
      </c>
      <c r="J68" s="60"/>
      <c r="K68" s="1" t="e">
        <f>INDEX(#REF!,MATCH(SurtaxRatesSAS!$B68,#REF!,0),1)</f>
        <v>#REF!</v>
      </c>
      <c r="L68" s="1" t="e">
        <f t="shared" si="9"/>
        <v>#REF!</v>
      </c>
      <c r="M68" s="1" t="e">
        <f t="shared" si="10"/>
        <v>#REF!</v>
      </c>
      <c r="N68" s="1" t="e">
        <f t="shared" si="11"/>
        <v>#REF!</v>
      </c>
    </row>
    <row r="69" spans="1:14" x14ac:dyDescent="0.25">
      <c r="A69">
        <v>2024</v>
      </c>
      <c r="B69" s="3" t="s">
        <v>395</v>
      </c>
      <c r="C69" t="s">
        <v>77</v>
      </c>
      <c r="D69">
        <v>9</v>
      </c>
      <c r="E69">
        <v>0</v>
      </c>
      <c r="F69" s="1">
        <f>INDEX('Dec100%_DOR PDF'!$B$3:$F$323,MATCH(SurtaxRatesSAS!$B69,'Dec100%_DOR PDF'!$F$3:$F$323,0),1)</f>
        <v>100855.65</v>
      </c>
      <c r="G69" s="1">
        <f t="shared" si="6"/>
        <v>100855.65</v>
      </c>
      <c r="H69" s="1">
        <f t="shared" si="12"/>
        <v>0</v>
      </c>
      <c r="I69" s="1">
        <f t="shared" si="13"/>
        <v>100855.65</v>
      </c>
      <c r="J69" s="60"/>
      <c r="K69" s="1" t="e">
        <f>INDEX(#REF!,MATCH(SurtaxRatesSAS!$B69,#REF!,0),1)</f>
        <v>#REF!</v>
      </c>
      <c r="L69" s="1" t="e">
        <f t="shared" si="9"/>
        <v>#REF!</v>
      </c>
      <c r="M69" s="1" t="e">
        <f t="shared" si="10"/>
        <v>#REF!</v>
      </c>
      <c r="N69" s="1" t="e">
        <f t="shared" si="11"/>
        <v>#REF!</v>
      </c>
    </row>
    <row r="70" spans="1:14" x14ac:dyDescent="0.25">
      <c r="A70">
        <v>2024</v>
      </c>
      <c r="B70" s="3" t="s">
        <v>396</v>
      </c>
      <c r="C70" t="s">
        <v>78</v>
      </c>
      <c r="D70">
        <v>3</v>
      </c>
      <c r="E70">
        <v>0</v>
      </c>
      <c r="F70" s="1">
        <f>INDEX('Dec100%_DOR PDF'!$B$3:$F$323,MATCH(SurtaxRatesSAS!$B70,'Dec100%_DOR PDF'!$F$3:$F$323,0),1)</f>
        <v>278598.93</v>
      </c>
      <c r="G70" s="1">
        <f t="shared" si="6"/>
        <v>278598.93</v>
      </c>
      <c r="H70" s="1">
        <f t="shared" si="12"/>
        <v>0</v>
      </c>
      <c r="I70" s="1">
        <f t="shared" si="13"/>
        <v>278598.93</v>
      </c>
      <c r="J70" s="60"/>
      <c r="K70" s="1" t="e">
        <f>INDEX(#REF!,MATCH(SurtaxRatesSAS!$B70,#REF!,0),1)</f>
        <v>#REF!</v>
      </c>
      <c r="L70" s="1" t="e">
        <f t="shared" si="9"/>
        <v>#REF!</v>
      </c>
      <c r="M70" s="1" t="e">
        <f t="shared" si="10"/>
        <v>#REF!</v>
      </c>
      <c r="N70" s="1" t="e">
        <f t="shared" si="11"/>
        <v>#REF!</v>
      </c>
    </row>
    <row r="71" spans="1:14" x14ac:dyDescent="0.25">
      <c r="A71">
        <v>2024</v>
      </c>
      <c r="B71" s="3" t="s">
        <v>397</v>
      </c>
      <c r="C71" t="s">
        <v>79</v>
      </c>
      <c r="D71">
        <v>4</v>
      </c>
      <c r="E71">
        <v>0</v>
      </c>
      <c r="F71" s="1">
        <f>INDEX('Dec100%_DOR PDF'!$B$3:$F$323,MATCH(SurtaxRatesSAS!$B71,'Dec100%_DOR PDF'!$F$3:$F$323,0),1)</f>
        <v>246807.91</v>
      </c>
      <c r="G71" s="1">
        <f t="shared" si="6"/>
        <v>246807.91</v>
      </c>
      <c r="H71" s="1">
        <f t="shared" si="12"/>
        <v>0</v>
      </c>
      <c r="I71" s="1">
        <f t="shared" si="13"/>
        <v>246807.91</v>
      </c>
      <c r="J71" s="60"/>
      <c r="K71" s="1" t="e">
        <f>INDEX(#REF!,MATCH(SurtaxRatesSAS!$B71,#REF!,0),1)</f>
        <v>#REF!</v>
      </c>
      <c r="L71" s="1" t="e">
        <f t="shared" si="9"/>
        <v>#REF!</v>
      </c>
      <c r="M71" s="1" t="e">
        <f t="shared" si="10"/>
        <v>#REF!</v>
      </c>
      <c r="N71" s="1" t="e">
        <f t="shared" si="11"/>
        <v>#REF!</v>
      </c>
    </row>
    <row r="72" spans="1:14" x14ac:dyDescent="0.25">
      <c r="A72">
        <v>2024</v>
      </c>
      <c r="B72" s="3" t="s">
        <v>399</v>
      </c>
      <c r="C72" t="s">
        <v>80</v>
      </c>
      <c r="D72">
        <v>8</v>
      </c>
      <c r="E72">
        <v>0</v>
      </c>
      <c r="F72" s="1">
        <f>INDEX('Dec100%_DOR PDF'!$B$3:$F$323,MATCH(SurtaxRatesSAS!$B72,'Dec100%_DOR PDF'!$F$3:$F$323,0),1)</f>
        <v>32685.51</v>
      </c>
      <c r="G72" s="1">
        <f t="shared" si="6"/>
        <v>32685.51</v>
      </c>
      <c r="H72" s="1">
        <f t="shared" si="12"/>
        <v>0</v>
      </c>
      <c r="I72" s="1">
        <f t="shared" si="13"/>
        <v>32685.51</v>
      </c>
      <c r="J72" s="60"/>
      <c r="K72" s="1" t="e">
        <f>INDEX(#REF!,MATCH(SurtaxRatesSAS!$B72,#REF!,0),1)</f>
        <v>#REF!</v>
      </c>
      <c r="L72" s="1" t="e">
        <f t="shared" si="9"/>
        <v>#REF!</v>
      </c>
      <c r="M72" s="1" t="e">
        <f t="shared" si="10"/>
        <v>#REF!</v>
      </c>
      <c r="N72" s="1" t="e">
        <f t="shared" si="11"/>
        <v>#REF!</v>
      </c>
    </row>
    <row r="73" spans="1:14" x14ac:dyDescent="0.25">
      <c r="A73">
        <v>2024</v>
      </c>
      <c r="B73" s="3" t="s">
        <v>400</v>
      </c>
      <c r="C73" t="s">
        <v>81</v>
      </c>
      <c r="D73">
        <v>7</v>
      </c>
      <c r="E73">
        <v>0</v>
      </c>
      <c r="F73" s="1">
        <f>INDEX('Dec100%_DOR PDF'!$B$3:$F$323,MATCH(SurtaxRatesSAS!$B73,'Dec100%_DOR PDF'!$F$3:$F$323,0),1)</f>
        <v>427459.09</v>
      </c>
      <c r="G73" s="1">
        <f t="shared" si="6"/>
        <v>427459.09</v>
      </c>
      <c r="H73" s="1">
        <f t="shared" si="12"/>
        <v>0</v>
      </c>
      <c r="I73" s="1">
        <f t="shared" si="13"/>
        <v>427459.09</v>
      </c>
      <c r="J73" s="60"/>
      <c r="K73" s="1" t="e">
        <f>INDEX(#REF!,MATCH(SurtaxRatesSAS!$B73,#REF!,0),1)</f>
        <v>#REF!</v>
      </c>
      <c r="L73" s="1" t="e">
        <f t="shared" si="9"/>
        <v>#REF!</v>
      </c>
      <c r="M73" s="1" t="e">
        <f t="shared" si="10"/>
        <v>#REF!</v>
      </c>
      <c r="N73" s="1" t="e">
        <f t="shared" si="11"/>
        <v>#REF!</v>
      </c>
    </row>
    <row r="74" spans="1:14" x14ac:dyDescent="0.25">
      <c r="A74">
        <v>2024</v>
      </c>
      <c r="B74" s="3" t="s">
        <v>402</v>
      </c>
      <c r="C74" t="s">
        <v>82</v>
      </c>
      <c r="D74">
        <v>5</v>
      </c>
      <c r="E74">
        <v>0</v>
      </c>
      <c r="F74" s="1">
        <f>INDEX('Dec100%_DOR PDF'!$B$3:$F$323,MATCH(SurtaxRatesSAS!$B74,'Dec100%_DOR PDF'!$F$3:$F$323,0),1)</f>
        <v>134165.5</v>
      </c>
      <c r="G74" s="1">
        <f t="shared" si="6"/>
        <v>134165.5</v>
      </c>
      <c r="H74" s="1">
        <f t="shared" si="12"/>
        <v>0</v>
      </c>
      <c r="I74" s="1">
        <f t="shared" si="13"/>
        <v>134165.5</v>
      </c>
      <c r="J74" s="60"/>
      <c r="K74" s="1" t="e">
        <f>INDEX(#REF!,MATCH(SurtaxRatesSAS!$B74,#REF!,0),1)</f>
        <v>#REF!</v>
      </c>
      <c r="L74" s="1" t="e">
        <f t="shared" si="9"/>
        <v>#REF!</v>
      </c>
      <c r="M74" s="1" t="e">
        <f t="shared" si="10"/>
        <v>#REF!</v>
      </c>
      <c r="N74" s="1" t="e">
        <f t="shared" si="11"/>
        <v>#REF!</v>
      </c>
    </row>
    <row r="75" spans="1:14" x14ac:dyDescent="0.25">
      <c r="A75">
        <v>2024</v>
      </c>
      <c r="B75" s="3" t="s">
        <v>404</v>
      </c>
      <c r="C75" t="s">
        <v>83</v>
      </c>
      <c r="D75">
        <v>7</v>
      </c>
      <c r="E75">
        <v>0</v>
      </c>
      <c r="F75" s="1">
        <f>INDEX('Dec100%_DOR PDF'!$B$3:$F$323,MATCH(SurtaxRatesSAS!$B75,'Dec100%_DOR PDF'!$F$3:$F$323,0),1)</f>
        <v>261805.4</v>
      </c>
      <c r="G75" s="1">
        <f t="shared" si="6"/>
        <v>261805.4</v>
      </c>
      <c r="H75" s="1">
        <f t="shared" si="12"/>
        <v>0</v>
      </c>
      <c r="I75" s="1">
        <f t="shared" si="13"/>
        <v>261805.4</v>
      </c>
      <c r="J75" s="60"/>
      <c r="K75" s="1" t="e">
        <f>INDEX(#REF!,MATCH(SurtaxRatesSAS!$B75,#REF!,0),1)</f>
        <v>#REF!</v>
      </c>
      <c r="L75" s="1" t="e">
        <f t="shared" si="9"/>
        <v>#REF!</v>
      </c>
      <c r="M75" s="1" t="e">
        <f t="shared" si="10"/>
        <v>#REF!</v>
      </c>
      <c r="N75" s="1" t="e">
        <f t="shared" si="11"/>
        <v>#REF!</v>
      </c>
    </row>
    <row r="76" spans="1:14" x14ac:dyDescent="0.25">
      <c r="A76">
        <v>2024</v>
      </c>
      <c r="B76" s="3" t="s">
        <v>406</v>
      </c>
      <c r="C76" t="s">
        <v>84</v>
      </c>
      <c r="D76">
        <v>1</v>
      </c>
      <c r="E76">
        <v>0</v>
      </c>
      <c r="F76" s="1">
        <f>INDEX('Dec100%_DOR PDF'!$B$3:$F$323,MATCH(SurtaxRatesSAS!$B76,'Dec100%_DOR PDF'!$F$3:$F$323,0),1)</f>
        <v>37503.99</v>
      </c>
      <c r="G76" s="1">
        <f t="shared" si="6"/>
        <v>37503.99</v>
      </c>
      <c r="H76" s="1">
        <f t="shared" si="12"/>
        <v>0</v>
      </c>
      <c r="I76" s="1">
        <f t="shared" si="13"/>
        <v>37503.99</v>
      </c>
      <c r="J76" s="60"/>
      <c r="K76" s="1" t="e">
        <f>INDEX(#REF!,MATCH(SurtaxRatesSAS!$B76,#REF!,0),1)</f>
        <v>#REF!</v>
      </c>
      <c r="L76" s="1" t="e">
        <f t="shared" si="9"/>
        <v>#REF!</v>
      </c>
      <c r="M76" s="1" t="e">
        <f t="shared" si="10"/>
        <v>#REF!</v>
      </c>
      <c r="N76" s="1" t="e">
        <f t="shared" si="11"/>
        <v>#REF!</v>
      </c>
    </row>
    <row r="77" spans="1:14" x14ac:dyDescent="0.25">
      <c r="A77">
        <v>2024</v>
      </c>
      <c r="B77" s="3" t="s">
        <v>408</v>
      </c>
      <c r="C77" t="s">
        <v>85</v>
      </c>
      <c r="D77">
        <v>7</v>
      </c>
      <c r="E77">
        <v>0</v>
      </c>
      <c r="F77" s="1">
        <f>INDEX('Dec100%_DOR PDF'!$B$3:$F$323,MATCH(SurtaxRatesSAS!$B77,'Dec100%_DOR PDF'!$F$3:$F$323,0),1)</f>
        <v>210982.31</v>
      </c>
      <c r="G77" s="1">
        <f t="shared" si="6"/>
        <v>210982.31</v>
      </c>
      <c r="H77" s="1">
        <f t="shared" si="12"/>
        <v>0</v>
      </c>
      <c r="I77" s="1">
        <f t="shared" si="13"/>
        <v>210982.31</v>
      </c>
      <c r="J77" s="60"/>
      <c r="K77" s="1" t="e">
        <f>INDEX(#REF!,MATCH(SurtaxRatesSAS!$B77,#REF!,0),1)</f>
        <v>#REF!</v>
      </c>
      <c r="L77" s="1" t="e">
        <f t="shared" si="9"/>
        <v>#REF!</v>
      </c>
      <c r="M77" s="1" t="e">
        <f t="shared" si="10"/>
        <v>#REF!</v>
      </c>
      <c r="N77" s="1" t="e">
        <f t="shared" si="11"/>
        <v>#REF!</v>
      </c>
    </row>
    <row r="78" spans="1:14" x14ac:dyDescent="0.25">
      <c r="A78">
        <v>2024</v>
      </c>
      <c r="B78" s="3" t="s">
        <v>472</v>
      </c>
      <c r="C78" t="s">
        <v>86</v>
      </c>
      <c r="D78">
        <v>9</v>
      </c>
      <c r="E78">
        <v>0</v>
      </c>
      <c r="F78" s="1">
        <f>INDEX('Dec100%_DOR PDF'!$B$3:$F$323,MATCH(SurtaxRatesSAS!$B78,'Dec100%_DOR PDF'!$F$3:$F$323,0),1)</f>
        <v>309786.62</v>
      </c>
      <c r="G78" s="1">
        <f t="shared" si="6"/>
        <v>309786.62</v>
      </c>
      <c r="H78" s="1">
        <f t="shared" si="12"/>
        <v>0</v>
      </c>
      <c r="I78" s="1">
        <f t="shared" si="13"/>
        <v>309786.62</v>
      </c>
      <c r="J78" s="60"/>
      <c r="K78" s="1" t="e">
        <f>INDEX(#REF!,MATCH(SurtaxRatesSAS!$B78,#REF!,0),1)</f>
        <v>#REF!</v>
      </c>
      <c r="L78" s="1" t="e">
        <f t="shared" si="9"/>
        <v>#REF!</v>
      </c>
      <c r="M78" s="1" t="e">
        <f t="shared" si="10"/>
        <v>#REF!</v>
      </c>
      <c r="N78" s="1" t="e">
        <f t="shared" si="11"/>
        <v>#REF!</v>
      </c>
    </row>
    <row r="79" spans="1:14" x14ac:dyDescent="0.25">
      <c r="A79">
        <v>2024</v>
      </c>
      <c r="B79" s="3" t="s">
        <v>485</v>
      </c>
      <c r="C79" t="s">
        <v>87</v>
      </c>
      <c r="D79">
        <v>10</v>
      </c>
      <c r="E79">
        <v>10</v>
      </c>
      <c r="F79" s="1">
        <f>INDEX('Dec100%_DOR PDF'!$B$3:$F$323,MATCH(SurtaxRatesSAS!$B79,'Dec100%_DOR PDF'!$F$3:$F$323,0),1)</f>
        <v>528441.53</v>
      </c>
      <c r="G79" s="1">
        <f t="shared" si="6"/>
        <v>528441.53</v>
      </c>
      <c r="H79" s="1">
        <f t="shared" si="12"/>
        <v>264220.77</v>
      </c>
      <c r="I79" s="1">
        <f t="shared" si="13"/>
        <v>264220.76</v>
      </c>
      <c r="J79" s="60"/>
      <c r="K79" s="1" t="e">
        <f>INDEX(#REF!,MATCH(SurtaxRatesSAS!$B79,#REF!,0),1)</f>
        <v>#REF!</v>
      </c>
      <c r="L79" s="1" t="e">
        <f t="shared" si="9"/>
        <v>#REF!</v>
      </c>
      <c r="M79" s="1" t="e">
        <f t="shared" si="10"/>
        <v>#REF!</v>
      </c>
      <c r="N79" s="1" t="e">
        <f t="shared" si="11"/>
        <v>#REF!</v>
      </c>
    </row>
    <row r="80" spans="1:14" x14ac:dyDescent="0.25">
      <c r="A80">
        <v>2024</v>
      </c>
      <c r="B80" s="3" t="s">
        <v>608</v>
      </c>
      <c r="C80" t="s">
        <v>88</v>
      </c>
      <c r="D80">
        <v>1</v>
      </c>
      <c r="E80">
        <v>0</v>
      </c>
      <c r="F80" s="1">
        <f>INDEX('Dec100%_DOR PDF'!$B$3:$F$323,MATCH(SurtaxRatesSAS!$B80,'Dec100%_DOR PDF'!$F$3:$F$323,0),1)</f>
        <v>64027.93</v>
      </c>
      <c r="G80" s="1">
        <f t="shared" si="6"/>
        <v>64027.93</v>
      </c>
      <c r="H80" s="1">
        <f t="shared" si="12"/>
        <v>0</v>
      </c>
      <c r="I80" s="1">
        <f t="shared" si="13"/>
        <v>64027.93</v>
      </c>
      <c r="J80" s="60"/>
      <c r="K80" s="1" t="e">
        <f>INDEX(#REF!,MATCH(SurtaxRatesSAS!$B80,#REF!,0),1)</f>
        <v>#REF!</v>
      </c>
      <c r="L80" s="1" t="e">
        <f t="shared" si="9"/>
        <v>#REF!</v>
      </c>
      <c r="M80" s="1" t="e">
        <f t="shared" si="10"/>
        <v>#REF!</v>
      </c>
      <c r="N80" s="1" t="e">
        <f t="shared" si="11"/>
        <v>#REF!</v>
      </c>
    </row>
    <row r="81" spans="1:14" x14ac:dyDescent="0.25">
      <c r="A81">
        <v>2024</v>
      </c>
      <c r="B81" s="3" t="s">
        <v>410</v>
      </c>
      <c r="C81" t="s">
        <v>89</v>
      </c>
      <c r="D81">
        <v>10</v>
      </c>
      <c r="E81">
        <v>0</v>
      </c>
      <c r="F81" s="1">
        <f>INDEX('Dec100%_DOR PDF'!$B$3:$F$323,MATCH(SurtaxRatesSAS!$B81,'Dec100%_DOR PDF'!$F$3:$F$323,0),1)</f>
        <v>232769.23</v>
      </c>
      <c r="G81" s="1">
        <f t="shared" si="6"/>
        <v>232769.23</v>
      </c>
      <c r="H81" s="1">
        <f t="shared" si="12"/>
        <v>0</v>
      </c>
      <c r="I81" s="1">
        <f t="shared" si="13"/>
        <v>232769.23</v>
      </c>
      <c r="J81" s="60"/>
      <c r="K81" s="1" t="e">
        <f>INDEX(#REF!,MATCH(SurtaxRatesSAS!$B81,#REF!,0),1)</f>
        <v>#REF!</v>
      </c>
      <c r="L81" s="1" t="e">
        <f t="shared" si="9"/>
        <v>#REF!</v>
      </c>
      <c r="M81" s="1" t="e">
        <f t="shared" si="10"/>
        <v>#REF!</v>
      </c>
      <c r="N81" s="1" t="e">
        <f t="shared" si="11"/>
        <v>#REF!</v>
      </c>
    </row>
    <row r="82" spans="1:14" x14ac:dyDescent="0.25">
      <c r="A82">
        <v>2024</v>
      </c>
      <c r="B82" s="3" t="s">
        <v>411</v>
      </c>
      <c r="C82" t="s">
        <v>90</v>
      </c>
      <c r="D82">
        <v>6</v>
      </c>
      <c r="E82">
        <v>0</v>
      </c>
      <c r="F82" s="1">
        <f>INDEX('Dec100%_DOR PDF'!$B$3:$F$323,MATCH(SurtaxRatesSAS!$B82,'Dec100%_DOR PDF'!$F$3:$F$323,0),1)</f>
        <v>98026.89</v>
      </c>
      <c r="G82" s="1">
        <f t="shared" si="6"/>
        <v>98026.89</v>
      </c>
      <c r="H82" s="1">
        <f t="shared" si="12"/>
        <v>0</v>
      </c>
      <c r="I82" s="1">
        <f t="shared" si="13"/>
        <v>98026.89</v>
      </c>
      <c r="J82" s="60"/>
      <c r="K82" s="1" t="e">
        <f>INDEX(#REF!,MATCH(SurtaxRatesSAS!$B82,#REF!,0),1)</f>
        <v>#REF!</v>
      </c>
      <c r="L82" s="1" t="e">
        <f t="shared" si="9"/>
        <v>#REF!</v>
      </c>
      <c r="M82" s="1" t="e">
        <f t="shared" si="10"/>
        <v>#REF!</v>
      </c>
      <c r="N82" s="1" t="e">
        <f t="shared" si="11"/>
        <v>#REF!</v>
      </c>
    </row>
    <row r="83" spans="1:14" x14ac:dyDescent="0.25">
      <c r="A83">
        <v>2024</v>
      </c>
      <c r="B83" s="3" t="s">
        <v>409</v>
      </c>
      <c r="C83" t="s">
        <v>639</v>
      </c>
      <c r="D83">
        <v>4</v>
      </c>
      <c r="E83">
        <v>0</v>
      </c>
      <c r="F83" s="1">
        <f>INDEX('Dec100%_DOR PDF'!$B$3:$F$323,MATCH(SurtaxRatesSAS!$B83,'Dec100%_DOR PDF'!$F$3:$F$323,0),1)</f>
        <v>133403.24</v>
      </c>
      <c r="G83" s="1">
        <f t="shared" si="6"/>
        <v>133403.24</v>
      </c>
      <c r="H83" s="1">
        <f t="shared" si="12"/>
        <v>0</v>
      </c>
      <c r="I83" s="1">
        <f t="shared" si="13"/>
        <v>133403.24</v>
      </c>
      <c r="J83" s="60"/>
      <c r="K83" s="1" t="e">
        <f>INDEX(#REF!,MATCH(SurtaxRatesSAS!$B83,#REF!,0),1)</f>
        <v>#REF!</v>
      </c>
      <c r="L83" s="1" t="e">
        <f t="shared" si="9"/>
        <v>#REF!</v>
      </c>
      <c r="M83" s="1" t="e">
        <f t="shared" si="10"/>
        <v>#REF!</v>
      </c>
      <c r="N83" s="1" t="e">
        <f t="shared" si="11"/>
        <v>#REF!</v>
      </c>
    </row>
    <row r="84" spans="1:14" x14ac:dyDescent="0.25">
      <c r="A84">
        <v>2024</v>
      </c>
      <c r="B84" s="3" t="s">
        <v>344</v>
      </c>
      <c r="C84" t="s">
        <v>91</v>
      </c>
      <c r="D84">
        <v>5</v>
      </c>
      <c r="E84">
        <v>0</v>
      </c>
      <c r="F84" s="1">
        <f>INDEX('Dec100%_DOR PDF'!$B$3:$F$323,MATCH(SurtaxRatesSAS!$B84,'Dec100%_DOR PDF'!$F$3:$F$323,0),1)</f>
        <v>230353.42</v>
      </c>
      <c r="G84" s="1">
        <f t="shared" si="6"/>
        <v>230353.42</v>
      </c>
      <c r="H84" s="1">
        <f t="shared" si="12"/>
        <v>0</v>
      </c>
      <c r="I84" s="1">
        <f t="shared" si="13"/>
        <v>230353.42</v>
      </c>
      <c r="J84" s="60"/>
      <c r="K84" s="1" t="e">
        <f>INDEX(#REF!,MATCH(SurtaxRatesSAS!$B84,#REF!,0),1)</f>
        <v>#REF!</v>
      </c>
      <c r="L84" s="1" t="e">
        <f t="shared" si="9"/>
        <v>#REF!</v>
      </c>
      <c r="M84" s="1" t="e">
        <f t="shared" si="10"/>
        <v>#REF!</v>
      </c>
      <c r="N84" s="1" t="e">
        <f t="shared" si="11"/>
        <v>#REF!</v>
      </c>
    </row>
    <row r="85" spans="1:14" x14ac:dyDescent="0.25">
      <c r="A85">
        <v>2024</v>
      </c>
      <c r="B85" s="3" t="s">
        <v>413</v>
      </c>
      <c r="C85" t="s">
        <v>92</v>
      </c>
      <c r="D85">
        <v>1</v>
      </c>
      <c r="E85">
        <v>3</v>
      </c>
      <c r="F85" s="1">
        <f>INDEX('Dec100%_DOR PDF'!$B$3:$F$323,MATCH(SurtaxRatesSAS!$B85,'Dec100%_DOR PDF'!$F$3:$F$323,0),1)</f>
        <v>108274.89</v>
      </c>
      <c r="G85" s="1">
        <f t="shared" si="6"/>
        <v>108274.89</v>
      </c>
      <c r="H85" s="1">
        <f t="shared" si="12"/>
        <v>81206.17</v>
      </c>
      <c r="I85" s="1">
        <f t="shared" si="13"/>
        <v>27068.720000000001</v>
      </c>
      <c r="J85" s="60"/>
      <c r="K85" s="1" t="e">
        <f>INDEX(#REF!,MATCH(SurtaxRatesSAS!$B85,#REF!,0),1)</f>
        <v>#REF!</v>
      </c>
      <c r="L85" s="1" t="e">
        <f t="shared" si="9"/>
        <v>#REF!</v>
      </c>
      <c r="M85" s="1" t="e">
        <f t="shared" si="10"/>
        <v>#REF!</v>
      </c>
      <c r="N85" s="1" t="e">
        <f t="shared" si="11"/>
        <v>#REF!</v>
      </c>
    </row>
    <row r="86" spans="1:14" x14ac:dyDescent="0.25">
      <c r="A86">
        <v>2024</v>
      </c>
      <c r="B86" s="3" t="s">
        <v>414</v>
      </c>
      <c r="C86" t="s">
        <v>93</v>
      </c>
      <c r="D86">
        <v>2</v>
      </c>
      <c r="E86">
        <v>0</v>
      </c>
      <c r="F86" s="1">
        <f>INDEX('Dec100%_DOR PDF'!$B$3:$F$323,MATCH(SurtaxRatesSAS!$B86,'Dec100%_DOR PDF'!$F$3:$F$323,0),1)</f>
        <v>63738.37</v>
      </c>
      <c r="G86" s="1">
        <f t="shared" si="6"/>
        <v>63738.37</v>
      </c>
      <c r="H86" s="1">
        <f t="shared" si="12"/>
        <v>0</v>
      </c>
      <c r="I86" s="1">
        <f t="shared" si="13"/>
        <v>63738.37</v>
      </c>
      <c r="J86" s="60"/>
      <c r="K86" s="1" t="e">
        <f>INDEX(#REF!,MATCH(SurtaxRatesSAS!$B86,#REF!,0),1)</f>
        <v>#REF!</v>
      </c>
      <c r="L86" s="1" t="e">
        <f t="shared" si="9"/>
        <v>#REF!</v>
      </c>
      <c r="M86" s="1" t="e">
        <f t="shared" si="10"/>
        <v>#REF!</v>
      </c>
      <c r="N86" s="1" t="e">
        <f t="shared" si="11"/>
        <v>#REF!</v>
      </c>
    </row>
    <row r="87" spans="1:14" x14ac:dyDescent="0.25">
      <c r="A87">
        <v>2024</v>
      </c>
      <c r="B87" s="3" t="s">
        <v>415</v>
      </c>
      <c r="C87" t="s">
        <v>94</v>
      </c>
      <c r="D87">
        <v>4</v>
      </c>
      <c r="E87">
        <v>3</v>
      </c>
      <c r="F87" s="1">
        <f>INDEX('Dec100%_DOR PDF'!$B$3:$F$323,MATCH(SurtaxRatesSAS!$B87,'Dec100%_DOR PDF'!$F$3:$F$323,0),1)</f>
        <v>310844.59000000003</v>
      </c>
      <c r="G87" s="1">
        <f t="shared" si="6"/>
        <v>310844.59000000003</v>
      </c>
      <c r="H87" s="1">
        <f t="shared" si="12"/>
        <v>133219.10999999999</v>
      </c>
      <c r="I87" s="1">
        <f t="shared" si="13"/>
        <v>177625.48000000004</v>
      </c>
      <c r="J87" s="60"/>
      <c r="K87" s="1" t="e">
        <f>INDEX(#REF!,MATCH(SurtaxRatesSAS!$B87,#REF!,0),1)</f>
        <v>#REF!</v>
      </c>
      <c r="L87" s="1" t="e">
        <f t="shared" si="9"/>
        <v>#REF!</v>
      </c>
      <c r="M87" s="1" t="e">
        <f t="shared" si="10"/>
        <v>#REF!</v>
      </c>
      <c r="N87" s="1" t="e">
        <f t="shared" si="11"/>
        <v>#REF!</v>
      </c>
    </row>
    <row r="88" spans="1:14" x14ac:dyDescent="0.25">
      <c r="A88">
        <v>2024</v>
      </c>
      <c r="B88" s="3" t="s">
        <v>416</v>
      </c>
      <c r="C88" t="s">
        <v>95</v>
      </c>
      <c r="D88">
        <v>4</v>
      </c>
      <c r="E88">
        <v>4</v>
      </c>
      <c r="F88" s="1">
        <f>INDEX('Dec100%_DOR PDF'!$B$3:$F$323,MATCH(SurtaxRatesSAS!$B88,'Dec100%_DOR PDF'!$F$3:$F$323,0),1)</f>
        <v>180326.51</v>
      </c>
      <c r="G88" s="1">
        <f t="shared" si="6"/>
        <v>180326.51</v>
      </c>
      <c r="H88" s="1">
        <f t="shared" si="12"/>
        <v>90163.26</v>
      </c>
      <c r="I88" s="1">
        <f t="shared" si="13"/>
        <v>90163.250000000015</v>
      </c>
      <c r="J88" s="60"/>
      <c r="K88" s="1" t="e">
        <f>INDEX(#REF!,MATCH(SurtaxRatesSAS!$B88,#REF!,0),1)</f>
        <v>#REF!</v>
      </c>
      <c r="L88" s="1" t="e">
        <f t="shared" si="9"/>
        <v>#REF!</v>
      </c>
      <c r="M88" s="1" t="e">
        <f t="shared" si="10"/>
        <v>#REF!</v>
      </c>
      <c r="N88" s="1" t="e">
        <f t="shared" si="11"/>
        <v>#REF!</v>
      </c>
    </row>
    <row r="89" spans="1:14" x14ac:dyDescent="0.25">
      <c r="A89">
        <v>2024</v>
      </c>
      <c r="B89" s="3" t="s">
        <v>417</v>
      </c>
      <c r="C89" t="s">
        <v>96</v>
      </c>
      <c r="D89">
        <v>9</v>
      </c>
      <c r="E89">
        <v>0</v>
      </c>
      <c r="F89" s="1">
        <f>INDEX('Dec100%_DOR PDF'!$B$3:$F$323,MATCH(SurtaxRatesSAS!$B89,'Dec100%_DOR PDF'!$F$3:$F$323,0),1)</f>
        <v>87117.57</v>
      </c>
      <c r="G89" s="1">
        <f t="shared" si="6"/>
        <v>87117.57</v>
      </c>
      <c r="H89" s="1">
        <f t="shared" si="12"/>
        <v>0</v>
      </c>
      <c r="I89" s="1">
        <f t="shared" si="13"/>
        <v>87117.57</v>
      </c>
      <c r="J89" s="60"/>
      <c r="K89" s="1" t="e">
        <f>INDEX(#REF!,MATCH(SurtaxRatesSAS!$B89,#REF!,0),1)</f>
        <v>#REF!</v>
      </c>
      <c r="L89" s="1" t="e">
        <f t="shared" si="9"/>
        <v>#REF!</v>
      </c>
      <c r="M89" s="1" t="e">
        <f t="shared" si="10"/>
        <v>#REF!</v>
      </c>
      <c r="N89" s="1" t="e">
        <f t="shared" si="11"/>
        <v>#REF!</v>
      </c>
    </row>
    <row r="90" spans="1:14" x14ac:dyDescent="0.25">
      <c r="A90">
        <v>2024</v>
      </c>
      <c r="B90" s="3" t="s">
        <v>418</v>
      </c>
      <c r="C90" t="s">
        <v>640</v>
      </c>
      <c r="D90">
        <v>9</v>
      </c>
      <c r="E90">
        <v>0</v>
      </c>
      <c r="F90" s="1">
        <f>INDEX('Dec100%_DOR PDF'!$B$3:$F$323,MATCH(SurtaxRatesSAS!$B90,'Dec100%_DOR PDF'!$F$3:$F$323,0),1)</f>
        <v>521991.3</v>
      </c>
      <c r="G90" s="1">
        <f t="shared" si="6"/>
        <v>521991.3</v>
      </c>
      <c r="H90" s="1">
        <f t="shared" si="12"/>
        <v>0</v>
      </c>
      <c r="I90" s="1">
        <f t="shared" si="13"/>
        <v>521991.3</v>
      </c>
      <c r="J90" s="60"/>
      <c r="K90" s="1" t="e">
        <f>INDEX(#REF!,MATCH(SurtaxRatesSAS!$B90,#REF!,0),1)</f>
        <v>#REF!</v>
      </c>
      <c r="L90" s="1" t="e">
        <f t="shared" si="9"/>
        <v>#REF!</v>
      </c>
      <c r="M90" s="1" t="e">
        <f t="shared" si="10"/>
        <v>#REF!</v>
      </c>
      <c r="N90" s="1" t="e">
        <f t="shared" si="11"/>
        <v>#REF!</v>
      </c>
    </row>
    <row r="91" spans="1:14" x14ac:dyDescent="0.25">
      <c r="A91">
        <v>2024</v>
      </c>
      <c r="B91" s="3" t="s">
        <v>419</v>
      </c>
      <c r="C91" t="s">
        <v>98</v>
      </c>
      <c r="D91">
        <v>5</v>
      </c>
      <c r="E91">
        <v>0</v>
      </c>
      <c r="F91" s="1">
        <f>INDEX('Dec100%_DOR PDF'!$B$3:$F$323,MATCH(SurtaxRatesSAS!$B91,'Dec100%_DOR PDF'!$F$3:$F$323,0),1)</f>
        <v>124562.35</v>
      </c>
      <c r="G91" s="1">
        <f t="shared" si="6"/>
        <v>124562.35</v>
      </c>
      <c r="H91" s="1">
        <f t="shared" si="12"/>
        <v>0</v>
      </c>
      <c r="I91" s="1">
        <f t="shared" si="13"/>
        <v>124562.35</v>
      </c>
      <c r="J91" s="60"/>
      <c r="K91" s="1" t="e">
        <f>INDEX(#REF!,MATCH(SurtaxRatesSAS!$B91,#REF!,0),1)</f>
        <v>#REF!</v>
      </c>
      <c r="L91" s="1" t="e">
        <f t="shared" si="9"/>
        <v>#REF!</v>
      </c>
      <c r="M91" s="1" t="e">
        <f t="shared" si="10"/>
        <v>#REF!</v>
      </c>
      <c r="N91" s="1" t="e">
        <f t="shared" si="11"/>
        <v>#REF!</v>
      </c>
    </row>
    <row r="92" spans="1:14" x14ac:dyDescent="0.25">
      <c r="A92">
        <v>2024</v>
      </c>
      <c r="B92" s="3" t="s">
        <v>420</v>
      </c>
      <c r="C92" t="s">
        <v>99</v>
      </c>
      <c r="D92">
        <v>1</v>
      </c>
      <c r="E92">
        <v>0</v>
      </c>
      <c r="F92" s="1">
        <f>INDEX('Dec100%_DOR PDF'!$B$3:$F$323,MATCH(SurtaxRatesSAS!$B92,'Dec100%_DOR PDF'!$F$3:$F$323,0),1)</f>
        <v>126538.03</v>
      </c>
      <c r="G92" s="1">
        <f t="shared" si="6"/>
        <v>126538.03</v>
      </c>
      <c r="H92" s="1">
        <f t="shared" si="12"/>
        <v>0</v>
      </c>
      <c r="I92" s="1">
        <f t="shared" si="13"/>
        <v>126538.03</v>
      </c>
      <c r="J92" s="60"/>
      <c r="K92" s="1" t="e">
        <f>INDEX(#REF!,MATCH(SurtaxRatesSAS!$B92,#REF!,0),1)</f>
        <v>#REF!</v>
      </c>
      <c r="L92" s="1" t="e">
        <f t="shared" si="9"/>
        <v>#REF!</v>
      </c>
      <c r="M92" s="1" t="e">
        <f t="shared" si="10"/>
        <v>#REF!</v>
      </c>
      <c r="N92" s="1" t="e">
        <f t="shared" si="11"/>
        <v>#REF!</v>
      </c>
    </row>
    <row r="93" spans="1:14" x14ac:dyDescent="0.25">
      <c r="A93">
        <v>2024</v>
      </c>
      <c r="B93" s="3" t="s">
        <v>421</v>
      </c>
      <c r="C93" t="s">
        <v>101</v>
      </c>
      <c r="D93">
        <v>6</v>
      </c>
      <c r="E93">
        <v>2</v>
      </c>
      <c r="F93" s="1">
        <f>INDEX('Dec100%_DOR PDF'!$B$3:$F$323,MATCH(SurtaxRatesSAS!$B93,'Dec100%_DOR PDF'!$F$3:$F$323,0),1)</f>
        <v>558281.51</v>
      </c>
      <c r="G93" s="1">
        <f t="shared" si="6"/>
        <v>558281.51</v>
      </c>
      <c r="H93" s="1">
        <f t="shared" si="12"/>
        <v>139570.38</v>
      </c>
      <c r="I93" s="1">
        <f t="shared" si="13"/>
        <v>418711.13</v>
      </c>
      <c r="J93" s="60"/>
      <c r="K93" s="1" t="e">
        <f>INDEX(#REF!,MATCH(SurtaxRatesSAS!$B93,#REF!,0),1)</f>
        <v>#REF!</v>
      </c>
      <c r="L93" s="1" t="e">
        <f t="shared" si="9"/>
        <v>#REF!</v>
      </c>
      <c r="M93" s="1" t="e">
        <f t="shared" si="10"/>
        <v>#REF!</v>
      </c>
      <c r="N93" s="1" t="e">
        <f t="shared" si="11"/>
        <v>#REF!</v>
      </c>
    </row>
    <row r="94" spans="1:14" x14ac:dyDescent="0.25">
      <c r="A94">
        <v>2024</v>
      </c>
      <c r="B94" s="3" t="s">
        <v>422</v>
      </c>
      <c r="C94" t="s">
        <v>102</v>
      </c>
      <c r="D94">
        <v>1</v>
      </c>
      <c r="E94">
        <v>1</v>
      </c>
      <c r="F94" s="1">
        <f>INDEX('Dec100%_DOR PDF'!$B$3:$F$323,MATCH(SurtaxRatesSAS!$B94,'Dec100%_DOR PDF'!$F$3:$F$323,0),1)</f>
        <v>482446.71</v>
      </c>
      <c r="G94" s="1">
        <f t="shared" si="6"/>
        <v>482446.71</v>
      </c>
      <c r="H94" s="1">
        <f t="shared" si="12"/>
        <v>241223.36</v>
      </c>
      <c r="I94" s="1">
        <f t="shared" si="13"/>
        <v>241223.35000000003</v>
      </c>
      <c r="J94" s="60"/>
      <c r="K94" s="1" t="e">
        <f>INDEX(#REF!,MATCH(SurtaxRatesSAS!$B94,#REF!,0),1)</f>
        <v>#REF!</v>
      </c>
      <c r="L94" s="1" t="e">
        <f t="shared" si="9"/>
        <v>#REF!</v>
      </c>
      <c r="M94" s="1" t="e">
        <f t="shared" si="10"/>
        <v>#REF!</v>
      </c>
      <c r="N94" s="1" t="e">
        <f t="shared" si="11"/>
        <v>#REF!</v>
      </c>
    </row>
    <row r="95" spans="1:14" x14ac:dyDescent="0.25">
      <c r="A95">
        <v>2024</v>
      </c>
      <c r="B95" s="3" t="s">
        <v>423</v>
      </c>
      <c r="C95" t="s">
        <v>650</v>
      </c>
      <c r="D95">
        <v>3</v>
      </c>
      <c r="E95">
        <v>0</v>
      </c>
      <c r="F95" s="1">
        <f>INDEX('Dec100%_DOR PDF'!$B$3:$F$323,MATCH(SurtaxRatesSAS!$B95,'Dec100%_DOR PDF'!$F$3:$F$323,0),1)</f>
        <v>450821.13</v>
      </c>
      <c r="G95" s="1">
        <f t="shared" si="6"/>
        <v>450821.13</v>
      </c>
      <c r="H95" s="1">
        <f t="shared" si="12"/>
        <v>0</v>
      </c>
      <c r="I95" s="1">
        <f t="shared" si="13"/>
        <v>450821.13</v>
      </c>
      <c r="J95" s="60"/>
      <c r="K95" s="1" t="e">
        <f>INDEX(#REF!,MATCH(SurtaxRatesSAS!$B95,#REF!,0),1)</f>
        <v>#REF!</v>
      </c>
      <c r="L95" s="1" t="e">
        <f t="shared" si="9"/>
        <v>#REF!</v>
      </c>
      <c r="M95" s="1" t="e">
        <f t="shared" si="10"/>
        <v>#REF!</v>
      </c>
      <c r="N95" s="1" t="e">
        <f t="shared" si="11"/>
        <v>#REF!</v>
      </c>
    </row>
    <row r="96" spans="1:14" x14ac:dyDescent="0.25">
      <c r="A96">
        <v>2024</v>
      </c>
      <c r="B96" s="3" t="s">
        <v>424</v>
      </c>
      <c r="C96" t="s">
        <v>103</v>
      </c>
      <c r="D96">
        <v>10</v>
      </c>
      <c r="E96">
        <v>8</v>
      </c>
      <c r="F96" s="1">
        <f>INDEX('Dec100%_DOR PDF'!$B$3:$F$323,MATCH(SurtaxRatesSAS!$B96,'Dec100%_DOR PDF'!$F$3:$F$323,0),1)</f>
        <v>371755.75</v>
      </c>
      <c r="G96" s="1">
        <f t="shared" si="6"/>
        <v>371755.75</v>
      </c>
      <c r="H96" s="1">
        <f t="shared" si="12"/>
        <v>165224.78</v>
      </c>
      <c r="I96" s="1">
        <f t="shared" si="13"/>
        <v>206530.97</v>
      </c>
      <c r="J96" s="60"/>
      <c r="K96" s="1" t="e">
        <f>INDEX(#REF!,MATCH(SurtaxRatesSAS!$B96,#REF!,0),1)</f>
        <v>#REF!</v>
      </c>
      <c r="L96" s="1" t="e">
        <f t="shared" si="9"/>
        <v>#REF!</v>
      </c>
      <c r="M96" s="1" t="e">
        <f t="shared" si="10"/>
        <v>#REF!</v>
      </c>
      <c r="N96" s="1" t="e">
        <f t="shared" si="11"/>
        <v>#REF!</v>
      </c>
    </row>
    <row r="97" spans="1:14" x14ac:dyDescent="0.25">
      <c r="A97">
        <v>2024</v>
      </c>
      <c r="B97" s="3" t="s">
        <v>435</v>
      </c>
      <c r="C97" t="s">
        <v>4</v>
      </c>
      <c r="D97">
        <v>8</v>
      </c>
      <c r="E97">
        <v>0</v>
      </c>
      <c r="F97" s="1">
        <f>INDEX('Dec100%_DOR PDF'!$B$3:$F$323,MATCH(SurtaxRatesSAS!$B97,'Dec100%_DOR PDF'!$F$3:$F$323,0),1)</f>
        <v>124578.83</v>
      </c>
      <c r="G97" s="1">
        <f t="shared" si="6"/>
        <v>124578.83</v>
      </c>
      <c r="H97" s="1">
        <f t="shared" si="12"/>
        <v>0</v>
      </c>
      <c r="I97" s="1">
        <f t="shared" si="13"/>
        <v>124578.83</v>
      </c>
      <c r="J97" s="60"/>
      <c r="K97" s="1" t="e">
        <f>INDEX(#REF!,MATCH(SurtaxRatesSAS!$B97,#REF!,0),1)</f>
        <v>#REF!</v>
      </c>
      <c r="L97" s="1" t="e">
        <f t="shared" si="9"/>
        <v>#REF!</v>
      </c>
      <c r="M97" s="1" t="e">
        <f t="shared" si="10"/>
        <v>#REF!</v>
      </c>
      <c r="N97" s="1" t="e">
        <f t="shared" si="11"/>
        <v>#REF!</v>
      </c>
    </row>
    <row r="98" spans="1:14" x14ac:dyDescent="0.25">
      <c r="A98">
        <v>2024</v>
      </c>
      <c r="B98" s="3" t="s">
        <v>425</v>
      </c>
      <c r="C98" t="s">
        <v>104</v>
      </c>
      <c r="D98">
        <v>5</v>
      </c>
      <c r="E98">
        <v>5</v>
      </c>
      <c r="F98" s="1">
        <f>INDEX('Dec100%_DOR PDF'!$B$3:$F$323,MATCH(SurtaxRatesSAS!$B98,'Dec100%_DOR PDF'!$F$3:$F$323,0),1)</f>
        <v>343453.8</v>
      </c>
      <c r="G98" s="1">
        <f t="shared" si="6"/>
        <v>343453.8</v>
      </c>
      <c r="H98" s="1">
        <f t="shared" si="12"/>
        <v>171726.9</v>
      </c>
      <c r="I98" s="1">
        <f t="shared" si="13"/>
        <v>171726.9</v>
      </c>
      <c r="J98" s="60"/>
      <c r="K98" s="1" t="e">
        <f>INDEX(#REF!,MATCH(SurtaxRatesSAS!$B98,#REF!,0),1)</f>
        <v>#REF!</v>
      </c>
      <c r="L98" s="1" t="e">
        <f t="shared" si="9"/>
        <v>#REF!</v>
      </c>
      <c r="M98" s="1" t="e">
        <f t="shared" si="10"/>
        <v>#REF!</v>
      </c>
      <c r="N98" s="1" t="e">
        <f t="shared" si="11"/>
        <v>#REF!</v>
      </c>
    </row>
    <row r="99" spans="1:14" x14ac:dyDescent="0.25">
      <c r="A99">
        <v>2024</v>
      </c>
      <c r="B99" s="3" t="s">
        <v>426</v>
      </c>
      <c r="C99" t="s">
        <v>105</v>
      </c>
      <c r="D99">
        <v>1</v>
      </c>
      <c r="E99">
        <v>1</v>
      </c>
      <c r="F99" s="1">
        <f>INDEX('Dec100%_DOR PDF'!$B$3:$F$323,MATCH(SurtaxRatesSAS!$B99,'Dec100%_DOR PDF'!$F$3:$F$323,0),1)</f>
        <v>142328.51999999999</v>
      </c>
      <c r="G99" s="1">
        <f t="shared" si="6"/>
        <v>142328.51999999999</v>
      </c>
      <c r="H99" s="1">
        <f t="shared" si="12"/>
        <v>71164.259999999995</v>
      </c>
      <c r="I99" s="1">
        <f t="shared" si="13"/>
        <v>71164.259999999995</v>
      </c>
      <c r="J99" s="60"/>
      <c r="K99" s="1" t="e">
        <f>INDEX(#REF!,MATCH(SurtaxRatesSAS!$B99,#REF!,0),1)</f>
        <v>#REF!</v>
      </c>
      <c r="L99" s="1" t="e">
        <f t="shared" si="9"/>
        <v>#REF!</v>
      </c>
      <c r="M99" s="1" t="e">
        <f t="shared" si="10"/>
        <v>#REF!</v>
      </c>
      <c r="N99" s="1" t="e">
        <f t="shared" si="11"/>
        <v>#REF!</v>
      </c>
    </row>
    <row r="100" spans="1:14" x14ac:dyDescent="0.25">
      <c r="A100">
        <v>2024</v>
      </c>
      <c r="B100" s="3" t="s">
        <v>427</v>
      </c>
      <c r="C100" t="s">
        <v>106</v>
      </c>
      <c r="D100">
        <v>10</v>
      </c>
      <c r="E100">
        <v>6</v>
      </c>
      <c r="F100" s="1">
        <f>INDEX('Dec100%_DOR PDF'!$B$3:$F$323,MATCH(SurtaxRatesSAS!$B100,'Dec100%_DOR PDF'!$F$3:$F$323,0),1)</f>
        <v>349044.82</v>
      </c>
      <c r="G100" s="1">
        <f t="shared" si="6"/>
        <v>349044.82</v>
      </c>
      <c r="H100" s="1">
        <f t="shared" si="12"/>
        <v>130891.81</v>
      </c>
      <c r="I100" s="1">
        <f t="shared" si="13"/>
        <v>218153.01</v>
      </c>
      <c r="J100" s="60"/>
      <c r="K100" s="1" t="e">
        <f>INDEX(#REF!,MATCH(SurtaxRatesSAS!$B100,#REF!,0),1)</f>
        <v>#REF!</v>
      </c>
      <c r="L100" s="1" t="e">
        <f t="shared" si="9"/>
        <v>#REF!</v>
      </c>
      <c r="M100" s="1" t="e">
        <f t="shared" si="10"/>
        <v>#REF!</v>
      </c>
      <c r="N100" s="1" t="e">
        <f t="shared" si="11"/>
        <v>#REF!</v>
      </c>
    </row>
    <row r="101" spans="1:14" x14ac:dyDescent="0.25">
      <c r="A101">
        <v>2024</v>
      </c>
      <c r="B101" s="3" t="s">
        <v>429</v>
      </c>
      <c r="C101" t="s">
        <v>107</v>
      </c>
      <c r="D101">
        <v>5</v>
      </c>
      <c r="E101">
        <v>0</v>
      </c>
      <c r="F101" s="1">
        <f>INDEX('Dec100%_DOR PDF'!$B$3:$F$323,MATCH(SurtaxRatesSAS!$B101,'Dec100%_DOR PDF'!$F$3:$F$323,0),1)</f>
        <v>34387.86</v>
      </c>
      <c r="G101" s="1">
        <f t="shared" si="6"/>
        <v>34387.86</v>
      </c>
      <c r="H101" s="1">
        <f t="shared" si="12"/>
        <v>0</v>
      </c>
      <c r="I101" s="1">
        <f t="shared" si="13"/>
        <v>34387.86</v>
      </c>
      <c r="J101" s="60"/>
      <c r="K101" s="1" t="e">
        <f>INDEX(#REF!,MATCH(SurtaxRatesSAS!$B101,#REF!,0),1)</f>
        <v>#REF!</v>
      </c>
      <c r="L101" s="1" t="e">
        <f t="shared" si="9"/>
        <v>#REF!</v>
      </c>
      <c r="M101" s="1" t="e">
        <f t="shared" si="10"/>
        <v>#REF!</v>
      </c>
      <c r="N101" s="1" t="e">
        <f t="shared" si="11"/>
        <v>#REF!</v>
      </c>
    </row>
    <row r="102" spans="1:14" x14ac:dyDescent="0.25">
      <c r="A102">
        <v>2024</v>
      </c>
      <c r="B102" s="3" t="s">
        <v>430</v>
      </c>
      <c r="C102" t="s">
        <v>108</v>
      </c>
      <c r="D102">
        <v>1</v>
      </c>
      <c r="E102">
        <v>1</v>
      </c>
      <c r="F102" s="1">
        <f>INDEX('Dec100%_DOR PDF'!$B$3:$F$323,MATCH(SurtaxRatesSAS!$B102,'Dec100%_DOR PDF'!$F$3:$F$323,0),1)</f>
        <v>93925.91</v>
      </c>
      <c r="G102" s="1">
        <f t="shared" si="6"/>
        <v>93925.91</v>
      </c>
      <c r="H102" s="1">
        <f t="shared" si="12"/>
        <v>46962.96</v>
      </c>
      <c r="I102" s="1">
        <f t="shared" si="13"/>
        <v>46962.950000000004</v>
      </c>
      <c r="J102" s="60"/>
      <c r="K102" s="1" t="e">
        <f>INDEX(#REF!,MATCH(SurtaxRatesSAS!$B102,#REF!,0),1)</f>
        <v>#REF!</v>
      </c>
      <c r="L102" s="1" t="e">
        <f t="shared" si="9"/>
        <v>#REF!</v>
      </c>
      <c r="M102" s="1" t="e">
        <f t="shared" si="10"/>
        <v>#REF!</v>
      </c>
      <c r="N102" s="1" t="e">
        <f t="shared" si="11"/>
        <v>#REF!</v>
      </c>
    </row>
    <row r="103" spans="1:14" x14ac:dyDescent="0.25">
      <c r="A103">
        <v>2024</v>
      </c>
      <c r="B103" s="3" t="s">
        <v>431</v>
      </c>
      <c r="C103" t="s">
        <v>109</v>
      </c>
      <c r="D103">
        <v>9</v>
      </c>
      <c r="E103">
        <v>0</v>
      </c>
      <c r="F103" s="1">
        <f>INDEX('Dec100%_DOR PDF'!$B$3:$F$323,MATCH(SurtaxRatesSAS!$B103,'Dec100%_DOR PDF'!$F$3:$F$323,0),1)</f>
        <v>785851.23</v>
      </c>
      <c r="G103" s="1">
        <f t="shared" si="6"/>
        <v>785851.23</v>
      </c>
      <c r="H103" s="1">
        <f t="shared" si="12"/>
        <v>0</v>
      </c>
      <c r="I103" s="1">
        <f t="shared" si="13"/>
        <v>785851.23</v>
      </c>
      <c r="J103" s="60"/>
      <c r="K103" s="1" t="e">
        <f>INDEX(#REF!,MATCH(SurtaxRatesSAS!$B103,#REF!,0),1)</f>
        <v>#REF!</v>
      </c>
      <c r="L103" s="1" t="e">
        <f t="shared" si="9"/>
        <v>#REF!</v>
      </c>
      <c r="M103" s="1" t="e">
        <f t="shared" si="10"/>
        <v>#REF!</v>
      </c>
      <c r="N103" s="1" t="e">
        <f t="shared" si="11"/>
        <v>#REF!</v>
      </c>
    </row>
    <row r="104" spans="1:14" x14ac:dyDescent="0.25">
      <c r="A104">
        <v>2024</v>
      </c>
      <c r="B104" s="3" t="s">
        <v>432</v>
      </c>
      <c r="C104" t="s">
        <v>110</v>
      </c>
      <c r="D104">
        <v>1</v>
      </c>
      <c r="E104">
        <v>0</v>
      </c>
      <c r="F104" s="1">
        <f>INDEX('Dec100%_DOR PDF'!$B$3:$F$323,MATCH(SurtaxRatesSAS!$B104,'Dec100%_DOR PDF'!$F$3:$F$323,0),1)</f>
        <v>19016.16</v>
      </c>
      <c r="G104" s="1">
        <f t="shared" si="6"/>
        <v>19016.16</v>
      </c>
      <c r="H104" s="1">
        <f t="shared" si="12"/>
        <v>0</v>
      </c>
      <c r="I104" s="1">
        <f t="shared" si="13"/>
        <v>19016.16</v>
      </c>
      <c r="J104" s="60"/>
      <c r="K104" s="1" t="e">
        <f>INDEX(#REF!,MATCH(SurtaxRatesSAS!$B104,#REF!,0),1)</f>
        <v>#REF!</v>
      </c>
      <c r="L104" s="1" t="e">
        <f t="shared" si="9"/>
        <v>#REF!</v>
      </c>
      <c r="M104" s="1" t="e">
        <f t="shared" si="10"/>
        <v>#REF!</v>
      </c>
      <c r="N104" s="1" t="e">
        <f t="shared" si="11"/>
        <v>#REF!</v>
      </c>
    </row>
    <row r="105" spans="1:14" x14ac:dyDescent="0.25">
      <c r="A105">
        <v>2024</v>
      </c>
      <c r="B105" s="3" t="s">
        <v>433</v>
      </c>
      <c r="C105" t="s">
        <v>111</v>
      </c>
      <c r="D105">
        <v>3</v>
      </c>
      <c r="E105">
        <v>1</v>
      </c>
      <c r="F105" s="1">
        <f>INDEX('Dec100%_DOR PDF'!$B$3:$F$323,MATCH(SurtaxRatesSAS!$B105,'Dec100%_DOR PDF'!$F$3:$F$323,0),1)</f>
        <v>95667.11</v>
      </c>
      <c r="G105" s="1">
        <f t="shared" si="6"/>
        <v>95667.11</v>
      </c>
      <c r="H105" s="1">
        <f t="shared" si="12"/>
        <v>23916.78</v>
      </c>
      <c r="I105" s="1">
        <f t="shared" si="13"/>
        <v>71750.33</v>
      </c>
      <c r="J105" s="60"/>
      <c r="K105" s="1" t="e">
        <f>INDEX(#REF!,MATCH(SurtaxRatesSAS!$B105,#REF!,0),1)</f>
        <v>#REF!</v>
      </c>
      <c r="L105" s="1" t="e">
        <f t="shared" si="9"/>
        <v>#REF!</v>
      </c>
      <c r="M105" s="1" t="e">
        <f t="shared" si="10"/>
        <v>#REF!</v>
      </c>
      <c r="N105" s="1" t="e">
        <f t="shared" si="11"/>
        <v>#REF!</v>
      </c>
    </row>
    <row r="106" spans="1:14" x14ac:dyDescent="0.25">
      <c r="A106">
        <v>2024</v>
      </c>
      <c r="B106" s="3" t="s">
        <v>461</v>
      </c>
      <c r="C106" t="s">
        <v>112</v>
      </c>
      <c r="D106">
        <v>6</v>
      </c>
      <c r="E106">
        <v>3</v>
      </c>
      <c r="F106" s="1">
        <f>INDEX('Dec100%_DOR PDF'!$B$3:$F$323,MATCH(SurtaxRatesSAS!$B106,'Dec100%_DOR PDF'!$F$3:$F$323,0),1)</f>
        <v>657100.66</v>
      </c>
      <c r="G106" s="1">
        <f t="shared" si="6"/>
        <v>657100.66</v>
      </c>
      <c r="H106" s="1">
        <f t="shared" si="12"/>
        <v>219033.55</v>
      </c>
      <c r="I106" s="1">
        <f t="shared" si="13"/>
        <v>438067.11000000004</v>
      </c>
      <c r="J106" s="60"/>
      <c r="K106" s="1" t="e">
        <f>INDEX(#REF!,MATCH(SurtaxRatesSAS!$B106,#REF!,0),1)</f>
        <v>#REF!</v>
      </c>
      <c r="L106" s="1" t="e">
        <f t="shared" si="9"/>
        <v>#REF!</v>
      </c>
      <c r="M106" s="1" t="e">
        <f t="shared" si="10"/>
        <v>#REF!</v>
      </c>
      <c r="N106" s="1" t="e">
        <f t="shared" si="11"/>
        <v>#REF!</v>
      </c>
    </row>
    <row r="107" spans="1:14" x14ac:dyDescent="0.25">
      <c r="A107">
        <v>2024</v>
      </c>
      <c r="B107" s="3" t="s">
        <v>436</v>
      </c>
      <c r="C107" t="s">
        <v>113</v>
      </c>
      <c r="D107">
        <v>1</v>
      </c>
      <c r="E107">
        <v>1</v>
      </c>
      <c r="F107" s="1">
        <f>INDEX('Dec100%_DOR PDF'!$B$3:$F$323,MATCH(SurtaxRatesSAS!$B107,'Dec100%_DOR PDF'!$F$3:$F$323,0),1)</f>
        <v>235343.68</v>
      </c>
      <c r="G107" s="1">
        <f t="shared" si="6"/>
        <v>235343.68</v>
      </c>
      <c r="H107" s="1">
        <f t="shared" si="12"/>
        <v>117671.84</v>
      </c>
      <c r="I107" s="1">
        <f t="shared" si="13"/>
        <v>117671.84</v>
      </c>
      <c r="J107" s="60"/>
      <c r="K107" s="1" t="e">
        <f>INDEX(#REF!,MATCH(SurtaxRatesSAS!$B107,#REF!,0),1)</f>
        <v>#REF!</v>
      </c>
      <c r="L107" s="1" t="e">
        <f t="shared" si="9"/>
        <v>#REF!</v>
      </c>
      <c r="M107" s="1" t="e">
        <f t="shared" si="10"/>
        <v>#REF!</v>
      </c>
      <c r="N107" s="1" t="e">
        <f t="shared" si="11"/>
        <v>#REF!</v>
      </c>
    </row>
    <row r="108" spans="1:14" x14ac:dyDescent="0.25">
      <c r="A108">
        <v>2024</v>
      </c>
      <c r="B108" s="3" t="s">
        <v>437</v>
      </c>
      <c r="C108" t="s">
        <v>114</v>
      </c>
      <c r="D108">
        <v>1</v>
      </c>
      <c r="E108">
        <v>0</v>
      </c>
      <c r="F108" s="1">
        <f>INDEX('Dec100%_DOR PDF'!$B$3:$F$323,MATCH(SurtaxRatesSAS!$B108,'Dec100%_DOR PDF'!$F$3:$F$323,0),1)</f>
        <v>27753.1</v>
      </c>
      <c r="G108" s="1">
        <f t="shared" si="6"/>
        <v>27753.1</v>
      </c>
      <c r="H108" s="1">
        <f t="shared" si="12"/>
        <v>0</v>
      </c>
      <c r="I108" s="1">
        <f t="shared" si="13"/>
        <v>27753.1</v>
      </c>
      <c r="J108" s="60"/>
      <c r="K108" s="1" t="e">
        <f>INDEX(#REF!,MATCH(SurtaxRatesSAS!$B108,#REF!,0),1)</f>
        <v>#REF!</v>
      </c>
      <c r="L108" s="1" t="e">
        <f t="shared" si="9"/>
        <v>#REF!</v>
      </c>
      <c r="M108" s="1" t="e">
        <f t="shared" si="10"/>
        <v>#REF!</v>
      </c>
      <c r="N108" s="1" t="e">
        <f t="shared" si="11"/>
        <v>#REF!</v>
      </c>
    </row>
    <row r="109" spans="1:14" x14ac:dyDescent="0.25">
      <c r="A109">
        <v>2024</v>
      </c>
      <c r="B109" s="3" t="s">
        <v>438</v>
      </c>
      <c r="C109" t="s">
        <v>115</v>
      </c>
      <c r="D109">
        <v>6</v>
      </c>
      <c r="E109">
        <v>0</v>
      </c>
      <c r="F109" s="1">
        <f>INDEX('Dec100%_DOR PDF'!$B$3:$F$323,MATCH(SurtaxRatesSAS!$B109,'Dec100%_DOR PDF'!$F$3:$F$323,0),1)</f>
        <v>261271.04000000001</v>
      </c>
      <c r="G109" s="1">
        <f t="shared" si="6"/>
        <v>261271.04000000001</v>
      </c>
      <c r="H109" s="1">
        <f t="shared" si="12"/>
        <v>0</v>
      </c>
      <c r="I109" s="1">
        <f t="shared" si="13"/>
        <v>261271.04000000001</v>
      </c>
      <c r="J109" s="60"/>
      <c r="K109" s="1" t="e">
        <f>INDEX(#REF!,MATCH(SurtaxRatesSAS!$B109,#REF!,0),1)</f>
        <v>#REF!</v>
      </c>
      <c r="L109" s="1" t="e">
        <f t="shared" si="9"/>
        <v>#REF!</v>
      </c>
      <c r="M109" s="1" t="e">
        <f t="shared" si="10"/>
        <v>#REF!</v>
      </c>
      <c r="N109" s="1" t="e">
        <f t="shared" si="11"/>
        <v>#REF!</v>
      </c>
    </row>
    <row r="110" spans="1:14" x14ac:dyDescent="0.25">
      <c r="A110">
        <v>2024</v>
      </c>
      <c r="B110" s="3" t="s">
        <v>439</v>
      </c>
      <c r="C110" t="s">
        <v>116</v>
      </c>
      <c r="D110">
        <v>7</v>
      </c>
      <c r="E110">
        <v>0</v>
      </c>
      <c r="F110" s="1">
        <f>INDEX('Dec100%_DOR PDF'!$B$3:$F$323,MATCH(SurtaxRatesSAS!$B110,'Dec100%_DOR PDF'!$F$3:$F$323,0),1)</f>
        <v>181585.27</v>
      </c>
      <c r="G110" s="1">
        <f t="shared" si="6"/>
        <v>181585.27</v>
      </c>
      <c r="H110" s="1">
        <f t="shared" si="12"/>
        <v>0</v>
      </c>
      <c r="I110" s="1">
        <f t="shared" si="13"/>
        <v>181585.27</v>
      </c>
      <c r="J110" s="60"/>
      <c r="K110" s="1" t="e">
        <f>INDEX(#REF!,MATCH(SurtaxRatesSAS!$B110,#REF!,0),1)</f>
        <v>#REF!</v>
      </c>
      <c r="L110" s="1" t="e">
        <f t="shared" si="9"/>
        <v>#REF!</v>
      </c>
      <c r="M110" s="1" t="e">
        <f t="shared" si="10"/>
        <v>#REF!</v>
      </c>
      <c r="N110" s="1" t="e">
        <f t="shared" si="11"/>
        <v>#REF!</v>
      </c>
    </row>
    <row r="111" spans="1:14" x14ac:dyDescent="0.25">
      <c r="A111">
        <v>2024</v>
      </c>
      <c r="B111" s="3" t="s">
        <v>441</v>
      </c>
      <c r="C111" t="s">
        <v>5</v>
      </c>
      <c r="D111">
        <v>1</v>
      </c>
      <c r="E111">
        <v>1</v>
      </c>
      <c r="F111" s="1">
        <f>INDEX('Dec100%_DOR PDF'!$B$3:$F$323,MATCH(SurtaxRatesSAS!$B111,'Dec100%_DOR PDF'!$F$3:$F$323,0),1)</f>
        <v>39402.959999999999</v>
      </c>
      <c r="G111" s="1">
        <f t="shared" si="6"/>
        <v>39402.959999999999</v>
      </c>
      <c r="H111" s="1">
        <f t="shared" si="12"/>
        <v>19701.48</v>
      </c>
      <c r="I111" s="1">
        <f t="shared" si="13"/>
        <v>19701.48</v>
      </c>
      <c r="J111" s="60"/>
      <c r="K111" s="1" t="e">
        <f>INDEX(#REF!,MATCH(SurtaxRatesSAS!$B111,#REF!,0),1)</f>
        <v>#REF!</v>
      </c>
      <c r="L111" s="1" t="e">
        <f t="shared" si="9"/>
        <v>#REF!</v>
      </c>
      <c r="M111" s="1" t="e">
        <f t="shared" si="10"/>
        <v>#REF!</v>
      </c>
      <c r="N111" s="1" t="e">
        <f t="shared" si="11"/>
        <v>#REF!</v>
      </c>
    </row>
    <row r="112" spans="1:14" x14ac:dyDescent="0.25">
      <c r="A112">
        <v>2024</v>
      </c>
      <c r="B112" s="3" t="s">
        <v>442</v>
      </c>
      <c r="C112" t="s">
        <v>117</v>
      </c>
      <c r="D112">
        <v>1</v>
      </c>
      <c r="E112">
        <v>3</v>
      </c>
      <c r="F112" s="1">
        <f>INDEX('Dec100%_DOR PDF'!$B$3:$F$323,MATCH(SurtaxRatesSAS!$B112,'Dec100%_DOR PDF'!$F$3:$F$323,0),1)</f>
        <v>61310.6</v>
      </c>
      <c r="G112" s="1">
        <f t="shared" si="6"/>
        <v>61310.6</v>
      </c>
      <c r="H112" s="1">
        <f t="shared" si="12"/>
        <v>45982.95</v>
      </c>
      <c r="I112" s="1">
        <f t="shared" si="13"/>
        <v>15327.650000000001</v>
      </c>
      <c r="J112" s="60"/>
      <c r="K112" s="1" t="e">
        <f>INDEX(#REF!,MATCH(SurtaxRatesSAS!$B112,#REF!,0),1)</f>
        <v>#REF!</v>
      </c>
      <c r="L112" s="1" t="e">
        <f t="shared" si="9"/>
        <v>#REF!</v>
      </c>
      <c r="M112" s="1" t="e">
        <f t="shared" si="10"/>
        <v>#REF!</v>
      </c>
      <c r="N112" s="1" t="e">
        <f t="shared" si="11"/>
        <v>#REF!</v>
      </c>
    </row>
    <row r="113" spans="1:14" x14ac:dyDescent="0.25">
      <c r="A113">
        <v>2024</v>
      </c>
      <c r="B113" s="3" t="s">
        <v>443</v>
      </c>
      <c r="C113" t="s">
        <v>118</v>
      </c>
      <c r="D113">
        <v>3</v>
      </c>
      <c r="E113">
        <v>0</v>
      </c>
      <c r="F113" s="1">
        <f>INDEX('Dec100%_DOR PDF'!$B$3:$F$323,MATCH(SurtaxRatesSAS!$B113,'Dec100%_DOR PDF'!$F$3:$F$323,0),1)</f>
        <v>159254.51999999999</v>
      </c>
      <c r="G113" s="1">
        <f t="shared" si="6"/>
        <v>159254.51999999999</v>
      </c>
      <c r="H113" s="1">
        <f t="shared" si="12"/>
        <v>0</v>
      </c>
      <c r="I113" s="1">
        <f t="shared" si="13"/>
        <v>159254.51999999999</v>
      </c>
      <c r="J113" s="60"/>
      <c r="K113" s="1" t="e">
        <f>INDEX(#REF!,MATCH(SurtaxRatesSAS!$B113,#REF!,0),1)</f>
        <v>#REF!</v>
      </c>
      <c r="L113" s="1" t="e">
        <f t="shared" si="9"/>
        <v>#REF!</v>
      </c>
      <c r="M113" s="1" t="e">
        <f t="shared" si="10"/>
        <v>#REF!</v>
      </c>
      <c r="N113" s="1" t="e">
        <f t="shared" si="11"/>
        <v>#REF!</v>
      </c>
    </row>
    <row r="114" spans="1:14" x14ac:dyDescent="0.25">
      <c r="A114">
        <v>2024</v>
      </c>
      <c r="B114" s="3" t="s">
        <v>444</v>
      </c>
      <c r="C114" t="s">
        <v>119</v>
      </c>
      <c r="D114">
        <v>7</v>
      </c>
      <c r="E114">
        <v>0</v>
      </c>
      <c r="F114" s="1">
        <f>INDEX('Dec100%_DOR PDF'!$B$3:$F$323,MATCH(SurtaxRatesSAS!$B114,'Dec100%_DOR PDF'!$F$3:$F$323,0),1)</f>
        <v>665015.76</v>
      </c>
      <c r="G114" s="1">
        <f t="shared" si="6"/>
        <v>665015.76</v>
      </c>
      <c r="H114" s="1">
        <f t="shared" si="12"/>
        <v>0</v>
      </c>
      <c r="I114" s="1">
        <f t="shared" si="13"/>
        <v>665015.76</v>
      </c>
      <c r="J114" s="60"/>
      <c r="K114" s="1" t="e">
        <f>INDEX(#REF!,MATCH(SurtaxRatesSAS!$B114,#REF!,0),1)</f>
        <v>#REF!</v>
      </c>
      <c r="L114" s="1" t="e">
        <f t="shared" si="9"/>
        <v>#REF!</v>
      </c>
      <c r="M114" s="1" t="e">
        <f t="shared" si="10"/>
        <v>#REF!</v>
      </c>
      <c r="N114" s="1" t="e">
        <f t="shared" si="11"/>
        <v>#REF!</v>
      </c>
    </row>
    <row r="115" spans="1:14" x14ac:dyDescent="0.25">
      <c r="A115">
        <v>2024</v>
      </c>
      <c r="B115" s="3" t="s">
        <v>446</v>
      </c>
      <c r="C115" t="s">
        <v>121</v>
      </c>
      <c r="D115">
        <v>2</v>
      </c>
      <c r="E115">
        <v>1</v>
      </c>
      <c r="F115" s="1">
        <f>INDEX('Dec100%_DOR PDF'!$B$3:$F$323,MATCH(SurtaxRatesSAS!$B115,'Dec100%_DOR PDF'!$F$3:$F$323,0),1)</f>
        <v>137038.16</v>
      </c>
      <c r="G115" s="1">
        <f t="shared" si="6"/>
        <v>137038.16</v>
      </c>
      <c r="H115" s="1">
        <f t="shared" si="12"/>
        <v>45679.39</v>
      </c>
      <c r="I115" s="1">
        <f t="shared" si="13"/>
        <v>91358.77</v>
      </c>
      <c r="J115" s="60"/>
      <c r="K115" s="1" t="e">
        <f>INDEX(#REF!,MATCH(SurtaxRatesSAS!$B115,#REF!,0),1)</f>
        <v>#REF!</v>
      </c>
      <c r="L115" s="1" t="e">
        <f t="shared" si="9"/>
        <v>#REF!</v>
      </c>
      <c r="M115" s="1" t="e">
        <f t="shared" si="10"/>
        <v>#REF!</v>
      </c>
      <c r="N115" s="1" t="e">
        <f t="shared" si="11"/>
        <v>#REF!</v>
      </c>
    </row>
    <row r="116" spans="1:14" x14ac:dyDescent="0.25">
      <c r="A116">
        <v>2024</v>
      </c>
      <c r="B116" s="3" t="s">
        <v>447</v>
      </c>
      <c r="C116" t="s">
        <v>122</v>
      </c>
      <c r="D116">
        <v>2</v>
      </c>
      <c r="E116">
        <v>0</v>
      </c>
      <c r="F116" s="1">
        <f>INDEX('Dec100%_DOR PDF'!$B$3:$F$323,MATCH(SurtaxRatesSAS!$B116,'Dec100%_DOR PDF'!$F$3:$F$323,0),1)</f>
        <v>113308.21</v>
      </c>
      <c r="G116" s="1">
        <f t="shared" si="6"/>
        <v>113308.21</v>
      </c>
      <c r="H116" s="1">
        <f t="shared" si="12"/>
        <v>0</v>
      </c>
      <c r="I116" s="1">
        <f t="shared" si="13"/>
        <v>113308.21</v>
      </c>
      <c r="J116" s="60"/>
      <c r="K116" s="1" t="e">
        <f>INDEX(#REF!,MATCH(SurtaxRatesSAS!$B116,#REF!,0),1)</f>
        <v>#REF!</v>
      </c>
      <c r="L116" s="1" t="e">
        <f t="shared" si="9"/>
        <v>#REF!</v>
      </c>
      <c r="M116" s="1" t="e">
        <f t="shared" si="10"/>
        <v>#REF!</v>
      </c>
      <c r="N116" s="1" t="e">
        <f t="shared" si="11"/>
        <v>#REF!</v>
      </c>
    </row>
    <row r="117" spans="1:14" x14ac:dyDescent="0.25">
      <c r="A117">
        <v>2024</v>
      </c>
      <c r="B117" s="3" t="s">
        <v>448</v>
      </c>
      <c r="C117" t="s">
        <v>123</v>
      </c>
      <c r="D117">
        <v>7</v>
      </c>
      <c r="E117">
        <v>0</v>
      </c>
      <c r="F117" s="1">
        <f>INDEX('Dec100%_DOR PDF'!$B$3:$F$323,MATCH(SurtaxRatesSAS!$B117,'Dec100%_DOR PDF'!$F$3:$F$323,0),1)</f>
        <v>327505.49</v>
      </c>
      <c r="G117" s="1">
        <f t="shared" si="6"/>
        <v>327505.49</v>
      </c>
      <c r="H117" s="1">
        <f t="shared" si="12"/>
        <v>0</v>
      </c>
      <c r="I117" s="1">
        <f t="shared" si="13"/>
        <v>327505.49</v>
      </c>
      <c r="J117" s="60"/>
      <c r="K117" s="1" t="e">
        <f>INDEX(#REF!,MATCH(SurtaxRatesSAS!$B117,#REF!,0),1)</f>
        <v>#REF!</v>
      </c>
      <c r="L117" s="1" t="e">
        <f t="shared" si="9"/>
        <v>#REF!</v>
      </c>
      <c r="M117" s="1" t="e">
        <f t="shared" si="10"/>
        <v>#REF!</v>
      </c>
      <c r="N117" s="1" t="e">
        <f t="shared" si="11"/>
        <v>#REF!</v>
      </c>
    </row>
    <row r="118" spans="1:14" x14ac:dyDescent="0.25">
      <c r="A118">
        <v>2024</v>
      </c>
      <c r="B118" s="3" t="s">
        <v>449</v>
      </c>
      <c r="C118" t="s">
        <v>124</v>
      </c>
      <c r="D118">
        <v>3</v>
      </c>
      <c r="E118">
        <v>3</v>
      </c>
      <c r="F118" s="1">
        <f>INDEX('Dec100%_DOR PDF'!$B$3:$F$323,MATCH(SurtaxRatesSAS!$B118,'Dec100%_DOR PDF'!$F$3:$F$323,0),1)</f>
        <v>490443.29</v>
      </c>
      <c r="G118" s="1">
        <f t="shared" si="6"/>
        <v>490443.29</v>
      </c>
      <c r="H118" s="1">
        <f t="shared" si="12"/>
        <v>245221.65</v>
      </c>
      <c r="I118" s="1">
        <f t="shared" si="13"/>
        <v>245221.63999999998</v>
      </c>
      <c r="J118" s="60"/>
      <c r="K118" s="1" t="e">
        <f>INDEX(#REF!,MATCH(SurtaxRatesSAS!$B118,#REF!,0),1)</f>
        <v>#REF!</v>
      </c>
      <c r="L118" s="1" t="e">
        <f t="shared" si="9"/>
        <v>#REF!</v>
      </c>
      <c r="M118" s="1" t="e">
        <f t="shared" si="10"/>
        <v>#REF!</v>
      </c>
      <c r="N118" s="1" t="e">
        <f t="shared" si="11"/>
        <v>#REF!</v>
      </c>
    </row>
    <row r="119" spans="1:14" x14ac:dyDescent="0.25">
      <c r="A119">
        <v>2024</v>
      </c>
      <c r="B119" s="3" t="s">
        <v>451</v>
      </c>
      <c r="C119" t="s">
        <v>125</v>
      </c>
      <c r="D119">
        <v>2</v>
      </c>
      <c r="E119">
        <v>0</v>
      </c>
      <c r="F119" s="1">
        <f>INDEX('Dec100%_DOR PDF'!$B$3:$F$323,MATCH(SurtaxRatesSAS!$B119,'Dec100%_DOR PDF'!$F$3:$F$323,0),1)</f>
        <v>105716.89</v>
      </c>
      <c r="G119" s="1">
        <f t="shared" si="6"/>
        <v>105716.89</v>
      </c>
      <c r="H119" s="1">
        <f t="shared" si="12"/>
        <v>0</v>
      </c>
      <c r="I119" s="1">
        <f t="shared" si="13"/>
        <v>105716.89</v>
      </c>
      <c r="J119" s="60"/>
      <c r="K119" s="1" t="e">
        <f>INDEX(#REF!,MATCH(SurtaxRatesSAS!$B119,#REF!,0),1)</f>
        <v>#REF!</v>
      </c>
      <c r="L119" s="1" t="e">
        <f t="shared" si="9"/>
        <v>#REF!</v>
      </c>
      <c r="M119" s="1" t="e">
        <f t="shared" si="10"/>
        <v>#REF!</v>
      </c>
      <c r="N119" s="1" t="e">
        <f t="shared" si="11"/>
        <v>#REF!</v>
      </c>
    </row>
    <row r="120" spans="1:14" x14ac:dyDescent="0.25">
      <c r="A120">
        <v>2024</v>
      </c>
      <c r="B120" s="3" t="s">
        <v>452</v>
      </c>
      <c r="C120" t="s">
        <v>126</v>
      </c>
      <c r="D120">
        <v>2</v>
      </c>
      <c r="E120">
        <v>0</v>
      </c>
      <c r="F120" s="1">
        <f>INDEX('Dec100%_DOR PDF'!$B$3:$F$323,MATCH(SurtaxRatesSAS!$B120,'Dec100%_DOR PDF'!$F$3:$F$323,0),1)</f>
        <v>211422.33</v>
      </c>
      <c r="G120" s="1">
        <f t="shared" si="6"/>
        <v>211422.33</v>
      </c>
      <c r="H120" s="1">
        <f t="shared" si="12"/>
        <v>0</v>
      </c>
      <c r="I120" s="1">
        <f t="shared" si="13"/>
        <v>211422.33</v>
      </c>
      <c r="J120" s="60"/>
      <c r="K120" s="1" t="e">
        <f>INDEX(#REF!,MATCH(SurtaxRatesSAS!$B120,#REF!,0),1)</f>
        <v>#REF!</v>
      </c>
      <c r="L120" s="1" t="e">
        <f t="shared" si="9"/>
        <v>#REF!</v>
      </c>
      <c r="M120" s="1" t="e">
        <f t="shared" si="10"/>
        <v>#REF!</v>
      </c>
      <c r="N120" s="1" t="e">
        <f t="shared" si="11"/>
        <v>#REF!</v>
      </c>
    </row>
    <row r="121" spans="1:14" x14ac:dyDescent="0.25">
      <c r="A121">
        <v>2024</v>
      </c>
      <c r="B121" s="3" t="s">
        <v>459</v>
      </c>
      <c r="C121" t="s">
        <v>127</v>
      </c>
      <c r="D121">
        <v>4</v>
      </c>
      <c r="E121">
        <v>1</v>
      </c>
      <c r="F121" s="1">
        <f>INDEX('Dec100%_DOR PDF'!$B$3:$F$323,MATCH(SurtaxRatesSAS!$B121,'Dec100%_DOR PDF'!$F$3:$F$323,0),1)</f>
        <v>216163.9</v>
      </c>
      <c r="G121" s="1">
        <f t="shared" si="6"/>
        <v>216163.9</v>
      </c>
      <c r="H121" s="1">
        <f t="shared" si="12"/>
        <v>43232.78</v>
      </c>
      <c r="I121" s="1">
        <f t="shared" si="13"/>
        <v>172931.12</v>
      </c>
      <c r="J121" s="60"/>
      <c r="K121" s="1" t="e">
        <f>INDEX(#REF!,MATCH(SurtaxRatesSAS!$B121,#REF!,0),1)</f>
        <v>#REF!</v>
      </c>
      <c r="L121" s="1" t="e">
        <f t="shared" si="9"/>
        <v>#REF!</v>
      </c>
      <c r="M121" s="1" t="e">
        <f t="shared" si="10"/>
        <v>#REF!</v>
      </c>
      <c r="N121" s="1" t="e">
        <f t="shared" si="11"/>
        <v>#REF!</v>
      </c>
    </row>
    <row r="122" spans="1:14" x14ac:dyDescent="0.25">
      <c r="A122">
        <v>2024</v>
      </c>
      <c r="B122" s="3" t="s">
        <v>453</v>
      </c>
      <c r="C122" t="s">
        <v>128</v>
      </c>
      <c r="D122">
        <v>6</v>
      </c>
      <c r="E122">
        <v>0</v>
      </c>
      <c r="F122" s="1">
        <f>INDEX('Dec100%_DOR PDF'!$B$3:$F$323,MATCH(SurtaxRatesSAS!$B122,'Dec100%_DOR PDF'!$F$3:$F$323,0),1)</f>
        <v>627241.93000000005</v>
      </c>
      <c r="G122" s="1">
        <f t="shared" si="6"/>
        <v>627241.93000000005</v>
      </c>
      <c r="H122" s="1">
        <f t="shared" si="12"/>
        <v>0</v>
      </c>
      <c r="I122" s="1">
        <f t="shared" si="13"/>
        <v>627241.93000000005</v>
      </c>
      <c r="J122" s="60"/>
      <c r="K122" s="1" t="e">
        <f>INDEX(#REF!,MATCH(SurtaxRatesSAS!$B122,#REF!,0),1)</f>
        <v>#REF!</v>
      </c>
      <c r="L122" s="1" t="e">
        <f t="shared" si="9"/>
        <v>#REF!</v>
      </c>
      <c r="M122" s="1" t="e">
        <f t="shared" si="10"/>
        <v>#REF!</v>
      </c>
      <c r="N122" s="1" t="e">
        <f t="shared" si="11"/>
        <v>#REF!</v>
      </c>
    </row>
    <row r="123" spans="1:14" x14ac:dyDescent="0.25">
      <c r="A123">
        <v>2024</v>
      </c>
      <c r="B123" s="3" t="s">
        <v>454</v>
      </c>
      <c r="C123" t="s">
        <v>129</v>
      </c>
      <c r="D123">
        <v>5</v>
      </c>
      <c r="E123">
        <v>0</v>
      </c>
      <c r="F123" s="1">
        <f>INDEX('Dec100%_DOR PDF'!$B$3:$F$323,MATCH(SurtaxRatesSAS!$B123,'Dec100%_DOR PDF'!$F$3:$F$323,0),1)</f>
        <v>1373915.68</v>
      </c>
      <c r="G123" s="1">
        <f t="shared" si="6"/>
        <v>1373915.68</v>
      </c>
      <c r="H123" s="1">
        <f t="shared" si="12"/>
        <v>0</v>
      </c>
      <c r="I123" s="1">
        <f t="shared" si="13"/>
        <v>1373915.68</v>
      </c>
      <c r="J123" s="60"/>
      <c r="K123" s="1" t="e">
        <f>INDEX(#REF!,MATCH(SurtaxRatesSAS!$B123,#REF!,0),1)</f>
        <v>#REF!</v>
      </c>
      <c r="L123" s="1" t="e">
        <f t="shared" si="9"/>
        <v>#REF!</v>
      </c>
      <c r="M123" s="1" t="e">
        <f t="shared" si="10"/>
        <v>#REF!</v>
      </c>
      <c r="N123" s="1" t="e">
        <f t="shared" si="11"/>
        <v>#REF!</v>
      </c>
    </row>
    <row r="124" spans="1:14" x14ac:dyDescent="0.25">
      <c r="A124">
        <v>2024</v>
      </c>
      <c r="B124" s="3" t="s">
        <v>456</v>
      </c>
      <c r="C124" t="s">
        <v>130</v>
      </c>
      <c r="D124">
        <v>4</v>
      </c>
      <c r="E124">
        <v>0</v>
      </c>
      <c r="F124" s="1">
        <f>INDEX('Dec100%_DOR PDF'!$B$3:$F$323,MATCH(SurtaxRatesSAS!$B124,'Dec100%_DOR PDF'!$F$3:$F$323,0),1)</f>
        <v>6729556.96</v>
      </c>
      <c r="G124" s="1">
        <f t="shared" si="6"/>
        <v>6729556.96</v>
      </c>
      <c r="H124" s="1">
        <f t="shared" si="12"/>
        <v>0</v>
      </c>
      <c r="I124" s="1">
        <f t="shared" si="13"/>
        <v>6729556.96</v>
      </c>
      <c r="J124" s="60"/>
      <c r="K124" s="1" t="e">
        <f>INDEX(#REF!,MATCH(SurtaxRatesSAS!$B124,#REF!,0),1)</f>
        <v>#REF!</v>
      </c>
      <c r="L124" s="1" t="e">
        <f t="shared" si="9"/>
        <v>#REF!</v>
      </c>
      <c r="M124" s="1" t="e">
        <f t="shared" si="10"/>
        <v>#REF!</v>
      </c>
      <c r="N124" s="1" t="e">
        <f t="shared" si="11"/>
        <v>#REF!</v>
      </c>
    </row>
    <row r="125" spans="1:14" x14ac:dyDescent="0.25">
      <c r="A125">
        <v>2024</v>
      </c>
      <c r="B125" s="3" t="s">
        <v>457</v>
      </c>
      <c r="C125" t="s">
        <v>131</v>
      </c>
      <c r="D125">
        <v>7</v>
      </c>
      <c r="E125">
        <v>0</v>
      </c>
      <c r="F125" s="1">
        <f>INDEX('Dec100%_DOR PDF'!$B$3:$F$323,MATCH(SurtaxRatesSAS!$B125,'Dec100%_DOR PDF'!$F$3:$F$323,0),1)</f>
        <v>448366.33</v>
      </c>
      <c r="G125" s="1">
        <f t="shared" si="6"/>
        <v>448366.33</v>
      </c>
      <c r="H125" s="1">
        <f t="shared" si="12"/>
        <v>0</v>
      </c>
      <c r="I125" s="1">
        <f t="shared" si="13"/>
        <v>448366.33</v>
      </c>
      <c r="J125" s="60"/>
      <c r="K125" s="1" t="e">
        <f>INDEX(#REF!,MATCH(SurtaxRatesSAS!$B125,#REF!,0),1)</f>
        <v>#REF!</v>
      </c>
      <c r="L125" s="1" t="e">
        <f t="shared" si="9"/>
        <v>#REF!</v>
      </c>
      <c r="M125" s="1" t="e">
        <f t="shared" si="10"/>
        <v>#REF!</v>
      </c>
      <c r="N125" s="1" t="e">
        <f t="shared" si="11"/>
        <v>#REF!</v>
      </c>
    </row>
    <row r="126" spans="1:14" x14ac:dyDescent="0.25">
      <c r="A126">
        <v>2024</v>
      </c>
      <c r="B126" s="3" t="s">
        <v>458</v>
      </c>
      <c r="C126" t="s">
        <v>132</v>
      </c>
      <c r="D126">
        <v>6</v>
      </c>
      <c r="E126">
        <v>6</v>
      </c>
      <c r="F126" s="1">
        <f>INDEX('Dec100%_DOR PDF'!$B$3:$F$323,MATCH(SurtaxRatesSAS!$B126,'Dec100%_DOR PDF'!$F$3:$F$323,0),1)</f>
        <v>432147.32</v>
      </c>
      <c r="G126" s="1">
        <f t="shared" si="6"/>
        <v>432147.32</v>
      </c>
      <c r="H126" s="1">
        <f t="shared" si="12"/>
        <v>216073.66</v>
      </c>
      <c r="I126" s="1">
        <f t="shared" si="13"/>
        <v>216073.66</v>
      </c>
      <c r="J126" s="60"/>
      <c r="K126" s="1" t="e">
        <f>INDEX(#REF!,MATCH(SurtaxRatesSAS!$B126,#REF!,0),1)</f>
        <v>#REF!</v>
      </c>
      <c r="L126" s="1" t="e">
        <f t="shared" si="9"/>
        <v>#REF!</v>
      </c>
      <c r="M126" s="1" t="e">
        <f t="shared" si="10"/>
        <v>#REF!</v>
      </c>
      <c r="N126" s="1" t="e">
        <f t="shared" si="11"/>
        <v>#REF!</v>
      </c>
    </row>
    <row r="127" spans="1:14" x14ac:dyDescent="0.25">
      <c r="A127">
        <v>2024</v>
      </c>
      <c r="B127" s="3" t="s">
        <v>460</v>
      </c>
      <c r="C127" t="s">
        <v>133</v>
      </c>
      <c r="D127">
        <v>6</v>
      </c>
      <c r="E127">
        <v>0</v>
      </c>
      <c r="F127" s="1">
        <f>INDEX('Dec100%_DOR PDF'!$B$3:$F$323,MATCH(SurtaxRatesSAS!$B127,'Dec100%_DOR PDF'!$F$3:$F$323,0),1)</f>
        <v>210929.77</v>
      </c>
      <c r="G127" s="1">
        <f t="shared" si="6"/>
        <v>210929.77</v>
      </c>
      <c r="H127" s="1">
        <f t="shared" si="12"/>
        <v>0</v>
      </c>
      <c r="I127" s="1">
        <f t="shared" si="13"/>
        <v>210929.77</v>
      </c>
      <c r="J127" s="60"/>
      <c r="K127" s="1" t="e">
        <f>INDEX(#REF!,MATCH(SurtaxRatesSAS!$B127,#REF!,0),1)</f>
        <v>#REF!</v>
      </c>
      <c r="L127" s="1" t="e">
        <f t="shared" si="9"/>
        <v>#REF!</v>
      </c>
      <c r="M127" s="1" t="e">
        <f t="shared" si="10"/>
        <v>#REF!</v>
      </c>
      <c r="N127" s="1" t="e">
        <f t="shared" si="11"/>
        <v>#REF!</v>
      </c>
    </row>
    <row r="128" spans="1:14" x14ac:dyDescent="0.25">
      <c r="A128">
        <v>2024</v>
      </c>
      <c r="B128" s="3" t="s">
        <v>465</v>
      </c>
      <c r="C128" t="s">
        <v>134</v>
      </c>
      <c r="D128">
        <v>3</v>
      </c>
      <c r="E128">
        <v>0</v>
      </c>
      <c r="F128" s="1">
        <f>INDEX('Dec100%_DOR PDF'!$B$3:$F$323,MATCH(SurtaxRatesSAS!$B128,'Dec100%_DOR PDF'!$F$3:$F$323,0),1)</f>
        <v>72282.23</v>
      </c>
      <c r="G128" s="1">
        <f t="shared" si="6"/>
        <v>72282.23</v>
      </c>
      <c r="H128" s="1">
        <f t="shared" si="12"/>
        <v>0</v>
      </c>
      <c r="I128" s="1">
        <f t="shared" si="13"/>
        <v>72282.23</v>
      </c>
      <c r="J128" s="60"/>
      <c r="K128" s="1" t="e">
        <f>INDEX(#REF!,MATCH(SurtaxRatesSAS!$B128,#REF!,0),1)</f>
        <v>#REF!</v>
      </c>
      <c r="L128" s="1" t="e">
        <f t="shared" si="9"/>
        <v>#REF!</v>
      </c>
      <c r="M128" s="1" t="e">
        <f t="shared" si="10"/>
        <v>#REF!</v>
      </c>
      <c r="N128" s="1" t="e">
        <f t="shared" si="11"/>
        <v>#REF!</v>
      </c>
    </row>
    <row r="129" spans="1:14" x14ac:dyDescent="0.25">
      <c r="A129">
        <v>2024</v>
      </c>
      <c r="B129" s="3" t="s">
        <v>466</v>
      </c>
      <c r="C129" t="s">
        <v>135</v>
      </c>
      <c r="D129">
        <v>1</v>
      </c>
      <c r="E129">
        <v>3</v>
      </c>
      <c r="F129" s="1">
        <f>INDEX('Dec100%_DOR PDF'!$B$3:$F$323,MATCH(SurtaxRatesSAS!$B129,'Dec100%_DOR PDF'!$F$3:$F$323,0),1)</f>
        <v>112259.32</v>
      </c>
      <c r="G129" s="1">
        <f t="shared" si="6"/>
        <v>112259.32</v>
      </c>
      <c r="H129" s="1">
        <f t="shared" si="12"/>
        <v>84194.49</v>
      </c>
      <c r="I129" s="1">
        <f t="shared" si="13"/>
        <v>28064.83</v>
      </c>
      <c r="J129" s="60"/>
      <c r="K129" s="1" t="e">
        <f>INDEX(#REF!,MATCH(SurtaxRatesSAS!$B129,#REF!,0),1)</f>
        <v>#REF!</v>
      </c>
      <c r="L129" s="1" t="e">
        <f t="shared" si="9"/>
        <v>#REF!</v>
      </c>
      <c r="M129" s="1" t="e">
        <f t="shared" si="10"/>
        <v>#REF!</v>
      </c>
      <c r="N129" s="1" t="e">
        <f t="shared" si="11"/>
        <v>#REF!</v>
      </c>
    </row>
    <row r="130" spans="1:14" x14ac:dyDescent="0.25">
      <c r="A130">
        <v>2024</v>
      </c>
      <c r="B130" s="3" t="s">
        <v>467</v>
      </c>
      <c r="C130" t="s">
        <v>136</v>
      </c>
      <c r="D130">
        <v>7</v>
      </c>
      <c r="E130">
        <v>0</v>
      </c>
      <c r="F130" s="1">
        <f>INDEX('Dec100%_DOR PDF'!$B$3:$F$323,MATCH(SurtaxRatesSAS!$B130,'Dec100%_DOR PDF'!$F$3:$F$323,0),1)</f>
        <v>724499.32</v>
      </c>
      <c r="G130" s="1">
        <f t="shared" si="6"/>
        <v>724499.32</v>
      </c>
      <c r="H130" s="1">
        <f t="shared" si="12"/>
        <v>0</v>
      </c>
      <c r="I130" s="1">
        <f t="shared" si="13"/>
        <v>724499.32</v>
      </c>
      <c r="J130" s="60"/>
      <c r="K130" s="1" t="e">
        <f>INDEX(#REF!,MATCH(SurtaxRatesSAS!$B130,#REF!,0),1)</f>
        <v>#REF!</v>
      </c>
      <c r="L130" s="1" t="e">
        <f t="shared" si="9"/>
        <v>#REF!</v>
      </c>
      <c r="M130" s="1" t="e">
        <f t="shared" si="10"/>
        <v>#REF!</v>
      </c>
      <c r="N130" s="1" t="e">
        <f t="shared" si="11"/>
        <v>#REF!</v>
      </c>
    </row>
    <row r="131" spans="1:14" x14ac:dyDescent="0.25">
      <c r="A131">
        <v>2024</v>
      </c>
      <c r="B131" s="3" t="s">
        <v>468</v>
      </c>
      <c r="C131" t="s">
        <v>137</v>
      </c>
      <c r="D131">
        <v>1</v>
      </c>
      <c r="E131">
        <v>0</v>
      </c>
      <c r="F131" s="1">
        <f>INDEX('Dec100%_DOR PDF'!$B$3:$F$323,MATCH(SurtaxRatesSAS!$B131,'Dec100%_DOR PDF'!$F$3:$F$323,0),1)</f>
        <v>35970.18</v>
      </c>
      <c r="G131" s="1">
        <f t="shared" ref="G131:G194" si="14">F131</f>
        <v>35970.18</v>
      </c>
      <c r="H131" s="1">
        <f t="shared" ref="H131:H194" si="15">ROUND((E131/(E131+D131))*G131,2)</f>
        <v>0</v>
      </c>
      <c r="I131" s="1">
        <f t="shared" ref="I131:I194" si="16">G131-H131</f>
        <v>35970.18</v>
      </c>
      <c r="J131" s="60"/>
      <c r="K131" s="1" t="e">
        <f>INDEX(#REF!,MATCH(SurtaxRatesSAS!$B131,#REF!,0),1)</f>
        <v>#REF!</v>
      </c>
      <c r="L131" s="1" t="e">
        <f t="shared" ref="L131:L194" si="17">K131</f>
        <v>#REF!</v>
      </c>
      <c r="M131" s="1" t="e">
        <f t="shared" ref="M131:M194" si="18">ROUND((E131/(E131+D131))*L131,2)</f>
        <v>#REF!</v>
      </c>
      <c r="N131" s="1" t="e">
        <f t="shared" ref="N131:N194" si="19">L131-M131</f>
        <v>#REF!</v>
      </c>
    </row>
    <row r="132" spans="1:14" x14ac:dyDescent="0.25">
      <c r="A132">
        <v>2024</v>
      </c>
      <c r="B132" s="3" t="s">
        <v>469</v>
      </c>
      <c r="C132" t="s">
        <v>138</v>
      </c>
      <c r="D132">
        <v>4</v>
      </c>
      <c r="E132">
        <v>1</v>
      </c>
      <c r="F132" s="1">
        <f>INDEX('Dec100%_DOR PDF'!$B$3:$F$323,MATCH(SurtaxRatesSAS!$B132,'Dec100%_DOR PDF'!$F$3:$F$323,0),1)</f>
        <v>54901.36</v>
      </c>
      <c r="G132" s="1">
        <f t="shared" si="14"/>
        <v>54901.36</v>
      </c>
      <c r="H132" s="1">
        <f t="shared" si="15"/>
        <v>10980.27</v>
      </c>
      <c r="I132" s="1">
        <f t="shared" si="16"/>
        <v>43921.09</v>
      </c>
      <c r="J132" s="60"/>
      <c r="K132" s="1" t="e">
        <f>INDEX(#REF!,MATCH(SurtaxRatesSAS!$B132,#REF!,0),1)</f>
        <v>#REF!</v>
      </c>
      <c r="L132" s="1" t="e">
        <f t="shared" si="17"/>
        <v>#REF!</v>
      </c>
      <c r="M132" s="1" t="e">
        <f t="shared" si="18"/>
        <v>#REF!</v>
      </c>
      <c r="N132" s="1" t="e">
        <f t="shared" si="19"/>
        <v>#REF!</v>
      </c>
    </row>
    <row r="133" spans="1:14" x14ac:dyDescent="0.25">
      <c r="A133">
        <v>2024</v>
      </c>
      <c r="B133" s="3" t="s">
        <v>470</v>
      </c>
      <c r="C133" t="s">
        <v>139</v>
      </c>
      <c r="D133">
        <v>5</v>
      </c>
      <c r="E133">
        <v>5</v>
      </c>
      <c r="F133" s="1">
        <f>INDEX('Dec100%_DOR PDF'!$B$3:$F$323,MATCH(SurtaxRatesSAS!$B133,'Dec100%_DOR PDF'!$F$3:$F$323,0),1)</f>
        <v>142785.57999999999</v>
      </c>
      <c r="G133" s="1">
        <f t="shared" si="14"/>
        <v>142785.57999999999</v>
      </c>
      <c r="H133" s="1">
        <f t="shared" si="15"/>
        <v>71392.789999999994</v>
      </c>
      <c r="I133" s="1">
        <f t="shared" si="16"/>
        <v>71392.789999999994</v>
      </c>
      <c r="J133" s="60"/>
      <c r="K133" s="1" t="e">
        <f>INDEX(#REF!,MATCH(SurtaxRatesSAS!$B133,#REF!,0),1)</f>
        <v>#REF!</v>
      </c>
      <c r="L133" s="1" t="e">
        <f t="shared" si="17"/>
        <v>#REF!</v>
      </c>
      <c r="M133" s="1" t="e">
        <f t="shared" si="18"/>
        <v>#REF!</v>
      </c>
      <c r="N133" s="1" t="e">
        <f t="shared" si="19"/>
        <v>#REF!</v>
      </c>
    </row>
    <row r="134" spans="1:14" x14ac:dyDescent="0.25">
      <c r="A134">
        <v>2024</v>
      </c>
      <c r="B134" s="3" t="s">
        <v>471</v>
      </c>
      <c r="C134" t="s">
        <v>140</v>
      </c>
      <c r="D134">
        <v>1</v>
      </c>
      <c r="E134">
        <v>0</v>
      </c>
      <c r="F134" s="1">
        <f>INDEX('Dec100%_DOR PDF'!$B$3:$F$323,MATCH(SurtaxRatesSAS!$B134,'Dec100%_DOR PDF'!$F$3:$F$323,0),1)</f>
        <v>46696.31</v>
      </c>
      <c r="G134" s="1">
        <f t="shared" si="14"/>
        <v>46696.31</v>
      </c>
      <c r="H134" s="1">
        <f t="shared" si="15"/>
        <v>0</v>
      </c>
      <c r="I134" s="1">
        <f t="shared" si="16"/>
        <v>46696.31</v>
      </c>
      <c r="J134" s="60"/>
      <c r="K134" s="1" t="e">
        <f>INDEX(#REF!,MATCH(SurtaxRatesSAS!$B134,#REF!,0),1)</f>
        <v>#REF!</v>
      </c>
      <c r="L134" s="1" t="e">
        <f t="shared" si="17"/>
        <v>#REF!</v>
      </c>
      <c r="M134" s="1" t="e">
        <f t="shared" si="18"/>
        <v>#REF!</v>
      </c>
      <c r="N134" s="1" t="e">
        <f t="shared" si="19"/>
        <v>#REF!</v>
      </c>
    </row>
    <row r="135" spans="1:14" x14ac:dyDescent="0.25">
      <c r="A135">
        <v>2024</v>
      </c>
      <c r="B135" s="3" t="s">
        <v>474</v>
      </c>
      <c r="C135" t="s">
        <v>141</v>
      </c>
      <c r="D135">
        <v>1</v>
      </c>
      <c r="E135">
        <v>1</v>
      </c>
      <c r="F135" s="1">
        <f>INDEX('Dec100%_DOR PDF'!$B$3:$F$323,MATCH(SurtaxRatesSAS!$B135,'Dec100%_DOR PDF'!$F$3:$F$323,0),1)</f>
        <v>42128.85</v>
      </c>
      <c r="G135" s="1">
        <f t="shared" si="14"/>
        <v>42128.85</v>
      </c>
      <c r="H135" s="1">
        <f t="shared" si="15"/>
        <v>21064.43</v>
      </c>
      <c r="I135" s="1">
        <f t="shared" si="16"/>
        <v>21064.42</v>
      </c>
      <c r="J135" s="60"/>
      <c r="K135" s="1" t="e">
        <f>INDEX(#REF!,MATCH(SurtaxRatesSAS!$B135,#REF!,0),1)</f>
        <v>#REF!</v>
      </c>
      <c r="L135" s="1" t="e">
        <f t="shared" si="17"/>
        <v>#REF!</v>
      </c>
      <c r="M135" s="1" t="e">
        <f t="shared" si="18"/>
        <v>#REF!</v>
      </c>
      <c r="N135" s="1" t="e">
        <f t="shared" si="19"/>
        <v>#REF!</v>
      </c>
    </row>
    <row r="136" spans="1:14" x14ac:dyDescent="0.25">
      <c r="A136">
        <v>2024</v>
      </c>
      <c r="B136" s="3" t="s">
        <v>475</v>
      </c>
      <c r="C136" t="s">
        <v>142</v>
      </c>
      <c r="D136">
        <v>2</v>
      </c>
      <c r="E136">
        <v>0</v>
      </c>
      <c r="F136" s="1">
        <f>INDEX('Dec100%_DOR PDF'!$B$3:$F$323,MATCH(SurtaxRatesSAS!$B136,'Dec100%_DOR PDF'!$F$3:$F$323,0),1)</f>
        <v>245544.38</v>
      </c>
      <c r="G136" s="1">
        <f t="shared" si="14"/>
        <v>245544.38</v>
      </c>
      <c r="H136" s="1">
        <f t="shared" si="15"/>
        <v>0</v>
      </c>
      <c r="I136" s="1">
        <f t="shared" si="16"/>
        <v>245544.38</v>
      </c>
      <c r="J136" s="60"/>
      <c r="K136" s="1" t="e">
        <f>INDEX(#REF!,MATCH(SurtaxRatesSAS!$B136,#REF!,0),1)</f>
        <v>#REF!</v>
      </c>
      <c r="L136" s="1" t="e">
        <f t="shared" si="17"/>
        <v>#REF!</v>
      </c>
      <c r="M136" s="1" t="e">
        <f t="shared" si="18"/>
        <v>#REF!</v>
      </c>
      <c r="N136" s="1" t="e">
        <f t="shared" si="19"/>
        <v>#REF!</v>
      </c>
    </row>
    <row r="137" spans="1:14" x14ac:dyDescent="0.25">
      <c r="A137">
        <v>2024</v>
      </c>
      <c r="B137" s="3" t="s">
        <v>478</v>
      </c>
      <c r="C137" t="s">
        <v>143</v>
      </c>
      <c r="D137">
        <v>2</v>
      </c>
      <c r="E137">
        <v>0</v>
      </c>
      <c r="F137" s="1">
        <f>INDEX('Dec100%_DOR PDF'!$B$3:$F$323,MATCH(SurtaxRatesSAS!$B137,'Dec100%_DOR PDF'!$F$3:$F$323,0),1)</f>
        <v>85574.19</v>
      </c>
      <c r="G137" s="1">
        <f t="shared" si="14"/>
        <v>85574.19</v>
      </c>
      <c r="H137" s="1">
        <f t="shared" si="15"/>
        <v>0</v>
      </c>
      <c r="I137" s="1">
        <f t="shared" si="16"/>
        <v>85574.19</v>
      </c>
      <c r="J137" s="60"/>
      <c r="K137" s="1" t="e">
        <f>INDEX(#REF!,MATCH(SurtaxRatesSAS!$B137,#REF!,0),1)</f>
        <v>#REF!</v>
      </c>
      <c r="L137" s="1" t="e">
        <f t="shared" si="17"/>
        <v>#REF!</v>
      </c>
      <c r="M137" s="1" t="e">
        <f t="shared" si="18"/>
        <v>#REF!</v>
      </c>
      <c r="N137" s="1" t="e">
        <f t="shared" si="19"/>
        <v>#REF!</v>
      </c>
    </row>
    <row r="138" spans="1:14" x14ac:dyDescent="0.25">
      <c r="A138">
        <v>2024</v>
      </c>
      <c r="B138" s="3" t="s">
        <v>479</v>
      </c>
      <c r="C138" t="s">
        <v>144</v>
      </c>
      <c r="D138">
        <v>7</v>
      </c>
      <c r="E138">
        <v>0</v>
      </c>
      <c r="F138" s="1">
        <f>INDEX('Dec100%_DOR PDF'!$B$3:$F$323,MATCH(SurtaxRatesSAS!$B138,'Dec100%_DOR PDF'!$F$3:$F$323,0),1)</f>
        <v>170187.12</v>
      </c>
      <c r="G138" s="1">
        <f t="shared" si="14"/>
        <v>170187.12</v>
      </c>
      <c r="H138" s="1">
        <f t="shared" si="15"/>
        <v>0</v>
      </c>
      <c r="I138" s="1">
        <f t="shared" si="16"/>
        <v>170187.12</v>
      </c>
      <c r="J138" s="60"/>
      <c r="K138" s="1" t="e">
        <f>INDEX(#REF!,MATCH(SurtaxRatesSAS!$B138,#REF!,0),1)</f>
        <v>#REF!</v>
      </c>
      <c r="L138" s="1" t="e">
        <f t="shared" si="17"/>
        <v>#REF!</v>
      </c>
      <c r="M138" s="1" t="e">
        <f t="shared" si="18"/>
        <v>#REF!</v>
      </c>
      <c r="N138" s="1" t="e">
        <f t="shared" si="19"/>
        <v>#REF!</v>
      </c>
    </row>
    <row r="139" spans="1:14" x14ac:dyDescent="0.25">
      <c r="A139">
        <v>2024</v>
      </c>
      <c r="B139" s="3" t="s">
        <v>480</v>
      </c>
      <c r="C139" t="s">
        <v>145</v>
      </c>
      <c r="D139">
        <v>7</v>
      </c>
      <c r="E139">
        <v>1</v>
      </c>
      <c r="F139" s="1">
        <f>INDEX('Dec100%_DOR PDF'!$B$3:$F$323,MATCH(SurtaxRatesSAS!$B139,'Dec100%_DOR PDF'!$F$3:$F$323,0),1)</f>
        <v>196860.53</v>
      </c>
      <c r="G139" s="1">
        <f t="shared" si="14"/>
        <v>196860.53</v>
      </c>
      <c r="H139" s="1">
        <f t="shared" si="15"/>
        <v>24607.57</v>
      </c>
      <c r="I139" s="1">
        <f t="shared" si="16"/>
        <v>172252.96</v>
      </c>
      <c r="J139" s="60"/>
      <c r="K139" s="1" t="e">
        <f>INDEX(#REF!,MATCH(SurtaxRatesSAS!$B139,#REF!,0),1)</f>
        <v>#REF!</v>
      </c>
      <c r="L139" s="1" t="e">
        <f t="shared" si="17"/>
        <v>#REF!</v>
      </c>
      <c r="M139" s="1" t="e">
        <f t="shared" si="18"/>
        <v>#REF!</v>
      </c>
      <c r="N139" s="1" t="e">
        <f t="shared" si="19"/>
        <v>#REF!</v>
      </c>
    </row>
    <row r="140" spans="1:14" x14ac:dyDescent="0.25">
      <c r="A140">
        <v>2024</v>
      </c>
      <c r="B140" s="3" t="s">
        <v>481</v>
      </c>
      <c r="C140" t="s">
        <v>146</v>
      </c>
      <c r="D140">
        <v>8</v>
      </c>
      <c r="E140">
        <v>0</v>
      </c>
      <c r="F140" s="1">
        <f>INDEX('Dec100%_DOR PDF'!$B$3:$F$323,MATCH(SurtaxRatesSAS!$B140,'Dec100%_DOR PDF'!$F$3:$F$323,0),1)</f>
        <v>351343.14</v>
      </c>
      <c r="G140" s="1">
        <f t="shared" si="14"/>
        <v>351343.14</v>
      </c>
      <c r="H140" s="1">
        <f t="shared" si="15"/>
        <v>0</v>
      </c>
      <c r="I140" s="1">
        <f t="shared" si="16"/>
        <v>351343.14</v>
      </c>
      <c r="J140" s="60"/>
      <c r="K140" s="1" t="e">
        <f>INDEX(#REF!,MATCH(SurtaxRatesSAS!$B140,#REF!,0),1)</f>
        <v>#REF!</v>
      </c>
      <c r="L140" s="1" t="e">
        <f t="shared" si="17"/>
        <v>#REF!</v>
      </c>
      <c r="M140" s="1" t="e">
        <f t="shared" si="18"/>
        <v>#REF!</v>
      </c>
      <c r="N140" s="1" t="e">
        <f t="shared" si="19"/>
        <v>#REF!</v>
      </c>
    </row>
    <row r="141" spans="1:14" x14ac:dyDescent="0.25">
      <c r="A141">
        <v>2024</v>
      </c>
      <c r="B141" s="3" t="s">
        <v>483</v>
      </c>
      <c r="C141" t="s">
        <v>148</v>
      </c>
      <c r="D141">
        <v>5</v>
      </c>
      <c r="E141">
        <v>1</v>
      </c>
      <c r="F141" s="1">
        <f>INDEX('Dec100%_DOR PDF'!$B$3:$F$323,MATCH(SurtaxRatesSAS!$B141,'Dec100%_DOR PDF'!$F$3:$F$323,0),1)</f>
        <v>289533.90000000002</v>
      </c>
      <c r="G141" s="1">
        <f t="shared" si="14"/>
        <v>289533.90000000002</v>
      </c>
      <c r="H141" s="1">
        <f t="shared" si="15"/>
        <v>48255.65</v>
      </c>
      <c r="I141" s="1">
        <f t="shared" si="16"/>
        <v>241278.25000000003</v>
      </c>
      <c r="J141" s="60"/>
      <c r="K141" s="1" t="e">
        <f>INDEX(#REF!,MATCH(SurtaxRatesSAS!$B141,#REF!,0),1)</f>
        <v>#REF!</v>
      </c>
      <c r="L141" s="1" t="e">
        <f t="shared" si="17"/>
        <v>#REF!</v>
      </c>
      <c r="M141" s="1" t="e">
        <f t="shared" si="18"/>
        <v>#REF!</v>
      </c>
      <c r="N141" s="1" t="e">
        <f t="shared" si="19"/>
        <v>#REF!</v>
      </c>
    </row>
    <row r="142" spans="1:14" x14ac:dyDescent="0.25">
      <c r="A142">
        <v>2024</v>
      </c>
      <c r="B142" s="3" t="s">
        <v>501</v>
      </c>
      <c r="C142" t="s">
        <v>689</v>
      </c>
      <c r="D142">
        <v>6</v>
      </c>
      <c r="E142">
        <v>4</v>
      </c>
      <c r="F142" s="1">
        <f>INDEX('Dec100%_DOR PDF'!$B$3:$F$323,MATCH(SurtaxRatesSAS!$B142,'Dec100%_DOR PDF'!$F$3:$F$323,0),1)</f>
        <v>388292.83</v>
      </c>
      <c r="G142" s="1">
        <f t="shared" si="14"/>
        <v>388292.83</v>
      </c>
      <c r="H142" s="1">
        <f t="shared" si="15"/>
        <v>155317.13</v>
      </c>
      <c r="I142" s="1">
        <f t="shared" si="16"/>
        <v>232975.7</v>
      </c>
      <c r="J142" s="60"/>
      <c r="K142" s="1" t="e">
        <f>INDEX(#REF!,MATCH(SurtaxRatesSAS!$B142,#REF!,0),1)</f>
        <v>#REF!</v>
      </c>
      <c r="L142" s="1" t="e">
        <f t="shared" si="17"/>
        <v>#REF!</v>
      </c>
      <c r="M142" s="1" t="e">
        <f t="shared" si="18"/>
        <v>#REF!</v>
      </c>
      <c r="N142" s="1" t="e">
        <f t="shared" si="19"/>
        <v>#REF!</v>
      </c>
    </row>
    <row r="143" spans="1:14" x14ac:dyDescent="0.25">
      <c r="A143">
        <v>2024</v>
      </c>
      <c r="B143" s="3" t="s">
        <v>484</v>
      </c>
      <c r="C143" t="s">
        <v>149</v>
      </c>
      <c r="D143">
        <v>4</v>
      </c>
      <c r="E143">
        <v>0</v>
      </c>
      <c r="F143" s="1">
        <f>INDEX('Dec100%_DOR PDF'!$B$3:$F$323,MATCH(SurtaxRatesSAS!$B143,'Dec100%_DOR PDF'!$F$3:$F$323,0),1)</f>
        <v>188232.2</v>
      </c>
      <c r="G143" s="1">
        <f t="shared" si="14"/>
        <v>188232.2</v>
      </c>
      <c r="H143" s="1">
        <f t="shared" si="15"/>
        <v>0</v>
      </c>
      <c r="I143" s="1">
        <f t="shared" si="16"/>
        <v>188232.2</v>
      </c>
      <c r="J143" s="60"/>
      <c r="K143" s="1" t="e">
        <f>INDEX(#REF!,MATCH(SurtaxRatesSAS!$B143,#REF!,0),1)</f>
        <v>#REF!</v>
      </c>
      <c r="L143" s="1" t="e">
        <f t="shared" si="17"/>
        <v>#REF!</v>
      </c>
      <c r="M143" s="1" t="e">
        <f t="shared" si="18"/>
        <v>#REF!</v>
      </c>
      <c r="N143" s="1" t="e">
        <f t="shared" si="19"/>
        <v>#REF!</v>
      </c>
    </row>
    <row r="144" spans="1:14" x14ac:dyDescent="0.25">
      <c r="A144">
        <v>2024</v>
      </c>
      <c r="B144" s="3" t="s">
        <v>486</v>
      </c>
      <c r="C144" t="s">
        <v>150</v>
      </c>
      <c r="D144">
        <v>6</v>
      </c>
      <c r="E144">
        <v>0</v>
      </c>
      <c r="F144" s="1">
        <f>INDEX('Dec100%_DOR PDF'!$B$3:$F$323,MATCH(SurtaxRatesSAS!$B144,'Dec100%_DOR PDF'!$F$3:$F$323,0),1)</f>
        <v>305395.82</v>
      </c>
      <c r="G144" s="1">
        <f t="shared" si="14"/>
        <v>305395.82</v>
      </c>
      <c r="H144" s="1">
        <f t="shared" si="15"/>
        <v>0</v>
      </c>
      <c r="I144" s="1">
        <f t="shared" si="16"/>
        <v>305395.82</v>
      </c>
      <c r="J144" s="60"/>
      <c r="K144" s="1" t="e">
        <f>INDEX(#REF!,MATCH(SurtaxRatesSAS!$B144,#REF!,0),1)</f>
        <v>#REF!</v>
      </c>
      <c r="L144" s="1" t="e">
        <f t="shared" si="17"/>
        <v>#REF!</v>
      </c>
      <c r="M144" s="1" t="e">
        <f t="shared" si="18"/>
        <v>#REF!</v>
      </c>
      <c r="N144" s="1" t="e">
        <f t="shared" si="19"/>
        <v>#REF!</v>
      </c>
    </row>
    <row r="145" spans="1:14" x14ac:dyDescent="0.25">
      <c r="A145">
        <v>2024</v>
      </c>
      <c r="B145" s="3" t="s">
        <v>487</v>
      </c>
      <c r="C145" t="s">
        <v>151</v>
      </c>
      <c r="D145">
        <v>1</v>
      </c>
      <c r="E145">
        <v>0</v>
      </c>
      <c r="F145" s="1">
        <f>INDEX('Dec100%_DOR PDF'!$B$3:$F$323,MATCH(SurtaxRatesSAS!$B145,'Dec100%_DOR PDF'!$F$3:$F$323,0),1)</f>
        <v>37822.18</v>
      </c>
      <c r="G145" s="1">
        <f t="shared" si="14"/>
        <v>37822.18</v>
      </c>
      <c r="H145" s="1">
        <f t="shared" si="15"/>
        <v>0</v>
      </c>
      <c r="I145" s="1">
        <f t="shared" si="16"/>
        <v>37822.18</v>
      </c>
      <c r="J145" s="60"/>
      <c r="K145" s="1" t="e">
        <f>INDEX(#REF!,MATCH(SurtaxRatesSAS!$B145,#REF!,0),1)</f>
        <v>#REF!</v>
      </c>
      <c r="L145" s="1" t="e">
        <f t="shared" si="17"/>
        <v>#REF!</v>
      </c>
      <c r="M145" s="1" t="e">
        <f t="shared" si="18"/>
        <v>#REF!</v>
      </c>
      <c r="N145" s="1" t="e">
        <f t="shared" si="19"/>
        <v>#REF!</v>
      </c>
    </row>
    <row r="146" spans="1:14" x14ac:dyDescent="0.25">
      <c r="A146">
        <v>2024</v>
      </c>
      <c r="B146" s="3" t="s">
        <v>488</v>
      </c>
      <c r="C146" t="s">
        <v>152</v>
      </c>
      <c r="D146">
        <v>8</v>
      </c>
      <c r="E146">
        <v>0</v>
      </c>
      <c r="F146" s="1">
        <f>INDEX('Dec100%_DOR PDF'!$B$3:$F$323,MATCH(SurtaxRatesSAS!$B146,'Dec100%_DOR PDF'!$F$3:$F$323,0),1)</f>
        <v>651096.68999999994</v>
      </c>
      <c r="G146" s="1">
        <f t="shared" si="14"/>
        <v>651096.68999999994</v>
      </c>
      <c r="H146" s="1">
        <f t="shared" si="15"/>
        <v>0</v>
      </c>
      <c r="I146" s="1">
        <f t="shared" si="16"/>
        <v>651096.68999999994</v>
      </c>
      <c r="J146" s="60"/>
      <c r="K146" s="1" t="e">
        <f>INDEX(#REF!,MATCH(SurtaxRatesSAS!$B146,#REF!,0),1)</f>
        <v>#REF!</v>
      </c>
      <c r="L146" s="1" t="e">
        <f t="shared" si="17"/>
        <v>#REF!</v>
      </c>
      <c r="M146" s="1" t="e">
        <f t="shared" si="18"/>
        <v>#REF!</v>
      </c>
      <c r="N146" s="1" t="e">
        <f t="shared" si="19"/>
        <v>#REF!</v>
      </c>
    </row>
    <row r="147" spans="1:14" x14ac:dyDescent="0.25">
      <c r="A147">
        <v>2024</v>
      </c>
      <c r="B147" s="3" t="s">
        <v>490</v>
      </c>
      <c r="C147" t="s">
        <v>153</v>
      </c>
      <c r="D147">
        <v>8</v>
      </c>
      <c r="E147">
        <v>0</v>
      </c>
      <c r="F147" s="1">
        <f>INDEX('Dec100%_DOR PDF'!$B$3:$F$323,MATCH(SurtaxRatesSAS!$B147,'Dec100%_DOR PDF'!$F$3:$F$323,0),1)</f>
        <v>273517.53999999998</v>
      </c>
      <c r="G147" s="1">
        <f t="shared" si="14"/>
        <v>273517.53999999998</v>
      </c>
      <c r="H147" s="1">
        <f t="shared" si="15"/>
        <v>0</v>
      </c>
      <c r="I147" s="1">
        <f t="shared" si="16"/>
        <v>273517.53999999998</v>
      </c>
      <c r="J147" s="60"/>
      <c r="K147" s="1" t="e">
        <f>INDEX(#REF!,MATCH(SurtaxRatesSAS!$B147,#REF!,0),1)</f>
        <v>#REF!</v>
      </c>
      <c r="L147" s="1" t="e">
        <f t="shared" si="17"/>
        <v>#REF!</v>
      </c>
      <c r="M147" s="1" t="e">
        <f t="shared" si="18"/>
        <v>#REF!</v>
      </c>
      <c r="N147" s="1" t="e">
        <f t="shared" si="19"/>
        <v>#REF!</v>
      </c>
    </row>
    <row r="148" spans="1:14" x14ac:dyDescent="0.25">
      <c r="A148">
        <v>2024</v>
      </c>
      <c r="B148" s="3" t="s">
        <v>491</v>
      </c>
      <c r="C148" t="s">
        <v>154</v>
      </c>
      <c r="D148">
        <v>2</v>
      </c>
      <c r="E148">
        <v>2</v>
      </c>
      <c r="F148" s="1">
        <f>INDEX('Dec100%_DOR PDF'!$B$3:$F$323,MATCH(SurtaxRatesSAS!$B148,'Dec100%_DOR PDF'!$F$3:$F$323,0),1)</f>
        <v>607071.32999999996</v>
      </c>
      <c r="G148" s="1">
        <f t="shared" si="14"/>
        <v>607071.32999999996</v>
      </c>
      <c r="H148" s="1">
        <f t="shared" si="15"/>
        <v>303535.67</v>
      </c>
      <c r="I148" s="1">
        <f t="shared" si="16"/>
        <v>303535.65999999997</v>
      </c>
      <c r="J148" s="60"/>
      <c r="K148" s="1" t="e">
        <f>INDEX(#REF!,MATCH(SurtaxRatesSAS!$B148,#REF!,0),1)</f>
        <v>#REF!</v>
      </c>
      <c r="L148" s="1" t="e">
        <f t="shared" si="17"/>
        <v>#REF!</v>
      </c>
      <c r="M148" s="1" t="e">
        <f t="shared" si="18"/>
        <v>#REF!</v>
      </c>
      <c r="N148" s="1" t="e">
        <f t="shared" si="19"/>
        <v>#REF!</v>
      </c>
    </row>
    <row r="149" spans="1:14" x14ac:dyDescent="0.25">
      <c r="A149">
        <v>2024</v>
      </c>
      <c r="B149" s="3" t="s">
        <v>492</v>
      </c>
      <c r="C149" t="s">
        <v>722</v>
      </c>
      <c r="D149">
        <v>1</v>
      </c>
      <c r="E149">
        <v>0</v>
      </c>
      <c r="F149" s="1">
        <f>INDEX('Dec100%_DOR PDF'!$B$3:$F$323,MATCH(SurtaxRatesSAS!$B149,'Dec100%_DOR PDF'!$F$3:$F$323,0),1)</f>
        <v>265187.36</v>
      </c>
      <c r="G149" s="1">
        <f t="shared" si="14"/>
        <v>265187.36</v>
      </c>
      <c r="H149" s="1">
        <f t="shared" si="15"/>
        <v>0</v>
      </c>
      <c r="I149" s="1">
        <f t="shared" si="16"/>
        <v>265187.36</v>
      </c>
      <c r="J149" s="60"/>
      <c r="K149" s="1" t="e">
        <f>INDEX(#REF!,MATCH(SurtaxRatesSAS!$B149,#REF!,0),1)</f>
        <v>#REF!</v>
      </c>
      <c r="L149" s="1" t="e">
        <f t="shared" si="17"/>
        <v>#REF!</v>
      </c>
      <c r="M149" s="1" t="e">
        <f t="shared" si="18"/>
        <v>#REF!</v>
      </c>
      <c r="N149" s="1" t="e">
        <f t="shared" si="19"/>
        <v>#REF!</v>
      </c>
    </row>
    <row r="150" spans="1:14" x14ac:dyDescent="0.25">
      <c r="A150">
        <v>2024</v>
      </c>
      <c r="B150" s="3" t="s">
        <v>493</v>
      </c>
      <c r="C150" t="s">
        <v>155</v>
      </c>
      <c r="D150">
        <v>1</v>
      </c>
      <c r="E150">
        <v>0</v>
      </c>
      <c r="F150" s="1">
        <f>INDEX('Dec100%_DOR PDF'!$B$3:$F$323,MATCH(SurtaxRatesSAS!$B150,'Dec100%_DOR PDF'!$F$3:$F$323,0),1)</f>
        <v>45546.03</v>
      </c>
      <c r="G150" s="1">
        <f t="shared" si="14"/>
        <v>45546.03</v>
      </c>
      <c r="H150" s="1">
        <f t="shared" si="15"/>
        <v>0</v>
      </c>
      <c r="I150" s="1">
        <f t="shared" si="16"/>
        <v>45546.03</v>
      </c>
      <c r="J150" s="60"/>
      <c r="K150" s="1" t="e">
        <f>INDEX(#REF!,MATCH(SurtaxRatesSAS!$B150,#REF!,0),1)</f>
        <v>#REF!</v>
      </c>
      <c r="L150" s="1" t="e">
        <f t="shared" si="17"/>
        <v>#REF!</v>
      </c>
      <c r="M150" s="1" t="e">
        <f t="shared" si="18"/>
        <v>#REF!</v>
      </c>
      <c r="N150" s="1" t="e">
        <f t="shared" si="19"/>
        <v>#REF!</v>
      </c>
    </row>
    <row r="151" spans="1:14" x14ac:dyDescent="0.25">
      <c r="A151">
        <v>2024</v>
      </c>
      <c r="B151" s="3" t="s">
        <v>494</v>
      </c>
      <c r="C151" t="s">
        <v>156</v>
      </c>
      <c r="D151">
        <v>1</v>
      </c>
      <c r="E151">
        <v>0</v>
      </c>
      <c r="F151" s="1">
        <f>INDEX('Dec100%_DOR PDF'!$B$3:$F$323,MATCH(SurtaxRatesSAS!$B151,'Dec100%_DOR PDF'!$F$3:$F$323,0),1)</f>
        <v>370604.79999999999</v>
      </c>
      <c r="G151" s="1">
        <f t="shared" si="14"/>
        <v>370604.79999999999</v>
      </c>
      <c r="H151" s="1">
        <f t="shared" si="15"/>
        <v>0</v>
      </c>
      <c r="I151" s="1">
        <f t="shared" si="16"/>
        <v>370604.79999999999</v>
      </c>
      <c r="J151" s="60"/>
      <c r="K151" s="1" t="e">
        <f>INDEX(#REF!,MATCH(SurtaxRatesSAS!$B151,#REF!,0),1)</f>
        <v>#REF!</v>
      </c>
      <c r="L151" s="1" t="e">
        <f t="shared" si="17"/>
        <v>#REF!</v>
      </c>
      <c r="M151" s="1" t="e">
        <f t="shared" si="18"/>
        <v>#REF!</v>
      </c>
      <c r="N151" s="1" t="e">
        <f t="shared" si="19"/>
        <v>#REF!</v>
      </c>
    </row>
    <row r="152" spans="1:14" x14ac:dyDescent="0.25">
      <c r="A152">
        <v>2024</v>
      </c>
      <c r="B152" s="3" t="s">
        <v>496</v>
      </c>
      <c r="C152" t="s">
        <v>157</v>
      </c>
      <c r="D152">
        <v>4</v>
      </c>
      <c r="E152">
        <v>3</v>
      </c>
      <c r="F152" s="1">
        <f>INDEX('Dec100%_DOR PDF'!$B$3:$F$323,MATCH(SurtaxRatesSAS!$B152,'Dec100%_DOR PDF'!$F$3:$F$323,0),1)</f>
        <v>402141.32</v>
      </c>
      <c r="G152" s="1">
        <f t="shared" si="14"/>
        <v>402141.32</v>
      </c>
      <c r="H152" s="1">
        <f t="shared" si="15"/>
        <v>172346.28</v>
      </c>
      <c r="I152" s="1">
        <f t="shared" si="16"/>
        <v>229795.04</v>
      </c>
      <c r="J152" s="60"/>
      <c r="K152" s="1" t="e">
        <f>INDEX(#REF!,MATCH(SurtaxRatesSAS!$B152,#REF!,0),1)</f>
        <v>#REF!</v>
      </c>
      <c r="L152" s="1" t="e">
        <f t="shared" si="17"/>
        <v>#REF!</v>
      </c>
      <c r="M152" s="1" t="e">
        <f t="shared" si="18"/>
        <v>#REF!</v>
      </c>
      <c r="N152" s="1" t="e">
        <f t="shared" si="19"/>
        <v>#REF!</v>
      </c>
    </row>
    <row r="153" spans="1:14" x14ac:dyDescent="0.25">
      <c r="A153">
        <v>2024</v>
      </c>
      <c r="B153" s="3" t="s">
        <v>497</v>
      </c>
      <c r="C153" t="s">
        <v>158</v>
      </c>
      <c r="D153">
        <v>1</v>
      </c>
      <c r="E153">
        <v>0</v>
      </c>
      <c r="F153" s="1">
        <f>INDEX('Dec100%_DOR PDF'!$B$3:$F$323,MATCH(SurtaxRatesSAS!$B153,'Dec100%_DOR PDF'!$F$3:$F$323,0),1)</f>
        <v>13122.02</v>
      </c>
      <c r="G153" s="1">
        <f t="shared" si="14"/>
        <v>13122.02</v>
      </c>
      <c r="H153" s="1">
        <f t="shared" si="15"/>
        <v>0</v>
      </c>
      <c r="I153" s="1">
        <f t="shared" si="16"/>
        <v>13122.02</v>
      </c>
      <c r="J153" s="60"/>
      <c r="K153" s="1" t="e">
        <f>INDEX(#REF!,MATCH(SurtaxRatesSAS!$B153,#REF!,0),1)</f>
        <v>#REF!</v>
      </c>
      <c r="L153" s="1" t="e">
        <f t="shared" si="17"/>
        <v>#REF!</v>
      </c>
      <c r="M153" s="1" t="e">
        <f t="shared" si="18"/>
        <v>#REF!</v>
      </c>
      <c r="N153" s="1" t="e">
        <f t="shared" si="19"/>
        <v>#REF!</v>
      </c>
    </row>
    <row r="154" spans="1:14" x14ac:dyDescent="0.25">
      <c r="A154">
        <v>2024</v>
      </c>
      <c r="B154" s="3" t="s">
        <v>499</v>
      </c>
      <c r="C154" t="s">
        <v>160</v>
      </c>
      <c r="D154">
        <v>4</v>
      </c>
      <c r="E154">
        <v>5</v>
      </c>
      <c r="F154" s="1">
        <f>INDEX('Dec100%_DOR PDF'!$B$3:$F$323,MATCH(SurtaxRatesSAS!$B154,'Dec100%_DOR PDF'!$F$3:$F$323,0),1)</f>
        <v>837749.08</v>
      </c>
      <c r="G154" s="1">
        <f t="shared" si="14"/>
        <v>837749.08</v>
      </c>
      <c r="H154" s="1">
        <f t="shared" si="15"/>
        <v>465416.16</v>
      </c>
      <c r="I154" s="1">
        <f t="shared" si="16"/>
        <v>372332.92</v>
      </c>
      <c r="J154" s="60"/>
      <c r="K154" s="1" t="e">
        <f>INDEX(#REF!,MATCH(SurtaxRatesSAS!$B154,#REF!,0),1)</f>
        <v>#REF!</v>
      </c>
      <c r="L154" s="1" t="e">
        <f t="shared" si="17"/>
        <v>#REF!</v>
      </c>
      <c r="M154" s="1" t="e">
        <f t="shared" si="18"/>
        <v>#REF!</v>
      </c>
      <c r="N154" s="1" t="e">
        <f t="shared" si="19"/>
        <v>#REF!</v>
      </c>
    </row>
    <row r="155" spans="1:14" x14ac:dyDescent="0.25">
      <c r="A155">
        <v>2024</v>
      </c>
      <c r="B155" s="3" t="s">
        <v>498</v>
      </c>
      <c r="C155" t="s">
        <v>161</v>
      </c>
      <c r="D155">
        <v>11</v>
      </c>
      <c r="E155">
        <v>1</v>
      </c>
      <c r="F155" s="1">
        <f>INDEX('Dec100%_DOR PDF'!$B$3:$F$323,MATCH(SurtaxRatesSAS!$B155,'Dec100%_DOR PDF'!$F$3:$F$323,0),1)</f>
        <v>350135.77</v>
      </c>
      <c r="G155" s="1">
        <f t="shared" si="14"/>
        <v>350135.77</v>
      </c>
      <c r="H155" s="1">
        <f t="shared" si="15"/>
        <v>29177.98</v>
      </c>
      <c r="I155" s="1">
        <f t="shared" si="16"/>
        <v>320957.79000000004</v>
      </c>
      <c r="J155" s="60"/>
      <c r="K155" s="1" t="e">
        <f>INDEX(#REF!,MATCH(SurtaxRatesSAS!$B155,#REF!,0),1)</f>
        <v>#REF!</v>
      </c>
      <c r="L155" s="1" t="e">
        <f t="shared" si="17"/>
        <v>#REF!</v>
      </c>
      <c r="M155" s="1" t="e">
        <f t="shared" si="18"/>
        <v>#REF!</v>
      </c>
      <c r="N155" s="1" t="e">
        <f t="shared" si="19"/>
        <v>#REF!</v>
      </c>
    </row>
    <row r="156" spans="1:14" x14ac:dyDescent="0.25">
      <c r="A156">
        <v>2024</v>
      </c>
      <c r="B156" s="3" t="s">
        <v>500</v>
      </c>
      <c r="C156" t="s">
        <v>162</v>
      </c>
      <c r="D156">
        <v>1</v>
      </c>
      <c r="E156">
        <v>0</v>
      </c>
      <c r="F156" s="1">
        <f>INDEX('Dec100%_DOR PDF'!$B$3:$F$323,MATCH(SurtaxRatesSAS!$B156,'Dec100%_DOR PDF'!$F$3:$F$323,0),1)</f>
        <v>36470.81</v>
      </c>
      <c r="G156" s="1">
        <f t="shared" si="14"/>
        <v>36470.81</v>
      </c>
      <c r="H156" s="1">
        <f t="shared" si="15"/>
        <v>0</v>
      </c>
      <c r="I156" s="1">
        <f t="shared" si="16"/>
        <v>36470.81</v>
      </c>
      <c r="J156" s="60"/>
      <c r="K156" s="1" t="e">
        <f>INDEX(#REF!,MATCH(SurtaxRatesSAS!$B156,#REF!,0),1)</f>
        <v>#REF!</v>
      </c>
      <c r="L156" s="1" t="e">
        <f t="shared" si="17"/>
        <v>#REF!</v>
      </c>
      <c r="M156" s="1" t="e">
        <f t="shared" si="18"/>
        <v>#REF!</v>
      </c>
      <c r="N156" s="1" t="e">
        <f t="shared" si="19"/>
        <v>#REF!</v>
      </c>
    </row>
    <row r="157" spans="1:14" x14ac:dyDescent="0.25">
      <c r="A157">
        <v>2024</v>
      </c>
      <c r="B157" s="3" t="s">
        <v>495</v>
      </c>
      <c r="C157" t="s">
        <v>163</v>
      </c>
      <c r="D157">
        <v>2</v>
      </c>
      <c r="E157">
        <v>0</v>
      </c>
      <c r="F157" s="1">
        <f>INDEX('Dec100%_DOR PDF'!$B$3:$F$323,MATCH(SurtaxRatesSAS!$B157,'Dec100%_DOR PDF'!$F$3:$F$323,0),1)</f>
        <v>242239.61</v>
      </c>
      <c r="G157" s="1">
        <f t="shared" si="14"/>
        <v>242239.61</v>
      </c>
      <c r="H157" s="1">
        <f t="shared" si="15"/>
        <v>0</v>
      </c>
      <c r="I157" s="1">
        <f t="shared" si="16"/>
        <v>242239.61</v>
      </c>
      <c r="J157" s="60"/>
      <c r="K157" s="1" t="e">
        <f>INDEX(#REF!,MATCH(SurtaxRatesSAS!$B157,#REF!,0),1)</f>
        <v>#REF!</v>
      </c>
      <c r="L157" s="1" t="e">
        <f t="shared" si="17"/>
        <v>#REF!</v>
      </c>
      <c r="M157" s="1" t="e">
        <f t="shared" si="18"/>
        <v>#REF!</v>
      </c>
      <c r="N157" s="1" t="e">
        <f t="shared" si="19"/>
        <v>#REF!</v>
      </c>
    </row>
    <row r="158" spans="1:14" x14ac:dyDescent="0.25">
      <c r="A158">
        <v>2024</v>
      </c>
      <c r="B158" s="3" t="s">
        <v>502</v>
      </c>
      <c r="C158" t="s">
        <v>164</v>
      </c>
      <c r="D158">
        <v>8</v>
      </c>
      <c r="E158">
        <v>0</v>
      </c>
      <c r="F158" s="1">
        <f>INDEX('Dec100%_DOR PDF'!$B$3:$F$323,MATCH(SurtaxRatesSAS!$B158,'Dec100%_DOR PDF'!$F$3:$F$323,0),1)</f>
        <v>250696.38</v>
      </c>
      <c r="G158" s="1">
        <f t="shared" si="14"/>
        <v>250696.38</v>
      </c>
      <c r="H158" s="1">
        <f t="shared" si="15"/>
        <v>0</v>
      </c>
      <c r="I158" s="1">
        <f t="shared" si="16"/>
        <v>250696.38</v>
      </c>
      <c r="J158" s="60"/>
      <c r="K158" s="1" t="e">
        <f>INDEX(#REF!,MATCH(SurtaxRatesSAS!$B158,#REF!,0),1)</f>
        <v>#REF!</v>
      </c>
      <c r="L158" s="1" t="e">
        <f t="shared" si="17"/>
        <v>#REF!</v>
      </c>
      <c r="M158" s="1" t="e">
        <f t="shared" si="18"/>
        <v>#REF!</v>
      </c>
      <c r="N158" s="1" t="e">
        <f t="shared" si="19"/>
        <v>#REF!</v>
      </c>
    </row>
    <row r="159" spans="1:14" x14ac:dyDescent="0.25">
      <c r="A159">
        <v>2024</v>
      </c>
      <c r="B159" s="3" t="s">
        <v>503</v>
      </c>
      <c r="C159" t="s">
        <v>165</v>
      </c>
      <c r="D159">
        <v>3</v>
      </c>
      <c r="E159">
        <v>3</v>
      </c>
      <c r="F159" s="1">
        <f>INDEX('Dec100%_DOR PDF'!$B$3:$F$323,MATCH(SurtaxRatesSAS!$B159,'Dec100%_DOR PDF'!$F$3:$F$323,0),1)</f>
        <v>425667.65</v>
      </c>
      <c r="G159" s="1">
        <f t="shared" si="14"/>
        <v>425667.65</v>
      </c>
      <c r="H159" s="1">
        <f t="shared" si="15"/>
        <v>212833.83</v>
      </c>
      <c r="I159" s="1">
        <f t="shared" si="16"/>
        <v>212833.82000000004</v>
      </c>
      <c r="J159" s="60"/>
      <c r="K159" s="1" t="e">
        <f>INDEX(#REF!,MATCH(SurtaxRatesSAS!$B159,#REF!,0),1)</f>
        <v>#REF!</v>
      </c>
      <c r="L159" s="1" t="e">
        <f t="shared" si="17"/>
        <v>#REF!</v>
      </c>
      <c r="M159" s="1" t="e">
        <f t="shared" si="18"/>
        <v>#REF!</v>
      </c>
      <c r="N159" s="1" t="e">
        <f t="shared" si="19"/>
        <v>#REF!</v>
      </c>
    </row>
    <row r="160" spans="1:14" x14ac:dyDescent="0.25">
      <c r="A160">
        <v>2024</v>
      </c>
      <c r="B160" s="3" t="s">
        <v>504</v>
      </c>
      <c r="C160" t="s">
        <v>166</v>
      </c>
      <c r="D160">
        <v>5</v>
      </c>
      <c r="E160">
        <v>0</v>
      </c>
      <c r="F160" s="1">
        <f>INDEX('Dec100%_DOR PDF'!$B$3:$F$323,MATCH(SurtaxRatesSAS!$B160,'Dec100%_DOR PDF'!$F$3:$F$323,0),1)</f>
        <v>92395.96</v>
      </c>
      <c r="G160" s="1">
        <f t="shared" si="14"/>
        <v>92395.96</v>
      </c>
      <c r="H160" s="1">
        <f t="shared" si="15"/>
        <v>0</v>
      </c>
      <c r="I160" s="1">
        <f t="shared" si="16"/>
        <v>92395.96</v>
      </c>
      <c r="J160" s="60"/>
      <c r="K160" s="1" t="e">
        <f>INDEX(#REF!,MATCH(SurtaxRatesSAS!$B160,#REF!,0),1)</f>
        <v>#REF!</v>
      </c>
      <c r="L160" s="1" t="e">
        <f t="shared" si="17"/>
        <v>#REF!</v>
      </c>
      <c r="M160" s="1" t="e">
        <f t="shared" si="18"/>
        <v>#REF!</v>
      </c>
      <c r="N160" s="1" t="e">
        <f t="shared" si="19"/>
        <v>#REF!</v>
      </c>
    </row>
    <row r="161" spans="1:14" x14ac:dyDescent="0.25">
      <c r="A161">
        <v>2024</v>
      </c>
      <c r="B161" s="3" t="s">
        <v>505</v>
      </c>
      <c r="C161" t="s">
        <v>167</v>
      </c>
      <c r="D161">
        <v>10</v>
      </c>
      <c r="E161">
        <v>0</v>
      </c>
      <c r="F161" s="1">
        <f>INDEX('Dec100%_DOR PDF'!$B$3:$F$323,MATCH(SurtaxRatesSAS!$B161,'Dec100%_DOR PDF'!$F$3:$F$323,0),1)</f>
        <v>112960.63</v>
      </c>
      <c r="G161" s="1">
        <f t="shared" si="14"/>
        <v>112960.63</v>
      </c>
      <c r="H161" s="1">
        <f t="shared" si="15"/>
        <v>0</v>
      </c>
      <c r="I161" s="1">
        <f t="shared" si="16"/>
        <v>112960.63</v>
      </c>
      <c r="J161" s="60"/>
      <c r="K161" s="1" t="e">
        <f>INDEX(#REF!,MATCH(SurtaxRatesSAS!$B161,#REF!,0),1)</f>
        <v>#REF!</v>
      </c>
      <c r="L161" s="1" t="e">
        <f t="shared" si="17"/>
        <v>#REF!</v>
      </c>
      <c r="M161" s="1" t="e">
        <f t="shared" si="18"/>
        <v>#REF!</v>
      </c>
      <c r="N161" s="1" t="e">
        <f t="shared" si="19"/>
        <v>#REF!</v>
      </c>
    </row>
    <row r="162" spans="1:14" x14ac:dyDescent="0.25">
      <c r="A162">
        <v>2024</v>
      </c>
      <c r="B162" s="3" t="s">
        <v>506</v>
      </c>
      <c r="C162" t="s">
        <v>168</v>
      </c>
      <c r="D162">
        <v>7</v>
      </c>
      <c r="E162">
        <v>0</v>
      </c>
      <c r="F162" s="1">
        <f>INDEX('Dec100%_DOR PDF'!$B$3:$F$323,MATCH(SurtaxRatesSAS!$B162,'Dec100%_DOR PDF'!$F$3:$F$323,0),1)</f>
        <v>79395.8</v>
      </c>
      <c r="G162" s="1">
        <f t="shared" si="14"/>
        <v>79395.8</v>
      </c>
      <c r="H162" s="1">
        <f t="shared" si="15"/>
        <v>0</v>
      </c>
      <c r="I162" s="1">
        <f t="shared" si="16"/>
        <v>79395.8</v>
      </c>
      <c r="J162" s="60"/>
      <c r="K162" s="1" t="e">
        <f>INDEX(#REF!,MATCH(SurtaxRatesSAS!$B162,#REF!,0),1)</f>
        <v>#REF!</v>
      </c>
      <c r="L162" s="1" t="e">
        <f t="shared" si="17"/>
        <v>#REF!</v>
      </c>
      <c r="M162" s="1" t="e">
        <f t="shared" si="18"/>
        <v>#REF!</v>
      </c>
      <c r="N162" s="1" t="e">
        <f t="shared" si="19"/>
        <v>#REF!</v>
      </c>
    </row>
    <row r="163" spans="1:14" x14ac:dyDescent="0.25">
      <c r="A163">
        <v>2024</v>
      </c>
      <c r="B163" s="3" t="s">
        <v>507</v>
      </c>
      <c r="C163" t="s">
        <v>169</v>
      </c>
      <c r="D163">
        <v>10</v>
      </c>
      <c r="E163">
        <v>0</v>
      </c>
      <c r="F163" s="1">
        <f>INDEX('Dec100%_DOR PDF'!$B$3:$F$323,MATCH(SurtaxRatesSAS!$B163,'Dec100%_DOR PDF'!$F$3:$F$323,0),1)</f>
        <v>94572.99</v>
      </c>
      <c r="G163" s="1">
        <f t="shared" si="14"/>
        <v>94572.99</v>
      </c>
      <c r="H163" s="1">
        <f t="shared" si="15"/>
        <v>0</v>
      </c>
      <c r="I163" s="1">
        <f t="shared" si="16"/>
        <v>94572.99</v>
      </c>
      <c r="J163" s="60"/>
      <c r="K163" s="1" t="e">
        <f>INDEX(#REF!,MATCH(SurtaxRatesSAS!$B163,#REF!,0),1)</f>
        <v>#REF!</v>
      </c>
      <c r="L163" s="1" t="e">
        <f t="shared" si="17"/>
        <v>#REF!</v>
      </c>
      <c r="M163" s="1" t="e">
        <f t="shared" si="18"/>
        <v>#REF!</v>
      </c>
      <c r="N163" s="1" t="e">
        <f t="shared" si="19"/>
        <v>#REF!</v>
      </c>
    </row>
    <row r="164" spans="1:14" x14ac:dyDescent="0.25">
      <c r="A164">
        <v>2024</v>
      </c>
      <c r="B164" s="3" t="s">
        <v>508</v>
      </c>
      <c r="C164" t="s">
        <v>170</v>
      </c>
      <c r="D164">
        <v>6</v>
      </c>
      <c r="E164">
        <v>0</v>
      </c>
      <c r="F164" s="1">
        <f>INDEX('Dec100%_DOR PDF'!$B$3:$F$323,MATCH(SurtaxRatesSAS!$B164,'Dec100%_DOR PDF'!$F$3:$F$323,0),1)</f>
        <v>168899.29</v>
      </c>
      <c r="G164" s="1">
        <f t="shared" si="14"/>
        <v>168899.29</v>
      </c>
      <c r="H164" s="1">
        <f t="shared" si="15"/>
        <v>0</v>
      </c>
      <c r="I164" s="1">
        <f t="shared" si="16"/>
        <v>168899.29</v>
      </c>
      <c r="J164" s="60"/>
      <c r="K164" s="1" t="e">
        <f>INDEX(#REF!,MATCH(SurtaxRatesSAS!$B164,#REF!,0),1)</f>
        <v>#REF!</v>
      </c>
      <c r="L164" s="1" t="e">
        <f t="shared" si="17"/>
        <v>#REF!</v>
      </c>
      <c r="M164" s="1" t="e">
        <f t="shared" si="18"/>
        <v>#REF!</v>
      </c>
      <c r="N164" s="1" t="e">
        <f t="shared" si="19"/>
        <v>#REF!</v>
      </c>
    </row>
    <row r="165" spans="1:14" x14ac:dyDescent="0.25">
      <c r="A165">
        <v>2024</v>
      </c>
      <c r="B165" s="3" t="s">
        <v>509</v>
      </c>
      <c r="C165" t="s">
        <v>171</v>
      </c>
      <c r="D165">
        <v>5</v>
      </c>
      <c r="E165">
        <v>0</v>
      </c>
      <c r="F165" s="1">
        <f>INDEX('Dec100%_DOR PDF'!$B$3:$F$323,MATCH(SurtaxRatesSAS!$B165,'Dec100%_DOR PDF'!$F$3:$F$323,0),1)</f>
        <v>475819.68</v>
      </c>
      <c r="G165" s="1">
        <f t="shared" si="14"/>
        <v>475819.68</v>
      </c>
      <c r="H165" s="1">
        <f t="shared" si="15"/>
        <v>0</v>
      </c>
      <c r="I165" s="1">
        <f t="shared" si="16"/>
        <v>475819.68</v>
      </c>
      <c r="J165" s="60"/>
      <c r="K165" s="1" t="e">
        <f>INDEX(#REF!,MATCH(SurtaxRatesSAS!$B165,#REF!,0),1)</f>
        <v>#REF!</v>
      </c>
      <c r="L165" s="1" t="e">
        <f t="shared" si="17"/>
        <v>#REF!</v>
      </c>
      <c r="M165" s="1" t="e">
        <f t="shared" si="18"/>
        <v>#REF!</v>
      </c>
      <c r="N165" s="1" t="e">
        <f t="shared" si="19"/>
        <v>#REF!</v>
      </c>
    </row>
    <row r="166" spans="1:14" x14ac:dyDescent="0.25">
      <c r="A166">
        <v>2024</v>
      </c>
      <c r="B166" s="3" t="s">
        <v>510</v>
      </c>
      <c r="C166" t="s">
        <v>172</v>
      </c>
      <c r="D166">
        <v>5</v>
      </c>
      <c r="E166">
        <v>0</v>
      </c>
      <c r="F166" s="1">
        <f>INDEX('Dec100%_DOR PDF'!$B$3:$F$323,MATCH(SurtaxRatesSAS!$B166,'Dec100%_DOR PDF'!$F$3:$F$323,0),1)</f>
        <v>478369.59</v>
      </c>
      <c r="G166" s="1">
        <f t="shared" si="14"/>
        <v>478369.59</v>
      </c>
      <c r="H166" s="1">
        <f t="shared" si="15"/>
        <v>0</v>
      </c>
      <c r="I166" s="1">
        <f t="shared" si="16"/>
        <v>478369.59</v>
      </c>
      <c r="J166" s="60"/>
      <c r="K166" s="1" t="e">
        <f>INDEX(#REF!,MATCH(SurtaxRatesSAS!$B166,#REF!,0),1)</f>
        <v>#REF!</v>
      </c>
      <c r="L166" s="1" t="e">
        <f t="shared" si="17"/>
        <v>#REF!</v>
      </c>
      <c r="M166" s="1" t="e">
        <f t="shared" si="18"/>
        <v>#REF!</v>
      </c>
      <c r="N166" s="1" t="e">
        <f t="shared" si="19"/>
        <v>#REF!</v>
      </c>
    </row>
    <row r="167" spans="1:14" x14ac:dyDescent="0.25">
      <c r="A167">
        <v>2024</v>
      </c>
      <c r="B167" s="3" t="s">
        <v>511</v>
      </c>
      <c r="C167" t="s">
        <v>173</v>
      </c>
      <c r="D167">
        <v>4</v>
      </c>
      <c r="E167">
        <v>0</v>
      </c>
      <c r="F167" s="1">
        <f>INDEX('Dec100%_DOR PDF'!$B$3:$F$323,MATCH(SurtaxRatesSAS!$B167,'Dec100%_DOR PDF'!$F$3:$F$323,0),1)</f>
        <v>44699.08</v>
      </c>
      <c r="G167" s="1">
        <f t="shared" si="14"/>
        <v>44699.08</v>
      </c>
      <c r="H167" s="1">
        <f t="shared" si="15"/>
        <v>0</v>
      </c>
      <c r="I167" s="1">
        <f t="shared" si="16"/>
        <v>44699.08</v>
      </c>
      <c r="J167" s="60"/>
      <c r="K167" s="1" t="e">
        <f>INDEX(#REF!,MATCH(SurtaxRatesSAS!$B167,#REF!,0),1)</f>
        <v>#REF!</v>
      </c>
      <c r="L167" s="1" t="e">
        <f t="shared" si="17"/>
        <v>#REF!</v>
      </c>
      <c r="M167" s="1" t="e">
        <f t="shared" si="18"/>
        <v>#REF!</v>
      </c>
      <c r="N167" s="1" t="e">
        <f t="shared" si="19"/>
        <v>#REF!</v>
      </c>
    </row>
    <row r="168" spans="1:14" x14ac:dyDescent="0.25">
      <c r="A168">
        <v>2024</v>
      </c>
      <c r="B168" s="3" t="s">
        <v>512</v>
      </c>
      <c r="C168" t="s">
        <v>174</v>
      </c>
      <c r="D168">
        <v>1</v>
      </c>
      <c r="E168">
        <v>0</v>
      </c>
      <c r="F168" s="1">
        <f>INDEX('Dec100%_DOR PDF'!$B$3:$F$323,MATCH(SurtaxRatesSAS!$B168,'Dec100%_DOR PDF'!$F$3:$F$323,0),1)</f>
        <v>294465.25</v>
      </c>
      <c r="G168" s="1">
        <f t="shared" si="14"/>
        <v>294465.25</v>
      </c>
      <c r="H168" s="1">
        <f t="shared" si="15"/>
        <v>0</v>
      </c>
      <c r="I168" s="1">
        <f t="shared" si="16"/>
        <v>294465.25</v>
      </c>
      <c r="J168" s="60"/>
      <c r="K168" s="1" t="e">
        <f>INDEX(#REF!,MATCH(SurtaxRatesSAS!$B168,#REF!,0),1)</f>
        <v>#REF!</v>
      </c>
      <c r="L168" s="1" t="e">
        <f t="shared" si="17"/>
        <v>#REF!</v>
      </c>
      <c r="M168" s="1" t="e">
        <f t="shared" si="18"/>
        <v>#REF!</v>
      </c>
      <c r="N168" s="1" t="e">
        <f t="shared" si="19"/>
        <v>#REF!</v>
      </c>
    </row>
    <row r="169" spans="1:14" x14ac:dyDescent="0.25">
      <c r="A169">
        <v>2024</v>
      </c>
      <c r="B169" s="3" t="s">
        <v>513</v>
      </c>
      <c r="C169" t="s">
        <v>175</v>
      </c>
      <c r="D169">
        <v>6</v>
      </c>
      <c r="E169">
        <v>1</v>
      </c>
      <c r="F169" s="1">
        <f>INDEX('Dec100%_DOR PDF'!$B$3:$F$323,MATCH(SurtaxRatesSAS!$B169,'Dec100%_DOR PDF'!$F$3:$F$323,0),1)</f>
        <v>291869.84999999998</v>
      </c>
      <c r="G169" s="1">
        <f t="shared" si="14"/>
        <v>291869.84999999998</v>
      </c>
      <c r="H169" s="1">
        <f t="shared" si="15"/>
        <v>41695.69</v>
      </c>
      <c r="I169" s="1">
        <f t="shared" si="16"/>
        <v>250174.15999999997</v>
      </c>
      <c r="J169" s="60"/>
      <c r="K169" s="1" t="e">
        <f>INDEX(#REF!,MATCH(SurtaxRatesSAS!$B169,#REF!,0),1)</f>
        <v>#REF!</v>
      </c>
      <c r="L169" s="1" t="e">
        <f t="shared" si="17"/>
        <v>#REF!</v>
      </c>
      <c r="M169" s="1" t="e">
        <f t="shared" si="18"/>
        <v>#REF!</v>
      </c>
      <c r="N169" s="1" t="e">
        <f t="shared" si="19"/>
        <v>#REF!</v>
      </c>
    </row>
    <row r="170" spans="1:14" x14ac:dyDescent="0.25">
      <c r="A170">
        <v>2024</v>
      </c>
      <c r="B170" s="3" t="s">
        <v>514</v>
      </c>
      <c r="C170" t="s">
        <v>176</v>
      </c>
      <c r="D170">
        <v>5</v>
      </c>
      <c r="E170">
        <v>0</v>
      </c>
      <c r="F170" s="1">
        <f>INDEX('Dec100%_DOR PDF'!$B$3:$F$323,MATCH(SurtaxRatesSAS!$B170,'Dec100%_DOR PDF'!$F$3:$F$323,0),1)</f>
        <v>550302.26</v>
      </c>
      <c r="G170" s="1">
        <f t="shared" si="14"/>
        <v>550302.26</v>
      </c>
      <c r="H170" s="1">
        <f t="shared" si="15"/>
        <v>0</v>
      </c>
      <c r="I170" s="1">
        <f t="shared" si="16"/>
        <v>550302.26</v>
      </c>
      <c r="J170" s="60"/>
      <c r="K170" s="1" t="e">
        <f>INDEX(#REF!,MATCH(SurtaxRatesSAS!$B170,#REF!,0),1)</f>
        <v>#REF!</v>
      </c>
      <c r="L170" s="1" t="e">
        <f t="shared" si="17"/>
        <v>#REF!</v>
      </c>
      <c r="M170" s="1" t="e">
        <f t="shared" si="18"/>
        <v>#REF!</v>
      </c>
      <c r="N170" s="1" t="e">
        <f t="shared" si="19"/>
        <v>#REF!</v>
      </c>
    </row>
    <row r="171" spans="1:14" x14ac:dyDescent="0.25">
      <c r="A171">
        <v>2024</v>
      </c>
      <c r="B171" s="3" t="s">
        <v>516</v>
      </c>
      <c r="C171" t="s">
        <v>177</v>
      </c>
      <c r="D171">
        <v>6</v>
      </c>
      <c r="E171">
        <v>0</v>
      </c>
      <c r="F171" s="1">
        <f>INDEX('Dec100%_DOR PDF'!$B$3:$F$323,MATCH(SurtaxRatesSAS!$B171,'Dec100%_DOR PDF'!$F$3:$F$323,0),1)</f>
        <v>555475.81999999995</v>
      </c>
      <c r="G171" s="1">
        <f t="shared" si="14"/>
        <v>555475.81999999995</v>
      </c>
      <c r="H171" s="1">
        <f t="shared" si="15"/>
        <v>0</v>
      </c>
      <c r="I171" s="1">
        <f t="shared" si="16"/>
        <v>555475.81999999995</v>
      </c>
      <c r="J171" s="60"/>
      <c r="K171" s="1" t="e">
        <f>INDEX(#REF!,MATCH(SurtaxRatesSAS!$B171,#REF!,0),1)</f>
        <v>#REF!</v>
      </c>
      <c r="L171" s="1" t="e">
        <f t="shared" si="17"/>
        <v>#REF!</v>
      </c>
      <c r="M171" s="1" t="e">
        <f t="shared" si="18"/>
        <v>#REF!</v>
      </c>
      <c r="N171" s="1" t="e">
        <f t="shared" si="19"/>
        <v>#REF!</v>
      </c>
    </row>
    <row r="172" spans="1:14" x14ac:dyDescent="0.25">
      <c r="A172">
        <v>2024</v>
      </c>
      <c r="B172" s="3" t="s">
        <v>517</v>
      </c>
      <c r="C172" t="s">
        <v>178</v>
      </c>
      <c r="D172">
        <v>7</v>
      </c>
      <c r="E172">
        <v>2</v>
      </c>
      <c r="F172" s="1">
        <f>INDEX('Dec100%_DOR PDF'!$B$3:$F$323,MATCH(SurtaxRatesSAS!$B172,'Dec100%_DOR PDF'!$F$3:$F$323,0),1)</f>
        <v>262468.34000000003</v>
      </c>
      <c r="G172" s="1">
        <f t="shared" si="14"/>
        <v>262468.34000000003</v>
      </c>
      <c r="H172" s="1">
        <f t="shared" si="15"/>
        <v>58326.3</v>
      </c>
      <c r="I172" s="1">
        <f t="shared" si="16"/>
        <v>204142.04000000004</v>
      </c>
      <c r="J172" s="60"/>
      <c r="K172" s="1" t="e">
        <f>INDEX(#REF!,MATCH(SurtaxRatesSAS!$B172,#REF!,0),1)</f>
        <v>#REF!</v>
      </c>
      <c r="L172" s="1" t="e">
        <f t="shared" si="17"/>
        <v>#REF!</v>
      </c>
      <c r="M172" s="1" t="e">
        <f t="shared" si="18"/>
        <v>#REF!</v>
      </c>
      <c r="N172" s="1" t="e">
        <f t="shared" si="19"/>
        <v>#REF!</v>
      </c>
    </row>
    <row r="173" spans="1:14" x14ac:dyDescent="0.25">
      <c r="A173">
        <v>2024</v>
      </c>
      <c r="B173" s="3" t="s">
        <v>515</v>
      </c>
      <c r="C173" t="s">
        <v>179</v>
      </c>
      <c r="D173">
        <v>11</v>
      </c>
      <c r="E173">
        <v>0</v>
      </c>
      <c r="F173" s="1">
        <f>INDEX('Dec100%_DOR PDF'!$B$3:$F$323,MATCH(SurtaxRatesSAS!$B173,'Dec100%_DOR PDF'!$F$3:$F$323,0),1)</f>
        <v>266803.59999999998</v>
      </c>
      <c r="G173" s="1">
        <f t="shared" si="14"/>
        <v>266803.59999999998</v>
      </c>
      <c r="H173" s="1">
        <f t="shared" si="15"/>
        <v>0</v>
      </c>
      <c r="I173" s="1">
        <f t="shared" si="16"/>
        <v>266803.59999999998</v>
      </c>
      <c r="J173" s="60"/>
      <c r="K173" s="1" t="e">
        <f>INDEX(#REF!,MATCH(SurtaxRatesSAS!$B173,#REF!,0),1)</f>
        <v>#REF!</v>
      </c>
      <c r="L173" s="1" t="e">
        <f t="shared" si="17"/>
        <v>#REF!</v>
      </c>
      <c r="M173" s="1" t="e">
        <f t="shared" si="18"/>
        <v>#REF!</v>
      </c>
      <c r="N173" s="1" t="e">
        <f t="shared" si="19"/>
        <v>#REF!</v>
      </c>
    </row>
    <row r="174" spans="1:14" x14ac:dyDescent="0.25">
      <c r="A174">
        <v>2024</v>
      </c>
      <c r="B174" s="3" t="s">
        <v>518</v>
      </c>
      <c r="C174" t="s">
        <v>180</v>
      </c>
      <c r="D174">
        <v>7</v>
      </c>
      <c r="E174">
        <v>0</v>
      </c>
      <c r="F174" s="1">
        <f>INDEX('Dec100%_DOR PDF'!$B$3:$F$323,MATCH(SurtaxRatesSAS!$B174,'Dec100%_DOR PDF'!$F$3:$F$323,0),1)</f>
        <v>1222977.83</v>
      </c>
      <c r="G174" s="1">
        <f t="shared" si="14"/>
        <v>1222977.83</v>
      </c>
      <c r="H174" s="1">
        <f t="shared" si="15"/>
        <v>0</v>
      </c>
      <c r="I174" s="1">
        <f t="shared" si="16"/>
        <v>1222977.83</v>
      </c>
      <c r="J174" s="60"/>
      <c r="K174" s="1" t="e">
        <f>INDEX(#REF!,MATCH(SurtaxRatesSAS!$B174,#REF!,0),1)</f>
        <v>#REF!</v>
      </c>
      <c r="L174" s="1" t="e">
        <f t="shared" si="17"/>
        <v>#REF!</v>
      </c>
      <c r="M174" s="1" t="e">
        <f t="shared" si="18"/>
        <v>#REF!</v>
      </c>
      <c r="N174" s="1" t="e">
        <f t="shared" si="19"/>
        <v>#REF!</v>
      </c>
    </row>
    <row r="175" spans="1:14" x14ac:dyDescent="0.25">
      <c r="A175">
        <v>2024</v>
      </c>
      <c r="B175" s="3" t="s">
        <v>434</v>
      </c>
      <c r="C175" t="s">
        <v>181</v>
      </c>
      <c r="D175">
        <v>9</v>
      </c>
      <c r="E175">
        <v>0</v>
      </c>
      <c r="F175" s="1">
        <f>INDEX('Dec100%_DOR PDF'!$B$3:$F$323,MATCH(SurtaxRatesSAS!$B175,'Dec100%_DOR PDF'!$F$3:$F$323,0),1)</f>
        <v>293989.43</v>
      </c>
      <c r="G175" s="1">
        <f t="shared" si="14"/>
        <v>293989.43</v>
      </c>
      <c r="H175" s="1">
        <f t="shared" si="15"/>
        <v>0</v>
      </c>
      <c r="I175" s="1">
        <f t="shared" si="16"/>
        <v>293989.43</v>
      </c>
      <c r="J175" s="60"/>
      <c r="K175" s="1" t="e">
        <f>INDEX(#REF!,MATCH(SurtaxRatesSAS!$B175,#REF!,0),1)</f>
        <v>#REF!</v>
      </c>
      <c r="L175" s="1" t="e">
        <f t="shared" si="17"/>
        <v>#REF!</v>
      </c>
      <c r="M175" s="1" t="e">
        <f t="shared" si="18"/>
        <v>#REF!</v>
      </c>
      <c r="N175" s="1" t="e">
        <f t="shared" si="19"/>
        <v>#REF!</v>
      </c>
    </row>
    <row r="176" spans="1:14" x14ac:dyDescent="0.25">
      <c r="A176">
        <v>2024</v>
      </c>
      <c r="B176" s="3" t="s">
        <v>322</v>
      </c>
      <c r="C176" t="s">
        <v>182</v>
      </c>
      <c r="D176">
        <v>1</v>
      </c>
      <c r="E176">
        <v>0</v>
      </c>
      <c r="F176" s="1">
        <f>INDEX('Dec100%_DOR PDF'!$B$3:$F$323,MATCH(SurtaxRatesSAS!$B176,'Dec100%_DOR PDF'!$F$3:$F$323,0),1)</f>
        <v>33875.300000000003</v>
      </c>
      <c r="G176" s="1">
        <f t="shared" si="14"/>
        <v>33875.300000000003</v>
      </c>
      <c r="H176" s="1">
        <f t="shared" si="15"/>
        <v>0</v>
      </c>
      <c r="I176" s="1">
        <f t="shared" si="16"/>
        <v>33875.300000000003</v>
      </c>
      <c r="J176" s="60"/>
      <c r="K176" s="1" t="e">
        <f>INDEX(#REF!,MATCH(SurtaxRatesSAS!$B176,#REF!,0),1)</f>
        <v>#REF!</v>
      </c>
      <c r="L176" s="1" t="e">
        <f t="shared" si="17"/>
        <v>#REF!</v>
      </c>
      <c r="M176" s="1" t="e">
        <f t="shared" si="18"/>
        <v>#REF!</v>
      </c>
      <c r="N176" s="1" t="e">
        <f t="shared" si="19"/>
        <v>#REF!</v>
      </c>
    </row>
    <row r="177" spans="1:14" x14ac:dyDescent="0.25">
      <c r="A177">
        <v>2024</v>
      </c>
      <c r="B177" s="3" t="s">
        <v>476</v>
      </c>
      <c r="C177" t="s">
        <v>183</v>
      </c>
      <c r="D177">
        <v>7</v>
      </c>
      <c r="E177">
        <v>3</v>
      </c>
      <c r="F177" s="1">
        <f>INDEX('Dec100%_DOR PDF'!$B$3:$F$323,MATCH(SurtaxRatesSAS!$B177,'Dec100%_DOR PDF'!$F$3:$F$323,0),1)</f>
        <v>495584.56</v>
      </c>
      <c r="G177" s="1">
        <f t="shared" si="14"/>
        <v>495584.56</v>
      </c>
      <c r="H177" s="1">
        <f t="shared" si="15"/>
        <v>148675.37</v>
      </c>
      <c r="I177" s="1">
        <f t="shared" si="16"/>
        <v>346909.19</v>
      </c>
      <c r="J177" s="60"/>
      <c r="K177" s="1" t="e">
        <f>INDEX(#REF!,MATCH(SurtaxRatesSAS!$B177,#REF!,0),1)</f>
        <v>#REF!</v>
      </c>
      <c r="L177" s="1" t="e">
        <f t="shared" si="17"/>
        <v>#REF!</v>
      </c>
      <c r="M177" s="1" t="e">
        <f t="shared" si="18"/>
        <v>#REF!</v>
      </c>
      <c r="N177" s="1" t="e">
        <f t="shared" si="19"/>
        <v>#REF!</v>
      </c>
    </row>
    <row r="178" spans="1:14" x14ac:dyDescent="0.25">
      <c r="A178">
        <v>2024</v>
      </c>
      <c r="B178" s="3" t="s">
        <v>521</v>
      </c>
      <c r="C178" t="s">
        <v>690</v>
      </c>
      <c r="D178">
        <v>8</v>
      </c>
      <c r="E178">
        <v>0</v>
      </c>
      <c r="F178" s="1">
        <f>INDEX('Dec100%_DOR PDF'!$B$3:$F$323,MATCH(SurtaxRatesSAS!$B178,'Dec100%_DOR PDF'!$F$3:$F$323,0),1)</f>
        <v>534394.35</v>
      </c>
      <c r="G178" s="1">
        <f t="shared" si="14"/>
        <v>534394.35</v>
      </c>
      <c r="H178" s="1">
        <f t="shared" si="15"/>
        <v>0</v>
      </c>
      <c r="I178" s="1">
        <f t="shared" si="16"/>
        <v>534394.35</v>
      </c>
      <c r="J178" s="60"/>
      <c r="K178" s="1" t="e">
        <f>INDEX(#REF!,MATCH(SurtaxRatesSAS!$B178,#REF!,0),1)</f>
        <v>#REF!</v>
      </c>
      <c r="L178" s="1" t="e">
        <f t="shared" si="17"/>
        <v>#REF!</v>
      </c>
      <c r="M178" s="1" t="e">
        <f t="shared" si="18"/>
        <v>#REF!</v>
      </c>
      <c r="N178" s="1" t="e">
        <f t="shared" si="19"/>
        <v>#REF!</v>
      </c>
    </row>
    <row r="179" spans="1:14" x14ac:dyDescent="0.25">
      <c r="A179">
        <v>2024</v>
      </c>
      <c r="B179" s="3" t="s">
        <v>350</v>
      </c>
      <c r="C179" t="s">
        <v>185</v>
      </c>
      <c r="D179">
        <v>1</v>
      </c>
      <c r="E179">
        <v>1</v>
      </c>
      <c r="F179" s="1">
        <f>INDEX('Dec100%_DOR PDF'!$B$3:$F$323,MATCH(SurtaxRatesSAS!$B179,'Dec100%_DOR PDF'!$F$3:$F$323,0),1)</f>
        <v>69130.320000000007</v>
      </c>
      <c r="G179" s="1">
        <f t="shared" si="14"/>
        <v>69130.320000000007</v>
      </c>
      <c r="H179" s="1">
        <f t="shared" si="15"/>
        <v>34565.160000000003</v>
      </c>
      <c r="I179" s="1">
        <f t="shared" si="16"/>
        <v>34565.160000000003</v>
      </c>
      <c r="J179" s="60"/>
      <c r="K179" s="1" t="e">
        <f>INDEX(#REF!,MATCH(SurtaxRatesSAS!$B179,#REF!,0),1)</f>
        <v>#REF!</v>
      </c>
      <c r="L179" s="1" t="e">
        <f t="shared" si="17"/>
        <v>#REF!</v>
      </c>
      <c r="M179" s="1" t="e">
        <f t="shared" si="18"/>
        <v>#REF!</v>
      </c>
      <c r="N179" s="1" t="e">
        <f t="shared" si="19"/>
        <v>#REF!</v>
      </c>
    </row>
    <row r="180" spans="1:14" x14ac:dyDescent="0.25">
      <c r="A180">
        <v>2024</v>
      </c>
      <c r="B180" s="3" t="s">
        <v>525</v>
      </c>
      <c r="C180" t="s">
        <v>186</v>
      </c>
      <c r="D180">
        <v>5</v>
      </c>
      <c r="E180">
        <v>0</v>
      </c>
      <c r="F180" s="1">
        <f>INDEX('Dec100%_DOR PDF'!$B$3:$F$323,MATCH(SurtaxRatesSAS!$B180,'Dec100%_DOR PDF'!$F$3:$F$323,0),1)</f>
        <v>79843.929999999993</v>
      </c>
      <c r="G180" s="1">
        <f t="shared" si="14"/>
        <v>79843.929999999993</v>
      </c>
      <c r="H180" s="1">
        <f t="shared" si="15"/>
        <v>0</v>
      </c>
      <c r="I180" s="1">
        <f t="shared" si="16"/>
        <v>79843.929999999993</v>
      </c>
      <c r="J180" s="60"/>
      <c r="K180" s="1" t="e">
        <f>INDEX(#REF!,MATCH(SurtaxRatesSAS!$B180,#REF!,0),1)</f>
        <v>#REF!</v>
      </c>
      <c r="L180" s="1" t="e">
        <f t="shared" si="17"/>
        <v>#REF!</v>
      </c>
      <c r="M180" s="1" t="e">
        <f t="shared" si="18"/>
        <v>#REF!</v>
      </c>
      <c r="N180" s="1" t="e">
        <f t="shared" si="19"/>
        <v>#REF!</v>
      </c>
    </row>
    <row r="181" spans="1:14" x14ac:dyDescent="0.25">
      <c r="A181">
        <v>2024</v>
      </c>
      <c r="B181" s="3" t="s">
        <v>524</v>
      </c>
      <c r="C181" t="s">
        <v>187</v>
      </c>
      <c r="D181">
        <v>1</v>
      </c>
      <c r="E181">
        <v>0</v>
      </c>
      <c r="F181" s="1">
        <f>INDEX('Dec100%_DOR PDF'!$B$3:$F$323,MATCH(SurtaxRatesSAS!$B181,'Dec100%_DOR PDF'!$F$3:$F$323,0),1)</f>
        <v>41134.910000000003</v>
      </c>
      <c r="G181" s="1">
        <f t="shared" si="14"/>
        <v>41134.910000000003</v>
      </c>
      <c r="H181" s="1">
        <f t="shared" si="15"/>
        <v>0</v>
      </c>
      <c r="I181" s="1">
        <f t="shared" si="16"/>
        <v>41134.910000000003</v>
      </c>
      <c r="J181" s="60"/>
      <c r="K181" s="1" t="e">
        <f>INDEX(#REF!,MATCH(SurtaxRatesSAS!$B181,#REF!,0),1)</f>
        <v>#REF!</v>
      </c>
      <c r="L181" s="1" t="e">
        <f t="shared" si="17"/>
        <v>#REF!</v>
      </c>
      <c r="M181" s="1" t="e">
        <f t="shared" si="18"/>
        <v>#REF!</v>
      </c>
      <c r="N181" s="1" t="e">
        <f t="shared" si="19"/>
        <v>#REF!</v>
      </c>
    </row>
    <row r="182" spans="1:14" x14ac:dyDescent="0.25">
      <c r="A182">
        <v>2024</v>
      </c>
      <c r="B182" s="3" t="s">
        <v>523</v>
      </c>
      <c r="C182" t="s">
        <v>188</v>
      </c>
      <c r="D182">
        <v>2</v>
      </c>
      <c r="E182">
        <v>0</v>
      </c>
      <c r="F182" s="1">
        <f>INDEX('Dec100%_DOR PDF'!$B$3:$F$323,MATCH(SurtaxRatesSAS!$B182,'Dec100%_DOR PDF'!$F$3:$F$323,0),1)</f>
        <v>65150.33</v>
      </c>
      <c r="G182" s="1">
        <f t="shared" si="14"/>
        <v>65150.33</v>
      </c>
      <c r="H182" s="1">
        <f t="shared" si="15"/>
        <v>0</v>
      </c>
      <c r="I182" s="1">
        <f t="shared" si="16"/>
        <v>65150.33</v>
      </c>
      <c r="J182" s="60"/>
      <c r="K182" s="1" t="e">
        <f>INDEX(#REF!,MATCH(SurtaxRatesSAS!$B182,#REF!,0),1)</f>
        <v>#REF!</v>
      </c>
      <c r="L182" s="1" t="e">
        <f t="shared" si="17"/>
        <v>#REF!</v>
      </c>
      <c r="M182" s="1" t="e">
        <f t="shared" si="18"/>
        <v>#REF!</v>
      </c>
      <c r="N182" s="1" t="e">
        <f t="shared" si="19"/>
        <v>#REF!</v>
      </c>
    </row>
    <row r="183" spans="1:14" x14ac:dyDescent="0.25">
      <c r="A183">
        <v>2024</v>
      </c>
      <c r="B183" s="3" t="s">
        <v>526</v>
      </c>
      <c r="C183" t="s">
        <v>189</v>
      </c>
      <c r="D183">
        <v>4</v>
      </c>
      <c r="E183">
        <v>0</v>
      </c>
      <c r="F183" s="1">
        <f>INDEX('Dec100%_DOR PDF'!$B$3:$F$323,MATCH(SurtaxRatesSAS!$B183,'Dec100%_DOR PDF'!$F$3:$F$323,0),1)</f>
        <v>833275.48</v>
      </c>
      <c r="G183" s="1">
        <f t="shared" si="14"/>
        <v>833275.48</v>
      </c>
      <c r="H183" s="1">
        <f t="shared" si="15"/>
        <v>0</v>
      </c>
      <c r="I183" s="1">
        <f t="shared" si="16"/>
        <v>833275.48</v>
      </c>
      <c r="J183" s="60"/>
      <c r="K183" s="1" t="e">
        <f>INDEX(#REF!,MATCH(SurtaxRatesSAS!$B183,#REF!,0),1)</f>
        <v>#REF!</v>
      </c>
      <c r="L183" s="1" t="e">
        <f t="shared" si="17"/>
        <v>#REF!</v>
      </c>
      <c r="M183" s="1" t="e">
        <f t="shared" si="18"/>
        <v>#REF!</v>
      </c>
      <c r="N183" s="1" t="e">
        <f t="shared" si="19"/>
        <v>#REF!</v>
      </c>
    </row>
    <row r="184" spans="1:14" x14ac:dyDescent="0.25">
      <c r="A184">
        <v>2024</v>
      </c>
      <c r="B184" s="3" t="s">
        <v>527</v>
      </c>
      <c r="C184" t="s">
        <v>190</v>
      </c>
      <c r="D184">
        <v>1</v>
      </c>
      <c r="E184">
        <v>0</v>
      </c>
      <c r="F184" s="1">
        <f>INDEX('Dec100%_DOR PDF'!$B$3:$F$323,MATCH(SurtaxRatesSAS!$B184,'Dec100%_DOR PDF'!$F$3:$F$323,0),1)</f>
        <v>243016.21</v>
      </c>
      <c r="G184" s="1">
        <f t="shared" si="14"/>
        <v>243016.21</v>
      </c>
      <c r="H184" s="1">
        <f t="shared" si="15"/>
        <v>0</v>
      </c>
      <c r="I184" s="1">
        <f t="shared" si="16"/>
        <v>243016.21</v>
      </c>
      <c r="J184" s="60"/>
      <c r="K184" s="1" t="e">
        <f>INDEX(#REF!,MATCH(SurtaxRatesSAS!$B184,#REF!,0),1)</f>
        <v>#REF!</v>
      </c>
      <c r="L184" s="1" t="e">
        <f t="shared" si="17"/>
        <v>#REF!</v>
      </c>
      <c r="M184" s="1" t="e">
        <f t="shared" si="18"/>
        <v>#REF!</v>
      </c>
      <c r="N184" s="1" t="e">
        <f t="shared" si="19"/>
        <v>#REF!</v>
      </c>
    </row>
    <row r="185" spans="1:14" x14ac:dyDescent="0.25">
      <c r="A185">
        <v>2024</v>
      </c>
      <c r="B185" s="3" t="s">
        <v>528</v>
      </c>
      <c r="C185" t="s">
        <v>191</v>
      </c>
      <c r="D185">
        <v>4</v>
      </c>
      <c r="E185">
        <v>0</v>
      </c>
      <c r="F185" s="1">
        <f>INDEX('Dec100%_DOR PDF'!$B$3:$F$323,MATCH(SurtaxRatesSAS!$B185,'Dec100%_DOR PDF'!$F$3:$F$323,0),1)</f>
        <v>131232.42000000001</v>
      </c>
      <c r="G185" s="1">
        <f t="shared" si="14"/>
        <v>131232.42000000001</v>
      </c>
      <c r="H185" s="1">
        <f t="shared" si="15"/>
        <v>0</v>
      </c>
      <c r="I185" s="1">
        <f t="shared" si="16"/>
        <v>131232.42000000001</v>
      </c>
      <c r="J185" s="60"/>
      <c r="K185" s="1" t="e">
        <f>INDEX(#REF!,MATCH(SurtaxRatesSAS!$B185,#REF!,0),1)</f>
        <v>#REF!</v>
      </c>
      <c r="L185" s="1" t="e">
        <f t="shared" si="17"/>
        <v>#REF!</v>
      </c>
      <c r="M185" s="1" t="e">
        <f t="shared" si="18"/>
        <v>#REF!</v>
      </c>
      <c r="N185" s="1" t="e">
        <f t="shared" si="19"/>
        <v>#REF!</v>
      </c>
    </row>
    <row r="186" spans="1:14" x14ac:dyDescent="0.25">
      <c r="A186">
        <v>2024</v>
      </c>
      <c r="B186" s="3" t="s">
        <v>329</v>
      </c>
      <c r="C186" t="s">
        <v>192</v>
      </c>
      <c r="D186">
        <v>3</v>
      </c>
      <c r="E186">
        <v>3</v>
      </c>
      <c r="F186" s="1">
        <f>INDEX('Dec100%_DOR PDF'!$B$3:$F$323,MATCH(SurtaxRatesSAS!$B186,'Dec100%_DOR PDF'!$F$3:$F$323,0),1)</f>
        <v>199662.05</v>
      </c>
      <c r="G186" s="1">
        <f t="shared" si="14"/>
        <v>199662.05</v>
      </c>
      <c r="H186" s="1">
        <f t="shared" si="15"/>
        <v>99831.03</v>
      </c>
      <c r="I186" s="1">
        <f t="shared" si="16"/>
        <v>99831.01999999999</v>
      </c>
      <c r="J186" s="60"/>
      <c r="K186" s="1" t="e">
        <f>INDEX(#REF!,MATCH(SurtaxRatesSAS!$B186,#REF!,0),1)</f>
        <v>#REF!</v>
      </c>
      <c r="L186" s="1" t="e">
        <f t="shared" si="17"/>
        <v>#REF!</v>
      </c>
      <c r="M186" s="1" t="e">
        <f t="shared" si="18"/>
        <v>#REF!</v>
      </c>
      <c r="N186" s="1" t="e">
        <f t="shared" si="19"/>
        <v>#REF!</v>
      </c>
    </row>
    <row r="187" spans="1:14" x14ac:dyDescent="0.25">
      <c r="A187">
        <v>2024</v>
      </c>
      <c r="B187" s="3" t="s">
        <v>520</v>
      </c>
      <c r="C187" t="s">
        <v>194</v>
      </c>
      <c r="D187">
        <v>9</v>
      </c>
      <c r="E187">
        <v>0</v>
      </c>
      <c r="F187" s="1">
        <f>INDEX('Dec100%_DOR PDF'!$B$3:$F$323,MATCH(SurtaxRatesSAS!$B187,'Dec100%_DOR PDF'!$F$3:$F$323,0),1)</f>
        <v>258394.79</v>
      </c>
      <c r="G187" s="1">
        <f t="shared" si="14"/>
        <v>258394.79</v>
      </c>
      <c r="H187" s="1">
        <f t="shared" si="15"/>
        <v>0</v>
      </c>
      <c r="I187" s="1">
        <f t="shared" si="16"/>
        <v>258394.79</v>
      </c>
      <c r="J187" s="60"/>
      <c r="K187" s="1" t="e">
        <f>INDEX(#REF!,MATCH(SurtaxRatesSAS!$B187,#REF!,0),1)</f>
        <v>#REF!</v>
      </c>
      <c r="L187" s="1" t="e">
        <f t="shared" si="17"/>
        <v>#REF!</v>
      </c>
      <c r="M187" s="1" t="e">
        <f t="shared" si="18"/>
        <v>#REF!</v>
      </c>
      <c r="N187" s="1" t="e">
        <f t="shared" si="19"/>
        <v>#REF!</v>
      </c>
    </row>
    <row r="188" spans="1:14" x14ac:dyDescent="0.25">
      <c r="A188">
        <v>2024</v>
      </c>
      <c r="B188" s="3" t="s">
        <v>529</v>
      </c>
      <c r="C188" t="s">
        <v>196</v>
      </c>
      <c r="D188">
        <v>5</v>
      </c>
      <c r="E188">
        <v>0</v>
      </c>
      <c r="F188" s="1">
        <f>INDEX('Dec100%_DOR PDF'!$B$3:$F$323,MATCH(SurtaxRatesSAS!$B188,'Dec100%_DOR PDF'!$F$3:$F$323,0),1)</f>
        <v>142188.54</v>
      </c>
      <c r="G188" s="1">
        <f t="shared" si="14"/>
        <v>142188.54</v>
      </c>
      <c r="H188" s="1">
        <f t="shared" si="15"/>
        <v>0</v>
      </c>
      <c r="I188" s="1">
        <f t="shared" si="16"/>
        <v>142188.54</v>
      </c>
      <c r="J188" s="60"/>
      <c r="K188" s="1" t="e">
        <f>INDEX(#REF!,MATCH(SurtaxRatesSAS!$B188,#REF!,0),1)</f>
        <v>#REF!</v>
      </c>
      <c r="L188" s="1" t="e">
        <f t="shared" si="17"/>
        <v>#REF!</v>
      </c>
      <c r="M188" s="1" t="e">
        <f t="shared" si="18"/>
        <v>#REF!</v>
      </c>
      <c r="N188" s="1" t="e">
        <f t="shared" si="19"/>
        <v>#REF!</v>
      </c>
    </row>
    <row r="189" spans="1:14" x14ac:dyDescent="0.25">
      <c r="A189">
        <v>2024</v>
      </c>
      <c r="B189" s="3" t="s">
        <v>532</v>
      </c>
      <c r="C189" t="s">
        <v>691</v>
      </c>
      <c r="D189">
        <v>2</v>
      </c>
      <c r="E189">
        <v>0</v>
      </c>
      <c r="F189" s="1">
        <f>INDEX('Dec100%_DOR PDF'!$B$3:$F$323,MATCH(SurtaxRatesSAS!$B189,'Dec100%_DOR PDF'!$F$3:$F$323,0),1)</f>
        <v>140868.14000000001</v>
      </c>
      <c r="G189" s="1">
        <f t="shared" si="14"/>
        <v>140868.14000000001</v>
      </c>
      <c r="H189" s="1">
        <f t="shared" si="15"/>
        <v>0</v>
      </c>
      <c r="I189" s="1">
        <f t="shared" si="16"/>
        <v>140868.14000000001</v>
      </c>
      <c r="J189" s="60"/>
      <c r="K189" s="1" t="e">
        <f>INDEX(#REF!,MATCH(SurtaxRatesSAS!$B189,#REF!,0),1)</f>
        <v>#REF!</v>
      </c>
      <c r="L189" s="1" t="e">
        <f t="shared" si="17"/>
        <v>#REF!</v>
      </c>
      <c r="M189" s="1" t="e">
        <f t="shared" si="18"/>
        <v>#REF!</v>
      </c>
      <c r="N189" s="1" t="e">
        <f t="shared" si="19"/>
        <v>#REF!</v>
      </c>
    </row>
    <row r="190" spans="1:14" x14ac:dyDescent="0.25">
      <c r="A190">
        <v>2024</v>
      </c>
      <c r="B190" s="3" t="s">
        <v>533</v>
      </c>
      <c r="C190" t="s">
        <v>198</v>
      </c>
      <c r="D190">
        <v>7</v>
      </c>
      <c r="E190">
        <v>2</v>
      </c>
      <c r="F190" s="1">
        <f>INDEX('Dec100%_DOR PDF'!$B$3:$F$323,MATCH(SurtaxRatesSAS!$B190,'Dec100%_DOR PDF'!$F$3:$F$323,0),1)</f>
        <v>505271.77</v>
      </c>
      <c r="G190" s="1">
        <f t="shared" si="14"/>
        <v>505271.77</v>
      </c>
      <c r="H190" s="1">
        <f t="shared" si="15"/>
        <v>112282.62</v>
      </c>
      <c r="I190" s="1">
        <f t="shared" si="16"/>
        <v>392989.15</v>
      </c>
      <c r="J190" s="60"/>
      <c r="K190" s="1" t="e">
        <f>INDEX(#REF!,MATCH(SurtaxRatesSAS!$B190,#REF!,0),1)</f>
        <v>#REF!</v>
      </c>
      <c r="L190" s="1" t="e">
        <f t="shared" si="17"/>
        <v>#REF!</v>
      </c>
      <c r="M190" s="1" t="e">
        <f t="shared" si="18"/>
        <v>#REF!</v>
      </c>
      <c r="N190" s="1" t="e">
        <f t="shared" si="19"/>
        <v>#REF!</v>
      </c>
    </row>
    <row r="191" spans="1:14" x14ac:dyDescent="0.25">
      <c r="A191">
        <v>2024</v>
      </c>
      <c r="B191" s="3" t="s">
        <v>534</v>
      </c>
      <c r="C191" t="s">
        <v>199</v>
      </c>
      <c r="D191">
        <v>4</v>
      </c>
      <c r="E191">
        <v>0</v>
      </c>
      <c r="F191" s="1">
        <f>INDEX('Dec100%_DOR PDF'!$B$3:$F$323,MATCH(SurtaxRatesSAS!$B191,'Dec100%_DOR PDF'!$F$3:$F$323,0),1)</f>
        <v>163147.01</v>
      </c>
      <c r="G191" s="1">
        <f t="shared" si="14"/>
        <v>163147.01</v>
      </c>
      <c r="H191" s="1">
        <f t="shared" si="15"/>
        <v>0</v>
      </c>
      <c r="I191" s="1">
        <f t="shared" si="16"/>
        <v>163147.01</v>
      </c>
      <c r="J191" s="60"/>
      <c r="K191" s="1" t="e">
        <f>INDEX(#REF!,MATCH(SurtaxRatesSAS!$B191,#REF!,0),1)</f>
        <v>#REF!</v>
      </c>
      <c r="L191" s="1" t="e">
        <f t="shared" si="17"/>
        <v>#REF!</v>
      </c>
      <c r="M191" s="1" t="e">
        <f t="shared" si="18"/>
        <v>#REF!</v>
      </c>
      <c r="N191" s="1" t="e">
        <f t="shared" si="19"/>
        <v>#REF!</v>
      </c>
    </row>
    <row r="192" spans="1:14" x14ac:dyDescent="0.25">
      <c r="A192">
        <v>2024</v>
      </c>
      <c r="B192" s="3" t="s">
        <v>535</v>
      </c>
      <c r="C192" t="s">
        <v>200</v>
      </c>
      <c r="D192">
        <v>2</v>
      </c>
      <c r="E192">
        <v>0</v>
      </c>
      <c r="F192" s="1">
        <f>INDEX('Dec100%_DOR PDF'!$B$3:$F$323,MATCH(SurtaxRatesSAS!$B192,'Dec100%_DOR PDF'!$F$3:$F$323,0),1)</f>
        <v>192239.17</v>
      </c>
      <c r="G192" s="1">
        <f t="shared" si="14"/>
        <v>192239.17</v>
      </c>
      <c r="H192" s="1">
        <f t="shared" si="15"/>
        <v>0</v>
      </c>
      <c r="I192" s="1">
        <f t="shared" si="16"/>
        <v>192239.17</v>
      </c>
      <c r="J192" s="60"/>
      <c r="K192" s="1" t="e">
        <f>INDEX(#REF!,MATCH(SurtaxRatesSAS!$B192,#REF!,0),1)</f>
        <v>#REF!</v>
      </c>
      <c r="L192" s="1" t="e">
        <f t="shared" si="17"/>
        <v>#REF!</v>
      </c>
      <c r="M192" s="1" t="e">
        <f t="shared" si="18"/>
        <v>#REF!</v>
      </c>
      <c r="N192" s="1" t="e">
        <f t="shared" si="19"/>
        <v>#REF!</v>
      </c>
    </row>
    <row r="193" spans="1:14" x14ac:dyDescent="0.25">
      <c r="A193">
        <v>2024</v>
      </c>
      <c r="B193" s="3" t="s">
        <v>536</v>
      </c>
      <c r="C193" t="s">
        <v>201</v>
      </c>
      <c r="D193">
        <v>1</v>
      </c>
      <c r="E193">
        <v>0</v>
      </c>
      <c r="F193" s="1">
        <f>INDEX('Dec100%_DOR PDF'!$B$3:$F$323,MATCH(SurtaxRatesSAS!$B193,'Dec100%_DOR PDF'!$F$3:$F$323,0),1)</f>
        <v>11299.71</v>
      </c>
      <c r="G193" s="1">
        <f t="shared" si="14"/>
        <v>11299.71</v>
      </c>
      <c r="H193" s="1">
        <f t="shared" si="15"/>
        <v>0</v>
      </c>
      <c r="I193" s="1">
        <f t="shared" si="16"/>
        <v>11299.71</v>
      </c>
      <c r="J193" s="60"/>
      <c r="K193" s="1" t="e">
        <f>INDEX(#REF!,MATCH(SurtaxRatesSAS!$B193,#REF!,0),1)</f>
        <v>#REF!</v>
      </c>
      <c r="L193" s="1" t="e">
        <f t="shared" si="17"/>
        <v>#REF!</v>
      </c>
      <c r="M193" s="1" t="e">
        <f t="shared" si="18"/>
        <v>#REF!</v>
      </c>
      <c r="N193" s="1" t="e">
        <f t="shared" si="19"/>
        <v>#REF!</v>
      </c>
    </row>
    <row r="194" spans="1:14" x14ac:dyDescent="0.25">
      <c r="A194">
        <v>2024</v>
      </c>
      <c r="B194" s="3" t="s">
        <v>537</v>
      </c>
      <c r="C194" t="s">
        <v>202</v>
      </c>
      <c r="D194">
        <v>10</v>
      </c>
      <c r="E194">
        <v>0</v>
      </c>
      <c r="F194" s="1">
        <f>INDEX('Dec100%_DOR PDF'!$B$3:$F$323,MATCH(SurtaxRatesSAS!$B194,'Dec100%_DOR PDF'!$F$3:$F$323,0),1)</f>
        <v>104774.8</v>
      </c>
      <c r="G194" s="1">
        <f t="shared" si="14"/>
        <v>104774.8</v>
      </c>
      <c r="H194" s="1">
        <f t="shared" si="15"/>
        <v>0</v>
      </c>
      <c r="I194" s="1">
        <f t="shared" si="16"/>
        <v>104774.8</v>
      </c>
      <c r="J194" s="60"/>
      <c r="K194" s="1" t="e">
        <f>INDEX(#REF!,MATCH(SurtaxRatesSAS!$B194,#REF!,0),1)</f>
        <v>#REF!</v>
      </c>
      <c r="L194" s="1" t="e">
        <f t="shared" si="17"/>
        <v>#REF!</v>
      </c>
      <c r="M194" s="1" t="e">
        <f t="shared" si="18"/>
        <v>#REF!</v>
      </c>
      <c r="N194" s="1" t="e">
        <f t="shared" si="19"/>
        <v>#REF!</v>
      </c>
    </row>
    <row r="195" spans="1:14" x14ac:dyDescent="0.25">
      <c r="A195">
        <v>2024</v>
      </c>
      <c r="B195" s="3" t="s">
        <v>538</v>
      </c>
      <c r="C195" t="s">
        <v>203</v>
      </c>
      <c r="D195">
        <v>1</v>
      </c>
      <c r="E195">
        <v>1</v>
      </c>
      <c r="F195" s="1">
        <f>INDEX('Dec100%_DOR PDF'!$B$3:$F$323,MATCH(SurtaxRatesSAS!$B195,'Dec100%_DOR PDF'!$F$3:$F$323,0),1)</f>
        <v>135212.37</v>
      </c>
      <c r="G195" s="1">
        <f t="shared" ref="G195:G258" si="20">F195</f>
        <v>135212.37</v>
      </c>
      <c r="H195" s="1">
        <f t="shared" ref="H195:H258" si="21">ROUND((E195/(E195+D195))*G195,2)</f>
        <v>67606.19</v>
      </c>
      <c r="I195" s="1">
        <f t="shared" ref="I195:I258" si="22">G195-H195</f>
        <v>67606.179999999993</v>
      </c>
      <c r="J195" s="60"/>
      <c r="K195" s="1" t="e">
        <f>INDEX(#REF!,MATCH(SurtaxRatesSAS!$B195,#REF!,0),1)</f>
        <v>#REF!</v>
      </c>
      <c r="L195" s="1" t="e">
        <f t="shared" ref="L195:L258" si="23">K195</f>
        <v>#REF!</v>
      </c>
      <c r="M195" s="1" t="e">
        <f t="shared" ref="M195:M258" si="24">ROUND((E195/(E195+D195))*L195,2)</f>
        <v>#REF!</v>
      </c>
      <c r="N195" s="1" t="e">
        <f t="shared" ref="N195:N258" si="25">L195-M195</f>
        <v>#REF!</v>
      </c>
    </row>
    <row r="196" spans="1:14" x14ac:dyDescent="0.25">
      <c r="A196">
        <v>2024</v>
      </c>
      <c r="B196" s="3" t="s">
        <v>539</v>
      </c>
      <c r="C196" t="s">
        <v>204</v>
      </c>
      <c r="D196">
        <v>4</v>
      </c>
      <c r="E196">
        <v>0</v>
      </c>
      <c r="F196" s="1">
        <f>INDEX('Dec100%_DOR PDF'!$B$3:$F$323,MATCH(SurtaxRatesSAS!$B196,'Dec100%_DOR PDF'!$F$3:$F$323,0),1)</f>
        <v>622103.26</v>
      </c>
      <c r="G196" s="1">
        <f t="shared" si="20"/>
        <v>622103.26</v>
      </c>
      <c r="H196" s="1">
        <f t="shared" si="21"/>
        <v>0</v>
      </c>
      <c r="I196" s="1">
        <f t="shared" si="22"/>
        <v>622103.26</v>
      </c>
      <c r="J196" s="60"/>
      <c r="K196" s="1" t="e">
        <f>INDEX(#REF!,MATCH(SurtaxRatesSAS!$B196,#REF!,0),1)</f>
        <v>#REF!</v>
      </c>
      <c r="L196" s="1" t="e">
        <f t="shared" si="23"/>
        <v>#REF!</v>
      </c>
      <c r="M196" s="1" t="e">
        <f t="shared" si="24"/>
        <v>#REF!</v>
      </c>
      <c r="N196" s="1" t="e">
        <f t="shared" si="25"/>
        <v>#REF!</v>
      </c>
    </row>
    <row r="197" spans="1:14" x14ac:dyDescent="0.25">
      <c r="A197">
        <v>2024</v>
      </c>
      <c r="B197" s="3" t="s">
        <v>540</v>
      </c>
      <c r="C197" t="s">
        <v>725</v>
      </c>
      <c r="D197">
        <v>3</v>
      </c>
      <c r="E197">
        <v>0</v>
      </c>
      <c r="F197" s="1">
        <f>INDEX('Dec100%_DOR PDF'!$B$3:$F$323,MATCH(SurtaxRatesSAS!$B197,'Dec100%_DOR PDF'!$F$3:$F$323,0),1)</f>
        <v>663825.78</v>
      </c>
      <c r="G197" s="1">
        <f t="shared" si="20"/>
        <v>663825.78</v>
      </c>
      <c r="H197" s="1">
        <f t="shared" si="21"/>
        <v>0</v>
      </c>
      <c r="I197" s="1">
        <f t="shared" si="22"/>
        <v>663825.78</v>
      </c>
      <c r="J197" s="60"/>
      <c r="K197" s="1" t="e">
        <f>INDEX(#REF!,MATCH(SurtaxRatesSAS!$B197,#REF!,0),1)</f>
        <v>#REF!</v>
      </c>
      <c r="L197" s="1" t="e">
        <f t="shared" si="23"/>
        <v>#REF!</v>
      </c>
      <c r="M197" s="1" t="e">
        <f t="shared" si="24"/>
        <v>#REF!</v>
      </c>
      <c r="N197" s="1" t="e">
        <f t="shared" si="25"/>
        <v>#REF!</v>
      </c>
    </row>
    <row r="198" spans="1:14" x14ac:dyDescent="0.25">
      <c r="A198">
        <v>2024</v>
      </c>
      <c r="B198" s="3" t="s">
        <v>551</v>
      </c>
      <c r="C198" t="s">
        <v>6</v>
      </c>
      <c r="D198">
        <v>5</v>
      </c>
      <c r="E198">
        <v>0</v>
      </c>
      <c r="F198" s="1">
        <f>INDEX('Dec100%_DOR PDF'!$B$3:$F$323,MATCH(SurtaxRatesSAS!$B198,'Dec100%_DOR PDF'!$F$3:$F$323,0),1)</f>
        <v>379663.53</v>
      </c>
      <c r="G198" s="1">
        <f t="shared" si="20"/>
        <v>379663.53</v>
      </c>
      <c r="H198" s="1">
        <f t="shared" si="21"/>
        <v>0</v>
      </c>
      <c r="I198" s="1">
        <f t="shared" si="22"/>
        <v>379663.53</v>
      </c>
      <c r="J198" s="60"/>
      <c r="K198" s="1" t="e">
        <f>INDEX(#REF!,MATCH(SurtaxRatesSAS!$B198,#REF!,0),1)</f>
        <v>#REF!</v>
      </c>
      <c r="L198" s="1" t="e">
        <f t="shared" si="23"/>
        <v>#REF!</v>
      </c>
      <c r="M198" s="1" t="e">
        <f t="shared" si="24"/>
        <v>#REF!</v>
      </c>
      <c r="N198" s="1" t="e">
        <f t="shared" si="25"/>
        <v>#REF!</v>
      </c>
    </row>
    <row r="199" spans="1:14" x14ac:dyDescent="0.25">
      <c r="A199">
        <v>2024</v>
      </c>
      <c r="B199" s="3" t="s">
        <v>541</v>
      </c>
      <c r="C199" t="s">
        <v>205</v>
      </c>
      <c r="D199">
        <v>4</v>
      </c>
      <c r="E199">
        <v>0</v>
      </c>
      <c r="F199" s="1">
        <f>INDEX('Dec100%_DOR PDF'!$B$3:$F$323,MATCH(SurtaxRatesSAS!$B199,'Dec100%_DOR PDF'!$F$3:$F$323,0),1)</f>
        <v>238018.23</v>
      </c>
      <c r="G199" s="1">
        <f t="shared" si="20"/>
        <v>238018.23</v>
      </c>
      <c r="H199" s="1">
        <f t="shared" si="21"/>
        <v>0</v>
      </c>
      <c r="I199" s="1">
        <f t="shared" si="22"/>
        <v>238018.23</v>
      </c>
      <c r="J199" s="60"/>
      <c r="K199" s="1" t="e">
        <f>INDEX(#REF!,MATCH(SurtaxRatesSAS!$B199,#REF!,0),1)</f>
        <v>#REF!</v>
      </c>
      <c r="L199" s="1" t="e">
        <f t="shared" si="23"/>
        <v>#REF!</v>
      </c>
      <c r="M199" s="1" t="e">
        <f t="shared" si="24"/>
        <v>#REF!</v>
      </c>
      <c r="N199" s="1" t="e">
        <f t="shared" si="25"/>
        <v>#REF!</v>
      </c>
    </row>
    <row r="200" spans="1:14" x14ac:dyDescent="0.25">
      <c r="A200">
        <v>2024</v>
      </c>
      <c r="B200" s="3" t="s">
        <v>542</v>
      </c>
      <c r="C200" t="s">
        <v>206</v>
      </c>
      <c r="D200">
        <v>1</v>
      </c>
      <c r="E200">
        <v>0</v>
      </c>
      <c r="F200" s="1">
        <f>INDEX('Dec100%_DOR PDF'!$B$3:$F$323,MATCH(SurtaxRatesSAS!$B200,'Dec100%_DOR PDF'!$F$3:$F$323,0),1)</f>
        <v>11614.85</v>
      </c>
      <c r="G200" s="1">
        <f t="shared" si="20"/>
        <v>11614.85</v>
      </c>
      <c r="H200" s="1">
        <f t="shared" si="21"/>
        <v>0</v>
      </c>
      <c r="I200" s="1">
        <f t="shared" si="22"/>
        <v>11614.85</v>
      </c>
      <c r="J200" s="60"/>
      <c r="K200" s="1" t="e">
        <f>INDEX(#REF!,MATCH(SurtaxRatesSAS!$B200,#REF!,0),1)</f>
        <v>#REF!</v>
      </c>
      <c r="L200" s="1" t="e">
        <f t="shared" si="23"/>
        <v>#REF!</v>
      </c>
      <c r="M200" s="1" t="e">
        <f t="shared" si="24"/>
        <v>#REF!</v>
      </c>
      <c r="N200" s="1" t="e">
        <f t="shared" si="25"/>
        <v>#REF!</v>
      </c>
    </row>
    <row r="201" spans="1:14" x14ac:dyDescent="0.25">
      <c r="A201">
        <v>2024</v>
      </c>
      <c r="B201" s="3" t="s">
        <v>544</v>
      </c>
      <c r="C201" t="s">
        <v>207</v>
      </c>
      <c r="D201">
        <v>4</v>
      </c>
      <c r="E201">
        <v>3</v>
      </c>
      <c r="F201" s="1">
        <f>INDEX('Dec100%_DOR PDF'!$B$3:$F$323,MATCH(SurtaxRatesSAS!$B201,'Dec100%_DOR PDF'!$F$3:$F$323,0),1)</f>
        <v>222080.76</v>
      </c>
      <c r="G201" s="1">
        <f t="shared" si="20"/>
        <v>222080.76</v>
      </c>
      <c r="H201" s="1">
        <f t="shared" si="21"/>
        <v>95177.47</v>
      </c>
      <c r="I201" s="1">
        <f t="shared" si="22"/>
        <v>126903.29000000001</v>
      </c>
      <c r="J201" s="60"/>
      <c r="K201" s="1" t="e">
        <f>INDEX(#REF!,MATCH(SurtaxRatesSAS!$B201,#REF!,0),1)</f>
        <v>#REF!</v>
      </c>
      <c r="L201" s="1" t="e">
        <f t="shared" si="23"/>
        <v>#REF!</v>
      </c>
      <c r="M201" s="1" t="e">
        <f t="shared" si="24"/>
        <v>#REF!</v>
      </c>
      <c r="N201" s="1" t="e">
        <f t="shared" si="25"/>
        <v>#REF!</v>
      </c>
    </row>
    <row r="202" spans="1:14" x14ac:dyDescent="0.25">
      <c r="A202">
        <v>2024</v>
      </c>
      <c r="B202" s="3" t="s">
        <v>545</v>
      </c>
      <c r="C202" t="s">
        <v>208</v>
      </c>
      <c r="D202">
        <v>4</v>
      </c>
      <c r="E202">
        <v>0</v>
      </c>
      <c r="F202" s="1">
        <f>INDEX('Dec100%_DOR PDF'!$B$3:$F$323,MATCH(SurtaxRatesSAS!$B202,'Dec100%_DOR PDF'!$F$3:$F$323,0),1)</f>
        <v>1083614.8999999999</v>
      </c>
      <c r="G202" s="1">
        <f t="shared" si="20"/>
        <v>1083614.8999999999</v>
      </c>
      <c r="H202" s="1">
        <f t="shared" si="21"/>
        <v>0</v>
      </c>
      <c r="I202" s="1">
        <f t="shared" si="22"/>
        <v>1083614.8999999999</v>
      </c>
      <c r="J202" s="60"/>
      <c r="K202" s="1" t="e">
        <f>INDEX(#REF!,MATCH(SurtaxRatesSAS!$B202,#REF!,0),1)</f>
        <v>#REF!</v>
      </c>
      <c r="L202" s="1" t="e">
        <f t="shared" si="23"/>
        <v>#REF!</v>
      </c>
      <c r="M202" s="1" t="e">
        <f t="shared" si="24"/>
        <v>#REF!</v>
      </c>
      <c r="N202" s="1" t="e">
        <f t="shared" si="25"/>
        <v>#REF!</v>
      </c>
    </row>
    <row r="203" spans="1:14" x14ac:dyDescent="0.25">
      <c r="A203">
        <v>2024</v>
      </c>
      <c r="B203" s="3" t="s">
        <v>546</v>
      </c>
      <c r="C203" t="s">
        <v>209</v>
      </c>
      <c r="D203">
        <v>0</v>
      </c>
      <c r="E203">
        <v>3</v>
      </c>
      <c r="F203" s="1">
        <f>INDEX('Dec100%_DOR PDF'!$B$3:$F$323,MATCH(SurtaxRatesSAS!$B203,'Dec100%_DOR PDF'!$F$3:$F$323,0),1)</f>
        <v>232062.78</v>
      </c>
      <c r="G203" s="1">
        <f t="shared" si="20"/>
        <v>232062.78</v>
      </c>
      <c r="H203" s="1">
        <f t="shared" si="21"/>
        <v>232062.78</v>
      </c>
      <c r="I203" s="1">
        <f t="shared" si="22"/>
        <v>0</v>
      </c>
      <c r="J203" s="60"/>
      <c r="K203" s="1" t="e">
        <f>INDEX(#REF!,MATCH(SurtaxRatesSAS!$B203,#REF!,0),1)</f>
        <v>#REF!</v>
      </c>
      <c r="L203" s="1" t="e">
        <f t="shared" si="23"/>
        <v>#REF!</v>
      </c>
      <c r="M203" s="1" t="e">
        <f t="shared" si="24"/>
        <v>#REF!</v>
      </c>
      <c r="N203" s="1" t="e">
        <f t="shared" si="25"/>
        <v>#REF!</v>
      </c>
    </row>
    <row r="204" spans="1:14" x14ac:dyDescent="0.25">
      <c r="A204">
        <v>2024</v>
      </c>
      <c r="B204" s="3" t="s">
        <v>548</v>
      </c>
      <c r="C204" t="s">
        <v>210</v>
      </c>
      <c r="D204">
        <v>8</v>
      </c>
      <c r="E204">
        <v>0</v>
      </c>
      <c r="F204" s="1">
        <f>INDEX('Dec100%_DOR PDF'!$B$3:$F$323,MATCH(SurtaxRatesSAS!$B204,'Dec100%_DOR PDF'!$F$3:$F$323,0),1)</f>
        <v>330737.03999999998</v>
      </c>
      <c r="G204" s="1">
        <f t="shared" si="20"/>
        <v>330737.03999999998</v>
      </c>
      <c r="H204" s="1">
        <f t="shared" si="21"/>
        <v>0</v>
      </c>
      <c r="I204" s="1">
        <f t="shared" si="22"/>
        <v>330737.03999999998</v>
      </c>
      <c r="J204" s="60"/>
      <c r="K204" s="1" t="e">
        <f>INDEX(#REF!,MATCH(SurtaxRatesSAS!$B204,#REF!,0),1)</f>
        <v>#REF!</v>
      </c>
      <c r="L204" s="1" t="e">
        <f t="shared" si="23"/>
        <v>#REF!</v>
      </c>
      <c r="M204" s="1" t="e">
        <f t="shared" si="24"/>
        <v>#REF!</v>
      </c>
      <c r="N204" s="1" t="e">
        <f t="shared" si="25"/>
        <v>#REF!</v>
      </c>
    </row>
    <row r="205" spans="1:14" x14ac:dyDescent="0.25">
      <c r="A205">
        <v>2024</v>
      </c>
      <c r="B205" s="3" t="s">
        <v>549</v>
      </c>
      <c r="C205" t="s">
        <v>211</v>
      </c>
      <c r="D205">
        <v>9</v>
      </c>
      <c r="E205">
        <v>0</v>
      </c>
      <c r="F205" s="1">
        <f>INDEX('Dec100%_DOR PDF'!$B$3:$F$323,MATCH(SurtaxRatesSAS!$B205,'Dec100%_DOR PDF'!$F$3:$F$323,0),1)</f>
        <v>399534.92</v>
      </c>
      <c r="G205" s="1">
        <f t="shared" si="20"/>
        <v>399534.92</v>
      </c>
      <c r="H205" s="1">
        <f t="shared" si="21"/>
        <v>0</v>
      </c>
      <c r="I205" s="1">
        <f t="shared" si="22"/>
        <v>399534.92</v>
      </c>
      <c r="J205" s="60"/>
      <c r="K205" s="1" t="e">
        <f>INDEX(#REF!,MATCH(SurtaxRatesSAS!$B205,#REF!,0),1)</f>
        <v>#REF!</v>
      </c>
      <c r="L205" s="1" t="e">
        <f t="shared" si="23"/>
        <v>#REF!</v>
      </c>
      <c r="M205" s="1" t="e">
        <f t="shared" si="24"/>
        <v>#REF!</v>
      </c>
      <c r="N205" s="1" t="e">
        <f t="shared" si="25"/>
        <v>#REF!</v>
      </c>
    </row>
    <row r="206" spans="1:14" x14ac:dyDescent="0.25">
      <c r="A206">
        <v>2024</v>
      </c>
      <c r="B206" s="3" t="s">
        <v>550</v>
      </c>
      <c r="C206" t="s">
        <v>212</v>
      </c>
      <c r="D206">
        <v>13</v>
      </c>
      <c r="E206">
        <v>2</v>
      </c>
      <c r="F206" s="1">
        <f>INDEX('Dec100%_DOR PDF'!$B$3:$F$323,MATCH(SurtaxRatesSAS!$B206,'Dec100%_DOR PDF'!$F$3:$F$323,0),1)</f>
        <v>309053.01</v>
      </c>
      <c r="G206" s="1">
        <f t="shared" si="20"/>
        <v>309053.01</v>
      </c>
      <c r="H206" s="1">
        <f t="shared" si="21"/>
        <v>41207.07</v>
      </c>
      <c r="I206" s="1">
        <f t="shared" si="22"/>
        <v>267845.94</v>
      </c>
      <c r="J206" s="60"/>
      <c r="K206" s="1" t="e">
        <f>INDEX(#REF!,MATCH(SurtaxRatesSAS!$B206,#REF!,0),1)</f>
        <v>#REF!</v>
      </c>
      <c r="L206" s="1" t="e">
        <f t="shared" si="23"/>
        <v>#REF!</v>
      </c>
      <c r="M206" s="1" t="e">
        <f t="shared" si="24"/>
        <v>#REF!</v>
      </c>
      <c r="N206" s="1" t="e">
        <f t="shared" si="25"/>
        <v>#REF!</v>
      </c>
    </row>
    <row r="207" spans="1:14" x14ac:dyDescent="0.25">
      <c r="A207">
        <v>2024</v>
      </c>
      <c r="B207" s="3" t="s">
        <v>553</v>
      </c>
      <c r="C207" t="s">
        <v>214</v>
      </c>
      <c r="D207">
        <v>5</v>
      </c>
      <c r="E207">
        <v>1</v>
      </c>
      <c r="F207" s="1">
        <f>INDEX('Dec100%_DOR PDF'!$B$3:$F$323,MATCH(SurtaxRatesSAS!$B207,'Dec100%_DOR PDF'!$F$3:$F$323,0),1)</f>
        <v>359672.08</v>
      </c>
      <c r="G207" s="1">
        <f t="shared" si="20"/>
        <v>359672.08</v>
      </c>
      <c r="H207" s="1">
        <f t="shared" si="21"/>
        <v>59945.35</v>
      </c>
      <c r="I207" s="1">
        <f t="shared" si="22"/>
        <v>299726.73000000004</v>
      </c>
      <c r="J207" s="60"/>
      <c r="K207" s="1" t="e">
        <f>INDEX(#REF!,MATCH(SurtaxRatesSAS!$B207,#REF!,0),1)</f>
        <v>#REF!</v>
      </c>
      <c r="L207" s="1" t="e">
        <f t="shared" si="23"/>
        <v>#REF!</v>
      </c>
      <c r="M207" s="1" t="e">
        <f t="shared" si="24"/>
        <v>#REF!</v>
      </c>
      <c r="N207" s="1" t="e">
        <f t="shared" si="25"/>
        <v>#REF!</v>
      </c>
    </row>
    <row r="208" spans="1:14" x14ac:dyDescent="0.25">
      <c r="A208">
        <v>2024</v>
      </c>
      <c r="B208" s="3" t="s">
        <v>554</v>
      </c>
      <c r="C208" t="s">
        <v>215</v>
      </c>
      <c r="D208">
        <v>1</v>
      </c>
      <c r="E208">
        <v>0</v>
      </c>
      <c r="F208" s="1">
        <f>INDEX('Dec100%_DOR PDF'!$B$3:$F$323,MATCH(SurtaxRatesSAS!$B208,'Dec100%_DOR PDF'!$F$3:$F$323,0),1)</f>
        <v>33741.51</v>
      </c>
      <c r="G208" s="1">
        <f t="shared" si="20"/>
        <v>33741.51</v>
      </c>
      <c r="H208" s="1">
        <f t="shared" si="21"/>
        <v>0</v>
      </c>
      <c r="I208" s="1">
        <f t="shared" si="22"/>
        <v>33741.51</v>
      </c>
      <c r="J208" s="60"/>
      <c r="K208" s="1" t="e">
        <f>INDEX(#REF!,MATCH(SurtaxRatesSAS!$B208,#REF!,0),1)</f>
        <v>#REF!</v>
      </c>
      <c r="L208" s="1" t="e">
        <f t="shared" si="23"/>
        <v>#REF!</v>
      </c>
      <c r="M208" s="1" t="e">
        <f t="shared" si="24"/>
        <v>#REF!</v>
      </c>
      <c r="N208" s="1" t="e">
        <f t="shared" si="25"/>
        <v>#REF!</v>
      </c>
    </row>
    <row r="209" spans="1:14" x14ac:dyDescent="0.25">
      <c r="A209">
        <v>2024</v>
      </c>
      <c r="B209" s="3" t="s">
        <v>555</v>
      </c>
      <c r="C209" t="s">
        <v>216</v>
      </c>
      <c r="D209">
        <v>5</v>
      </c>
      <c r="E209">
        <v>4</v>
      </c>
      <c r="F209" s="1">
        <f>INDEX('Dec100%_DOR PDF'!$B$3:$F$323,MATCH(SurtaxRatesSAS!$B209,'Dec100%_DOR PDF'!$F$3:$F$323,0),1)</f>
        <v>195858.05</v>
      </c>
      <c r="G209" s="1">
        <f t="shared" si="20"/>
        <v>195858.05</v>
      </c>
      <c r="H209" s="1">
        <f t="shared" si="21"/>
        <v>87048.02</v>
      </c>
      <c r="I209" s="1">
        <f t="shared" si="22"/>
        <v>108810.02999999998</v>
      </c>
      <c r="J209" s="60"/>
      <c r="K209" s="1" t="e">
        <f>INDEX(#REF!,MATCH(SurtaxRatesSAS!$B209,#REF!,0),1)</f>
        <v>#REF!</v>
      </c>
      <c r="L209" s="1" t="e">
        <f t="shared" si="23"/>
        <v>#REF!</v>
      </c>
      <c r="M209" s="1" t="e">
        <f t="shared" si="24"/>
        <v>#REF!</v>
      </c>
      <c r="N209" s="1" t="e">
        <f t="shared" si="25"/>
        <v>#REF!</v>
      </c>
    </row>
    <row r="210" spans="1:14" x14ac:dyDescent="0.25">
      <c r="A210">
        <v>2024</v>
      </c>
      <c r="B210" s="3" t="s">
        <v>412</v>
      </c>
      <c r="C210" t="s">
        <v>217</v>
      </c>
      <c r="D210">
        <v>1</v>
      </c>
      <c r="E210">
        <v>1</v>
      </c>
      <c r="F210" s="1">
        <f>INDEX('Dec100%_DOR PDF'!$B$3:$F$323,MATCH(SurtaxRatesSAS!$B210,'Dec100%_DOR PDF'!$F$3:$F$323,0),1)</f>
        <v>43149.21</v>
      </c>
      <c r="G210" s="1">
        <f t="shared" si="20"/>
        <v>43149.21</v>
      </c>
      <c r="H210" s="1">
        <f t="shared" si="21"/>
        <v>21574.61</v>
      </c>
      <c r="I210" s="1">
        <f t="shared" si="22"/>
        <v>21574.6</v>
      </c>
      <c r="J210" s="60"/>
      <c r="K210" s="1" t="e">
        <f>INDEX(#REF!,MATCH(SurtaxRatesSAS!$B210,#REF!,0),1)</f>
        <v>#REF!</v>
      </c>
      <c r="L210" s="1" t="e">
        <f t="shared" si="23"/>
        <v>#REF!</v>
      </c>
      <c r="M210" s="1" t="e">
        <f t="shared" si="24"/>
        <v>#REF!</v>
      </c>
      <c r="N210" s="1" t="e">
        <f t="shared" si="25"/>
        <v>#REF!</v>
      </c>
    </row>
    <row r="211" spans="1:14" x14ac:dyDescent="0.25">
      <c r="A211">
        <v>2024</v>
      </c>
      <c r="B211" s="3" t="s">
        <v>531</v>
      </c>
      <c r="C211" t="s">
        <v>218</v>
      </c>
      <c r="D211">
        <v>9</v>
      </c>
      <c r="E211">
        <v>0</v>
      </c>
      <c r="F211" s="1">
        <f>INDEX('Dec100%_DOR PDF'!$B$3:$F$323,MATCH(SurtaxRatesSAS!$B211,'Dec100%_DOR PDF'!$F$3:$F$323,0),1)</f>
        <v>349166.96</v>
      </c>
      <c r="G211" s="1">
        <f t="shared" si="20"/>
        <v>349166.96</v>
      </c>
      <c r="H211" s="1">
        <f t="shared" si="21"/>
        <v>0</v>
      </c>
      <c r="I211" s="1">
        <f t="shared" si="22"/>
        <v>349166.96</v>
      </c>
      <c r="J211" s="60"/>
      <c r="K211" s="1" t="e">
        <f>INDEX(#REF!,MATCH(SurtaxRatesSAS!$B211,#REF!,0),1)</f>
        <v>#REF!</v>
      </c>
      <c r="L211" s="1" t="e">
        <f t="shared" si="23"/>
        <v>#REF!</v>
      </c>
      <c r="M211" s="1" t="e">
        <f t="shared" si="24"/>
        <v>#REF!</v>
      </c>
      <c r="N211" s="1" t="e">
        <f t="shared" si="25"/>
        <v>#REF!</v>
      </c>
    </row>
    <row r="212" spans="1:14" x14ac:dyDescent="0.25">
      <c r="A212">
        <v>2024</v>
      </c>
      <c r="B212" s="3" t="s">
        <v>557</v>
      </c>
      <c r="C212" t="s">
        <v>219</v>
      </c>
      <c r="D212">
        <v>6</v>
      </c>
      <c r="E212">
        <v>3</v>
      </c>
      <c r="F212" s="1">
        <f>INDEX('Dec100%_DOR PDF'!$B$3:$F$323,MATCH(SurtaxRatesSAS!$B212,'Dec100%_DOR PDF'!$F$3:$F$323,0),1)</f>
        <v>725120.94</v>
      </c>
      <c r="G212" s="1">
        <f t="shared" si="20"/>
        <v>725120.94</v>
      </c>
      <c r="H212" s="1">
        <f t="shared" si="21"/>
        <v>241706.98</v>
      </c>
      <c r="I212" s="1">
        <f t="shared" si="22"/>
        <v>483413.95999999996</v>
      </c>
      <c r="J212" s="60"/>
      <c r="K212" s="1" t="e">
        <f>INDEX(#REF!,MATCH(SurtaxRatesSAS!$B212,#REF!,0),1)</f>
        <v>#REF!</v>
      </c>
      <c r="L212" s="1" t="e">
        <f t="shared" si="23"/>
        <v>#REF!</v>
      </c>
      <c r="M212" s="1" t="e">
        <f t="shared" si="24"/>
        <v>#REF!</v>
      </c>
      <c r="N212" s="1" t="e">
        <f t="shared" si="25"/>
        <v>#REF!</v>
      </c>
    </row>
    <row r="213" spans="1:14" x14ac:dyDescent="0.25">
      <c r="A213">
        <v>2024</v>
      </c>
      <c r="B213" s="3" t="s">
        <v>558</v>
      </c>
      <c r="C213" t="s">
        <v>220</v>
      </c>
      <c r="D213">
        <v>3</v>
      </c>
      <c r="E213">
        <v>0</v>
      </c>
      <c r="F213" s="1">
        <f>INDEX('Dec100%_DOR PDF'!$B$3:$F$323,MATCH(SurtaxRatesSAS!$B213,'Dec100%_DOR PDF'!$F$3:$F$323,0),1)</f>
        <v>87730.4</v>
      </c>
      <c r="G213" s="1">
        <f t="shared" si="20"/>
        <v>87730.4</v>
      </c>
      <c r="H213" s="1">
        <f t="shared" si="21"/>
        <v>0</v>
      </c>
      <c r="I213" s="1">
        <f t="shared" si="22"/>
        <v>87730.4</v>
      </c>
      <c r="J213" s="60"/>
      <c r="K213" s="1" t="e">
        <f>INDEX(#REF!,MATCH(SurtaxRatesSAS!$B213,#REF!,0),1)</f>
        <v>#REF!</v>
      </c>
      <c r="L213" s="1" t="e">
        <f t="shared" si="23"/>
        <v>#REF!</v>
      </c>
      <c r="M213" s="1" t="e">
        <f t="shared" si="24"/>
        <v>#REF!</v>
      </c>
      <c r="N213" s="1" t="e">
        <f t="shared" si="25"/>
        <v>#REF!</v>
      </c>
    </row>
    <row r="214" spans="1:14" x14ac:dyDescent="0.25">
      <c r="A214">
        <v>2024</v>
      </c>
      <c r="B214" s="3" t="s">
        <v>559</v>
      </c>
      <c r="C214" t="s">
        <v>221</v>
      </c>
      <c r="D214">
        <v>9</v>
      </c>
      <c r="E214">
        <v>0</v>
      </c>
      <c r="F214" s="1">
        <f>INDEX('Dec100%_DOR PDF'!$B$3:$F$323,MATCH(SurtaxRatesSAS!$B214,'Dec100%_DOR PDF'!$F$3:$F$323,0),1)</f>
        <v>159939.84</v>
      </c>
      <c r="G214" s="1">
        <f t="shared" si="20"/>
        <v>159939.84</v>
      </c>
      <c r="H214" s="1">
        <f t="shared" si="21"/>
        <v>0</v>
      </c>
      <c r="I214" s="1">
        <f t="shared" si="22"/>
        <v>159939.84</v>
      </c>
      <c r="J214" s="60"/>
      <c r="K214" s="1" t="e">
        <f>INDEX(#REF!,MATCH(SurtaxRatesSAS!$B214,#REF!,0),1)</f>
        <v>#REF!</v>
      </c>
      <c r="L214" s="1" t="e">
        <f t="shared" si="23"/>
        <v>#REF!</v>
      </c>
      <c r="M214" s="1" t="e">
        <f t="shared" si="24"/>
        <v>#REF!</v>
      </c>
      <c r="N214" s="1" t="e">
        <f t="shared" si="25"/>
        <v>#REF!</v>
      </c>
    </row>
    <row r="215" spans="1:14" x14ac:dyDescent="0.25">
      <c r="A215">
        <v>2024</v>
      </c>
      <c r="B215" s="3" t="s">
        <v>562</v>
      </c>
      <c r="C215" t="s">
        <v>222</v>
      </c>
      <c r="D215">
        <v>1</v>
      </c>
      <c r="E215">
        <v>1</v>
      </c>
      <c r="F215" s="1">
        <f>INDEX('Dec100%_DOR PDF'!$B$3:$F$323,MATCH(SurtaxRatesSAS!$B215,'Dec100%_DOR PDF'!$F$3:$F$323,0),1)</f>
        <v>43444.54</v>
      </c>
      <c r="G215" s="1">
        <f t="shared" si="20"/>
        <v>43444.54</v>
      </c>
      <c r="H215" s="1">
        <f t="shared" si="21"/>
        <v>21722.27</v>
      </c>
      <c r="I215" s="1">
        <f t="shared" si="22"/>
        <v>21722.27</v>
      </c>
      <c r="J215" s="60"/>
      <c r="K215" s="1" t="e">
        <f>INDEX(#REF!,MATCH(SurtaxRatesSAS!$B215,#REF!,0),1)</f>
        <v>#REF!</v>
      </c>
      <c r="L215" s="1" t="e">
        <f t="shared" si="23"/>
        <v>#REF!</v>
      </c>
      <c r="M215" s="1" t="e">
        <f t="shared" si="24"/>
        <v>#REF!</v>
      </c>
      <c r="N215" s="1" t="e">
        <f t="shared" si="25"/>
        <v>#REF!</v>
      </c>
    </row>
    <row r="216" spans="1:14" x14ac:dyDescent="0.25">
      <c r="A216">
        <v>2024</v>
      </c>
      <c r="B216" s="3" t="s">
        <v>563</v>
      </c>
      <c r="C216" t="s">
        <v>223</v>
      </c>
      <c r="D216">
        <v>5</v>
      </c>
      <c r="E216">
        <v>0</v>
      </c>
      <c r="F216" s="1">
        <f>INDEX('Dec100%_DOR PDF'!$B$3:$F$323,MATCH(SurtaxRatesSAS!$B216,'Dec100%_DOR PDF'!$F$3:$F$323,0),1)</f>
        <v>63013.78</v>
      </c>
      <c r="G216" s="1">
        <f t="shared" si="20"/>
        <v>63013.78</v>
      </c>
      <c r="H216" s="1">
        <f t="shared" si="21"/>
        <v>0</v>
      </c>
      <c r="I216" s="1">
        <f t="shared" si="22"/>
        <v>63013.78</v>
      </c>
      <c r="J216" s="60"/>
      <c r="K216" s="1" t="e">
        <f>INDEX(#REF!,MATCH(SurtaxRatesSAS!$B216,#REF!,0),1)</f>
        <v>#REF!</v>
      </c>
      <c r="L216" s="1" t="e">
        <f t="shared" si="23"/>
        <v>#REF!</v>
      </c>
      <c r="M216" s="1" t="e">
        <f t="shared" si="24"/>
        <v>#REF!</v>
      </c>
      <c r="N216" s="1" t="e">
        <f t="shared" si="25"/>
        <v>#REF!</v>
      </c>
    </row>
    <row r="217" spans="1:14" x14ac:dyDescent="0.25">
      <c r="A217">
        <v>2024</v>
      </c>
      <c r="B217" s="3" t="s">
        <v>565</v>
      </c>
      <c r="C217" t="s">
        <v>224</v>
      </c>
      <c r="D217">
        <v>10</v>
      </c>
      <c r="E217">
        <v>0</v>
      </c>
      <c r="F217" s="1">
        <f>INDEX('Dec100%_DOR PDF'!$B$3:$F$323,MATCH(SurtaxRatesSAS!$B217,'Dec100%_DOR PDF'!$F$3:$F$323,0),1)</f>
        <v>152645.04</v>
      </c>
      <c r="G217" s="1">
        <f t="shared" si="20"/>
        <v>152645.04</v>
      </c>
      <c r="H217" s="1">
        <f t="shared" si="21"/>
        <v>0</v>
      </c>
      <c r="I217" s="1">
        <f t="shared" si="22"/>
        <v>152645.04</v>
      </c>
      <c r="J217" s="60"/>
      <c r="K217" s="1" t="e">
        <f>INDEX(#REF!,MATCH(SurtaxRatesSAS!$B217,#REF!,0),1)</f>
        <v>#REF!</v>
      </c>
      <c r="L217" s="1" t="e">
        <f t="shared" si="23"/>
        <v>#REF!</v>
      </c>
      <c r="M217" s="1" t="e">
        <f t="shared" si="24"/>
        <v>#REF!</v>
      </c>
      <c r="N217" s="1" t="e">
        <f t="shared" si="25"/>
        <v>#REF!</v>
      </c>
    </row>
    <row r="218" spans="1:14" x14ac:dyDescent="0.25">
      <c r="A218">
        <v>2024</v>
      </c>
      <c r="B218" s="3" t="s">
        <v>567</v>
      </c>
      <c r="C218" t="s">
        <v>225</v>
      </c>
      <c r="D218">
        <v>7</v>
      </c>
      <c r="E218">
        <v>0</v>
      </c>
      <c r="F218" s="1">
        <f>INDEX('Dec100%_DOR PDF'!$B$3:$F$323,MATCH(SurtaxRatesSAS!$B218,'Dec100%_DOR PDF'!$F$3:$F$323,0),1)</f>
        <v>554428.74</v>
      </c>
      <c r="G218" s="1">
        <f t="shared" si="20"/>
        <v>554428.74</v>
      </c>
      <c r="H218" s="1">
        <f t="shared" si="21"/>
        <v>0</v>
      </c>
      <c r="I218" s="1">
        <f t="shared" si="22"/>
        <v>554428.74</v>
      </c>
      <c r="J218" s="60"/>
      <c r="K218" s="1" t="e">
        <f>INDEX(#REF!,MATCH(SurtaxRatesSAS!$B218,#REF!,0),1)</f>
        <v>#REF!</v>
      </c>
      <c r="L218" s="1" t="e">
        <f t="shared" si="23"/>
        <v>#REF!</v>
      </c>
      <c r="M218" s="1" t="e">
        <f t="shared" si="24"/>
        <v>#REF!</v>
      </c>
      <c r="N218" s="1" t="e">
        <f t="shared" si="25"/>
        <v>#REF!</v>
      </c>
    </row>
    <row r="219" spans="1:14" x14ac:dyDescent="0.25">
      <c r="A219">
        <v>2024</v>
      </c>
      <c r="B219" s="3" t="s">
        <v>568</v>
      </c>
      <c r="C219" t="s">
        <v>226</v>
      </c>
      <c r="D219">
        <v>4</v>
      </c>
      <c r="E219">
        <v>4</v>
      </c>
      <c r="F219" s="1">
        <f>INDEX('Dec100%_DOR PDF'!$B$3:$F$323,MATCH(SurtaxRatesSAS!$B219,'Dec100%_DOR PDF'!$F$3:$F$323,0),1)</f>
        <v>429061.56</v>
      </c>
      <c r="G219" s="1">
        <f t="shared" si="20"/>
        <v>429061.56</v>
      </c>
      <c r="H219" s="1">
        <f t="shared" si="21"/>
        <v>214530.78</v>
      </c>
      <c r="I219" s="1">
        <f t="shared" si="22"/>
        <v>214530.78</v>
      </c>
      <c r="J219" s="60"/>
      <c r="K219" s="1" t="e">
        <f>INDEX(#REF!,MATCH(SurtaxRatesSAS!$B219,#REF!,0),1)</f>
        <v>#REF!</v>
      </c>
      <c r="L219" s="1" t="e">
        <f t="shared" si="23"/>
        <v>#REF!</v>
      </c>
      <c r="M219" s="1" t="e">
        <f t="shared" si="24"/>
        <v>#REF!</v>
      </c>
      <c r="N219" s="1" t="e">
        <f t="shared" si="25"/>
        <v>#REF!</v>
      </c>
    </row>
    <row r="220" spans="1:14" x14ac:dyDescent="0.25">
      <c r="A220">
        <v>2024</v>
      </c>
      <c r="B220" s="3" t="s">
        <v>569</v>
      </c>
      <c r="C220" t="s">
        <v>227</v>
      </c>
      <c r="D220">
        <v>4</v>
      </c>
      <c r="E220">
        <v>5</v>
      </c>
      <c r="F220" s="1">
        <f>INDEX('Dec100%_DOR PDF'!$B$3:$F$323,MATCH(SurtaxRatesSAS!$B220,'Dec100%_DOR PDF'!$F$3:$F$323,0),1)</f>
        <v>358893.39</v>
      </c>
      <c r="G220" s="1">
        <f t="shared" si="20"/>
        <v>358893.39</v>
      </c>
      <c r="H220" s="1">
        <f t="shared" si="21"/>
        <v>199385.22</v>
      </c>
      <c r="I220" s="1">
        <f t="shared" si="22"/>
        <v>159508.17000000001</v>
      </c>
      <c r="J220" s="60"/>
      <c r="K220" s="1" t="e">
        <f>INDEX(#REF!,MATCH(SurtaxRatesSAS!$B220,#REF!,0),1)</f>
        <v>#REF!</v>
      </c>
      <c r="L220" s="1" t="e">
        <f t="shared" si="23"/>
        <v>#REF!</v>
      </c>
      <c r="M220" s="1" t="e">
        <f t="shared" si="24"/>
        <v>#REF!</v>
      </c>
      <c r="N220" s="1" t="e">
        <f t="shared" si="25"/>
        <v>#REF!</v>
      </c>
    </row>
    <row r="221" spans="1:14" x14ac:dyDescent="0.25">
      <c r="A221">
        <v>2024</v>
      </c>
      <c r="B221" s="3" t="s">
        <v>570</v>
      </c>
      <c r="C221" t="s">
        <v>228</v>
      </c>
      <c r="D221">
        <v>10</v>
      </c>
      <c r="E221">
        <v>10</v>
      </c>
      <c r="F221" s="1">
        <f>INDEX('Dec100%_DOR PDF'!$B$3:$F$323,MATCH(SurtaxRatesSAS!$B221,'Dec100%_DOR PDF'!$F$3:$F$323,0),1)</f>
        <v>356022.18</v>
      </c>
      <c r="G221" s="1">
        <f t="shared" si="20"/>
        <v>356022.18</v>
      </c>
      <c r="H221" s="1">
        <f t="shared" si="21"/>
        <v>178011.09</v>
      </c>
      <c r="I221" s="1">
        <f t="shared" si="22"/>
        <v>178011.09</v>
      </c>
      <c r="J221" s="60"/>
      <c r="K221" s="1" t="e">
        <f>INDEX(#REF!,MATCH(SurtaxRatesSAS!$B221,#REF!,0),1)</f>
        <v>#REF!</v>
      </c>
      <c r="L221" s="1" t="e">
        <f t="shared" si="23"/>
        <v>#REF!</v>
      </c>
      <c r="M221" s="1" t="e">
        <f t="shared" si="24"/>
        <v>#REF!</v>
      </c>
      <c r="N221" s="1" t="e">
        <f t="shared" si="25"/>
        <v>#REF!</v>
      </c>
    </row>
    <row r="222" spans="1:14" x14ac:dyDescent="0.25">
      <c r="A222">
        <v>2024</v>
      </c>
      <c r="B222" s="3" t="s">
        <v>571</v>
      </c>
      <c r="C222" t="s">
        <v>229</v>
      </c>
      <c r="D222">
        <v>1</v>
      </c>
      <c r="E222">
        <v>0</v>
      </c>
      <c r="F222" s="1">
        <f>INDEX('Dec100%_DOR PDF'!$B$3:$F$323,MATCH(SurtaxRatesSAS!$B222,'Dec100%_DOR PDF'!$F$3:$F$323,0),1)</f>
        <v>27813.58</v>
      </c>
      <c r="G222" s="1">
        <f t="shared" si="20"/>
        <v>27813.58</v>
      </c>
      <c r="H222" s="1">
        <f t="shared" si="21"/>
        <v>0</v>
      </c>
      <c r="I222" s="1">
        <f t="shared" si="22"/>
        <v>27813.58</v>
      </c>
      <c r="J222" s="60"/>
      <c r="K222" s="1" t="e">
        <f>INDEX(#REF!,MATCH(SurtaxRatesSAS!$B222,#REF!,0),1)</f>
        <v>#REF!</v>
      </c>
      <c r="L222" s="1" t="e">
        <f t="shared" si="23"/>
        <v>#REF!</v>
      </c>
      <c r="M222" s="1" t="e">
        <f t="shared" si="24"/>
        <v>#REF!</v>
      </c>
      <c r="N222" s="1" t="e">
        <f t="shared" si="25"/>
        <v>#REF!</v>
      </c>
    </row>
    <row r="223" spans="1:14" x14ac:dyDescent="0.25">
      <c r="A223">
        <v>2024</v>
      </c>
      <c r="B223" s="3" t="s">
        <v>572</v>
      </c>
      <c r="C223" t="s">
        <v>230</v>
      </c>
      <c r="D223">
        <v>6</v>
      </c>
      <c r="E223">
        <v>0</v>
      </c>
      <c r="F223" s="1">
        <f>INDEX('Dec100%_DOR PDF'!$B$3:$F$323,MATCH(SurtaxRatesSAS!$B223,'Dec100%_DOR PDF'!$F$3:$F$323,0),1)</f>
        <v>703444.59</v>
      </c>
      <c r="G223" s="1">
        <f t="shared" si="20"/>
        <v>703444.59</v>
      </c>
      <c r="H223" s="1">
        <f t="shared" si="21"/>
        <v>0</v>
      </c>
      <c r="I223" s="1">
        <f t="shared" si="22"/>
        <v>703444.59</v>
      </c>
      <c r="J223" s="60"/>
      <c r="K223" s="1" t="e">
        <f>INDEX(#REF!,MATCH(SurtaxRatesSAS!$B223,#REF!,0),1)</f>
        <v>#REF!</v>
      </c>
      <c r="L223" s="1" t="e">
        <f t="shared" si="23"/>
        <v>#REF!</v>
      </c>
      <c r="M223" s="1" t="e">
        <f t="shared" si="24"/>
        <v>#REF!</v>
      </c>
      <c r="N223" s="1" t="e">
        <f t="shared" si="25"/>
        <v>#REF!</v>
      </c>
    </row>
    <row r="224" spans="1:14" x14ac:dyDescent="0.25">
      <c r="A224">
        <v>2024</v>
      </c>
      <c r="B224" s="3" t="s">
        <v>574</v>
      </c>
      <c r="C224" t="s">
        <v>692</v>
      </c>
      <c r="D224">
        <v>5</v>
      </c>
      <c r="E224">
        <v>0</v>
      </c>
      <c r="F224" s="1">
        <f>INDEX('Dec100%_DOR PDF'!$B$3:$F$323,MATCH(SurtaxRatesSAS!$B224,'Dec100%_DOR PDF'!$F$3:$F$323,0),1)</f>
        <v>146308.45000000001</v>
      </c>
      <c r="G224" s="1">
        <f t="shared" si="20"/>
        <v>146308.45000000001</v>
      </c>
      <c r="H224" s="1">
        <f t="shared" si="21"/>
        <v>0</v>
      </c>
      <c r="I224" s="1">
        <f t="shared" si="22"/>
        <v>146308.45000000001</v>
      </c>
      <c r="J224" s="60"/>
      <c r="K224" s="1" t="e">
        <f>INDEX(#REF!,MATCH(SurtaxRatesSAS!$B224,#REF!,0),1)</f>
        <v>#REF!</v>
      </c>
      <c r="L224" s="1" t="e">
        <f t="shared" si="23"/>
        <v>#REF!</v>
      </c>
      <c r="M224" s="1" t="e">
        <f t="shared" si="24"/>
        <v>#REF!</v>
      </c>
      <c r="N224" s="1" t="e">
        <f t="shared" si="25"/>
        <v>#REF!</v>
      </c>
    </row>
    <row r="225" spans="1:14" x14ac:dyDescent="0.25">
      <c r="A225">
        <v>2024</v>
      </c>
      <c r="B225" s="3" t="s">
        <v>573</v>
      </c>
      <c r="C225" t="s">
        <v>231</v>
      </c>
      <c r="D225">
        <v>3</v>
      </c>
      <c r="E225">
        <v>0</v>
      </c>
      <c r="F225" s="1">
        <f>INDEX('Dec100%_DOR PDF'!$B$3:$F$323,MATCH(SurtaxRatesSAS!$B225,'Dec100%_DOR PDF'!$F$3:$F$323,0),1)</f>
        <v>2086372.09</v>
      </c>
      <c r="G225" s="1">
        <f t="shared" si="20"/>
        <v>2086372.09</v>
      </c>
      <c r="H225" s="1">
        <f t="shared" si="21"/>
        <v>0</v>
      </c>
      <c r="I225" s="1">
        <f t="shared" si="22"/>
        <v>2086372.09</v>
      </c>
      <c r="J225" s="60"/>
      <c r="K225" s="1" t="e">
        <f>INDEX(#REF!,MATCH(SurtaxRatesSAS!$B225,#REF!,0),1)</f>
        <v>#REF!</v>
      </c>
      <c r="L225" s="1" t="e">
        <f t="shared" si="23"/>
        <v>#REF!</v>
      </c>
      <c r="M225" s="1" t="e">
        <f t="shared" si="24"/>
        <v>#REF!</v>
      </c>
      <c r="N225" s="1" t="e">
        <f t="shared" si="25"/>
        <v>#REF!</v>
      </c>
    </row>
    <row r="226" spans="1:14" x14ac:dyDescent="0.25">
      <c r="A226">
        <v>2024</v>
      </c>
      <c r="B226" s="3" t="s">
        <v>575</v>
      </c>
      <c r="C226" t="s">
        <v>232</v>
      </c>
      <c r="D226">
        <v>1</v>
      </c>
      <c r="E226">
        <v>0</v>
      </c>
      <c r="F226" s="1">
        <f>INDEX('Dec100%_DOR PDF'!$B$3:$F$323,MATCH(SurtaxRatesSAS!$B226,'Dec100%_DOR PDF'!$F$3:$F$323,0),1)</f>
        <v>157387.04</v>
      </c>
      <c r="G226" s="1">
        <f t="shared" si="20"/>
        <v>157387.04</v>
      </c>
      <c r="H226" s="1">
        <f t="shared" si="21"/>
        <v>0</v>
      </c>
      <c r="I226" s="1">
        <f t="shared" si="22"/>
        <v>157387.04</v>
      </c>
      <c r="J226" s="60"/>
      <c r="K226" s="1" t="e">
        <f>INDEX(#REF!,MATCH(SurtaxRatesSAS!$B226,#REF!,0),1)</f>
        <v>#REF!</v>
      </c>
      <c r="L226" s="1" t="e">
        <f t="shared" si="23"/>
        <v>#REF!</v>
      </c>
      <c r="M226" s="1" t="e">
        <f t="shared" si="24"/>
        <v>#REF!</v>
      </c>
      <c r="N226" s="1" t="e">
        <f t="shared" si="25"/>
        <v>#REF!</v>
      </c>
    </row>
    <row r="227" spans="1:14" x14ac:dyDescent="0.25">
      <c r="A227">
        <v>2024</v>
      </c>
      <c r="B227" s="3" t="s">
        <v>651</v>
      </c>
      <c r="C227" t="s">
        <v>730</v>
      </c>
      <c r="D227">
        <v>1</v>
      </c>
      <c r="E227">
        <v>0</v>
      </c>
      <c r="F227" s="1">
        <f>INDEX('Dec100%_DOR PDF'!$B$3:$F$323,MATCH(SurtaxRatesSAS!$B227,'Dec100%_DOR PDF'!$F$3:$F$323,0),1)</f>
        <v>54219.06</v>
      </c>
      <c r="G227" s="1">
        <f t="shared" si="20"/>
        <v>54219.06</v>
      </c>
      <c r="H227" s="1">
        <f t="shared" si="21"/>
        <v>0</v>
      </c>
      <c r="I227" s="1">
        <f t="shared" si="22"/>
        <v>54219.06</v>
      </c>
      <c r="J227" s="60"/>
      <c r="K227" s="1" t="e">
        <f>INDEX(#REF!,MATCH(SurtaxRatesSAS!$B227,#REF!,0),1)</f>
        <v>#REF!</v>
      </c>
      <c r="L227" s="1" t="e">
        <f t="shared" si="23"/>
        <v>#REF!</v>
      </c>
      <c r="M227" s="1" t="e">
        <f t="shared" si="24"/>
        <v>#REF!</v>
      </c>
      <c r="N227" s="1" t="e">
        <f t="shared" si="25"/>
        <v>#REF!</v>
      </c>
    </row>
    <row r="228" spans="1:14" x14ac:dyDescent="0.25">
      <c r="A228">
        <v>2024</v>
      </c>
      <c r="B228" s="3" t="s">
        <v>577</v>
      </c>
      <c r="C228" t="s">
        <v>233</v>
      </c>
      <c r="D228">
        <v>7</v>
      </c>
      <c r="E228">
        <v>0</v>
      </c>
      <c r="F228" s="1">
        <f>INDEX('Dec100%_DOR PDF'!$B$3:$F$323,MATCH(SurtaxRatesSAS!$B228,'Dec100%_DOR PDF'!$F$3:$F$323,0),1)</f>
        <v>318648.90999999997</v>
      </c>
      <c r="G228" s="1">
        <f t="shared" si="20"/>
        <v>318648.90999999997</v>
      </c>
      <c r="H228" s="1">
        <f t="shared" si="21"/>
        <v>0</v>
      </c>
      <c r="I228" s="1">
        <f t="shared" si="22"/>
        <v>318648.90999999997</v>
      </c>
      <c r="J228" s="60"/>
      <c r="K228" s="1" t="e">
        <f>INDEX(#REF!,MATCH(SurtaxRatesSAS!$B228,#REF!,0),1)</f>
        <v>#REF!</v>
      </c>
      <c r="L228" s="1" t="e">
        <f t="shared" si="23"/>
        <v>#REF!</v>
      </c>
      <c r="M228" s="1" t="e">
        <f t="shared" si="24"/>
        <v>#REF!</v>
      </c>
      <c r="N228" s="1" t="e">
        <f t="shared" si="25"/>
        <v>#REF!</v>
      </c>
    </row>
    <row r="229" spans="1:14" x14ac:dyDescent="0.25">
      <c r="A229">
        <v>2024</v>
      </c>
      <c r="B229" s="3" t="s">
        <v>543</v>
      </c>
      <c r="C229" t="s">
        <v>234</v>
      </c>
      <c r="D229">
        <v>6</v>
      </c>
      <c r="E229">
        <v>4</v>
      </c>
      <c r="F229" s="1">
        <f>INDEX('Dec100%_DOR PDF'!$B$3:$F$323,MATCH(SurtaxRatesSAS!$B229,'Dec100%_DOR PDF'!$F$3:$F$323,0),1)</f>
        <v>429307.42</v>
      </c>
      <c r="G229" s="1">
        <f t="shared" si="20"/>
        <v>429307.42</v>
      </c>
      <c r="H229" s="1">
        <f t="shared" si="21"/>
        <v>171722.97</v>
      </c>
      <c r="I229" s="1">
        <f t="shared" si="22"/>
        <v>257584.44999999998</v>
      </c>
      <c r="J229" s="60"/>
      <c r="K229" s="1" t="e">
        <f>INDEX(#REF!,MATCH(SurtaxRatesSAS!$B229,#REF!,0),1)</f>
        <v>#REF!</v>
      </c>
      <c r="L229" s="1" t="e">
        <f t="shared" si="23"/>
        <v>#REF!</v>
      </c>
      <c r="M229" s="1" t="e">
        <f t="shared" si="24"/>
        <v>#REF!</v>
      </c>
      <c r="N229" s="1" t="e">
        <f t="shared" si="25"/>
        <v>#REF!</v>
      </c>
    </row>
    <row r="230" spans="1:14" x14ac:dyDescent="0.25">
      <c r="A230">
        <v>2024</v>
      </c>
      <c r="B230" s="3" t="s">
        <v>579</v>
      </c>
      <c r="C230" t="s">
        <v>235</v>
      </c>
      <c r="D230">
        <v>5</v>
      </c>
      <c r="E230">
        <v>0</v>
      </c>
      <c r="F230" s="1">
        <f>INDEX('Dec100%_DOR PDF'!$B$3:$F$323,MATCH(SurtaxRatesSAS!$B230,'Dec100%_DOR PDF'!$F$3:$F$323,0),1)</f>
        <v>46206.68</v>
      </c>
      <c r="G230" s="1">
        <f t="shared" si="20"/>
        <v>46206.68</v>
      </c>
      <c r="H230" s="1">
        <f t="shared" si="21"/>
        <v>0</v>
      </c>
      <c r="I230" s="1">
        <f t="shared" si="22"/>
        <v>46206.68</v>
      </c>
      <c r="J230" s="60"/>
      <c r="K230" s="1" t="e">
        <f>INDEX(#REF!,MATCH(SurtaxRatesSAS!$B230,#REF!,0),1)</f>
        <v>#REF!</v>
      </c>
      <c r="L230" s="1" t="e">
        <f t="shared" si="23"/>
        <v>#REF!</v>
      </c>
      <c r="M230" s="1" t="e">
        <f t="shared" si="24"/>
        <v>#REF!</v>
      </c>
      <c r="N230" s="1" t="e">
        <f t="shared" si="25"/>
        <v>#REF!</v>
      </c>
    </row>
    <row r="231" spans="1:14" x14ac:dyDescent="0.25">
      <c r="A231">
        <v>2024</v>
      </c>
      <c r="B231" s="3" t="s">
        <v>580</v>
      </c>
      <c r="C231" t="s">
        <v>236</v>
      </c>
      <c r="D231">
        <v>4</v>
      </c>
      <c r="E231">
        <v>0</v>
      </c>
      <c r="F231" s="1">
        <f>INDEX('Dec100%_DOR PDF'!$B$3:$F$323,MATCH(SurtaxRatesSAS!$B231,'Dec100%_DOR PDF'!$F$3:$F$323,0),1)</f>
        <v>255359.09</v>
      </c>
      <c r="G231" s="1">
        <f t="shared" si="20"/>
        <v>255359.09</v>
      </c>
      <c r="H231" s="1">
        <f t="shared" si="21"/>
        <v>0</v>
      </c>
      <c r="I231" s="1">
        <f t="shared" si="22"/>
        <v>255359.09</v>
      </c>
      <c r="J231" s="60"/>
      <c r="K231" s="1" t="e">
        <f>INDEX(#REF!,MATCH(SurtaxRatesSAS!$B231,#REF!,0),1)</f>
        <v>#REF!</v>
      </c>
      <c r="L231" s="1" t="e">
        <f t="shared" si="23"/>
        <v>#REF!</v>
      </c>
      <c r="M231" s="1" t="e">
        <f t="shared" si="24"/>
        <v>#REF!</v>
      </c>
      <c r="N231" s="1" t="e">
        <f t="shared" si="25"/>
        <v>#REF!</v>
      </c>
    </row>
    <row r="232" spans="1:14" x14ac:dyDescent="0.25">
      <c r="A232">
        <v>2024</v>
      </c>
      <c r="B232" s="3" t="s">
        <v>581</v>
      </c>
      <c r="C232" t="s">
        <v>237</v>
      </c>
      <c r="D232">
        <v>3</v>
      </c>
      <c r="E232">
        <v>3</v>
      </c>
      <c r="F232" s="1">
        <f>INDEX('Dec100%_DOR PDF'!$B$3:$F$323,MATCH(SurtaxRatesSAS!$B232,'Dec100%_DOR PDF'!$F$3:$F$323,0),1)</f>
        <v>244609.36</v>
      </c>
      <c r="G232" s="1">
        <f t="shared" si="20"/>
        <v>244609.36</v>
      </c>
      <c r="H232" s="1">
        <f t="shared" si="21"/>
        <v>122304.68</v>
      </c>
      <c r="I232" s="1">
        <f t="shared" si="22"/>
        <v>122304.68</v>
      </c>
      <c r="J232" s="60"/>
      <c r="K232" s="1" t="e">
        <f>INDEX(#REF!,MATCH(SurtaxRatesSAS!$B232,#REF!,0),1)</f>
        <v>#REF!</v>
      </c>
      <c r="L232" s="1" t="e">
        <f t="shared" si="23"/>
        <v>#REF!</v>
      </c>
      <c r="M232" s="1" t="e">
        <f t="shared" si="24"/>
        <v>#REF!</v>
      </c>
      <c r="N232" s="1" t="e">
        <f t="shared" si="25"/>
        <v>#REF!</v>
      </c>
    </row>
    <row r="233" spans="1:14" x14ac:dyDescent="0.25">
      <c r="A233">
        <v>2024</v>
      </c>
      <c r="B233" s="3" t="s">
        <v>582</v>
      </c>
      <c r="C233" t="s">
        <v>238</v>
      </c>
      <c r="D233">
        <v>5</v>
      </c>
      <c r="E233">
        <v>0</v>
      </c>
      <c r="F233" s="1">
        <f>INDEX('Dec100%_DOR PDF'!$B$3:$F$323,MATCH(SurtaxRatesSAS!$B233,'Dec100%_DOR PDF'!$F$3:$F$323,0),1)</f>
        <v>2861507.22</v>
      </c>
      <c r="G233" s="1">
        <f t="shared" si="20"/>
        <v>2861507.22</v>
      </c>
      <c r="H233" s="1">
        <f t="shared" si="21"/>
        <v>0</v>
      </c>
      <c r="I233" s="1">
        <f t="shared" si="22"/>
        <v>2861507.22</v>
      </c>
      <c r="J233" s="60"/>
      <c r="K233" s="1" t="e">
        <f>INDEX(#REF!,MATCH(SurtaxRatesSAS!$B233,#REF!,0),1)</f>
        <v>#REF!</v>
      </c>
      <c r="L233" s="1" t="e">
        <f t="shared" si="23"/>
        <v>#REF!</v>
      </c>
      <c r="M233" s="1" t="e">
        <f t="shared" si="24"/>
        <v>#REF!</v>
      </c>
      <c r="N233" s="1" t="e">
        <f t="shared" si="25"/>
        <v>#REF!</v>
      </c>
    </row>
    <row r="234" spans="1:14" x14ac:dyDescent="0.25">
      <c r="A234" s="91">
        <v>2024</v>
      </c>
      <c r="B234" s="90" t="s">
        <v>578</v>
      </c>
      <c r="C234" s="91" t="s">
        <v>1681</v>
      </c>
      <c r="D234" s="91">
        <v>5</v>
      </c>
      <c r="E234" s="91">
        <v>1</v>
      </c>
      <c r="F234" s="1">
        <f>INDEX('Dec100%_DOR PDF'!$B$3:$F$323,MATCH(SurtaxRatesSAS!$B234,'Dec100%_DOR PDF'!$F$3:$F$323,0),1)</f>
        <v>360508.47</v>
      </c>
      <c r="G234" s="1">
        <f t="shared" si="20"/>
        <v>360508.47</v>
      </c>
      <c r="H234" s="1">
        <f t="shared" si="21"/>
        <v>60084.75</v>
      </c>
      <c r="I234" s="1">
        <f t="shared" si="22"/>
        <v>300423.71999999997</v>
      </c>
      <c r="J234" s="60"/>
      <c r="K234" s="1" t="e">
        <f>INDEX(#REF!,MATCH(SurtaxRatesSAS!$B234,#REF!,0),1)</f>
        <v>#REF!</v>
      </c>
      <c r="L234" s="1" t="e">
        <f t="shared" si="23"/>
        <v>#REF!</v>
      </c>
      <c r="M234" s="1" t="e">
        <f t="shared" si="24"/>
        <v>#REF!</v>
      </c>
      <c r="N234" s="1" t="e">
        <f t="shared" si="25"/>
        <v>#REF!</v>
      </c>
    </row>
    <row r="235" spans="1:14" x14ac:dyDescent="0.25">
      <c r="A235">
        <v>2024</v>
      </c>
      <c r="B235" s="3" t="s">
        <v>576</v>
      </c>
      <c r="C235" t="s">
        <v>239</v>
      </c>
      <c r="D235">
        <v>5</v>
      </c>
      <c r="E235">
        <v>0</v>
      </c>
      <c r="F235" s="1">
        <f>INDEX('Dec100%_DOR PDF'!$B$3:$F$323,MATCH(SurtaxRatesSAS!$B235,'Dec100%_DOR PDF'!$F$3:$F$323,0),1)</f>
        <v>162289.54</v>
      </c>
      <c r="G235" s="1">
        <f t="shared" si="20"/>
        <v>162289.54</v>
      </c>
      <c r="H235" s="1">
        <f t="shared" si="21"/>
        <v>0</v>
      </c>
      <c r="I235" s="1">
        <f t="shared" si="22"/>
        <v>162289.54</v>
      </c>
      <c r="J235" s="60"/>
      <c r="K235" s="1" t="e">
        <f>INDEX(#REF!,MATCH(SurtaxRatesSAS!$B235,#REF!,0),1)</f>
        <v>#REF!</v>
      </c>
      <c r="L235" s="1" t="e">
        <f t="shared" si="23"/>
        <v>#REF!</v>
      </c>
      <c r="M235" s="1" t="e">
        <f t="shared" si="24"/>
        <v>#REF!</v>
      </c>
      <c r="N235" s="1" t="e">
        <f t="shared" si="25"/>
        <v>#REF!</v>
      </c>
    </row>
    <row r="236" spans="1:14" x14ac:dyDescent="0.25">
      <c r="A236">
        <v>2024</v>
      </c>
      <c r="B236" s="3" t="s">
        <v>583</v>
      </c>
      <c r="C236" t="s">
        <v>241</v>
      </c>
      <c r="D236">
        <v>4</v>
      </c>
      <c r="E236">
        <v>0</v>
      </c>
      <c r="F236" s="1">
        <f>INDEX('Dec100%_DOR PDF'!$B$3:$F$323,MATCH(SurtaxRatesSAS!$B236,'Dec100%_DOR PDF'!$F$3:$F$323,0),1)</f>
        <v>549811.74</v>
      </c>
      <c r="G236" s="1">
        <f t="shared" si="20"/>
        <v>549811.74</v>
      </c>
      <c r="H236" s="1">
        <f t="shared" si="21"/>
        <v>0</v>
      </c>
      <c r="I236" s="1">
        <f t="shared" si="22"/>
        <v>549811.74</v>
      </c>
      <c r="J236" s="60"/>
      <c r="K236" s="1" t="e">
        <f>INDEX(#REF!,MATCH(SurtaxRatesSAS!$B236,#REF!,0),1)</f>
        <v>#REF!</v>
      </c>
      <c r="L236" s="1" t="e">
        <f t="shared" si="23"/>
        <v>#REF!</v>
      </c>
      <c r="M236" s="1" t="e">
        <f t="shared" si="24"/>
        <v>#REF!</v>
      </c>
      <c r="N236" s="1" t="e">
        <f t="shared" si="25"/>
        <v>#REF!</v>
      </c>
    </row>
    <row r="237" spans="1:14" x14ac:dyDescent="0.25">
      <c r="A237">
        <v>2024</v>
      </c>
      <c r="B237" s="3" t="s">
        <v>584</v>
      </c>
      <c r="C237" t="s">
        <v>242</v>
      </c>
      <c r="D237">
        <v>1</v>
      </c>
      <c r="E237">
        <v>0</v>
      </c>
      <c r="F237" s="1">
        <f>INDEX('Dec100%_DOR PDF'!$B$3:$F$323,MATCH(SurtaxRatesSAS!$B237,'Dec100%_DOR PDF'!$F$3:$F$323,0),1)</f>
        <v>126351.47</v>
      </c>
      <c r="G237" s="1">
        <f t="shared" si="20"/>
        <v>126351.47</v>
      </c>
      <c r="H237" s="1">
        <f t="shared" si="21"/>
        <v>0</v>
      </c>
      <c r="I237" s="1">
        <f t="shared" si="22"/>
        <v>126351.47</v>
      </c>
      <c r="J237" s="60"/>
      <c r="K237" s="1" t="e">
        <f>INDEX(#REF!,MATCH(SurtaxRatesSAS!$B237,#REF!,0),1)</f>
        <v>#REF!</v>
      </c>
      <c r="L237" s="1" t="e">
        <f t="shared" si="23"/>
        <v>#REF!</v>
      </c>
      <c r="M237" s="1" t="e">
        <f t="shared" si="24"/>
        <v>#REF!</v>
      </c>
      <c r="N237" s="1" t="e">
        <f t="shared" si="25"/>
        <v>#REF!</v>
      </c>
    </row>
    <row r="238" spans="1:14" x14ac:dyDescent="0.25">
      <c r="A238">
        <v>2024</v>
      </c>
      <c r="B238" s="3" t="s">
        <v>585</v>
      </c>
      <c r="C238" t="s">
        <v>243</v>
      </c>
      <c r="D238">
        <v>1</v>
      </c>
      <c r="E238">
        <v>0</v>
      </c>
      <c r="F238" s="1">
        <f>INDEX('Dec100%_DOR PDF'!$B$3:$F$323,MATCH(SurtaxRatesSAS!$B238,'Dec100%_DOR PDF'!$F$3:$F$323,0),1)</f>
        <v>34611.56</v>
      </c>
      <c r="G238" s="1">
        <f t="shared" si="20"/>
        <v>34611.56</v>
      </c>
      <c r="H238" s="1">
        <f t="shared" si="21"/>
        <v>0</v>
      </c>
      <c r="I238" s="1">
        <f t="shared" si="22"/>
        <v>34611.56</v>
      </c>
      <c r="J238" s="60"/>
      <c r="K238" s="1" t="e">
        <f>INDEX(#REF!,MATCH(SurtaxRatesSAS!$B238,#REF!,0),1)</f>
        <v>#REF!</v>
      </c>
      <c r="L238" s="1" t="e">
        <f t="shared" si="23"/>
        <v>#REF!</v>
      </c>
      <c r="M238" s="1" t="e">
        <f t="shared" si="24"/>
        <v>#REF!</v>
      </c>
      <c r="N238" s="1" t="e">
        <f t="shared" si="25"/>
        <v>#REF!</v>
      </c>
    </row>
    <row r="239" spans="1:14" x14ac:dyDescent="0.25">
      <c r="A239">
        <v>2024</v>
      </c>
      <c r="B239" s="3" t="s">
        <v>560</v>
      </c>
      <c r="C239" t="s">
        <v>244</v>
      </c>
      <c r="D239">
        <v>7</v>
      </c>
      <c r="E239">
        <v>0</v>
      </c>
      <c r="F239" s="1">
        <f>INDEX('Dec100%_DOR PDF'!$B$3:$F$323,MATCH(SurtaxRatesSAS!$B239,'Dec100%_DOR PDF'!$F$3:$F$323,0),1)</f>
        <v>288449.05</v>
      </c>
      <c r="G239" s="1">
        <f t="shared" si="20"/>
        <v>288449.05</v>
      </c>
      <c r="H239" s="1">
        <f t="shared" si="21"/>
        <v>0</v>
      </c>
      <c r="I239" s="1">
        <f t="shared" si="22"/>
        <v>288449.05</v>
      </c>
      <c r="J239" s="60"/>
      <c r="K239" s="1" t="e">
        <f>INDEX(#REF!,MATCH(SurtaxRatesSAS!$B239,#REF!,0),1)</f>
        <v>#REF!</v>
      </c>
      <c r="L239" s="1" t="e">
        <f t="shared" si="23"/>
        <v>#REF!</v>
      </c>
      <c r="M239" s="1" t="e">
        <f t="shared" si="24"/>
        <v>#REF!</v>
      </c>
      <c r="N239" s="1" t="e">
        <f t="shared" si="25"/>
        <v>#REF!</v>
      </c>
    </row>
    <row r="240" spans="1:14" x14ac:dyDescent="0.25">
      <c r="A240">
        <v>2024</v>
      </c>
      <c r="B240" s="3" t="s">
        <v>586</v>
      </c>
      <c r="C240" t="s">
        <v>245</v>
      </c>
      <c r="D240">
        <v>1</v>
      </c>
      <c r="E240">
        <v>1</v>
      </c>
      <c r="F240" s="1">
        <f>INDEX('Dec100%_DOR PDF'!$B$3:$F$323,MATCH(SurtaxRatesSAS!$B240,'Dec100%_DOR PDF'!$F$3:$F$323,0),1)</f>
        <v>23250.12</v>
      </c>
      <c r="G240" s="1">
        <f t="shared" si="20"/>
        <v>23250.12</v>
      </c>
      <c r="H240" s="1">
        <f t="shared" si="21"/>
        <v>11625.06</v>
      </c>
      <c r="I240" s="1">
        <f t="shared" si="22"/>
        <v>11625.06</v>
      </c>
      <c r="J240" s="60"/>
      <c r="K240" s="1" t="e">
        <f>INDEX(#REF!,MATCH(SurtaxRatesSAS!$B240,#REF!,0),1)</f>
        <v>#REF!</v>
      </c>
      <c r="L240" s="1" t="e">
        <f t="shared" si="23"/>
        <v>#REF!</v>
      </c>
      <c r="M240" s="1" t="e">
        <f t="shared" si="24"/>
        <v>#REF!</v>
      </c>
      <c r="N240" s="1" t="e">
        <f t="shared" si="25"/>
        <v>#REF!</v>
      </c>
    </row>
    <row r="241" spans="1:14" x14ac:dyDescent="0.25">
      <c r="A241">
        <v>2024</v>
      </c>
      <c r="B241" s="3" t="s">
        <v>587</v>
      </c>
      <c r="C241" t="s">
        <v>641</v>
      </c>
      <c r="D241">
        <v>1</v>
      </c>
      <c r="E241">
        <v>1</v>
      </c>
      <c r="F241" s="1">
        <f>INDEX('Dec100%_DOR PDF'!$B$3:$F$323,MATCH(SurtaxRatesSAS!$B241,'Dec100%_DOR PDF'!$F$3:$F$323,0),1)</f>
        <v>62022.82</v>
      </c>
      <c r="G241" s="1">
        <f t="shared" si="20"/>
        <v>62022.82</v>
      </c>
      <c r="H241" s="1">
        <f t="shared" si="21"/>
        <v>31011.41</v>
      </c>
      <c r="I241" s="1">
        <f t="shared" si="22"/>
        <v>31011.41</v>
      </c>
      <c r="J241" s="60"/>
      <c r="K241" s="1" t="e">
        <f>INDEX(#REF!,MATCH(SurtaxRatesSAS!$B241,#REF!,0),1)</f>
        <v>#REF!</v>
      </c>
      <c r="L241" s="1" t="e">
        <f t="shared" si="23"/>
        <v>#REF!</v>
      </c>
      <c r="M241" s="1" t="e">
        <f t="shared" si="24"/>
        <v>#REF!</v>
      </c>
      <c r="N241" s="1" t="e">
        <f t="shared" si="25"/>
        <v>#REF!</v>
      </c>
    </row>
    <row r="242" spans="1:14" x14ac:dyDescent="0.25">
      <c r="A242">
        <v>2024</v>
      </c>
      <c r="B242" s="3" t="s">
        <v>588</v>
      </c>
      <c r="C242" t="s">
        <v>246</v>
      </c>
      <c r="D242">
        <v>5</v>
      </c>
      <c r="E242">
        <v>0</v>
      </c>
      <c r="F242" s="1">
        <f>INDEX('Dec100%_DOR PDF'!$B$3:$F$323,MATCH(SurtaxRatesSAS!$B242,'Dec100%_DOR PDF'!$F$3:$F$323,0),1)</f>
        <v>561275.47</v>
      </c>
      <c r="G242" s="1">
        <f t="shared" si="20"/>
        <v>561275.47</v>
      </c>
      <c r="H242" s="1">
        <f t="shared" si="21"/>
        <v>0</v>
      </c>
      <c r="I242" s="1">
        <f t="shared" si="22"/>
        <v>561275.47</v>
      </c>
      <c r="J242" s="60"/>
      <c r="K242" s="1" t="e">
        <f>INDEX(#REF!,MATCH(SurtaxRatesSAS!$B242,#REF!,0),1)</f>
        <v>#REF!</v>
      </c>
      <c r="L242" s="1" t="e">
        <f t="shared" si="23"/>
        <v>#REF!</v>
      </c>
      <c r="M242" s="1" t="e">
        <f t="shared" si="24"/>
        <v>#REF!</v>
      </c>
      <c r="N242" s="1" t="e">
        <f t="shared" si="25"/>
        <v>#REF!</v>
      </c>
    </row>
    <row r="243" spans="1:14" x14ac:dyDescent="0.25">
      <c r="A243">
        <v>2024</v>
      </c>
      <c r="B243" s="3" t="s">
        <v>589</v>
      </c>
      <c r="C243" t="s">
        <v>247</v>
      </c>
      <c r="D243">
        <v>4</v>
      </c>
      <c r="E243">
        <v>0</v>
      </c>
      <c r="F243" s="1">
        <f>INDEX('Dec100%_DOR PDF'!$B$3:$F$323,MATCH(SurtaxRatesSAS!$B243,'Dec100%_DOR PDF'!$F$3:$F$323,0),1)</f>
        <v>46745.58</v>
      </c>
      <c r="G243" s="1">
        <f t="shared" si="20"/>
        <v>46745.58</v>
      </c>
      <c r="H243" s="1">
        <f t="shared" si="21"/>
        <v>0</v>
      </c>
      <c r="I243" s="1">
        <f t="shared" si="22"/>
        <v>46745.58</v>
      </c>
      <c r="J243" s="60"/>
      <c r="K243" s="1" t="e">
        <f>INDEX(#REF!,MATCH(SurtaxRatesSAS!$B243,#REF!,0),1)</f>
        <v>#REF!</v>
      </c>
      <c r="L243" s="1" t="e">
        <f t="shared" si="23"/>
        <v>#REF!</v>
      </c>
      <c r="M243" s="1" t="e">
        <f t="shared" si="24"/>
        <v>#REF!</v>
      </c>
      <c r="N243" s="1" t="e">
        <f t="shared" si="25"/>
        <v>#REF!</v>
      </c>
    </row>
    <row r="244" spans="1:14" x14ac:dyDescent="0.25">
      <c r="A244">
        <v>2024</v>
      </c>
      <c r="B244" s="3" t="s">
        <v>591</v>
      </c>
      <c r="C244" t="s">
        <v>248</v>
      </c>
      <c r="D244">
        <v>7</v>
      </c>
      <c r="E244">
        <v>3</v>
      </c>
      <c r="F244" s="1">
        <f>INDEX('Dec100%_DOR PDF'!$B$3:$F$323,MATCH(SurtaxRatesSAS!$B244,'Dec100%_DOR PDF'!$F$3:$F$323,0),1)</f>
        <v>478658.63</v>
      </c>
      <c r="G244" s="1">
        <f t="shared" si="20"/>
        <v>478658.63</v>
      </c>
      <c r="H244" s="1">
        <f t="shared" si="21"/>
        <v>143597.59</v>
      </c>
      <c r="I244" s="1">
        <f t="shared" si="22"/>
        <v>335061.04000000004</v>
      </c>
      <c r="J244" s="60"/>
      <c r="K244" s="1" t="e">
        <f>INDEX(#REF!,MATCH(SurtaxRatesSAS!$B244,#REF!,0),1)</f>
        <v>#REF!</v>
      </c>
      <c r="L244" s="1" t="e">
        <f t="shared" si="23"/>
        <v>#REF!</v>
      </c>
      <c r="M244" s="1" t="e">
        <f t="shared" si="24"/>
        <v>#REF!</v>
      </c>
      <c r="N244" s="1" t="e">
        <f t="shared" si="25"/>
        <v>#REF!</v>
      </c>
    </row>
    <row r="245" spans="1:14" x14ac:dyDescent="0.25">
      <c r="A245">
        <v>2024</v>
      </c>
      <c r="B245" s="3" t="s">
        <v>592</v>
      </c>
      <c r="C245" t="s">
        <v>249</v>
      </c>
      <c r="D245">
        <v>5</v>
      </c>
      <c r="E245">
        <v>5</v>
      </c>
      <c r="F245" s="1">
        <f>INDEX('Dec100%_DOR PDF'!$B$3:$F$323,MATCH(SurtaxRatesSAS!$B245,'Dec100%_DOR PDF'!$F$3:$F$323,0),1)</f>
        <v>582405.23</v>
      </c>
      <c r="G245" s="1">
        <f t="shared" si="20"/>
        <v>582405.23</v>
      </c>
      <c r="H245" s="1">
        <f t="shared" si="21"/>
        <v>291202.62</v>
      </c>
      <c r="I245" s="1">
        <f t="shared" si="22"/>
        <v>291202.61</v>
      </c>
      <c r="J245" s="60"/>
      <c r="K245" s="1" t="e">
        <f>INDEX(#REF!,MATCH(SurtaxRatesSAS!$B245,#REF!,0),1)</f>
        <v>#REF!</v>
      </c>
      <c r="L245" s="1" t="e">
        <f t="shared" si="23"/>
        <v>#REF!</v>
      </c>
      <c r="M245" s="1" t="e">
        <f t="shared" si="24"/>
        <v>#REF!</v>
      </c>
      <c r="N245" s="1" t="e">
        <f t="shared" si="25"/>
        <v>#REF!</v>
      </c>
    </row>
    <row r="246" spans="1:14" x14ac:dyDescent="0.25">
      <c r="A246">
        <v>2024</v>
      </c>
      <c r="B246" s="3" t="s">
        <v>593</v>
      </c>
      <c r="C246" t="s">
        <v>250</v>
      </c>
      <c r="D246">
        <v>4</v>
      </c>
      <c r="E246">
        <v>0</v>
      </c>
      <c r="F246" s="1">
        <f>INDEX('Dec100%_DOR PDF'!$B$3:$F$323,MATCH(SurtaxRatesSAS!$B246,'Dec100%_DOR PDF'!$F$3:$F$323,0),1)</f>
        <v>178238.93</v>
      </c>
      <c r="G246" s="1">
        <f t="shared" si="20"/>
        <v>178238.93</v>
      </c>
      <c r="H246" s="1">
        <f t="shared" si="21"/>
        <v>0</v>
      </c>
      <c r="I246" s="1">
        <f t="shared" si="22"/>
        <v>178238.93</v>
      </c>
      <c r="J246" s="60"/>
      <c r="K246" s="1" t="e">
        <f>INDEX(#REF!,MATCH(SurtaxRatesSAS!$B246,#REF!,0),1)</f>
        <v>#REF!</v>
      </c>
      <c r="L246" s="1" t="e">
        <f t="shared" si="23"/>
        <v>#REF!</v>
      </c>
      <c r="M246" s="1" t="e">
        <f t="shared" si="24"/>
        <v>#REF!</v>
      </c>
      <c r="N246" s="1" t="e">
        <f t="shared" si="25"/>
        <v>#REF!</v>
      </c>
    </row>
    <row r="247" spans="1:14" x14ac:dyDescent="0.25">
      <c r="A247">
        <v>2024</v>
      </c>
      <c r="B247" s="3" t="s">
        <v>594</v>
      </c>
      <c r="C247" t="s">
        <v>251</v>
      </c>
      <c r="D247">
        <v>2</v>
      </c>
      <c r="E247">
        <v>0</v>
      </c>
      <c r="F247" s="1">
        <f>INDEX('Dec100%_DOR PDF'!$B$3:$F$323,MATCH(SurtaxRatesSAS!$B247,'Dec100%_DOR PDF'!$F$3:$F$323,0),1)</f>
        <v>62618.52</v>
      </c>
      <c r="G247" s="1">
        <f t="shared" si="20"/>
        <v>62618.52</v>
      </c>
      <c r="H247" s="1">
        <f t="shared" si="21"/>
        <v>0</v>
      </c>
      <c r="I247" s="1">
        <f t="shared" si="22"/>
        <v>62618.52</v>
      </c>
      <c r="J247" s="60"/>
      <c r="K247" s="1" t="e">
        <f>INDEX(#REF!,MATCH(SurtaxRatesSAS!$B247,#REF!,0),1)</f>
        <v>#REF!</v>
      </c>
      <c r="L247" s="1" t="e">
        <f t="shared" si="23"/>
        <v>#REF!</v>
      </c>
      <c r="M247" s="1" t="e">
        <f t="shared" si="24"/>
        <v>#REF!</v>
      </c>
      <c r="N247" s="1" t="e">
        <f t="shared" si="25"/>
        <v>#REF!</v>
      </c>
    </row>
    <row r="248" spans="1:14" x14ac:dyDescent="0.25">
      <c r="A248">
        <v>2024</v>
      </c>
      <c r="B248" s="3" t="s">
        <v>595</v>
      </c>
      <c r="C248" t="s">
        <v>252</v>
      </c>
      <c r="D248">
        <v>1</v>
      </c>
      <c r="E248">
        <v>1</v>
      </c>
      <c r="F248" s="1">
        <f>INDEX('Dec100%_DOR PDF'!$B$3:$F$323,MATCH(SurtaxRatesSAS!$B248,'Dec100%_DOR PDF'!$F$3:$F$323,0),1)</f>
        <v>27016.16</v>
      </c>
      <c r="G248" s="1">
        <f t="shared" si="20"/>
        <v>27016.16</v>
      </c>
      <c r="H248" s="1">
        <f t="shared" si="21"/>
        <v>13508.08</v>
      </c>
      <c r="I248" s="1">
        <f t="shared" si="22"/>
        <v>13508.08</v>
      </c>
      <c r="J248" s="60"/>
      <c r="K248" s="1" t="e">
        <f>INDEX(#REF!,MATCH(SurtaxRatesSAS!$B248,#REF!,0),1)</f>
        <v>#REF!</v>
      </c>
      <c r="L248" s="1" t="e">
        <f t="shared" si="23"/>
        <v>#REF!</v>
      </c>
      <c r="M248" s="1" t="e">
        <f t="shared" si="24"/>
        <v>#REF!</v>
      </c>
      <c r="N248" s="1" t="e">
        <f t="shared" si="25"/>
        <v>#REF!</v>
      </c>
    </row>
    <row r="249" spans="1:14" x14ac:dyDescent="0.25">
      <c r="A249">
        <v>2024</v>
      </c>
      <c r="B249" s="3" t="s">
        <v>596</v>
      </c>
      <c r="C249" t="s">
        <v>642</v>
      </c>
      <c r="D249">
        <v>7</v>
      </c>
      <c r="E249">
        <v>0</v>
      </c>
      <c r="F249" s="1">
        <f>INDEX('Dec100%_DOR PDF'!$B$3:$F$323,MATCH(SurtaxRatesSAS!$B249,'Dec100%_DOR PDF'!$F$3:$F$323,0),1)</f>
        <v>163890.46</v>
      </c>
      <c r="G249" s="1">
        <f t="shared" si="20"/>
        <v>163890.46</v>
      </c>
      <c r="H249" s="1">
        <f t="shared" si="21"/>
        <v>0</v>
      </c>
      <c r="I249" s="1">
        <f t="shared" si="22"/>
        <v>163890.46</v>
      </c>
      <c r="J249" s="60"/>
      <c r="K249" s="1" t="e">
        <f>INDEX(#REF!,MATCH(SurtaxRatesSAS!$B249,#REF!,0),1)</f>
        <v>#REF!</v>
      </c>
      <c r="L249" s="1" t="e">
        <f t="shared" si="23"/>
        <v>#REF!</v>
      </c>
      <c r="M249" s="1" t="e">
        <f t="shared" si="24"/>
        <v>#REF!</v>
      </c>
      <c r="N249" s="1" t="e">
        <f t="shared" si="25"/>
        <v>#REF!</v>
      </c>
    </row>
    <row r="250" spans="1:14" x14ac:dyDescent="0.25">
      <c r="A250">
        <v>2024</v>
      </c>
      <c r="B250" s="3" t="s">
        <v>598</v>
      </c>
      <c r="C250" t="s">
        <v>253</v>
      </c>
      <c r="D250">
        <v>1</v>
      </c>
      <c r="E250">
        <v>0</v>
      </c>
      <c r="F250" s="1">
        <f>INDEX('Dec100%_DOR PDF'!$B$3:$F$323,MATCH(SurtaxRatesSAS!$B250,'Dec100%_DOR PDF'!$F$3:$F$323,0),1)</f>
        <v>17676.830000000002</v>
      </c>
      <c r="G250" s="1">
        <f t="shared" si="20"/>
        <v>17676.830000000002</v>
      </c>
      <c r="H250" s="1">
        <f t="shared" si="21"/>
        <v>0</v>
      </c>
      <c r="I250" s="1">
        <f t="shared" si="22"/>
        <v>17676.830000000002</v>
      </c>
      <c r="J250" s="60"/>
      <c r="K250" s="1" t="e">
        <f>INDEX(#REF!,MATCH(SurtaxRatesSAS!$B250,#REF!,0),1)</f>
        <v>#REF!</v>
      </c>
      <c r="L250" s="1" t="e">
        <f t="shared" si="23"/>
        <v>#REF!</v>
      </c>
      <c r="M250" s="1" t="e">
        <f t="shared" si="24"/>
        <v>#REF!</v>
      </c>
      <c r="N250" s="1" t="e">
        <f t="shared" si="25"/>
        <v>#REF!</v>
      </c>
    </row>
    <row r="251" spans="1:14" x14ac:dyDescent="0.25">
      <c r="A251">
        <v>2024</v>
      </c>
      <c r="B251" s="3" t="s">
        <v>599</v>
      </c>
      <c r="C251" t="s">
        <v>254</v>
      </c>
      <c r="D251">
        <v>6</v>
      </c>
      <c r="E251">
        <v>0</v>
      </c>
      <c r="F251" s="1">
        <f>INDEX('Dec100%_DOR PDF'!$B$3:$F$323,MATCH(SurtaxRatesSAS!$B251,'Dec100%_DOR PDF'!$F$3:$F$323,0),1)</f>
        <v>59755.48</v>
      </c>
      <c r="G251" s="1">
        <f t="shared" si="20"/>
        <v>59755.48</v>
      </c>
      <c r="H251" s="1">
        <f t="shared" si="21"/>
        <v>0</v>
      </c>
      <c r="I251" s="1">
        <f t="shared" si="22"/>
        <v>59755.48</v>
      </c>
      <c r="J251" s="60"/>
      <c r="K251" s="1" t="e">
        <f>INDEX(#REF!,MATCH(SurtaxRatesSAS!$B251,#REF!,0),1)</f>
        <v>#REF!</v>
      </c>
      <c r="L251" s="1" t="e">
        <f t="shared" si="23"/>
        <v>#REF!</v>
      </c>
      <c r="M251" s="1" t="e">
        <f t="shared" si="24"/>
        <v>#REF!</v>
      </c>
      <c r="N251" s="1" t="e">
        <f t="shared" si="25"/>
        <v>#REF!</v>
      </c>
    </row>
    <row r="252" spans="1:14" x14ac:dyDescent="0.25">
      <c r="A252">
        <v>2024</v>
      </c>
      <c r="B252" s="3" t="s">
        <v>405</v>
      </c>
      <c r="C252" t="s">
        <v>255</v>
      </c>
      <c r="D252">
        <v>6</v>
      </c>
      <c r="E252">
        <v>1</v>
      </c>
      <c r="F252" s="1">
        <f>INDEX('Dec100%_DOR PDF'!$B$3:$F$323,MATCH(SurtaxRatesSAS!$B252,'Dec100%_DOR PDF'!$F$3:$F$323,0),1)</f>
        <v>506731.82</v>
      </c>
      <c r="G252" s="1">
        <f t="shared" si="20"/>
        <v>506731.82</v>
      </c>
      <c r="H252" s="1">
        <f t="shared" si="21"/>
        <v>72390.259999999995</v>
      </c>
      <c r="I252" s="1">
        <f t="shared" si="22"/>
        <v>434341.56</v>
      </c>
      <c r="J252" s="60"/>
      <c r="K252" s="1" t="e">
        <f>INDEX(#REF!,MATCH(SurtaxRatesSAS!$B252,#REF!,0),1)</f>
        <v>#REF!</v>
      </c>
      <c r="L252" s="1" t="e">
        <f t="shared" si="23"/>
        <v>#REF!</v>
      </c>
      <c r="M252" s="1" t="e">
        <f t="shared" si="24"/>
        <v>#REF!</v>
      </c>
      <c r="N252" s="1" t="e">
        <f t="shared" si="25"/>
        <v>#REF!</v>
      </c>
    </row>
    <row r="253" spans="1:14" x14ac:dyDescent="0.25">
      <c r="A253">
        <v>2024</v>
      </c>
      <c r="B253" s="3" t="s">
        <v>601</v>
      </c>
      <c r="C253" t="s">
        <v>256</v>
      </c>
      <c r="D253">
        <v>1</v>
      </c>
      <c r="E253">
        <v>0</v>
      </c>
      <c r="F253" s="1">
        <f>INDEX('Dec100%_DOR PDF'!$B$3:$F$323,MATCH(SurtaxRatesSAS!$B253,'Dec100%_DOR PDF'!$F$3:$F$323,0),1)</f>
        <v>32995.49</v>
      </c>
      <c r="G253" s="1">
        <f t="shared" si="20"/>
        <v>32995.49</v>
      </c>
      <c r="H253" s="1">
        <f t="shared" si="21"/>
        <v>0</v>
      </c>
      <c r="I253" s="1">
        <f t="shared" si="22"/>
        <v>32995.49</v>
      </c>
      <c r="J253" s="60"/>
      <c r="K253" s="1" t="e">
        <f>INDEX(#REF!,MATCH(SurtaxRatesSAS!$B253,#REF!,0),1)</f>
        <v>#REF!</v>
      </c>
      <c r="L253" s="1" t="e">
        <f t="shared" si="23"/>
        <v>#REF!</v>
      </c>
      <c r="M253" s="1" t="e">
        <f t="shared" si="24"/>
        <v>#REF!</v>
      </c>
      <c r="N253" s="1" t="e">
        <f t="shared" si="25"/>
        <v>#REF!</v>
      </c>
    </row>
    <row r="254" spans="1:14" x14ac:dyDescent="0.25">
      <c r="A254">
        <v>2024</v>
      </c>
      <c r="B254" s="3" t="s">
        <v>603</v>
      </c>
      <c r="C254" t="s">
        <v>734</v>
      </c>
      <c r="D254">
        <v>9</v>
      </c>
      <c r="E254">
        <v>0</v>
      </c>
      <c r="F254" s="1">
        <f>INDEX('Dec100%_DOR PDF'!$B$3:$F$323,MATCH(SurtaxRatesSAS!$B254,'Dec100%_DOR PDF'!$F$3:$F$323,0),1)</f>
        <v>498404.82</v>
      </c>
      <c r="G254" s="1">
        <f t="shared" si="20"/>
        <v>498404.82</v>
      </c>
      <c r="H254" s="1">
        <f t="shared" si="21"/>
        <v>0</v>
      </c>
      <c r="I254" s="1">
        <f t="shared" si="22"/>
        <v>498404.82</v>
      </c>
      <c r="J254" s="60"/>
      <c r="K254" s="1" t="e">
        <f>INDEX(#REF!,MATCH(SurtaxRatesSAS!$B254,#REF!,0),1)</f>
        <v>#REF!</v>
      </c>
      <c r="L254" s="1" t="e">
        <f t="shared" si="23"/>
        <v>#REF!</v>
      </c>
      <c r="M254" s="1" t="e">
        <f t="shared" si="24"/>
        <v>#REF!</v>
      </c>
      <c r="N254" s="1" t="e">
        <f t="shared" si="25"/>
        <v>#REF!</v>
      </c>
    </row>
    <row r="255" spans="1:14" x14ac:dyDescent="0.25">
      <c r="A255">
        <v>2024</v>
      </c>
      <c r="B255" s="3" t="s">
        <v>604</v>
      </c>
      <c r="C255" t="s">
        <v>259</v>
      </c>
      <c r="D255">
        <v>3</v>
      </c>
      <c r="E255">
        <v>0</v>
      </c>
      <c r="F255" s="1">
        <f>INDEX('Dec100%_DOR PDF'!$B$3:$F$323,MATCH(SurtaxRatesSAS!$B255,'Dec100%_DOR PDF'!$F$3:$F$323,0),1)</f>
        <v>390341.62</v>
      </c>
      <c r="G255" s="1">
        <f t="shared" si="20"/>
        <v>390341.62</v>
      </c>
      <c r="H255" s="1">
        <f t="shared" si="21"/>
        <v>0</v>
      </c>
      <c r="I255" s="1">
        <f t="shared" si="22"/>
        <v>390341.62</v>
      </c>
      <c r="J255" s="60"/>
      <c r="K255" s="1" t="e">
        <f>INDEX(#REF!,MATCH(SurtaxRatesSAS!$B255,#REF!,0),1)</f>
        <v>#REF!</v>
      </c>
      <c r="L255" s="1" t="e">
        <f t="shared" si="23"/>
        <v>#REF!</v>
      </c>
      <c r="M255" s="1" t="e">
        <f t="shared" si="24"/>
        <v>#REF!</v>
      </c>
      <c r="N255" s="1" t="e">
        <f t="shared" si="25"/>
        <v>#REF!</v>
      </c>
    </row>
    <row r="256" spans="1:14" x14ac:dyDescent="0.25">
      <c r="A256">
        <v>2024</v>
      </c>
      <c r="B256" s="3" t="s">
        <v>605</v>
      </c>
      <c r="C256" t="s">
        <v>260</v>
      </c>
      <c r="D256">
        <v>0</v>
      </c>
      <c r="E256">
        <v>5</v>
      </c>
      <c r="F256" s="1">
        <f>INDEX('Dec100%_DOR PDF'!$B$3:$F$323,MATCH(SurtaxRatesSAS!$B256,'Dec100%_DOR PDF'!$F$3:$F$323,0),1)</f>
        <v>67215.58</v>
      </c>
      <c r="G256" s="1">
        <f t="shared" si="20"/>
        <v>67215.58</v>
      </c>
      <c r="H256" s="1">
        <f t="shared" si="21"/>
        <v>67215.58</v>
      </c>
      <c r="I256" s="1">
        <f t="shared" si="22"/>
        <v>0</v>
      </c>
      <c r="J256" s="60"/>
      <c r="K256" s="1" t="e">
        <f>INDEX(#REF!,MATCH(SurtaxRatesSAS!$B256,#REF!,0),1)</f>
        <v>#REF!</v>
      </c>
      <c r="L256" s="1" t="e">
        <f t="shared" si="23"/>
        <v>#REF!</v>
      </c>
      <c r="M256" s="1" t="e">
        <f t="shared" si="24"/>
        <v>#REF!</v>
      </c>
      <c r="N256" s="1" t="e">
        <f t="shared" si="25"/>
        <v>#REF!</v>
      </c>
    </row>
    <row r="257" spans="1:14" x14ac:dyDescent="0.25">
      <c r="A257">
        <v>2024</v>
      </c>
      <c r="B257" s="3" t="s">
        <v>606</v>
      </c>
      <c r="C257" t="s">
        <v>261</v>
      </c>
      <c r="D257">
        <v>2</v>
      </c>
      <c r="E257">
        <v>5</v>
      </c>
      <c r="F257" s="1">
        <f>INDEX('Dec100%_DOR PDF'!$B$3:$F$323,MATCH(SurtaxRatesSAS!$B257,'Dec100%_DOR PDF'!$F$3:$F$323,0),1)</f>
        <v>664416.27</v>
      </c>
      <c r="G257" s="1">
        <f t="shared" si="20"/>
        <v>664416.27</v>
      </c>
      <c r="H257" s="1">
        <f t="shared" si="21"/>
        <v>474583.05</v>
      </c>
      <c r="I257" s="1">
        <f t="shared" si="22"/>
        <v>189833.22000000003</v>
      </c>
      <c r="J257" s="60"/>
      <c r="K257" s="1" t="e">
        <f>INDEX(#REF!,MATCH(SurtaxRatesSAS!$B257,#REF!,0),1)</f>
        <v>#REF!</v>
      </c>
      <c r="L257" s="1" t="e">
        <f t="shared" si="23"/>
        <v>#REF!</v>
      </c>
      <c r="M257" s="1" t="e">
        <f t="shared" si="24"/>
        <v>#REF!</v>
      </c>
      <c r="N257" s="1" t="e">
        <f t="shared" si="25"/>
        <v>#REF!</v>
      </c>
    </row>
    <row r="258" spans="1:14" x14ac:dyDescent="0.25">
      <c r="A258">
        <v>2024</v>
      </c>
      <c r="B258" s="3" t="s">
        <v>609</v>
      </c>
      <c r="C258" t="s">
        <v>263</v>
      </c>
      <c r="D258">
        <v>2</v>
      </c>
      <c r="E258">
        <v>2</v>
      </c>
      <c r="F258" s="1">
        <f>INDEX('Dec100%_DOR PDF'!$B$3:$F$323,MATCH(SurtaxRatesSAS!$B258,'Dec100%_DOR PDF'!$F$3:$F$323,0),1)</f>
        <v>126876.48</v>
      </c>
      <c r="G258" s="1">
        <f t="shared" si="20"/>
        <v>126876.48</v>
      </c>
      <c r="H258" s="1">
        <f t="shared" si="21"/>
        <v>63438.239999999998</v>
      </c>
      <c r="I258" s="1">
        <f t="shared" si="22"/>
        <v>63438.239999999998</v>
      </c>
      <c r="J258" s="60"/>
      <c r="K258" s="1" t="e">
        <f>INDEX(#REF!,MATCH(SurtaxRatesSAS!$B258,#REF!,0),1)</f>
        <v>#REF!</v>
      </c>
      <c r="L258" s="1" t="e">
        <f t="shared" si="23"/>
        <v>#REF!</v>
      </c>
      <c r="M258" s="1" t="e">
        <f t="shared" si="24"/>
        <v>#REF!</v>
      </c>
      <c r="N258" s="1" t="e">
        <f t="shared" si="25"/>
        <v>#REF!</v>
      </c>
    </row>
    <row r="259" spans="1:14" x14ac:dyDescent="0.25">
      <c r="A259">
        <v>2024</v>
      </c>
      <c r="B259" s="3" t="s">
        <v>610</v>
      </c>
      <c r="C259" t="s">
        <v>264</v>
      </c>
      <c r="D259">
        <v>8</v>
      </c>
      <c r="E259">
        <v>2</v>
      </c>
      <c r="F259" s="1">
        <f>INDEX('Dec100%_DOR PDF'!$B$3:$F$323,MATCH(SurtaxRatesSAS!$B259,'Dec100%_DOR PDF'!$F$3:$F$323,0),1)</f>
        <v>408913.11</v>
      </c>
      <c r="G259" s="1">
        <f t="shared" ref="G259:G285" si="26">F259</f>
        <v>408913.11</v>
      </c>
      <c r="H259" s="1">
        <f t="shared" ref="H259:H285" si="27">ROUND((E259/(E259+D259))*G259,2)</f>
        <v>81782.62</v>
      </c>
      <c r="I259" s="1">
        <f t="shared" ref="I259:I285" si="28">G259-H259</f>
        <v>327130.49</v>
      </c>
      <c r="J259" s="60"/>
      <c r="K259" s="1" t="e">
        <f>INDEX(#REF!,MATCH(SurtaxRatesSAS!$B259,#REF!,0),1)</f>
        <v>#REF!</v>
      </c>
      <c r="L259" s="1" t="e">
        <f t="shared" ref="L259:L285" si="29">K259</f>
        <v>#REF!</v>
      </c>
      <c r="M259" s="1" t="e">
        <f t="shared" ref="M259:M285" si="30">ROUND((E259/(E259+D259))*L259,2)</f>
        <v>#REF!</v>
      </c>
      <c r="N259" s="1" t="e">
        <f t="shared" ref="N259:N285" si="31">L259-M259</f>
        <v>#REF!</v>
      </c>
    </row>
    <row r="260" spans="1:14" x14ac:dyDescent="0.25">
      <c r="A260">
        <v>2024</v>
      </c>
      <c r="B260" s="3" t="s">
        <v>611</v>
      </c>
      <c r="C260" t="s">
        <v>265</v>
      </c>
      <c r="D260">
        <v>8</v>
      </c>
      <c r="E260">
        <v>0</v>
      </c>
      <c r="F260" s="1">
        <f>INDEX('Dec100%_DOR PDF'!$B$3:$F$323,MATCH(SurtaxRatesSAS!$B260,'Dec100%_DOR PDF'!$F$3:$F$323,0),1)</f>
        <v>786550.44</v>
      </c>
      <c r="G260" s="1">
        <f t="shared" si="26"/>
        <v>786550.44</v>
      </c>
      <c r="H260" s="1">
        <f t="shared" si="27"/>
        <v>0</v>
      </c>
      <c r="I260" s="1">
        <f t="shared" si="28"/>
        <v>786550.44</v>
      </c>
      <c r="J260" s="60"/>
      <c r="K260" s="1" t="e">
        <f>INDEX(#REF!,MATCH(SurtaxRatesSAS!$B260,#REF!,0),1)</f>
        <v>#REF!</v>
      </c>
      <c r="L260" s="1" t="e">
        <f t="shared" si="29"/>
        <v>#REF!</v>
      </c>
      <c r="M260" s="1" t="e">
        <f t="shared" si="30"/>
        <v>#REF!</v>
      </c>
      <c r="N260" s="1" t="e">
        <f t="shared" si="31"/>
        <v>#REF!</v>
      </c>
    </row>
    <row r="261" spans="1:14" x14ac:dyDescent="0.25">
      <c r="A261">
        <v>2024</v>
      </c>
      <c r="B261" s="3" t="s">
        <v>614</v>
      </c>
      <c r="C261" t="s">
        <v>266</v>
      </c>
      <c r="D261">
        <v>6</v>
      </c>
      <c r="E261">
        <v>0</v>
      </c>
      <c r="F261" s="1">
        <f>INDEX('Dec100%_DOR PDF'!$B$3:$F$323,MATCH(SurtaxRatesSAS!$B261,'Dec100%_DOR PDF'!$F$3:$F$323,0),1)</f>
        <v>1023255.1</v>
      </c>
      <c r="G261" s="1">
        <f t="shared" si="26"/>
        <v>1023255.1</v>
      </c>
      <c r="H261" s="1">
        <f t="shared" si="27"/>
        <v>0</v>
      </c>
      <c r="I261" s="1">
        <f t="shared" si="28"/>
        <v>1023255.1</v>
      </c>
      <c r="J261" s="60"/>
      <c r="K261" s="1" t="e">
        <f>INDEX(#REF!,MATCH(SurtaxRatesSAS!$B261,#REF!,0),1)</f>
        <v>#REF!</v>
      </c>
      <c r="L261" s="1" t="e">
        <f t="shared" si="29"/>
        <v>#REF!</v>
      </c>
      <c r="M261" s="1" t="e">
        <f t="shared" si="30"/>
        <v>#REF!</v>
      </c>
      <c r="N261" s="1" t="e">
        <f t="shared" si="31"/>
        <v>#REF!</v>
      </c>
    </row>
    <row r="262" spans="1:14" x14ac:dyDescent="0.25">
      <c r="A262">
        <v>2024</v>
      </c>
      <c r="B262" s="3" t="s">
        <v>615</v>
      </c>
      <c r="C262" t="s">
        <v>267</v>
      </c>
      <c r="D262">
        <v>3</v>
      </c>
      <c r="E262">
        <v>0</v>
      </c>
      <c r="F262" s="1">
        <f>INDEX('Dec100%_DOR PDF'!$B$3:$F$323,MATCH(SurtaxRatesSAS!$B262,'Dec100%_DOR PDF'!$F$3:$F$323,0),1)</f>
        <v>79008</v>
      </c>
      <c r="G262" s="1">
        <f t="shared" si="26"/>
        <v>79008</v>
      </c>
      <c r="H262" s="1">
        <f t="shared" si="27"/>
        <v>0</v>
      </c>
      <c r="I262" s="1">
        <f t="shared" si="28"/>
        <v>79008</v>
      </c>
      <c r="J262" s="60"/>
      <c r="K262" s="1" t="e">
        <f>INDEX(#REF!,MATCH(SurtaxRatesSAS!$B262,#REF!,0),1)</f>
        <v>#REF!</v>
      </c>
      <c r="L262" s="1" t="e">
        <f t="shared" si="29"/>
        <v>#REF!</v>
      </c>
      <c r="M262" s="1" t="e">
        <f t="shared" si="30"/>
        <v>#REF!</v>
      </c>
      <c r="N262" s="1" t="e">
        <f t="shared" si="31"/>
        <v>#REF!</v>
      </c>
    </row>
    <row r="263" spans="1:14" x14ac:dyDescent="0.25">
      <c r="A263">
        <v>2024</v>
      </c>
      <c r="B263" s="3" t="s">
        <v>616</v>
      </c>
      <c r="C263" t="s">
        <v>268</v>
      </c>
      <c r="D263">
        <v>5</v>
      </c>
      <c r="E263">
        <v>0</v>
      </c>
      <c r="F263" s="1">
        <f>INDEX('Dec100%_DOR PDF'!$B$3:$F$323,MATCH(SurtaxRatesSAS!$B263,'Dec100%_DOR PDF'!$F$3:$F$323,0),1)</f>
        <v>731786.32</v>
      </c>
      <c r="G263" s="1">
        <f t="shared" si="26"/>
        <v>731786.32</v>
      </c>
      <c r="H263" s="1">
        <f t="shared" si="27"/>
        <v>0</v>
      </c>
      <c r="I263" s="1">
        <f t="shared" si="28"/>
        <v>731786.32</v>
      </c>
      <c r="J263" s="60"/>
      <c r="K263" s="1" t="e">
        <f>INDEX(#REF!,MATCH(SurtaxRatesSAS!$B263,#REF!,0),1)</f>
        <v>#REF!</v>
      </c>
      <c r="L263" s="1" t="e">
        <f t="shared" si="29"/>
        <v>#REF!</v>
      </c>
      <c r="M263" s="1" t="e">
        <f t="shared" si="30"/>
        <v>#REF!</v>
      </c>
      <c r="N263" s="1" t="e">
        <f t="shared" si="31"/>
        <v>#REF!</v>
      </c>
    </row>
    <row r="264" spans="1:14" x14ac:dyDescent="0.25">
      <c r="A264">
        <v>2024</v>
      </c>
      <c r="B264" s="3" t="s">
        <v>618</v>
      </c>
      <c r="C264" t="s">
        <v>269</v>
      </c>
      <c r="D264">
        <v>1</v>
      </c>
      <c r="E264">
        <v>1</v>
      </c>
      <c r="F264" s="1">
        <f>INDEX('Dec100%_DOR PDF'!$B$3:$F$323,MATCH(SurtaxRatesSAS!$B264,'Dec100%_DOR PDF'!$F$3:$F$323,0),1)</f>
        <v>119636.02</v>
      </c>
      <c r="G264" s="1">
        <f t="shared" si="26"/>
        <v>119636.02</v>
      </c>
      <c r="H264" s="1">
        <f t="shared" si="27"/>
        <v>59818.01</v>
      </c>
      <c r="I264" s="1">
        <f t="shared" si="28"/>
        <v>59818.01</v>
      </c>
      <c r="J264" s="60"/>
      <c r="K264" s="1" t="e">
        <f>INDEX(#REF!,MATCH(SurtaxRatesSAS!$B264,#REF!,0),1)</f>
        <v>#REF!</v>
      </c>
      <c r="L264" s="1" t="e">
        <f t="shared" si="29"/>
        <v>#REF!</v>
      </c>
      <c r="M264" s="1" t="e">
        <f t="shared" si="30"/>
        <v>#REF!</v>
      </c>
      <c r="N264" s="1" t="e">
        <f t="shared" si="31"/>
        <v>#REF!</v>
      </c>
    </row>
    <row r="265" spans="1:14" x14ac:dyDescent="0.25">
      <c r="A265">
        <v>2024</v>
      </c>
      <c r="B265" s="3" t="s">
        <v>620</v>
      </c>
      <c r="C265" t="s">
        <v>270</v>
      </c>
      <c r="D265">
        <v>3</v>
      </c>
      <c r="E265">
        <v>2</v>
      </c>
      <c r="F265" s="1">
        <f>INDEX('Dec100%_DOR PDF'!$B$3:$F$323,MATCH(SurtaxRatesSAS!$B265,'Dec100%_DOR PDF'!$F$3:$F$323,0),1)</f>
        <v>81967.95</v>
      </c>
      <c r="G265" s="1">
        <f t="shared" si="26"/>
        <v>81967.95</v>
      </c>
      <c r="H265" s="1">
        <f t="shared" si="27"/>
        <v>32787.18</v>
      </c>
      <c r="I265" s="1">
        <f t="shared" si="28"/>
        <v>49180.77</v>
      </c>
      <c r="J265" s="60"/>
      <c r="K265" s="1" t="e">
        <f>INDEX(#REF!,MATCH(SurtaxRatesSAS!$B265,#REF!,0),1)</f>
        <v>#REF!</v>
      </c>
      <c r="L265" s="1" t="e">
        <f t="shared" si="29"/>
        <v>#REF!</v>
      </c>
      <c r="M265" s="1" t="e">
        <f t="shared" si="30"/>
        <v>#REF!</v>
      </c>
      <c r="N265" s="1" t="e">
        <f t="shared" si="31"/>
        <v>#REF!</v>
      </c>
    </row>
    <row r="266" spans="1:14" x14ac:dyDescent="0.25">
      <c r="A266">
        <v>2024</v>
      </c>
      <c r="B266" s="3" t="s">
        <v>590</v>
      </c>
      <c r="C266" t="s">
        <v>271</v>
      </c>
      <c r="D266">
        <v>5</v>
      </c>
      <c r="E266">
        <v>0</v>
      </c>
      <c r="F266" s="1">
        <f>INDEX('Dec100%_DOR PDF'!$B$3:$F$323,MATCH(SurtaxRatesSAS!$B266,'Dec100%_DOR PDF'!$F$3:$F$323,0),1)</f>
        <v>297873.64</v>
      </c>
      <c r="G266" s="1">
        <f t="shared" si="26"/>
        <v>297873.64</v>
      </c>
      <c r="H266" s="1">
        <f t="shared" si="27"/>
        <v>0</v>
      </c>
      <c r="I266" s="1">
        <f t="shared" si="28"/>
        <v>297873.64</v>
      </c>
      <c r="J266" s="60"/>
      <c r="K266" s="1" t="e">
        <f>INDEX(#REF!,MATCH(SurtaxRatesSAS!$B266,#REF!,0),1)</f>
        <v>#REF!</v>
      </c>
      <c r="L266" s="1" t="e">
        <f t="shared" si="29"/>
        <v>#REF!</v>
      </c>
      <c r="M266" s="1" t="e">
        <f t="shared" si="30"/>
        <v>#REF!</v>
      </c>
      <c r="N266" s="1" t="e">
        <f t="shared" si="31"/>
        <v>#REF!</v>
      </c>
    </row>
    <row r="267" spans="1:14" x14ac:dyDescent="0.25">
      <c r="A267">
        <v>2024</v>
      </c>
      <c r="B267" s="3" t="s">
        <v>621</v>
      </c>
      <c r="C267" t="s">
        <v>643</v>
      </c>
      <c r="D267">
        <v>7</v>
      </c>
      <c r="E267">
        <v>0</v>
      </c>
      <c r="F267" s="1">
        <f>INDEX('Dec100%_DOR PDF'!$B$3:$F$323,MATCH(SurtaxRatesSAS!$B267,'Dec100%_DOR PDF'!$F$3:$F$323,0),1)</f>
        <v>695317.82</v>
      </c>
      <c r="G267" s="1">
        <f t="shared" si="26"/>
        <v>695317.82</v>
      </c>
      <c r="H267" s="1">
        <f t="shared" si="27"/>
        <v>0</v>
      </c>
      <c r="I267" s="1">
        <f t="shared" si="28"/>
        <v>695317.82</v>
      </c>
      <c r="J267" s="60"/>
      <c r="K267" s="1" t="e">
        <f>INDEX(#REF!,MATCH(SurtaxRatesSAS!$B267,#REF!,0),1)</f>
        <v>#REF!</v>
      </c>
      <c r="L267" s="1" t="e">
        <f t="shared" si="29"/>
        <v>#REF!</v>
      </c>
      <c r="M267" s="1" t="e">
        <f t="shared" si="30"/>
        <v>#REF!</v>
      </c>
      <c r="N267" s="1" t="e">
        <f t="shared" si="31"/>
        <v>#REF!</v>
      </c>
    </row>
    <row r="268" spans="1:14" x14ac:dyDescent="0.25">
      <c r="A268">
        <v>2024</v>
      </c>
      <c r="B268" s="3" t="s">
        <v>566</v>
      </c>
      <c r="C268" t="s">
        <v>273</v>
      </c>
      <c r="D268">
        <v>1</v>
      </c>
      <c r="E268">
        <v>0</v>
      </c>
      <c r="F268" s="1">
        <f>INDEX('Dec100%_DOR PDF'!$B$3:$F$323,MATCH(SurtaxRatesSAS!$B268,'Dec100%_DOR PDF'!$F$3:$F$323,0),1)</f>
        <v>52409.74</v>
      </c>
      <c r="G268" s="1">
        <f t="shared" si="26"/>
        <v>52409.74</v>
      </c>
      <c r="H268" s="1">
        <f t="shared" si="27"/>
        <v>0</v>
      </c>
      <c r="I268" s="1">
        <f t="shared" si="28"/>
        <v>52409.74</v>
      </c>
      <c r="J268" s="60"/>
      <c r="K268" s="1" t="e">
        <f>INDEX(#REF!,MATCH(SurtaxRatesSAS!$B268,#REF!,0),1)</f>
        <v>#REF!</v>
      </c>
      <c r="L268" s="1" t="e">
        <f t="shared" si="29"/>
        <v>#REF!</v>
      </c>
      <c r="M268" s="1" t="e">
        <f t="shared" si="30"/>
        <v>#REF!</v>
      </c>
      <c r="N268" s="1" t="e">
        <f t="shared" si="31"/>
        <v>#REF!</v>
      </c>
    </row>
    <row r="269" spans="1:14" x14ac:dyDescent="0.25">
      <c r="A269">
        <v>2024</v>
      </c>
      <c r="B269" s="3" t="s">
        <v>348</v>
      </c>
      <c r="C269" t="s">
        <v>274</v>
      </c>
      <c r="D269">
        <v>1</v>
      </c>
      <c r="E269">
        <v>1</v>
      </c>
      <c r="F269" s="1">
        <f>INDEX('Dec100%_DOR PDF'!$B$3:$F$323,MATCH(SurtaxRatesSAS!$B269,'Dec100%_DOR PDF'!$F$3:$F$323,0),1)</f>
        <v>76203.009999999995</v>
      </c>
      <c r="G269" s="1">
        <f t="shared" si="26"/>
        <v>76203.009999999995</v>
      </c>
      <c r="H269" s="1">
        <f t="shared" si="27"/>
        <v>38101.51</v>
      </c>
      <c r="I269" s="1">
        <f t="shared" si="28"/>
        <v>38101.499999999993</v>
      </c>
      <c r="J269" s="60"/>
      <c r="K269" s="1" t="e">
        <f>INDEX(#REF!,MATCH(SurtaxRatesSAS!$B269,#REF!,0),1)</f>
        <v>#REF!</v>
      </c>
      <c r="L269" s="1" t="e">
        <f t="shared" si="29"/>
        <v>#REF!</v>
      </c>
      <c r="M269" s="1" t="e">
        <f t="shared" si="30"/>
        <v>#REF!</v>
      </c>
      <c r="N269" s="1" t="e">
        <f t="shared" si="31"/>
        <v>#REF!</v>
      </c>
    </row>
    <row r="270" spans="1:14" x14ac:dyDescent="0.25">
      <c r="A270">
        <v>2024</v>
      </c>
      <c r="B270" s="3" t="s">
        <v>624</v>
      </c>
      <c r="C270" t="s">
        <v>275</v>
      </c>
      <c r="D270">
        <v>2</v>
      </c>
      <c r="E270">
        <v>2</v>
      </c>
      <c r="F270" s="1">
        <f>INDEX('Dec100%_DOR PDF'!$B$3:$F$323,MATCH(SurtaxRatesSAS!$B270,'Dec100%_DOR PDF'!$F$3:$F$323,0),1)</f>
        <v>60592.97</v>
      </c>
      <c r="G270" s="1">
        <f t="shared" si="26"/>
        <v>60592.97</v>
      </c>
      <c r="H270" s="1">
        <f t="shared" si="27"/>
        <v>30296.49</v>
      </c>
      <c r="I270" s="1">
        <f t="shared" si="28"/>
        <v>30296.48</v>
      </c>
      <c r="J270" s="60"/>
      <c r="K270" s="1" t="e">
        <f>INDEX(#REF!,MATCH(SurtaxRatesSAS!$B270,#REF!,0),1)</f>
        <v>#REF!</v>
      </c>
      <c r="L270" s="1" t="e">
        <f t="shared" si="29"/>
        <v>#REF!</v>
      </c>
      <c r="M270" s="1" t="e">
        <f t="shared" si="30"/>
        <v>#REF!</v>
      </c>
      <c r="N270" s="1" t="e">
        <f t="shared" si="31"/>
        <v>#REF!</v>
      </c>
    </row>
    <row r="271" spans="1:14" x14ac:dyDescent="0.25">
      <c r="A271">
        <v>2024</v>
      </c>
      <c r="B271" s="3" t="s">
        <v>625</v>
      </c>
      <c r="C271" t="s">
        <v>276</v>
      </c>
      <c r="D271">
        <v>1</v>
      </c>
      <c r="E271">
        <v>1</v>
      </c>
      <c r="F271" s="1">
        <f>INDEX('Dec100%_DOR PDF'!$B$3:$F$323,MATCH(SurtaxRatesSAS!$B271,'Dec100%_DOR PDF'!$F$3:$F$323,0),1)</f>
        <v>126613.88</v>
      </c>
      <c r="G271" s="1">
        <f t="shared" si="26"/>
        <v>126613.88</v>
      </c>
      <c r="H271" s="1">
        <f t="shared" si="27"/>
        <v>63306.94</v>
      </c>
      <c r="I271" s="1">
        <f t="shared" si="28"/>
        <v>63306.94</v>
      </c>
      <c r="J271" s="60"/>
      <c r="K271" s="1" t="e">
        <f>INDEX(#REF!,MATCH(SurtaxRatesSAS!$B271,#REF!,0),1)</f>
        <v>#REF!</v>
      </c>
      <c r="L271" s="1" t="e">
        <f t="shared" si="29"/>
        <v>#REF!</v>
      </c>
      <c r="M271" s="1" t="e">
        <f t="shared" si="30"/>
        <v>#REF!</v>
      </c>
      <c r="N271" s="1" t="e">
        <f t="shared" si="31"/>
        <v>#REF!</v>
      </c>
    </row>
    <row r="272" spans="1:14" x14ac:dyDescent="0.25">
      <c r="A272">
        <v>2024</v>
      </c>
      <c r="B272" s="3" t="s">
        <v>626</v>
      </c>
      <c r="C272" t="s">
        <v>277</v>
      </c>
      <c r="D272">
        <v>7</v>
      </c>
      <c r="E272">
        <v>0</v>
      </c>
      <c r="F272" s="1">
        <f>INDEX('Dec100%_DOR PDF'!$B$3:$F$323,MATCH(SurtaxRatesSAS!$B272,'Dec100%_DOR PDF'!$F$3:$F$323,0),1)</f>
        <v>402446.14</v>
      </c>
      <c r="G272" s="1">
        <f t="shared" si="26"/>
        <v>402446.14</v>
      </c>
      <c r="H272" s="1">
        <f t="shared" si="27"/>
        <v>0</v>
      </c>
      <c r="I272" s="1">
        <f t="shared" si="28"/>
        <v>402446.14</v>
      </c>
      <c r="J272" s="60"/>
      <c r="K272" s="1" t="e">
        <f>INDEX(#REF!,MATCH(SurtaxRatesSAS!$B272,#REF!,0),1)</f>
        <v>#REF!</v>
      </c>
      <c r="L272" s="1" t="e">
        <f t="shared" si="29"/>
        <v>#REF!</v>
      </c>
      <c r="M272" s="1" t="e">
        <f t="shared" si="30"/>
        <v>#REF!</v>
      </c>
      <c r="N272" s="1" t="e">
        <f t="shared" si="31"/>
        <v>#REF!</v>
      </c>
    </row>
    <row r="273" spans="1:14" x14ac:dyDescent="0.25">
      <c r="A273">
        <v>2024</v>
      </c>
      <c r="B273" s="3" t="s">
        <v>627</v>
      </c>
      <c r="C273" t="s">
        <v>278</v>
      </c>
      <c r="D273">
        <v>6</v>
      </c>
      <c r="E273">
        <v>0</v>
      </c>
      <c r="F273" s="1">
        <f>INDEX('Dec100%_DOR PDF'!$B$3:$F$323,MATCH(SurtaxRatesSAS!$B273,'Dec100%_DOR PDF'!$F$3:$F$323,0),1)</f>
        <v>296709.45</v>
      </c>
      <c r="G273" s="1">
        <f t="shared" si="26"/>
        <v>296709.45</v>
      </c>
      <c r="H273" s="1">
        <f t="shared" si="27"/>
        <v>0</v>
      </c>
      <c r="I273" s="1">
        <f t="shared" si="28"/>
        <v>296709.45</v>
      </c>
      <c r="J273" s="60"/>
      <c r="K273" s="1" t="e">
        <f>INDEX(#REF!,MATCH(SurtaxRatesSAS!$B273,#REF!,0),1)</f>
        <v>#REF!</v>
      </c>
      <c r="L273" s="1" t="e">
        <f t="shared" si="29"/>
        <v>#REF!</v>
      </c>
      <c r="M273" s="1" t="e">
        <f t="shared" si="30"/>
        <v>#REF!</v>
      </c>
      <c r="N273" s="1" t="e">
        <f t="shared" si="31"/>
        <v>#REF!</v>
      </c>
    </row>
    <row r="274" spans="1:14" x14ac:dyDescent="0.25">
      <c r="A274">
        <v>2024</v>
      </c>
      <c r="B274" s="3" t="s">
        <v>628</v>
      </c>
      <c r="C274" t="s">
        <v>279</v>
      </c>
      <c r="D274">
        <v>2</v>
      </c>
      <c r="E274">
        <v>2</v>
      </c>
      <c r="F274" s="1">
        <f>INDEX('Dec100%_DOR PDF'!$B$3:$F$323,MATCH(SurtaxRatesSAS!$B274,'Dec100%_DOR PDF'!$F$3:$F$323,0),1)</f>
        <v>130108.37</v>
      </c>
      <c r="G274" s="1">
        <f t="shared" si="26"/>
        <v>130108.37</v>
      </c>
      <c r="H274" s="1">
        <f t="shared" si="27"/>
        <v>65054.19</v>
      </c>
      <c r="I274" s="1">
        <f t="shared" si="28"/>
        <v>65054.179999999993</v>
      </c>
      <c r="J274" s="60"/>
      <c r="K274" s="1" t="e">
        <f>INDEX(#REF!,MATCH(SurtaxRatesSAS!$B274,#REF!,0),1)</f>
        <v>#REF!</v>
      </c>
      <c r="L274" s="1" t="e">
        <f t="shared" si="29"/>
        <v>#REF!</v>
      </c>
      <c r="M274" s="1" t="e">
        <f t="shared" si="30"/>
        <v>#REF!</v>
      </c>
      <c r="N274" s="1" t="e">
        <f t="shared" si="31"/>
        <v>#REF!</v>
      </c>
    </row>
    <row r="275" spans="1:14" x14ac:dyDescent="0.25">
      <c r="A275">
        <v>2024</v>
      </c>
      <c r="B275" s="3" t="s">
        <v>629</v>
      </c>
      <c r="C275" t="s">
        <v>280</v>
      </c>
      <c r="D275">
        <v>1</v>
      </c>
      <c r="E275">
        <v>0</v>
      </c>
      <c r="F275" s="1">
        <f>INDEX('Dec100%_DOR PDF'!$B$3:$F$323,MATCH(SurtaxRatesSAS!$B275,'Dec100%_DOR PDF'!$F$3:$F$323,0),1)</f>
        <v>43724.83</v>
      </c>
      <c r="G275" s="1">
        <f t="shared" si="26"/>
        <v>43724.83</v>
      </c>
      <c r="H275" s="1">
        <f t="shared" si="27"/>
        <v>0</v>
      </c>
      <c r="I275" s="1">
        <f t="shared" si="28"/>
        <v>43724.83</v>
      </c>
      <c r="J275" s="60"/>
      <c r="K275" s="1" t="e">
        <f>INDEX(#REF!,MATCH(SurtaxRatesSAS!$B275,#REF!,0),1)</f>
        <v>#REF!</v>
      </c>
      <c r="L275" s="1" t="e">
        <f t="shared" si="29"/>
        <v>#REF!</v>
      </c>
      <c r="M275" s="1" t="e">
        <f t="shared" si="30"/>
        <v>#REF!</v>
      </c>
      <c r="N275" s="1" t="e">
        <f t="shared" si="31"/>
        <v>#REF!</v>
      </c>
    </row>
    <row r="276" spans="1:14" x14ac:dyDescent="0.25">
      <c r="A276">
        <v>2024</v>
      </c>
      <c r="B276" s="3" t="s">
        <v>623</v>
      </c>
      <c r="C276" t="s">
        <v>644</v>
      </c>
      <c r="D276">
        <v>6</v>
      </c>
      <c r="E276">
        <v>0</v>
      </c>
      <c r="F276" s="1">
        <f>INDEX('Dec100%_DOR PDF'!$B$3:$F$323,MATCH(SurtaxRatesSAS!$B276,'Dec100%_DOR PDF'!$F$3:$F$323,0),1)</f>
        <v>1897285.09</v>
      </c>
      <c r="G276" s="1">
        <f t="shared" si="26"/>
        <v>1897285.09</v>
      </c>
      <c r="H276" s="1">
        <f t="shared" si="27"/>
        <v>0</v>
      </c>
      <c r="I276" s="1">
        <f t="shared" si="28"/>
        <v>1897285.09</v>
      </c>
      <c r="J276" s="60"/>
      <c r="K276" s="1" t="e">
        <f>INDEX(#REF!,MATCH(SurtaxRatesSAS!$B276,#REF!,0),1)</f>
        <v>#REF!</v>
      </c>
      <c r="L276" s="1" t="e">
        <f t="shared" si="29"/>
        <v>#REF!</v>
      </c>
      <c r="M276" s="1" t="e">
        <f t="shared" si="30"/>
        <v>#REF!</v>
      </c>
      <c r="N276" s="1" t="e">
        <f t="shared" si="31"/>
        <v>#REF!</v>
      </c>
    </row>
    <row r="277" spans="1:14" x14ac:dyDescent="0.25">
      <c r="A277">
        <v>2024</v>
      </c>
      <c r="B277" s="3" t="s">
        <v>630</v>
      </c>
      <c r="C277" t="s">
        <v>282</v>
      </c>
      <c r="D277">
        <v>3</v>
      </c>
      <c r="E277">
        <v>1</v>
      </c>
      <c r="F277" s="1">
        <f>INDEX('Dec100%_DOR PDF'!$B$3:$F$323,MATCH(SurtaxRatesSAS!$B277,'Dec100%_DOR PDF'!$F$3:$F$323,0),1)</f>
        <v>131554.12</v>
      </c>
      <c r="G277" s="1">
        <f t="shared" si="26"/>
        <v>131554.12</v>
      </c>
      <c r="H277" s="1">
        <f t="shared" si="27"/>
        <v>32888.53</v>
      </c>
      <c r="I277" s="1">
        <f t="shared" si="28"/>
        <v>98665.59</v>
      </c>
      <c r="J277" s="60"/>
      <c r="K277" s="1" t="e">
        <f>INDEX(#REF!,MATCH(SurtaxRatesSAS!$B277,#REF!,0),1)</f>
        <v>#REF!</v>
      </c>
      <c r="L277" s="1" t="e">
        <f t="shared" si="29"/>
        <v>#REF!</v>
      </c>
      <c r="M277" s="1" t="e">
        <f t="shared" si="30"/>
        <v>#REF!</v>
      </c>
      <c r="N277" s="1" t="e">
        <f t="shared" si="31"/>
        <v>#REF!</v>
      </c>
    </row>
    <row r="278" spans="1:14" x14ac:dyDescent="0.25">
      <c r="A278">
        <v>2024</v>
      </c>
      <c r="B278" s="3" t="s">
        <v>631</v>
      </c>
      <c r="C278" t="s">
        <v>283</v>
      </c>
      <c r="D278">
        <v>5</v>
      </c>
      <c r="E278">
        <v>0</v>
      </c>
      <c r="F278" s="1">
        <f>INDEX('Dec100%_DOR PDF'!$B$3:$F$323,MATCH(SurtaxRatesSAS!$B278,'Dec100%_DOR PDF'!$F$3:$F$323,0),1)</f>
        <v>54014.36</v>
      </c>
      <c r="G278" s="1">
        <f t="shared" si="26"/>
        <v>54014.36</v>
      </c>
      <c r="H278" s="1">
        <f t="shared" si="27"/>
        <v>0</v>
      </c>
      <c r="I278" s="1">
        <f t="shared" si="28"/>
        <v>54014.36</v>
      </c>
      <c r="J278" s="60"/>
      <c r="K278" s="1" t="e">
        <f>INDEX(#REF!,MATCH(SurtaxRatesSAS!$B278,#REF!,0),1)</f>
        <v>#REF!</v>
      </c>
      <c r="L278" s="1" t="e">
        <f t="shared" si="29"/>
        <v>#REF!</v>
      </c>
      <c r="M278" s="1" t="e">
        <f t="shared" si="30"/>
        <v>#REF!</v>
      </c>
      <c r="N278" s="1" t="e">
        <f t="shared" si="31"/>
        <v>#REF!</v>
      </c>
    </row>
    <row r="279" spans="1:14" x14ac:dyDescent="0.25">
      <c r="A279">
        <v>2024</v>
      </c>
      <c r="B279" s="3" t="s">
        <v>632</v>
      </c>
      <c r="C279" t="s">
        <v>284</v>
      </c>
      <c r="D279">
        <v>7</v>
      </c>
      <c r="E279">
        <v>0</v>
      </c>
      <c r="F279" s="1">
        <f>INDEX('Dec100%_DOR PDF'!$B$3:$F$323,MATCH(SurtaxRatesSAS!$B279,'Dec100%_DOR PDF'!$F$3:$F$323,0),1)</f>
        <v>630071.73</v>
      </c>
      <c r="G279" s="1">
        <f t="shared" si="26"/>
        <v>630071.73</v>
      </c>
      <c r="H279" s="1">
        <f t="shared" si="27"/>
        <v>0</v>
      </c>
      <c r="I279" s="1">
        <f t="shared" si="28"/>
        <v>630071.73</v>
      </c>
      <c r="J279" s="60"/>
      <c r="K279" s="1" t="e">
        <f>INDEX(#REF!,MATCH(SurtaxRatesSAS!$B279,#REF!,0),1)</f>
        <v>#REF!</v>
      </c>
      <c r="L279" s="1" t="e">
        <f t="shared" si="29"/>
        <v>#REF!</v>
      </c>
      <c r="M279" s="1" t="e">
        <f t="shared" si="30"/>
        <v>#REF!</v>
      </c>
      <c r="N279" s="1" t="e">
        <f t="shared" si="31"/>
        <v>#REF!</v>
      </c>
    </row>
    <row r="280" spans="1:14" x14ac:dyDescent="0.25">
      <c r="A280">
        <v>2024</v>
      </c>
      <c r="B280" s="3" t="s">
        <v>633</v>
      </c>
      <c r="C280" t="s">
        <v>285</v>
      </c>
      <c r="D280">
        <v>4</v>
      </c>
      <c r="E280">
        <v>0</v>
      </c>
      <c r="F280" s="1">
        <f>INDEX('Dec100%_DOR PDF'!$B$3:$F$323,MATCH(SurtaxRatesSAS!$B280,'Dec100%_DOR PDF'!$F$3:$F$323,0),1)</f>
        <v>200816.66</v>
      </c>
      <c r="G280" s="1">
        <f t="shared" si="26"/>
        <v>200816.66</v>
      </c>
      <c r="H280" s="1">
        <f t="shared" si="27"/>
        <v>0</v>
      </c>
      <c r="I280" s="1">
        <f t="shared" si="28"/>
        <v>200816.66</v>
      </c>
      <c r="J280" s="60"/>
      <c r="K280" s="1" t="e">
        <f>INDEX(#REF!,MATCH(SurtaxRatesSAS!$B280,#REF!,0),1)</f>
        <v>#REF!</v>
      </c>
      <c r="L280" s="1" t="e">
        <f t="shared" si="29"/>
        <v>#REF!</v>
      </c>
      <c r="M280" s="1" t="e">
        <f t="shared" si="30"/>
        <v>#REF!</v>
      </c>
      <c r="N280" s="1" t="e">
        <f t="shared" si="31"/>
        <v>#REF!</v>
      </c>
    </row>
    <row r="281" spans="1:14" x14ac:dyDescent="0.25">
      <c r="A281">
        <v>2024</v>
      </c>
      <c r="B281" s="3" t="s">
        <v>634</v>
      </c>
      <c r="C281" t="s">
        <v>286</v>
      </c>
      <c r="D281">
        <v>6</v>
      </c>
      <c r="E281">
        <v>0</v>
      </c>
      <c r="F281" s="1">
        <f>INDEX('Dec100%_DOR PDF'!$B$3:$F$323,MATCH(SurtaxRatesSAS!$B281,'Dec100%_DOR PDF'!$F$3:$F$323,0),1)</f>
        <v>86228.800000000003</v>
      </c>
      <c r="G281" s="1">
        <f t="shared" si="26"/>
        <v>86228.800000000003</v>
      </c>
      <c r="H281" s="1">
        <f t="shared" si="27"/>
        <v>0</v>
      </c>
      <c r="I281" s="1">
        <f t="shared" si="28"/>
        <v>86228.800000000003</v>
      </c>
      <c r="K281" s="1" t="e">
        <f>INDEX(#REF!,MATCH(SurtaxRatesSAS!$B281,#REF!,0),1)</f>
        <v>#REF!</v>
      </c>
      <c r="L281" s="1" t="e">
        <f t="shared" si="29"/>
        <v>#REF!</v>
      </c>
      <c r="M281" s="1" t="e">
        <f t="shared" si="30"/>
        <v>#REF!</v>
      </c>
      <c r="N281" s="1" t="e">
        <f t="shared" si="31"/>
        <v>#REF!</v>
      </c>
    </row>
    <row r="282" spans="1:14" x14ac:dyDescent="0.25">
      <c r="A282">
        <v>2024</v>
      </c>
      <c r="B282" s="3" t="s">
        <v>635</v>
      </c>
      <c r="C282" t="s">
        <v>287</v>
      </c>
      <c r="D282">
        <v>4</v>
      </c>
      <c r="E282">
        <v>0</v>
      </c>
      <c r="F282" s="1">
        <f>INDEX('Dec100%_DOR PDF'!$B$3:$F$323,MATCH(SurtaxRatesSAS!$B282,'Dec100%_DOR PDF'!$F$3:$F$323,0),1)</f>
        <v>525305.92000000004</v>
      </c>
      <c r="G282" s="1">
        <f t="shared" si="26"/>
        <v>525305.92000000004</v>
      </c>
      <c r="H282" s="1">
        <f t="shared" si="27"/>
        <v>0</v>
      </c>
      <c r="I282" s="1">
        <f t="shared" si="28"/>
        <v>525305.92000000004</v>
      </c>
      <c r="K282" s="1" t="e">
        <f>INDEX(#REF!,MATCH(SurtaxRatesSAS!$B282,#REF!,0),1)</f>
        <v>#REF!</v>
      </c>
      <c r="L282" s="1" t="e">
        <f t="shared" si="29"/>
        <v>#REF!</v>
      </c>
      <c r="M282" s="1" t="e">
        <f t="shared" si="30"/>
        <v>#REF!</v>
      </c>
      <c r="N282" s="1" t="e">
        <f t="shared" si="31"/>
        <v>#REF!</v>
      </c>
    </row>
    <row r="283" spans="1:14" x14ac:dyDescent="0.25">
      <c r="A283">
        <v>2024</v>
      </c>
      <c r="B283" s="3" t="s">
        <v>636</v>
      </c>
      <c r="C283" t="s">
        <v>288</v>
      </c>
      <c r="D283">
        <v>12</v>
      </c>
      <c r="E283">
        <v>2</v>
      </c>
      <c r="F283" s="1">
        <f>INDEX('Dec100%_DOR PDF'!$B$3:$F$323,MATCH(SurtaxRatesSAS!$B283,'Dec100%_DOR PDF'!$F$3:$F$323,0),1)</f>
        <v>268720.71999999997</v>
      </c>
      <c r="G283" s="1">
        <f t="shared" si="26"/>
        <v>268720.71999999997</v>
      </c>
      <c r="H283" s="1">
        <f t="shared" si="27"/>
        <v>38388.67</v>
      </c>
      <c r="I283" s="1">
        <f t="shared" si="28"/>
        <v>230332.05</v>
      </c>
      <c r="K283" s="1" t="e">
        <f>INDEX(#REF!,MATCH(SurtaxRatesSAS!$B283,#REF!,0),1)</f>
        <v>#REF!</v>
      </c>
      <c r="L283" s="1" t="e">
        <f t="shared" si="29"/>
        <v>#REF!</v>
      </c>
      <c r="M283" s="1" t="e">
        <f t="shared" si="30"/>
        <v>#REF!</v>
      </c>
      <c r="N283" s="1" t="e">
        <f t="shared" si="31"/>
        <v>#REF!</v>
      </c>
    </row>
    <row r="284" spans="1:14" x14ac:dyDescent="0.25">
      <c r="A284">
        <v>2024</v>
      </c>
      <c r="B284" s="3" t="s">
        <v>637</v>
      </c>
      <c r="C284" t="s">
        <v>289</v>
      </c>
      <c r="D284">
        <v>2</v>
      </c>
      <c r="E284">
        <v>2</v>
      </c>
      <c r="F284" s="1">
        <f>INDEX('Dec100%_DOR PDF'!$B$3:$F$323,MATCH(SurtaxRatesSAS!$B284,'Dec100%_DOR PDF'!$F$3:$F$323,0),1)</f>
        <v>167745.54</v>
      </c>
      <c r="G284" s="1">
        <f t="shared" si="26"/>
        <v>167745.54</v>
      </c>
      <c r="H284" s="1">
        <f>ROUND((E284/(E284+D284))*G284,2)</f>
        <v>83872.77</v>
      </c>
      <c r="I284" s="1">
        <f t="shared" si="28"/>
        <v>83872.77</v>
      </c>
      <c r="K284" s="1" t="e">
        <f>INDEX(#REF!,MATCH(SurtaxRatesSAS!$B284,#REF!,0),1)</f>
        <v>#REF!</v>
      </c>
      <c r="L284" s="1" t="e">
        <f t="shared" si="29"/>
        <v>#REF!</v>
      </c>
      <c r="M284" s="1" t="e">
        <f t="shared" si="30"/>
        <v>#REF!</v>
      </c>
      <c r="N284" s="1" t="e">
        <f t="shared" si="31"/>
        <v>#REF!</v>
      </c>
    </row>
    <row r="285" spans="1:14" x14ac:dyDescent="0.25">
      <c r="A285">
        <v>2024</v>
      </c>
      <c r="B285" s="3" t="s">
        <v>638</v>
      </c>
      <c r="C285" t="s">
        <v>290</v>
      </c>
      <c r="D285">
        <v>1</v>
      </c>
      <c r="E285">
        <v>0</v>
      </c>
      <c r="F285" s="1">
        <f>INDEX('Dec100%_DOR PDF'!$B$3:$F$323,MATCH(SurtaxRatesSAS!$B285,'Dec100%_DOR PDF'!$F$3:$F$323,0),1)</f>
        <v>96351.15</v>
      </c>
      <c r="G285" s="1">
        <f t="shared" si="26"/>
        <v>96351.15</v>
      </c>
      <c r="H285" s="1">
        <f t="shared" si="27"/>
        <v>0</v>
      </c>
      <c r="I285" s="1">
        <f t="shared" si="28"/>
        <v>96351.15</v>
      </c>
      <c r="K285" s="1" t="e">
        <f>INDEX(#REF!,MATCH(SurtaxRatesSAS!$B285,#REF!,0),1)</f>
        <v>#REF!</v>
      </c>
      <c r="L285" s="1" t="e">
        <f t="shared" si="29"/>
        <v>#REF!</v>
      </c>
      <c r="M285" s="1" t="e">
        <f t="shared" si="30"/>
        <v>#REF!</v>
      </c>
      <c r="N285" s="1" t="e">
        <f t="shared" si="31"/>
        <v>#REF!</v>
      </c>
    </row>
    <row r="287" spans="1:14" x14ac:dyDescent="0.25">
      <c r="A287" t="s">
        <v>2097</v>
      </c>
    </row>
    <row r="288" spans="1:14" s="12" customFormat="1" x14ac:dyDescent="0.25">
      <c r="A288" s="12">
        <v>2023</v>
      </c>
      <c r="B288" s="11" t="s">
        <v>345</v>
      </c>
      <c r="C288" s="12" t="s">
        <v>39</v>
      </c>
      <c r="D288" s="12">
        <v>1</v>
      </c>
      <c r="E288" s="12">
        <v>0</v>
      </c>
      <c r="F288" s="25">
        <f>INDEX('Dec100%_DOR PDF'!$B$3:$F$323,MATCH(SurtaxRatesSAS!$B288,'Dec100%_DOR PDF'!$F$3:$F$323,0),1)</f>
        <v>4736.92</v>
      </c>
      <c r="G288" s="25">
        <f t="shared" ref="G288" si="32">F288</f>
        <v>4736.92</v>
      </c>
      <c r="H288" s="25">
        <f t="shared" ref="H288" si="33">ROUND((E288/(E288+D288))*G288,2)</f>
        <v>0</v>
      </c>
      <c r="I288" s="25">
        <f t="shared" ref="I288" si="34">G288-H288</f>
        <v>4736.92</v>
      </c>
    </row>
  </sheetData>
  <mergeCells count="1">
    <mergeCell ref="P4:Y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C560-7264-42DD-9C8B-0B0FFC632B93}">
  <sheetPr>
    <pageSetUpPr fitToPage="1"/>
  </sheetPr>
  <dimension ref="A1:Z338"/>
  <sheetViews>
    <sheetView zoomScale="80" zoomScaleNormal="80" workbookViewId="0">
      <pane xSplit="7" ySplit="5" topLeftCell="H6" activePane="bottomRight" state="frozen"/>
      <selection activeCell="D1" sqref="D1:E1048576"/>
      <selection pane="topRight" activeCell="D1" sqref="D1:E1048576"/>
      <selection pane="bottomLeft" activeCell="D1" sqref="D1:E1048576"/>
      <selection pane="bottomRight" activeCell="A9" sqref="A9:XFD9"/>
    </sheetView>
  </sheetViews>
  <sheetFormatPr defaultRowHeight="15" x14ac:dyDescent="0.25"/>
  <cols>
    <col min="1" max="2" width="9.140625" style="50" customWidth="1"/>
    <col min="3" max="3" width="9.140625" style="31"/>
    <col min="4" max="5" width="9.140625" style="50" customWidth="1"/>
    <col min="6" max="6" width="5" style="53" customWidth="1"/>
    <col min="7" max="7" width="32.28515625" style="31" bestFit="1" customWidth="1"/>
    <col min="8" max="8" width="11" style="31" bestFit="1" customWidth="1"/>
    <col min="9" max="9" width="12.7109375" style="31" customWidth="1"/>
    <col min="10" max="10" width="1.7109375" style="31" customWidth="1"/>
    <col min="11" max="11" width="14.28515625" style="31" customWidth="1"/>
    <col min="12" max="12" width="13.5703125" style="31" bestFit="1" customWidth="1"/>
    <col min="13" max="13" width="14.85546875" style="31" customWidth="1"/>
    <col min="14" max="14" width="1.7109375" style="31" customWidth="1"/>
    <col min="15" max="15" width="13.28515625" style="31" customWidth="1"/>
    <col min="16" max="16" width="12.42578125" style="31" customWidth="1"/>
    <col min="17" max="17" width="13.85546875" style="31" customWidth="1"/>
    <col min="18" max="18" width="1.7109375" style="31" customWidth="1"/>
    <col min="19" max="19" width="15.28515625" style="31" customWidth="1"/>
    <col min="20" max="20" width="15.42578125" style="31" customWidth="1"/>
    <col min="21" max="21" width="14.28515625" style="31" customWidth="1"/>
    <col min="22" max="22" width="9.140625" style="31"/>
    <col min="23" max="23" width="14" style="31" customWidth="1"/>
    <col min="24" max="24" width="18.140625" style="31" customWidth="1"/>
    <col min="25" max="25" width="20.5703125" style="31" customWidth="1"/>
    <col min="26" max="16384" width="9.140625" style="31"/>
  </cols>
  <sheetData>
    <row r="1" spans="1:26" x14ac:dyDescent="0.25">
      <c r="G1" s="108" t="s">
        <v>1679</v>
      </c>
      <c r="H1" s="108"/>
      <c r="I1" s="108"/>
      <c r="J1" s="108"/>
      <c r="K1" s="108"/>
      <c r="L1" s="108"/>
      <c r="M1" s="108"/>
      <c r="N1" s="108"/>
      <c r="O1" s="108"/>
      <c r="P1" s="108"/>
      <c r="Q1" s="108"/>
      <c r="R1" s="108"/>
      <c r="S1" s="108"/>
      <c r="T1" s="108"/>
      <c r="U1" s="108"/>
    </row>
    <row r="2" spans="1:26" x14ac:dyDescent="0.25">
      <c r="G2" s="108" t="s">
        <v>1680</v>
      </c>
      <c r="H2" s="108"/>
      <c r="I2" s="108"/>
      <c r="J2" s="108"/>
      <c r="K2" s="108"/>
      <c r="L2" s="108"/>
      <c r="M2" s="108"/>
      <c r="N2" s="108"/>
      <c r="O2" s="108"/>
      <c r="P2" s="108"/>
      <c r="Q2" s="108"/>
      <c r="R2" s="108"/>
      <c r="S2" s="108"/>
      <c r="T2" s="108"/>
      <c r="U2" s="108"/>
    </row>
    <row r="3" spans="1:26" x14ac:dyDescent="0.25">
      <c r="F3" s="51"/>
      <c r="G3" s="40"/>
      <c r="H3" s="40"/>
      <c r="I3" s="40"/>
      <c r="J3" s="40"/>
      <c r="K3" s="40"/>
      <c r="L3" s="40"/>
      <c r="M3" s="40"/>
    </row>
    <row r="4" spans="1:26" ht="15" customHeight="1" x14ac:dyDescent="0.25">
      <c r="F4" s="51"/>
      <c r="G4" s="41"/>
      <c r="J4" s="30"/>
      <c r="K4" s="49" t="s">
        <v>1677</v>
      </c>
      <c r="L4" s="49"/>
      <c r="M4" s="49"/>
      <c r="N4" s="30"/>
      <c r="O4" s="49" t="s">
        <v>1678</v>
      </c>
      <c r="P4" s="49"/>
      <c r="Q4" s="49"/>
      <c r="R4" s="37"/>
      <c r="S4" s="49" t="s">
        <v>310</v>
      </c>
      <c r="T4" s="49"/>
      <c r="U4" s="49"/>
      <c r="Z4" s="68" t="s">
        <v>752</v>
      </c>
    </row>
    <row r="5" spans="1:26" ht="45" x14ac:dyDescent="0.25">
      <c r="A5" s="50" t="s">
        <v>8</v>
      </c>
      <c r="B5" s="50" t="s">
        <v>677</v>
      </c>
      <c r="C5" s="49" t="s">
        <v>292</v>
      </c>
      <c r="D5" s="50" t="s">
        <v>678</v>
      </c>
      <c r="E5" s="50" t="s">
        <v>679</v>
      </c>
      <c r="F5" s="54" t="s">
        <v>680</v>
      </c>
      <c r="G5" s="55" t="s">
        <v>306</v>
      </c>
      <c r="H5" s="56" t="s">
        <v>303</v>
      </c>
      <c r="I5" s="44" t="s">
        <v>296</v>
      </c>
      <c r="J5" s="45"/>
      <c r="K5" s="46" t="s">
        <v>311</v>
      </c>
      <c r="L5" s="44" t="s">
        <v>304</v>
      </c>
      <c r="M5" s="44" t="s">
        <v>305</v>
      </c>
      <c r="N5" s="30"/>
      <c r="O5" s="61" t="s">
        <v>311</v>
      </c>
      <c r="P5" s="56" t="s">
        <v>304</v>
      </c>
      <c r="Q5" s="56" t="s">
        <v>305</v>
      </c>
      <c r="R5" s="30"/>
      <c r="S5" s="61" t="s">
        <v>311</v>
      </c>
      <c r="T5" s="56" t="s">
        <v>304</v>
      </c>
      <c r="U5" s="56" t="s">
        <v>305</v>
      </c>
      <c r="W5" s="65" t="s">
        <v>744</v>
      </c>
      <c r="X5" s="31" t="s">
        <v>654</v>
      </c>
      <c r="Y5" s="65" t="s">
        <v>742</v>
      </c>
      <c r="Z5" s="65" t="s">
        <v>743</v>
      </c>
    </row>
    <row r="6" spans="1:26" x14ac:dyDescent="0.25">
      <c r="A6" s="52">
        <v>2023</v>
      </c>
      <c r="B6" s="52" t="s">
        <v>657</v>
      </c>
      <c r="C6" s="57" t="s">
        <v>313</v>
      </c>
      <c r="D6" s="58" t="s">
        <v>693</v>
      </c>
      <c r="E6" s="58" t="s">
        <v>693</v>
      </c>
      <c r="F6" s="58" t="s">
        <v>313</v>
      </c>
      <c r="G6" s="57" t="s">
        <v>15</v>
      </c>
      <c r="H6" s="39">
        <v>4</v>
      </c>
      <c r="I6" s="39">
        <v>4</v>
      </c>
      <c r="J6" s="38"/>
      <c r="K6" s="39">
        <v>156120.75</v>
      </c>
      <c r="L6" s="39">
        <v>78060.38</v>
      </c>
      <c r="M6" s="39">
        <v>78060.37</v>
      </c>
      <c r="N6" s="38"/>
      <c r="O6" s="39">
        <v>70564.25</v>
      </c>
      <c r="P6" s="39">
        <v>35282.129999999997</v>
      </c>
      <c r="Q6" s="39">
        <v>35282.120000000003</v>
      </c>
      <c r="R6" s="38"/>
      <c r="S6" s="39">
        <v>226685</v>
      </c>
      <c r="T6" s="39">
        <v>113342.51000000001</v>
      </c>
      <c r="U6" s="39">
        <v>113342.48999999999</v>
      </c>
      <c r="V6" s="29"/>
      <c r="W6" s="29">
        <f>INDEX(SurtaxPayment!$C$6:$U$330,MATCH(PriorYear!$C6,SurtaxPayment!$C$6:$C$330,0),6)+INDEX(SurtaxPayment!$C$6:$U$330,MATCH(PriorYear!$C6,SurtaxPayment!$C$6:$C$330,0),7)</f>
        <v>8</v>
      </c>
      <c r="X6" s="29">
        <f>W6-SUM(H6:I6)</f>
        <v>0</v>
      </c>
      <c r="Y6" s="29">
        <f>INDEX(SurtaxPayment!$C$6:$U$330,MATCH(PriorYear!C6,SurtaxPayment!$C$6:$C$330,0),9)</f>
        <v>189597.3</v>
      </c>
      <c r="Z6" s="66">
        <f>IFERROR((Y6-K6)/K6,0)</f>
        <v>0.21442729425780999</v>
      </c>
    </row>
    <row r="7" spans="1:26" x14ac:dyDescent="0.25">
      <c r="A7" s="52">
        <v>2023</v>
      </c>
      <c r="B7" s="52" t="s">
        <v>657</v>
      </c>
      <c r="C7" s="57" t="s">
        <v>314</v>
      </c>
      <c r="D7" s="58" t="s">
        <v>693</v>
      </c>
      <c r="E7" s="58" t="s">
        <v>693</v>
      </c>
      <c r="F7" s="58" t="s">
        <v>314</v>
      </c>
      <c r="G7" s="57" t="s">
        <v>694</v>
      </c>
      <c r="H7" s="39">
        <v>0</v>
      </c>
      <c r="I7" s="39">
        <v>0</v>
      </c>
      <c r="J7" s="38"/>
      <c r="K7" s="39">
        <v>0</v>
      </c>
      <c r="L7" s="39">
        <v>0</v>
      </c>
      <c r="M7" s="39">
        <v>0</v>
      </c>
      <c r="N7" s="38"/>
      <c r="O7" s="39">
        <v>0</v>
      </c>
      <c r="P7" s="39">
        <v>0</v>
      </c>
      <c r="Q7" s="39">
        <v>0</v>
      </c>
      <c r="R7" s="38"/>
      <c r="S7" s="39">
        <v>0</v>
      </c>
      <c r="T7" s="39">
        <v>0</v>
      </c>
      <c r="U7" s="39">
        <v>0</v>
      </c>
      <c r="V7" s="29"/>
      <c r="W7" s="29">
        <f>INDEX(SurtaxPayment!$C$6:$U$330,MATCH(PriorYear!$C7,SurtaxPayment!$C$6:$C$330,0),6)+INDEX(SurtaxPayment!$C$6:$U$330,MATCH(PriorYear!$C7,SurtaxPayment!$C$6:$C$330,0),7)</f>
        <v>0</v>
      </c>
      <c r="X7" s="29">
        <f t="shared" ref="X7:X70" si="0">W7-SUM(H7:I7)</f>
        <v>0</v>
      </c>
      <c r="Y7" s="29">
        <f>INDEX(SurtaxPayment!$C$6:$U$330,MATCH(PriorYear!C7,SurtaxPayment!$C$6:$C$330,0),9)</f>
        <v>0</v>
      </c>
      <c r="Z7" s="66">
        <f t="shared" ref="Z7:Z70" si="1">IFERROR((Y7-K7)/K7,0)</f>
        <v>0</v>
      </c>
    </row>
    <row r="8" spans="1:26" x14ac:dyDescent="0.25">
      <c r="A8" s="52">
        <v>2023</v>
      </c>
      <c r="B8" s="52" t="s">
        <v>658</v>
      </c>
      <c r="C8" s="57" t="s">
        <v>312</v>
      </c>
      <c r="D8" s="58" t="s">
        <v>693</v>
      </c>
      <c r="E8" s="58" t="s">
        <v>693</v>
      </c>
      <c r="F8" s="58" t="s">
        <v>312</v>
      </c>
      <c r="G8" s="57" t="s">
        <v>0</v>
      </c>
      <c r="H8" s="39">
        <v>8</v>
      </c>
      <c r="I8" s="39">
        <v>0</v>
      </c>
      <c r="J8" s="38"/>
      <c r="K8" s="39">
        <v>277732.5</v>
      </c>
      <c r="L8" s="39">
        <v>277732.5</v>
      </c>
      <c r="M8" s="39">
        <v>0</v>
      </c>
      <c r="N8" s="38"/>
      <c r="O8" s="39">
        <v>105919.5</v>
      </c>
      <c r="P8" s="39">
        <v>105919.5</v>
      </c>
      <c r="Q8" s="39">
        <v>0</v>
      </c>
      <c r="R8" s="38"/>
      <c r="S8" s="39">
        <v>383652</v>
      </c>
      <c r="T8" s="39">
        <v>383652</v>
      </c>
      <c r="U8" s="39">
        <v>0</v>
      </c>
      <c r="V8" s="29"/>
      <c r="W8" s="29">
        <f>INDEX(SurtaxPayment!$C$6:$U$330,MATCH(PriorYear!$C8,SurtaxPayment!$C$6:$C$330,0),6)+INDEX(SurtaxPayment!$C$6:$U$330,MATCH(PriorYear!$C8,SurtaxPayment!$C$6:$C$330,0),7)</f>
        <v>14</v>
      </c>
      <c r="X8" s="29">
        <f t="shared" si="0"/>
        <v>6</v>
      </c>
      <c r="Y8" s="29">
        <f>INDEX(SurtaxPayment!$C$6:$U$330,MATCH(PriorYear!C8,SurtaxPayment!$C$6:$C$330,0),9)</f>
        <v>591650.63</v>
      </c>
      <c r="Z8" s="66">
        <f t="shared" si="1"/>
        <v>1.1302895051893458</v>
      </c>
    </row>
    <row r="9" spans="1:26" x14ac:dyDescent="0.25">
      <c r="A9" s="52">
        <v>2023</v>
      </c>
      <c r="B9" s="52" t="s">
        <v>659</v>
      </c>
      <c r="C9" s="57" t="s">
        <v>333</v>
      </c>
      <c r="D9" s="58" t="s">
        <v>693</v>
      </c>
      <c r="E9" s="58" t="s">
        <v>693</v>
      </c>
      <c r="F9" s="58" t="s">
        <v>333</v>
      </c>
      <c r="G9" s="57" t="s">
        <v>7</v>
      </c>
      <c r="H9" s="39">
        <v>0</v>
      </c>
      <c r="I9" s="39">
        <v>1</v>
      </c>
      <c r="J9" s="38"/>
      <c r="K9" s="39">
        <v>36120</v>
      </c>
      <c r="L9" s="39">
        <v>0</v>
      </c>
      <c r="M9" s="39">
        <v>36120</v>
      </c>
      <c r="N9" s="38"/>
      <c r="O9" s="39">
        <v>14443</v>
      </c>
      <c r="P9" s="39">
        <v>0</v>
      </c>
      <c r="Q9" s="39">
        <v>14443</v>
      </c>
      <c r="R9" s="38"/>
      <c r="S9" s="39">
        <v>50563</v>
      </c>
      <c r="T9" s="39">
        <v>0</v>
      </c>
      <c r="U9" s="39">
        <v>50563</v>
      </c>
      <c r="V9" s="29"/>
      <c r="W9" s="29">
        <f>INDEX(SurtaxPayment!$C$6:$U$330,MATCH(PriorYear!$C9,SurtaxPayment!$C$6:$C$330,0),6)+INDEX(SurtaxPayment!$C$6:$U$330,MATCH(PriorYear!$C9,SurtaxPayment!$C$6:$C$330,0),7)</f>
        <v>3</v>
      </c>
      <c r="X9" s="29">
        <f t="shared" si="0"/>
        <v>2</v>
      </c>
      <c r="Y9" s="29">
        <f>INDEX(SurtaxPayment!$C$6:$U$330,MATCH(PriorYear!C9,SurtaxPayment!$C$6:$C$330,0),9)</f>
        <v>140896.35</v>
      </c>
      <c r="Z9" s="66">
        <f t="shared" si="1"/>
        <v>2.9007848837209305</v>
      </c>
    </row>
    <row r="10" spans="1:26" x14ac:dyDescent="0.25">
      <c r="A10" s="52">
        <v>2023</v>
      </c>
      <c r="B10" s="52" t="s">
        <v>660</v>
      </c>
      <c r="C10" s="57" t="s">
        <v>315</v>
      </c>
      <c r="D10" s="58" t="s">
        <v>693</v>
      </c>
      <c r="E10" s="58" t="s">
        <v>693</v>
      </c>
      <c r="F10" s="58" t="s">
        <v>315</v>
      </c>
      <c r="G10" s="57" t="s">
        <v>16</v>
      </c>
      <c r="H10" s="39">
        <v>0</v>
      </c>
      <c r="I10" s="39">
        <v>4</v>
      </c>
      <c r="J10" s="38"/>
      <c r="K10" s="39">
        <v>95749.5</v>
      </c>
      <c r="L10" s="39">
        <v>0</v>
      </c>
      <c r="M10" s="39">
        <v>95749.5</v>
      </c>
      <c r="N10" s="38"/>
      <c r="O10" s="39">
        <v>42354.5</v>
      </c>
      <c r="P10" s="39">
        <v>0</v>
      </c>
      <c r="Q10" s="39">
        <v>42354.5</v>
      </c>
      <c r="R10" s="38"/>
      <c r="S10" s="39">
        <v>138104</v>
      </c>
      <c r="T10" s="39">
        <v>0</v>
      </c>
      <c r="U10" s="39">
        <v>138104</v>
      </c>
      <c r="V10" s="29"/>
      <c r="W10" s="29">
        <f>INDEX(SurtaxPayment!$C$6:$U$330,MATCH(PriorYear!$C10,SurtaxPayment!$C$6:$C$330,0),6)+INDEX(SurtaxPayment!$C$6:$U$330,MATCH(PriorYear!$C10,SurtaxPayment!$C$6:$C$330,0),7)</f>
        <v>4</v>
      </c>
      <c r="X10" s="29">
        <f t="shared" si="0"/>
        <v>0</v>
      </c>
      <c r="Y10" s="29">
        <f>INDEX(SurtaxPayment!$C$6:$U$330,MATCH(PriorYear!C10,SurtaxPayment!$C$6:$C$330,0),9)</f>
        <v>107116.8</v>
      </c>
      <c r="Z10" s="66">
        <f t="shared" si="1"/>
        <v>0.11871915780239065</v>
      </c>
    </row>
    <row r="11" spans="1:26" x14ac:dyDescent="0.25">
      <c r="A11" s="52">
        <v>2023</v>
      </c>
      <c r="B11" s="52" t="s">
        <v>661</v>
      </c>
      <c r="C11" s="57" t="s">
        <v>316</v>
      </c>
      <c r="D11" s="58" t="s">
        <v>693</v>
      </c>
      <c r="E11" s="58" t="s">
        <v>693</v>
      </c>
      <c r="F11" s="58" t="s">
        <v>316</v>
      </c>
      <c r="G11" s="57" t="s">
        <v>695</v>
      </c>
      <c r="H11" s="39">
        <v>0</v>
      </c>
      <c r="I11" s="39">
        <v>0</v>
      </c>
      <c r="J11" s="38"/>
      <c r="K11" s="39">
        <v>0</v>
      </c>
      <c r="L11" s="39">
        <v>0</v>
      </c>
      <c r="M11" s="39">
        <v>0</v>
      </c>
      <c r="N11" s="38"/>
      <c r="O11" s="39">
        <v>0</v>
      </c>
      <c r="P11" s="39">
        <v>0</v>
      </c>
      <c r="Q11" s="39">
        <v>0</v>
      </c>
      <c r="R11" s="38"/>
      <c r="S11" s="39">
        <v>0</v>
      </c>
      <c r="T11" s="39">
        <v>0</v>
      </c>
      <c r="U11" s="39">
        <v>0</v>
      </c>
      <c r="V11" s="29"/>
      <c r="W11" s="29">
        <f>INDEX(SurtaxPayment!$C$6:$U$330,MATCH(PriorYear!$C11,SurtaxPayment!$C$6:$C$330,0),6)+INDEX(SurtaxPayment!$C$6:$U$330,MATCH(PriorYear!$C11,SurtaxPayment!$C$6:$C$330,0),7)</f>
        <v>0</v>
      </c>
      <c r="X11" s="29">
        <f t="shared" si="0"/>
        <v>0</v>
      </c>
      <c r="Y11" s="29">
        <f>INDEX(SurtaxPayment!$C$6:$U$330,MATCH(PriorYear!C11,SurtaxPayment!$C$6:$C$330,0),9)</f>
        <v>0</v>
      </c>
      <c r="Z11" s="66">
        <f t="shared" si="1"/>
        <v>0</v>
      </c>
    </row>
    <row r="12" spans="1:26" x14ac:dyDescent="0.25">
      <c r="A12" s="52">
        <v>2023</v>
      </c>
      <c r="B12" s="52" t="s">
        <v>662</v>
      </c>
      <c r="C12" s="57" t="s">
        <v>317</v>
      </c>
      <c r="D12" s="58" t="s">
        <v>693</v>
      </c>
      <c r="E12" s="58" t="s">
        <v>693</v>
      </c>
      <c r="F12" s="58" t="s">
        <v>317</v>
      </c>
      <c r="G12" s="57" t="s">
        <v>17</v>
      </c>
      <c r="H12" s="39">
        <v>0</v>
      </c>
      <c r="I12" s="39">
        <v>1</v>
      </c>
      <c r="J12" s="38"/>
      <c r="K12" s="39">
        <v>49740.75</v>
      </c>
      <c r="L12" s="39">
        <v>0</v>
      </c>
      <c r="M12" s="39">
        <v>49740.75</v>
      </c>
      <c r="N12" s="38"/>
      <c r="O12" s="39">
        <v>21047.25</v>
      </c>
      <c r="P12" s="39">
        <v>0</v>
      </c>
      <c r="Q12" s="39">
        <v>21047.25</v>
      </c>
      <c r="R12" s="38"/>
      <c r="S12" s="39">
        <v>70788</v>
      </c>
      <c r="T12" s="39">
        <v>0</v>
      </c>
      <c r="U12" s="39">
        <v>70788</v>
      </c>
      <c r="V12" s="29"/>
      <c r="W12" s="29">
        <f>INDEX(SurtaxPayment!$C$6:$U$330,MATCH(PriorYear!$C12,SurtaxPayment!$C$6:$C$330,0),6)+INDEX(SurtaxPayment!$C$6:$U$330,MATCH(PriorYear!$C12,SurtaxPayment!$C$6:$C$330,0),7)</f>
        <v>2</v>
      </c>
      <c r="X12" s="29">
        <f t="shared" si="0"/>
        <v>1</v>
      </c>
      <c r="Y12" s="29">
        <f>INDEX(SurtaxPayment!$C$6:$U$330,MATCH(PriorYear!C12,SurtaxPayment!$C$6:$C$330,0),9)</f>
        <v>133163.45000000001</v>
      </c>
      <c r="Z12" s="66">
        <f t="shared" si="1"/>
        <v>1.6771500228685738</v>
      </c>
    </row>
    <row r="13" spans="1:26" x14ac:dyDescent="0.25">
      <c r="A13" s="52">
        <v>2023</v>
      </c>
      <c r="B13" s="52" t="s">
        <v>663</v>
      </c>
      <c r="C13" s="57" t="s">
        <v>318</v>
      </c>
      <c r="D13" s="58" t="s">
        <v>693</v>
      </c>
      <c r="E13" s="58" t="s">
        <v>693</v>
      </c>
      <c r="F13" s="58" t="s">
        <v>318</v>
      </c>
      <c r="G13" s="57" t="s">
        <v>18</v>
      </c>
      <c r="H13" s="39">
        <v>2</v>
      </c>
      <c r="I13" s="39">
        <v>0</v>
      </c>
      <c r="J13" s="38"/>
      <c r="K13" s="39">
        <v>79602</v>
      </c>
      <c r="L13" s="39">
        <v>79602</v>
      </c>
      <c r="M13" s="39">
        <v>0</v>
      </c>
      <c r="N13" s="38"/>
      <c r="O13" s="39">
        <v>44690</v>
      </c>
      <c r="P13" s="39">
        <v>44690</v>
      </c>
      <c r="Q13" s="39">
        <v>0</v>
      </c>
      <c r="R13" s="38"/>
      <c r="S13" s="39">
        <v>124292</v>
      </c>
      <c r="T13" s="39">
        <v>124292</v>
      </c>
      <c r="U13" s="39">
        <v>0</v>
      </c>
      <c r="V13" s="29"/>
      <c r="W13" s="29">
        <f>INDEX(SurtaxPayment!$C$6:$U$330,MATCH(PriorYear!$C13,SurtaxPayment!$C$6:$C$330,0),6)+INDEX(SurtaxPayment!$C$6:$U$330,MATCH(PriorYear!$C13,SurtaxPayment!$C$6:$C$330,0),7)</f>
        <v>3</v>
      </c>
      <c r="X13" s="29">
        <f t="shared" si="0"/>
        <v>1</v>
      </c>
      <c r="Y13" s="29">
        <f>INDEX(SurtaxPayment!$C$6:$U$330,MATCH(PriorYear!C13,SurtaxPayment!$C$6:$C$330,0),9)</f>
        <v>149795.53</v>
      </c>
      <c r="Z13" s="66">
        <f t="shared" si="1"/>
        <v>0.88180611039923618</v>
      </c>
    </row>
    <row r="14" spans="1:26" x14ac:dyDescent="0.25">
      <c r="A14" s="52">
        <v>2023</v>
      </c>
      <c r="B14" s="52" t="s">
        <v>658</v>
      </c>
      <c r="C14" s="57" t="s">
        <v>319</v>
      </c>
      <c r="D14" s="58" t="s">
        <v>693</v>
      </c>
      <c r="E14" s="58" t="s">
        <v>693</v>
      </c>
      <c r="F14" s="58" t="s">
        <v>319</v>
      </c>
      <c r="G14" s="57" t="s">
        <v>19</v>
      </c>
      <c r="H14" s="39">
        <v>0</v>
      </c>
      <c r="I14" s="39">
        <v>11</v>
      </c>
      <c r="J14" s="38"/>
      <c r="K14" s="39">
        <v>121825.5</v>
      </c>
      <c r="L14" s="39">
        <v>0</v>
      </c>
      <c r="M14" s="39">
        <v>121825.5</v>
      </c>
      <c r="N14" s="38"/>
      <c r="O14" s="39">
        <v>44523.5</v>
      </c>
      <c r="P14" s="39">
        <v>0</v>
      </c>
      <c r="Q14" s="39">
        <v>44523.5</v>
      </c>
      <c r="R14" s="38"/>
      <c r="S14" s="39">
        <v>166349</v>
      </c>
      <c r="T14" s="39">
        <v>0</v>
      </c>
      <c r="U14" s="39">
        <v>166349</v>
      </c>
      <c r="V14" s="29"/>
      <c r="W14" s="29">
        <f>INDEX(SurtaxPayment!$C$6:$U$330,MATCH(PriorYear!$C14,SurtaxPayment!$C$6:$C$330,0),6)+INDEX(SurtaxPayment!$C$6:$U$330,MATCH(PriorYear!$C14,SurtaxPayment!$C$6:$C$330,0),7)</f>
        <v>11</v>
      </c>
      <c r="X14" s="29">
        <f t="shared" si="0"/>
        <v>0</v>
      </c>
      <c r="Y14" s="29">
        <f>INDEX(SurtaxPayment!$C$6:$U$330,MATCH(PriorYear!C14,SurtaxPayment!$C$6:$C$330,0),9)</f>
        <v>162290.76</v>
      </c>
      <c r="Z14" s="66">
        <f t="shared" si="1"/>
        <v>0.33215755322161622</v>
      </c>
    </row>
    <row r="15" spans="1:26" x14ac:dyDescent="0.25">
      <c r="A15" s="52">
        <v>2023</v>
      </c>
      <c r="B15" s="52" t="s">
        <v>661</v>
      </c>
      <c r="C15" s="57" t="s">
        <v>320</v>
      </c>
      <c r="D15" s="58" t="s">
        <v>664</v>
      </c>
      <c r="E15" s="58" t="s">
        <v>693</v>
      </c>
      <c r="F15" s="58" t="s">
        <v>320</v>
      </c>
      <c r="G15" s="57" t="s">
        <v>20</v>
      </c>
      <c r="H15" s="39">
        <v>0</v>
      </c>
      <c r="I15" s="39">
        <v>6</v>
      </c>
      <c r="J15" s="38"/>
      <c r="K15" s="39">
        <v>515121.75</v>
      </c>
      <c r="L15" s="39">
        <v>0</v>
      </c>
      <c r="M15" s="39">
        <v>515121.75</v>
      </c>
      <c r="N15" s="38"/>
      <c r="O15" s="39">
        <v>216618.25</v>
      </c>
      <c r="P15" s="39">
        <v>0</v>
      </c>
      <c r="Q15" s="39">
        <v>216618.25</v>
      </c>
      <c r="R15" s="38"/>
      <c r="S15" s="39">
        <v>731740</v>
      </c>
      <c r="T15" s="39">
        <v>0</v>
      </c>
      <c r="U15" s="39">
        <v>731740</v>
      </c>
      <c r="V15" s="29"/>
      <c r="W15" s="29">
        <f>INDEX(SurtaxPayment!$C$6:$U$330,MATCH(PriorYear!$C15,SurtaxPayment!$C$6:$C$330,0),6)+INDEX(SurtaxPayment!$C$6:$U$330,MATCH(PriorYear!$C15,SurtaxPayment!$C$6:$C$330,0),7)</f>
        <v>6</v>
      </c>
      <c r="X15" s="29">
        <f t="shared" si="0"/>
        <v>0</v>
      </c>
      <c r="Y15" s="29">
        <f>INDEX(SurtaxPayment!$C$6:$U$330,MATCH(PriorYear!C15,SurtaxPayment!$C$6:$C$330,0),9)</f>
        <v>755659.33</v>
      </c>
      <c r="Z15" s="66">
        <f t="shared" si="1"/>
        <v>0.4669528708504348</v>
      </c>
    </row>
    <row r="16" spans="1:26" x14ac:dyDescent="0.25">
      <c r="A16" s="52">
        <v>2023</v>
      </c>
      <c r="B16" s="52" t="s">
        <v>665</v>
      </c>
      <c r="C16" s="57" t="s">
        <v>321</v>
      </c>
      <c r="D16" s="58" t="s">
        <v>693</v>
      </c>
      <c r="E16" s="58" t="s">
        <v>693</v>
      </c>
      <c r="F16" s="58" t="s">
        <v>321</v>
      </c>
      <c r="G16" s="57" t="s">
        <v>21</v>
      </c>
      <c r="H16" s="39">
        <v>8</v>
      </c>
      <c r="I16" s="39">
        <v>0</v>
      </c>
      <c r="J16" s="38"/>
      <c r="K16" s="39">
        <v>407739</v>
      </c>
      <c r="L16" s="39">
        <v>407739</v>
      </c>
      <c r="M16" s="39">
        <v>0</v>
      </c>
      <c r="N16" s="38"/>
      <c r="O16" s="39">
        <v>153278</v>
      </c>
      <c r="P16" s="39">
        <v>153278</v>
      </c>
      <c r="Q16" s="39">
        <v>0</v>
      </c>
      <c r="R16" s="38"/>
      <c r="S16" s="39">
        <v>561017</v>
      </c>
      <c r="T16" s="39">
        <v>561017</v>
      </c>
      <c r="U16" s="39">
        <v>0</v>
      </c>
      <c r="V16" s="29"/>
      <c r="W16" s="29">
        <f>INDEX(SurtaxPayment!$C$6:$U$330,MATCH(PriorYear!$C16,SurtaxPayment!$C$6:$C$330,0),6)+INDEX(SurtaxPayment!$C$6:$U$330,MATCH(PriorYear!$C16,SurtaxPayment!$C$6:$C$330,0),7)</f>
        <v>8</v>
      </c>
      <c r="X16" s="29">
        <f t="shared" si="0"/>
        <v>0</v>
      </c>
      <c r="Y16" s="29">
        <f>INDEX(SurtaxPayment!$C$6:$U$330,MATCH(PriorYear!C16,SurtaxPayment!$C$6:$C$330,0),9)</f>
        <v>519685.31</v>
      </c>
      <c r="Z16" s="66">
        <f t="shared" si="1"/>
        <v>0.27455384449365894</v>
      </c>
    </row>
    <row r="17" spans="1:26" x14ac:dyDescent="0.25">
      <c r="A17" s="52">
        <v>2023</v>
      </c>
      <c r="B17" s="52" t="s">
        <v>661</v>
      </c>
      <c r="C17" s="57" t="s">
        <v>323</v>
      </c>
      <c r="D17" s="58" t="s">
        <v>693</v>
      </c>
      <c r="E17" s="58" t="s">
        <v>693</v>
      </c>
      <c r="F17" s="58" t="s">
        <v>323</v>
      </c>
      <c r="G17" s="57" t="s">
        <v>687</v>
      </c>
      <c r="H17" s="39">
        <v>1</v>
      </c>
      <c r="I17" s="39">
        <v>8</v>
      </c>
      <c r="J17" s="38"/>
      <c r="K17" s="39">
        <v>381860.25</v>
      </c>
      <c r="L17" s="39">
        <v>42428.92</v>
      </c>
      <c r="M17" s="39">
        <v>339431.33</v>
      </c>
      <c r="N17" s="38"/>
      <c r="O17" s="39">
        <v>141839.75</v>
      </c>
      <c r="P17" s="39">
        <v>15759.97</v>
      </c>
      <c r="Q17" s="39">
        <v>126079.78</v>
      </c>
      <c r="R17" s="38"/>
      <c r="S17" s="39">
        <v>523700</v>
      </c>
      <c r="T17" s="39">
        <v>58188.89</v>
      </c>
      <c r="U17" s="39">
        <v>465511.11</v>
      </c>
      <c r="V17" s="29"/>
      <c r="W17" s="29">
        <f>INDEX(SurtaxPayment!$C$6:$U$330,MATCH(PriorYear!$C17,SurtaxPayment!$C$6:$C$330,0),6)+INDEX(SurtaxPayment!$C$6:$U$330,MATCH(PriorYear!$C17,SurtaxPayment!$C$6:$C$330,0),7)</f>
        <v>9</v>
      </c>
      <c r="X17" s="29">
        <f t="shared" si="0"/>
        <v>0</v>
      </c>
      <c r="Y17" s="29">
        <f>INDEX(SurtaxPayment!$C$6:$U$330,MATCH(PriorYear!C17,SurtaxPayment!$C$6:$C$330,0),9)</f>
        <v>430039.02</v>
      </c>
      <c r="Z17" s="66">
        <f t="shared" si="1"/>
        <v>0.12616859178194123</v>
      </c>
    </row>
    <row r="18" spans="1:26" x14ac:dyDescent="0.25">
      <c r="A18" s="52">
        <v>2023</v>
      </c>
      <c r="B18" s="52" t="s">
        <v>657</v>
      </c>
      <c r="C18" s="57" t="s">
        <v>324</v>
      </c>
      <c r="D18" s="58" t="s">
        <v>693</v>
      </c>
      <c r="E18" s="58" t="s">
        <v>693</v>
      </c>
      <c r="F18" s="58" t="s">
        <v>324</v>
      </c>
      <c r="G18" s="57" t="s">
        <v>23</v>
      </c>
      <c r="H18" s="39">
        <v>0</v>
      </c>
      <c r="I18" s="39">
        <v>4</v>
      </c>
      <c r="J18" s="38"/>
      <c r="K18" s="39">
        <v>1814495.25</v>
      </c>
      <c r="L18" s="39">
        <v>0</v>
      </c>
      <c r="M18" s="39">
        <v>1814495.25</v>
      </c>
      <c r="N18" s="38"/>
      <c r="O18" s="39">
        <v>782376.75</v>
      </c>
      <c r="P18" s="39">
        <v>0</v>
      </c>
      <c r="Q18" s="39">
        <v>782376.75</v>
      </c>
      <c r="R18" s="38"/>
      <c r="S18" s="39">
        <v>2596872</v>
      </c>
      <c r="T18" s="39">
        <v>0</v>
      </c>
      <c r="U18" s="39">
        <v>2596872</v>
      </c>
      <c r="V18" s="29"/>
      <c r="W18" s="29">
        <f>INDEX(SurtaxPayment!$C$6:$U$330,MATCH(PriorYear!$C18,SurtaxPayment!$C$6:$C$330,0),6)+INDEX(SurtaxPayment!$C$6:$U$330,MATCH(PriorYear!$C18,SurtaxPayment!$C$6:$C$330,0),7)</f>
        <v>3</v>
      </c>
      <c r="X18" s="29">
        <f t="shared" si="0"/>
        <v>-1</v>
      </c>
      <c r="Y18" s="29">
        <f>INDEX(SurtaxPayment!$C$6:$U$330,MATCH(PriorYear!C18,SurtaxPayment!$C$6:$C$330,0),9)</f>
        <v>1650796.16</v>
      </c>
      <c r="Z18" s="66">
        <f t="shared" si="1"/>
        <v>-9.0217425479620347E-2</v>
      </c>
    </row>
    <row r="19" spans="1:26" x14ac:dyDescent="0.25">
      <c r="A19" s="52">
        <v>2023</v>
      </c>
      <c r="B19" s="52" t="s">
        <v>663</v>
      </c>
      <c r="C19" s="57" t="s">
        <v>325</v>
      </c>
      <c r="D19" s="58" t="s">
        <v>693</v>
      </c>
      <c r="E19" s="58" t="s">
        <v>693</v>
      </c>
      <c r="F19" s="58" t="s">
        <v>325</v>
      </c>
      <c r="G19" s="57" t="s">
        <v>24</v>
      </c>
      <c r="H19" s="39">
        <v>1</v>
      </c>
      <c r="I19" s="39">
        <v>5</v>
      </c>
      <c r="J19" s="38"/>
      <c r="K19" s="39">
        <v>431233.5</v>
      </c>
      <c r="L19" s="39">
        <v>71872.25</v>
      </c>
      <c r="M19" s="39">
        <v>359361.25</v>
      </c>
      <c r="N19" s="38"/>
      <c r="O19" s="39">
        <v>181201.5</v>
      </c>
      <c r="P19" s="39">
        <v>30200.25</v>
      </c>
      <c r="Q19" s="39">
        <v>151001.25</v>
      </c>
      <c r="R19" s="38"/>
      <c r="S19" s="39">
        <v>612435</v>
      </c>
      <c r="T19" s="39">
        <v>102072.5</v>
      </c>
      <c r="U19" s="39">
        <v>510362.5</v>
      </c>
      <c r="V19" s="29"/>
      <c r="W19" s="29">
        <f>INDEX(SurtaxPayment!$C$6:$U$330,MATCH(PriorYear!$C19,SurtaxPayment!$C$6:$C$330,0),6)+INDEX(SurtaxPayment!$C$6:$U$330,MATCH(PriorYear!$C19,SurtaxPayment!$C$6:$C$330,0),7)</f>
        <v>6</v>
      </c>
      <c r="X19" s="29">
        <f t="shared" si="0"/>
        <v>0</v>
      </c>
      <c r="Y19" s="29">
        <f>INDEX(SurtaxPayment!$C$6:$U$330,MATCH(PriorYear!C19,SurtaxPayment!$C$6:$C$330,0),9)</f>
        <v>588603.62</v>
      </c>
      <c r="Z19" s="66">
        <f t="shared" si="1"/>
        <v>0.36493018283598094</v>
      </c>
    </row>
    <row r="20" spans="1:26" x14ac:dyDescent="0.25">
      <c r="A20" s="52">
        <v>2023</v>
      </c>
      <c r="B20" s="52" t="s">
        <v>666</v>
      </c>
      <c r="C20" s="57" t="s">
        <v>326</v>
      </c>
      <c r="D20" s="58" t="s">
        <v>693</v>
      </c>
      <c r="E20" s="58" t="s">
        <v>693</v>
      </c>
      <c r="F20" s="58" t="s">
        <v>326</v>
      </c>
      <c r="G20" s="57" t="s">
        <v>25</v>
      </c>
      <c r="H20" s="39">
        <v>0</v>
      </c>
      <c r="I20" s="39">
        <v>5</v>
      </c>
      <c r="J20" s="38"/>
      <c r="K20" s="39">
        <v>50378.25</v>
      </c>
      <c r="L20" s="39">
        <v>0</v>
      </c>
      <c r="M20" s="39">
        <v>50378.25</v>
      </c>
      <c r="N20" s="38"/>
      <c r="O20" s="39">
        <v>27530.75</v>
      </c>
      <c r="P20" s="39">
        <v>0</v>
      </c>
      <c r="Q20" s="39">
        <v>27530.75</v>
      </c>
      <c r="R20" s="38"/>
      <c r="S20" s="39">
        <v>77909</v>
      </c>
      <c r="T20" s="39">
        <v>0</v>
      </c>
      <c r="U20" s="39">
        <v>77909</v>
      </c>
      <c r="V20" s="29"/>
      <c r="W20" s="29">
        <f>INDEX(SurtaxPayment!$C$6:$U$330,MATCH(PriorYear!$C20,SurtaxPayment!$C$6:$C$330,0),6)+INDEX(SurtaxPayment!$C$6:$U$330,MATCH(PriorYear!$C20,SurtaxPayment!$C$6:$C$330,0),7)</f>
        <v>2</v>
      </c>
      <c r="X20" s="29">
        <f t="shared" si="0"/>
        <v>-3</v>
      </c>
      <c r="Y20" s="29">
        <f>INDEX(SurtaxPayment!$C$6:$U$330,MATCH(PriorYear!C20,SurtaxPayment!$C$6:$C$330,0),9)</f>
        <v>29922.82</v>
      </c>
      <c r="Z20" s="66">
        <f t="shared" si="1"/>
        <v>-0.40603693061986074</v>
      </c>
    </row>
    <row r="21" spans="1:26" x14ac:dyDescent="0.25">
      <c r="A21" s="52">
        <v>2023</v>
      </c>
      <c r="B21" s="52" t="s">
        <v>657</v>
      </c>
      <c r="C21" s="57" t="s">
        <v>327</v>
      </c>
      <c r="D21" s="58" t="s">
        <v>693</v>
      </c>
      <c r="E21" s="58" t="s">
        <v>693</v>
      </c>
      <c r="F21" s="58" t="s">
        <v>327</v>
      </c>
      <c r="G21" s="57" t="s">
        <v>696</v>
      </c>
      <c r="H21" s="39">
        <v>0</v>
      </c>
      <c r="I21" s="39">
        <v>0</v>
      </c>
      <c r="J21" s="38"/>
      <c r="K21" s="39">
        <v>0</v>
      </c>
      <c r="L21" s="39">
        <v>0</v>
      </c>
      <c r="M21" s="39">
        <v>0</v>
      </c>
      <c r="N21" s="38"/>
      <c r="O21" s="39">
        <v>0</v>
      </c>
      <c r="P21" s="39">
        <v>0</v>
      </c>
      <c r="Q21" s="39">
        <v>0</v>
      </c>
      <c r="R21" s="38"/>
      <c r="S21" s="39">
        <v>0</v>
      </c>
      <c r="T21" s="39">
        <v>0</v>
      </c>
      <c r="U21" s="39">
        <v>0</v>
      </c>
      <c r="V21" s="29"/>
      <c r="W21" s="29">
        <f>INDEX(SurtaxPayment!$C$6:$U$330,MATCH(PriorYear!$C21,SurtaxPayment!$C$6:$C$330,0),6)+INDEX(SurtaxPayment!$C$6:$U$330,MATCH(PriorYear!$C21,SurtaxPayment!$C$6:$C$330,0),7)</f>
        <v>0</v>
      </c>
      <c r="X21" s="29">
        <f t="shared" si="0"/>
        <v>0</v>
      </c>
      <c r="Y21" s="29">
        <f>INDEX(SurtaxPayment!$C$6:$U$330,MATCH(PriorYear!C21,SurtaxPayment!$C$6:$C$330,0),9)</f>
        <v>0</v>
      </c>
      <c r="Z21" s="66">
        <f t="shared" si="1"/>
        <v>0</v>
      </c>
    </row>
    <row r="22" spans="1:26" x14ac:dyDescent="0.25">
      <c r="A22" s="52">
        <v>2023</v>
      </c>
      <c r="B22" s="52" t="s">
        <v>658</v>
      </c>
      <c r="C22" s="57" t="s">
        <v>328</v>
      </c>
      <c r="D22" s="58" t="s">
        <v>693</v>
      </c>
      <c r="E22" s="58" t="s">
        <v>693</v>
      </c>
      <c r="F22" s="58" t="s">
        <v>328</v>
      </c>
      <c r="G22" s="57" t="s">
        <v>26</v>
      </c>
      <c r="H22" s="39">
        <v>0</v>
      </c>
      <c r="I22" s="39">
        <v>7</v>
      </c>
      <c r="J22" s="38"/>
      <c r="K22" s="39">
        <v>275717.25</v>
      </c>
      <c r="L22" s="39">
        <v>0</v>
      </c>
      <c r="M22" s="39">
        <v>275717.25</v>
      </c>
      <c r="N22" s="38"/>
      <c r="O22" s="39">
        <v>174687.75</v>
      </c>
      <c r="P22" s="39">
        <v>0</v>
      </c>
      <c r="Q22" s="39">
        <v>174687.75</v>
      </c>
      <c r="R22" s="38"/>
      <c r="S22" s="39">
        <v>450405</v>
      </c>
      <c r="T22" s="39">
        <v>0</v>
      </c>
      <c r="U22" s="39">
        <v>450405</v>
      </c>
      <c r="V22" s="29"/>
      <c r="W22" s="29">
        <f>INDEX(SurtaxPayment!$C$6:$U$330,MATCH(PriorYear!$C22,SurtaxPayment!$C$6:$C$330,0),6)+INDEX(SurtaxPayment!$C$6:$U$330,MATCH(PriorYear!$C22,SurtaxPayment!$C$6:$C$330,0),7)</f>
        <v>4</v>
      </c>
      <c r="X22" s="29">
        <f t="shared" si="0"/>
        <v>-3</v>
      </c>
      <c r="Y22" s="29">
        <f>INDEX(SurtaxPayment!$C$6:$U$330,MATCH(PriorYear!C22,SurtaxPayment!$C$6:$C$330,0),9)</f>
        <v>207601.65</v>
      </c>
      <c r="Z22" s="66">
        <f t="shared" si="1"/>
        <v>-0.24704874286973341</v>
      </c>
    </row>
    <row r="23" spans="1:26" x14ac:dyDescent="0.25">
      <c r="A23" s="52">
        <v>2023</v>
      </c>
      <c r="B23" s="52" t="s">
        <v>660</v>
      </c>
      <c r="C23" s="57" t="s">
        <v>330</v>
      </c>
      <c r="D23" s="58" t="s">
        <v>693</v>
      </c>
      <c r="E23" s="58" t="s">
        <v>693</v>
      </c>
      <c r="F23" s="58" t="s">
        <v>330</v>
      </c>
      <c r="G23" s="57" t="s">
        <v>27</v>
      </c>
      <c r="H23" s="39">
        <v>0</v>
      </c>
      <c r="I23" s="39">
        <v>8</v>
      </c>
      <c r="J23" s="38"/>
      <c r="K23" s="39">
        <v>127197.75</v>
      </c>
      <c r="L23" s="39">
        <v>0</v>
      </c>
      <c r="M23" s="39">
        <v>127197.75</v>
      </c>
      <c r="N23" s="38"/>
      <c r="O23" s="39">
        <v>47339.25</v>
      </c>
      <c r="P23" s="39">
        <v>0</v>
      </c>
      <c r="Q23" s="39">
        <v>47339.25</v>
      </c>
      <c r="R23" s="38"/>
      <c r="S23" s="39">
        <v>174537</v>
      </c>
      <c r="T23" s="39">
        <v>0</v>
      </c>
      <c r="U23" s="39">
        <v>174537</v>
      </c>
      <c r="V23" s="29"/>
      <c r="W23" s="29">
        <f>INDEX(SurtaxPayment!$C$6:$U$330,MATCH(PriorYear!$C23,SurtaxPayment!$C$6:$C$330,0),6)+INDEX(SurtaxPayment!$C$6:$U$330,MATCH(PriorYear!$C23,SurtaxPayment!$C$6:$C$330,0),7)</f>
        <v>5</v>
      </c>
      <c r="X23" s="29">
        <f t="shared" si="0"/>
        <v>-3</v>
      </c>
      <c r="Y23" s="29">
        <f>INDEX(SurtaxPayment!$C$6:$U$330,MATCH(PriorYear!C23,SurtaxPayment!$C$6:$C$330,0),9)</f>
        <v>91488.92</v>
      </c>
      <c r="Z23" s="66">
        <f t="shared" si="1"/>
        <v>-0.28073476142463211</v>
      </c>
    </row>
    <row r="24" spans="1:26" x14ac:dyDescent="0.25">
      <c r="A24" s="52">
        <v>2023</v>
      </c>
      <c r="B24" s="52" t="s">
        <v>659</v>
      </c>
      <c r="C24" s="57" t="s">
        <v>331</v>
      </c>
      <c r="D24" s="58" t="s">
        <v>693</v>
      </c>
      <c r="E24" s="58" t="s">
        <v>693</v>
      </c>
      <c r="F24" s="58" t="s">
        <v>331</v>
      </c>
      <c r="G24" s="57" t="s">
        <v>28</v>
      </c>
      <c r="H24" s="39">
        <v>4</v>
      </c>
      <c r="I24" s="39">
        <v>8</v>
      </c>
      <c r="J24" s="38"/>
      <c r="K24" s="39">
        <v>745423.5</v>
      </c>
      <c r="L24" s="39">
        <v>248474.5</v>
      </c>
      <c r="M24" s="39">
        <v>496949</v>
      </c>
      <c r="N24" s="38"/>
      <c r="O24" s="39">
        <v>348874.5</v>
      </c>
      <c r="P24" s="39">
        <v>116291.5</v>
      </c>
      <c r="Q24" s="39">
        <v>232583</v>
      </c>
      <c r="R24" s="38"/>
      <c r="S24" s="39">
        <v>1094298</v>
      </c>
      <c r="T24" s="39">
        <v>364766</v>
      </c>
      <c r="U24" s="39">
        <v>729532</v>
      </c>
      <c r="V24" s="29"/>
      <c r="W24" s="29">
        <f>INDEX(SurtaxPayment!$C$6:$U$330,MATCH(PriorYear!$C24,SurtaxPayment!$C$6:$C$330,0),6)+INDEX(SurtaxPayment!$C$6:$U$330,MATCH(PriorYear!$C24,SurtaxPayment!$C$6:$C$330,0),7)</f>
        <v>12</v>
      </c>
      <c r="X24" s="29">
        <f t="shared" si="0"/>
        <v>0</v>
      </c>
      <c r="Y24" s="29">
        <f>INDEX(SurtaxPayment!$C$6:$U$330,MATCH(PriorYear!C24,SurtaxPayment!$C$6:$C$330,0),9)</f>
        <v>956280.21</v>
      </c>
      <c r="Z24" s="66">
        <f t="shared" si="1"/>
        <v>0.28286834262670812</v>
      </c>
    </row>
    <row r="25" spans="1:26" x14ac:dyDescent="0.25">
      <c r="A25" s="52">
        <v>2023</v>
      </c>
      <c r="B25" s="52" t="s">
        <v>657</v>
      </c>
      <c r="C25" s="57" t="s">
        <v>332</v>
      </c>
      <c r="D25" s="58" t="s">
        <v>693</v>
      </c>
      <c r="E25" s="58" t="s">
        <v>693</v>
      </c>
      <c r="F25" s="58" t="s">
        <v>332</v>
      </c>
      <c r="G25" s="57" t="s">
        <v>29</v>
      </c>
      <c r="H25" s="39">
        <v>0</v>
      </c>
      <c r="I25" s="39">
        <v>7</v>
      </c>
      <c r="J25" s="38"/>
      <c r="K25" s="39">
        <v>182340.75</v>
      </c>
      <c r="L25" s="39">
        <v>0</v>
      </c>
      <c r="M25" s="39">
        <v>182340.75</v>
      </c>
      <c r="N25" s="38"/>
      <c r="O25" s="39">
        <v>63708.25</v>
      </c>
      <c r="P25" s="39">
        <v>0</v>
      </c>
      <c r="Q25" s="39">
        <v>63708.25</v>
      </c>
      <c r="R25" s="38"/>
      <c r="S25" s="39">
        <v>246049</v>
      </c>
      <c r="T25" s="39">
        <v>0</v>
      </c>
      <c r="U25" s="39">
        <v>246049</v>
      </c>
      <c r="V25" s="29"/>
      <c r="W25" s="29">
        <f>INDEX(SurtaxPayment!$C$6:$U$330,MATCH(PriorYear!$C25,SurtaxPayment!$C$6:$C$330,0),6)+INDEX(SurtaxPayment!$C$6:$U$330,MATCH(PriorYear!$C25,SurtaxPayment!$C$6:$C$330,0),7)</f>
        <v>8</v>
      </c>
      <c r="X25" s="29">
        <f t="shared" si="0"/>
        <v>1</v>
      </c>
      <c r="Y25" s="29">
        <f>INDEX(SurtaxPayment!$C$6:$U$330,MATCH(PriorYear!C25,SurtaxPayment!$C$6:$C$330,0),9)</f>
        <v>281595.51</v>
      </c>
      <c r="Z25" s="66">
        <f t="shared" si="1"/>
        <v>0.54433668831569471</v>
      </c>
    </row>
    <row r="26" spans="1:26" x14ac:dyDescent="0.25">
      <c r="A26" s="52">
        <v>2023</v>
      </c>
      <c r="B26" s="52" t="s">
        <v>657</v>
      </c>
      <c r="C26" s="57" t="s">
        <v>334</v>
      </c>
      <c r="D26" s="58" t="s">
        <v>693</v>
      </c>
      <c r="E26" s="58" t="s">
        <v>693</v>
      </c>
      <c r="F26" s="58" t="s">
        <v>334</v>
      </c>
      <c r="G26" s="57" t="s">
        <v>31</v>
      </c>
      <c r="H26" s="39">
        <v>2</v>
      </c>
      <c r="I26" s="39">
        <v>0</v>
      </c>
      <c r="J26" s="38"/>
      <c r="K26" s="39">
        <v>193272.75</v>
      </c>
      <c r="L26" s="39">
        <v>193272.75</v>
      </c>
      <c r="M26" s="39">
        <v>0</v>
      </c>
      <c r="N26" s="38"/>
      <c r="O26" s="39">
        <v>85340.25</v>
      </c>
      <c r="P26" s="39">
        <v>85340.25</v>
      </c>
      <c r="Q26" s="39">
        <v>0</v>
      </c>
      <c r="R26" s="38"/>
      <c r="S26" s="39">
        <v>278613</v>
      </c>
      <c r="T26" s="39">
        <v>278613</v>
      </c>
      <c r="U26" s="39">
        <v>0</v>
      </c>
      <c r="V26" s="29"/>
      <c r="W26" s="29">
        <f>INDEX(SurtaxPayment!$C$6:$U$330,MATCH(PriorYear!$C26,SurtaxPayment!$C$6:$C$330,0),6)+INDEX(SurtaxPayment!$C$6:$U$330,MATCH(PriorYear!$C26,SurtaxPayment!$C$6:$C$330,0),7)</f>
        <v>2</v>
      </c>
      <c r="X26" s="29">
        <f t="shared" si="0"/>
        <v>0</v>
      </c>
      <c r="Y26" s="29">
        <f>INDEX(SurtaxPayment!$C$6:$U$330,MATCH(PriorYear!C26,SurtaxPayment!$C$6:$C$330,0),9)</f>
        <v>269020.03000000003</v>
      </c>
      <c r="Z26" s="66">
        <f t="shared" si="1"/>
        <v>0.39191908843848927</v>
      </c>
    </row>
    <row r="27" spans="1:26" x14ac:dyDescent="0.25">
      <c r="A27" s="52">
        <v>2023</v>
      </c>
      <c r="B27" s="52" t="s">
        <v>657</v>
      </c>
      <c r="C27" s="57" t="s">
        <v>335</v>
      </c>
      <c r="D27" s="58" t="s">
        <v>693</v>
      </c>
      <c r="E27" s="58" t="s">
        <v>693</v>
      </c>
      <c r="F27" s="58" t="s">
        <v>335</v>
      </c>
      <c r="G27" s="57" t="s">
        <v>33</v>
      </c>
      <c r="H27" s="39">
        <v>2</v>
      </c>
      <c r="I27" s="39">
        <v>7</v>
      </c>
      <c r="J27" s="38"/>
      <c r="K27" s="39">
        <v>165083.25</v>
      </c>
      <c r="L27" s="39">
        <v>36685.17</v>
      </c>
      <c r="M27" s="39">
        <v>128398.08</v>
      </c>
      <c r="N27" s="38"/>
      <c r="O27" s="39">
        <v>57965.75</v>
      </c>
      <c r="P27" s="39">
        <v>12881.28</v>
      </c>
      <c r="Q27" s="39">
        <v>45084.47</v>
      </c>
      <c r="R27" s="38"/>
      <c r="S27" s="39">
        <v>223049</v>
      </c>
      <c r="T27" s="39">
        <v>49566.45</v>
      </c>
      <c r="U27" s="39">
        <v>173482.55</v>
      </c>
      <c r="V27" s="29"/>
      <c r="W27" s="29">
        <f>INDEX(SurtaxPayment!$C$6:$U$330,MATCH(PriorYear!$C27,SurtaxPayment!$C$6:$C$330,0),6)+INDEX(SurtaxPayment!$C$6:$U$330,MATCH(PriorYear!$C27,SurtaxPayment!$C$6:$C$330,0),7)</f>
        <v>9</v>
      </c>
      <c r="X27" s="29">
        <f t="shared" si="0"/>
        <v>0</v>
      </c>
      <c r="Y27" s="29">
        <f>INDEX(SurtaxPayment!$C$6:$U$330,MATCH(PriorYear!C27,SurtaxPayment!$C$6:$C$330,0),9)</f>
        <v>206210.86</v>
      </c>
      <c r="Z27" s="66">
        <f t="shared" si="1"/>
        <v>0.24913254373172314</v>
      </c>
    </row>
    <row r="28" spans="1:26" x14ac:dyDescent="0.25">
      <c r="A28" s="52">
        <v>2023</v>
      </c>
      <c r="B28" s="52" t="s">
        <v>658</v>
      </c>
      <c r="C28" s="57" t="s">
        <v>336</v>
      </c>
      <c r="D28" s="58" t="s">
        <v>693</v>
      </c>
      <c r="E28" s="58" t="s">
        <v>693</v>
      </c>
      <c r="F28" s="58" t="s">
        <v>336</v>
      </c>
      <c r="G28" s="57" t="s">
        <v>1</v>
      </c>
      <c r="H28" s="39">
        <v>0</v>
      </c>
      <c r="I28" s="39">
        <v>8</v>
      </c>
      <c r="J28" s="38"/>
      <c r="K28" s="39">
        <v>221247</v>
      </c>
      <c r="L28" s="39">
        <v>0</v>
      </c>
      <c r="M28" s="39">
        <v>221247</v>
      </c>
      <c r="N28" s="38"/>
      <c r="O28" s="39">
        <v>93817</v>
      </c>
      <c r="P28" s="39">
        <v>0</v>
      </c>
      <c r="Q28" s="39">
        <v>93817</v>
      </c>
      <c r="R28" s="38"/>
      <c r="S28" s="39">
        <v>315064</v>
      </c>
      <c r="T28" s="39">
        <v>0</v>
      </c>
      <c r="U28" s="39">
        <v>315064</v>
      </c>
      <c r="V28" s="29"/>
      <c r="W28" s="29">
        <f>INDEX(SurtaxPayment!$C$6:$U$330,MATCH(PriorYear!$C28,SurtaxPayment!$C$6:$C$330,0),6)+INDEX(SurtaxPayment!$C$6:$U$330,MATCH(PriorYear!$C28,SurtaxPayment!$C$6:$C$330,0),7)</f>
        <v>5</v>
      </c>
      <c r="X28" s="29">
        <f t="shared" si="0"/>
        <v>-3</v>
      </c>
      <c r="Y28" s="29">
        <f>INDEX(SurtaxPayment!$C$6:$U$330,MATCH(PriorYear!C28,SurtaxPayment!$C$6:$C$330,0),9)</f>
        <v>182826.04</v>
      </c>
      <c r="Z28" s="66">
        <f t="shared" si="1"/>
        <v>-0.17365641116037728</v>
      </c>
    </row>
    <row r="29" spans="1:26" x14ac:dyDescent="0.25">
      <c r="A29" s="52">
        <v>2023</v>
      </c>
      <c r="B29" s="52" t="s">
        <v>659</v>
      </c>
      <c r="C29" s="57" t="s">
        <v>337</v>
      </c>
      <c r="D29" s="58" t="s">
        <v>693</v>
      </c>
      <c r="E29" s="58" t="s">
        <v>693</v>
      </c>
      <c r="F29" s="58" t="s">
        <v>337</v>
      </c>
      <c r="G29" s="57" t="s">
        <v>34</v>
      </c>
      <c r="H29" s="39">
        <v>0</v>
      </c>
      <c r="I29" s="39">
        <v>10</v>
      </c>
      <c r="J29" s="38"/>
      <c r="K29" s="39">
        <v>169043.25</v>
      </c>
      <c r="L29" s="39">
        <v>0</v>
      </c>
      <c r="M29" s="39">
        <v>169043.25</v>
      </c>
      <c r="N29" s="38"/>
      <c r="O29" s="39">
        <v>63323.75</v>
      </c>
      <c r="P29" s="39">
        <v>0</v>
      </c>
      <c r="Q29" s="39">
        <v>63323.75</v>
      </c>
      <c r="R29" s="38"/>
      <c r="S29" s="39">
        <v>232367</v>
      </c>
      <c r="T29" s="39">
        <v>0</v>
      </c>
      <c r="U29" s="39">
        <v>232367</v>
      </c>
      <c r="V29" s="29"/>
      <c r="W29" s="29">
        <f>INDEX(SurtaxPayment!$C$6:$U$330,MATCH(PriorYear!$C29,SurtaxPayment!$C$6:$C$330,0),6)+INDEX(SurtaxPayment!$C$6:$U$330,MATCH(PriorYear!$C29,SurtaxPayment!$C$6:$C$330,0),7)</f>
        <v>8</v>
      </c>
      <c r="X29" s="29">
        <f t="shared" si="0"/>
        <v>-2</v>
      </c>
      <c r="Y29" s="29">
        <f>INDEX(SurtaxPayment!$C$6:$U$330,MATCH(PriorYear!C29,SurtaxPayment!$C$6:$C$330,0),9)</f>
        <v>181226.62</v>
      </c>
      <c r="Z29" s="66">
        <f t="shared" si="1"/>
        <v>7.2072502155513432E-2</v>
      </c>
    </row>
    <row r="30" spans="1:26" x14ac:dyDescent="0.25">
      <c r="A30" s="52">
        <v>2023</v>
      </c>
      <c r="B30" s="52" t="s">
        <v>663</v>
      </c>
      <c r="C30" s="57" t="s">
        <v>338</v>
      </c>
      <c r="D30" s="58" t="s">
        <v>693</v>
      </c>
      <c r="E30" s="58" t="s">
        <v>693</v>
      </c>
      <c r="F30" s="58" t="s">
        <v>338</v>
      </c>
      <c r="G30" s="57" t="s">
        <v>35</v>
      </c>
      <c r="H30" s="39">
        <v>1</v>
      </c>
      <c r="I30" s="39">
        <v>3</v>
      </c>
      <c r="J30" s="38"/>
      <c r="K30" s="39">
        <v>102377.25</v>
      </c>
      <c r="L30" s="39">
        <v>25594.31</v>
      </c>
      <c r="M30" s="39">
        <v>76782.94</v>
      </c>
      <c r="N30" s="38"/>
      <c r="O30" s="39">
        <v>36412.75</v>
      </c>
      <c r="P30" s="39">
        <v>9103.19</v>
      </c>
      <c r="Q30" s="39">
        <v>27309.559999999998</v>
      </c>
      <c r="R30" s="38"/>
      <c r="S30" s="39">
        <v>138790</v>
      </c>
      <c r="T30" s="39">
        <v>34697.5</v>
      </c>
      <c r="U30" s="39">
        <v>104092.5</v>
      </c>
      <c r="V30" s="29"/>
      <c r="W30" s="29">
        <f>INDEX(SurtaxPayment!$C$6:$U$330,MATCH(PriorYear!$C30,SurtaxPayment!$C$6:$C$330,0),6)+INDEX(SurtaxPayment!$C$6:$U$330,MATCH(PriorYear!$C30,SurtaxPayment!$C$6:$C$330,0),7)</f>
        <v>2</v>
      </c>
      <c r="X30" s="29">
        <f t="shared" si="0"/>
        <v>-2</v>
      </c>
      <c r="Y30" s="29">
        <f>INDEX(SurtaxPayment!$C$6:$U$330,MATCH(PriorYear!C30,SurtaxPayment!$C$6:$C$330,0),9)</f>
        <v>66751.710000000006</v>
      </c>
      <c r="Z30" s="66">
        <f t="shared" si="1"/>
        <v>-0.34798297473315598</v>
      </c>
    </row>
    <row r="31" spans="1:26" x14ac:dyDescent="0.25">
      <c r="A31" s="52">
        <v>2023</v>
      </c>
      <c r="B31" s="52" t="s">
        <v>666</v>
      </c>
      <c r="C31" s="57" t="s">
        <v>339</v>
      </c>
      <c r="D31" s="58" t="s">
        <v>693</v>
      </c>
      <c r="E31" s="58" t="s">
        <v>693</v>
      </c>
      <c r="F31" s="58" t="s">
        <v>339</v>
      </c>
      <c r="G31" s="57" t="s">
        <v>36</v>
      </c>
      <c r="H31" s="39">
        <v>4</v>
      </c>
      <c r="I31" s="39">
        <v>0</v>
      </c>
      <c r="J31" s="38"/>
      <c r="K31" s="39">
        <v>176772.75</v>
      </c>
      <c r="L31" s="39">
        <v>176772.75</v>
      </c>
      <c r="M31" s="39">
        <v>0</v>
      </c>
      <c r="N31" s="38"/>
      <c r="O31" s="39">
        <v>75194.25</v>
      </c>
      <c r="P31" s="39">
        <v>75194.25</v>
      </c>
      <c r="Q31" s="39">
        <v>0</v>
      </c>
      <c r="R31" s="38"/>
      <c r="S31" s="39">
        <v>251967</v>
      </c>
      <c r="T31" s="39">
        <v>251967</v>
      </c>
      <c r="U31" s="39">
        <v>0</v>
      </c>
      <c r="V31" s="29"/>
      <c r="W31" s="29">
        <f>INDEX(SurtaxPayment!$C$6:$U$330,MATCH(PriorYear!$C31,SurtaxPayment!$C$6:$C$330,0),6)+INDEX(SurtaxPayment!$C$6:$U$330,MATCH(PriorYear!$C31,SurtaxPayment!$C$6:$C$330,0),7)</f>
        <v>5</v>
      </c>
      <c r="X31" s="29">
        <f t="shared" si="0"/>
        <v>1</v>
      </c>
      <c r="Y31" s="29">
        <f>INDEX(SurtaxPayment!$C$6:$U$330,MATCH(PriorYear!C31,SurtaxPayment!$C$6:$C$330,0),9)</f>
        <v>311898.36</v>
      </c>
      <c r="Z31" s="66">
        <f>IFERROR((Y31-K31)/K31,0)</f>
        <v>0.76440294106416284</v>
      </c>
    </row>
    <row r="32" spans="1:26" x14ac:dyDescent="0.25">
      <c r="A32" s="52">
        <v>2023</v>
      </c>
      <c r="B32" s="52" t="s">
        <v>658</v>
      </c>
      <c r="C32" s="57" t="s">
        <v>340</v>
      </c>
      <c r="D32" s="58" t="s">
        <v>693</v>
      </c>
      <c r="E32" s="58" t="s">
        <v>693</v>
      </c>
      <c r="F32" s="58" t="s">
        <v>340</v>
      </c>
      <c r="G32" s="57" t="s">
        <v>649</v>
      </c>
      <c r="H32" s="39">
        <v>0</v>
      </c>
      <c r="I32" s="39">
        <v>3</v>
      </c>
      <c r="J32" s="38"/>
      <c r="K32" s="39">
        <v>86960.25</v>
      </c>
      <c r="L32" s="39">
        <v>0</v>
      </c>
      <c r="M32" s="39">
        <v>86960.25</v>
      </c>
      <c r="N32" s="38"/>
      <c r="O32" s="39">
        <v>33249.75</v>
      </c>
      <c r="P32" s="39">
        <v>0</v>
      </c>
      <c r="Q32" s="39">
        <v>33249.75</v>
      </c>
      <c r="R32" s="38"/>
      <c r="S32" s="39">
        <v>120210</v>
      </c>
      <c r="T32" s="39">
        <v>0</v>
      </c>
      <c r="U32" s="39">
        <v>120210</v>
      </c>
      <c r="V32" s="29"/>
      <c r="W32" s="29">
        <f>INDEX(SurtaxPayment!$C$6:$U$330,MATCH(PriorYear!$C32,SurtaxPayment!$C$6:$C$330,0),6)+INDEX(SurtaxPayment!$C$6:$U$330,MATCH(PriorYear!$C32,SurtaxPayment!$C$6:$C$330,0),7)</f>
        <v>3</v>
      </c>
      <c r="X32" s="29">
        <f t="shared" si="0"/>
        <v>0</v>
      </c>
      <c r="Y32" s="29">
        <f>INDEX(SurtaxPayment!$C$6:$U$330,MATCH(PriorYear!C32,SurtaxPayment!$C$6:$C$330,0),9)</f>
        <v>100468</v>
      </c>
      <c r="Z32" s="66">
        <f t="shared" si="1"/>
        <v>0.15533246512055796</v>
      </c>
    </row>
    <row r="33" spans="1:26" x14ac:dyDescent="0.25">
      <c r="A33" s="52">
        <v>2023</v>
      </c>
      <c r="B33" s="52" t="s">
        <v>666</v>
      </c>
      <c r="C33" s="57" t="s">
        <v>341</v>
      </c>
      <c r="D33" s="58" t="s">
        <v>693</v>
      </c>
      <c r="E33" s="58" t="s">
        <v>693</v>
      </c>
      <c r="F33" s="58" t="s">
        <v>341</v>
      </c>
      <c r="G33" s="57" t="s">
        <v>37</v>
      </c>
      <c r="H33" s="39">
        <v>0</v>
      </c>
      <c r="I33" s="39">
        <v>1</v>
      </c>
      <c r="J33" s="38"/>
      <c r="K33" s="39">
        <v>11978.25</v>
      </c>
      <c r="L33" s="39">
        <v>0</v>
      </c>
      <c r="M33" s="39">
        <v>11978.25</v>
      </c>
      <c r="N33" s="38"/>
      <c r="O33" s="39">
        <v>4504.75</v>
      </c>
      <c r="P33" s="39">
        <v>0</v>
      </c>
      <c r="Q33" s="39">
        <v>4504.75</v>
      </c>
      <c r="R33" s="38"/>
      <c r="S33" s="39">
        <v>16483</v>
      </c>
      <c r="T33" s="39">
        <v>0</v>
      </c>
      <c r="U33" s="39">
        <v>16483</v>
      </c>
      <c r="V33" s="29"/>
      <c r="W33" s="29">
        <f>INDEX(SurtaxPayment!$C$6:$U$330,MATCH(PriorYear!$C33,SurtaxPayment!$C$6:$C$330,0),6)+INDEX(SurtaxPayment!$C$6:$U$330,MATCH(PriorYear!$C33,SurtaxPayment!$C$6:$C$330,0),7)</f>
        <v>1</v>
      </c>
      <c r="X33" s="29">
        <f t="shared" si="0"/>
        <v>0</v>
      </c>
      <c r="Y33" s="29">
        <f>INDEX(SurtaxPayment!$C$6:$U$330,MATCH(PriorYear!C33,SurtaxPayment!$C$6:$C$330,0),9)</f>
        <v>14713.27</v>
      </c>
      <c r="Z33" s="66">
        <f t="shared" si="1"/>
        <v>0.22833218541940603</v>
      </c>
    </row>
    <row r="34" spans="1:26" x14ac:dyDescent="0.25">
      <c r="A34" s="52">
        <v>2023</v>
      </c>
      <c r="B34" s="52" t="s">
        <v>663</v>
      </c>
      <c r="C34" s="57" t="s">
        <v>342</v>
      </c>
      <c r="D34" s="58" t="s">
        <v>693</v>
      </c>
      <c r="E34" s="58" t="s">
        <v>693</v>
      </c>
      <c r="F34" s="58" t="s">
        <v>342</v>
      </c>
      <c r="G34" s="57" t="s">
        <v>38</v>
      </c>
      <c r="H34" s="39">
        <v>0</v>
      </c>
      <c r="I34" s="39">
        <v>4</v>
      </c>
      <c r="J34" s="38"/>
      <c r="K34" s="39">
        <v>364035</v>
      </c>
      <c r="L34" s="39">
        <v>0</v>
      </c>
      <c r="M34" s="39">
        <v>364035</v>
      </c>
      <c r="N34" s="38"/>
      <c r="O34" s="39">
        <v>144237</v>
      </c>
      <c r="P34" s="39">
        <v>0</v>
      </c>
      <c r="Q34" s="39">
        <v>144237</v>
      </c>
      <c r="R34" s="38"/>
      <c r="S34" s="39">
        <v>508272</v>
      </c>
      <c r="T34" s="39">
        <v>0</v>
      </c>
      <c r="U34" s="39">
        <v>508272</v>
      </c>
      <c r="V34" s="29"/>
      <c r="W34" s="29">
        <f>INDEX(SurtaxPayment!$C$6:$U$330,MATCH(PriorYear!$C34,SurtaxPayment!$C$6:$C$330,0),6)+INDEX(SurtaxPayment!$C$6:$U$330,MATCH(PriorYear!$C34,SurtaxPayment!$C$6:$C$330,0),7)</f>
        <v>4</v>
      </c>
      <c r="X34" s="29">
        <f t="shared" si="0"/>
        <v>0</v>
      </c>
      <c r="Y34" s="29">
        <f>INDEX(SurtaxPayment!$C$6:$U$330,MATCH(PriorYear!C34,SurtaxPayment!$C$6:$C$330,0),9)</f>
        <v>500997.41</v>
      </c>
      <c r="Z34" s="66">
        <f t="shared" si="1"/>
        <v>0.37623418077932058</v>
      </c>
    </row>
    <row r="35" spans="1:26" x14ac:dyDescent="0.25">
      <c r="A35" s="52">
        <v>2023</v>
      </c>
      <c r="B35" s="52" t="s">
        <v>666</v>
      </c>
      <c r="C35" s="57" t="s">
        <v>343</v>
      </c>
      <c r="D35" s="58" t="s">
        <v>693</v>
      </c>
      <c r="E35" s="58" t="s">
        <v>693</v>
      </c>
      <c r="F35" s="58" t="s">
        <v>343</v>
      </c>
      <c r="G35" s="57" t="s">
        <v>697</v>
      </c>
      <c r="H35" s="39">
        <v>0</v>
      </c>
      <c r="I35" s="39">
        <v>0</v>
      </c>
      <c r="J35" s="38"/>
      <c r="K35" s="39">
        <v>0</v>
      </c>
      <c r="L35" s="39">
        <v>0</v>
      </c>
      <c r="M35" s="39">
        <v>0</v>
      </c>
      <c r="N35" s="38"/>
      <c r="O35" s="39">
        <v>0</v>
      </c>
      <c r="P35" s="39">
        <v>0</v>
      </c>
      <c r="Q35" s="39">
        <v>0</v>
      </c>
      <c r="R35" s="38"/>
      <c r="S35" s="39">
        <v>0</v>
      </c>
      <c r="T35" s="39">
        <v>0</v>
      </c>
      <c r="U35" s="39">
        <v>0</v>
      </c>
      <c r="V35" s="29"/>
      <c r="W35" s="29">
        <f>INDEX(SurtaxPayment!$C$6:$U$330,MATCH(PriorYear!$C35,SurtaxPayment!$C$6:$C$330,0),6)+INDEX(SurtaxPayment!$C$6:$U$330,MATCH(PriorYear!$C35,SurtaxPayment!$C$6:$C$330,0),7)</f>
        <v>0</v>
      </c>
      <c r="X35" s="29">
        <f t="shared" si="0"/>
        <v>0</v>
      </c>
      <c r="Y35" s="29">
        <f>INDEX(SurtaxPayment!$C$6:$U$330,MATCH(PriorYear!C35,SurtaxPayment!$C$6:$C$330,0),9)</f>
        <v>0</v>
      </c>
      <c r="Z35" s="66">
        <f t="shared" si="1"/>
        <v>0</v>
      </c>
    </row>
    <row r="36" spans="1:26" x14ac:dyDescent="0.25">
      <c r="A36" s="52">
        <v>2023</v>
      </c>
      <c r="B36" s="52" t="s">
        <v>657</v>
      </c>
      <c r="C36" s="57" t="s">
        <v>345</v>
      </c>
      <c r="D36" s="58" t="s">
        <v>693</v>
      </c>
      <c r="E36" s="58" t="s">
        <v>693</v>
      </c>
      <c r="F36" s="58" t="s">
        <v>345</v>
      </c>
      <c r="G36" s="57" t="s">
        <v>39</v>
      </c>
      <c r="H36" s="39">
        <v>0</v>
      </c>
      <c r="I36" s="39">
        <v>1</v>
      </c>
      <c r="J36" s="38"/>
      <c r="K36" s="39">
        <v>122013.75</v>
      </c>
      <c r="L36" s="39">
        <v>0</v>
      </c>
      <c r="M36" s="39">
        <v>122013.75</v>
      </c>
      <c r="N36" s="38"/>
      <c r="O36" s="39">
        <v>51661.25</v>
      </c>
      <c r="P36" s="39">
        <v>0</v>
      </c>
      <c r="Q36" s="39">
        <v>51661.25</v>
      </c>
      <c r="R36" s="38"/>
      <c r="S36" s="39">
        <v>173675</v>
      </c>
      <c r="T36" s="39">
        <v>0</v>
      </c>
      <c r="U36" s="39">
        <v>173675</v>
      </c>
      <c r="V36" s="29"/>
      <c r="W36" s="29">
        <f>INDEX(SurtaxPayment!$C$6:$U$330,MATCH(PriorYear!$C36,SurtaxPayment!$C$6:$C$330,0),6)+INDEX(SurtaxPayment!$C$6:$U$330,MATCH(PriorYear!$C36,SurtaxPayment!$C$6:$C$330,0),7)</f>
        <v>1</v>
      </c>
      <c r="X36" s="29">
        <f t="shared" si="0"/>
        <v>0</v>
      </c>
      <c r="Y36" s="29">
        <f>INDEX(SurtaxPayment!$C$6:$U$330,MATCH(PriorYear!C36,SurtaxPayment!$C$6:$C$330,0),9)</f>
        <v>4736.92</v>
      </c>
      <c r="Z36" s="66">
        <f t="shared" si="1"/>
        <v>-0.96117716240997431</v>
      </c>
    </row>
    <row r="37" spans="1:26" x14ac:dyDescent="0.25">
      <c r="A37" s="52">
        <v>2023</v>
      </c>
      <c r="B37" s="52" t="s">
        <v>657</v>
      </c>
      <c r="C37" s="57" t="s">
        <v>346</v>
      </c>
      <c r="D37" s="58" t="s">
        <v>693</v>
      </c>
      <c r="E37" s="58" t="s">
        <v>693</v>
      </c>
      <c r="F37" s="58" t="s">
        <v>346</v>
      </c>
      <c r="G37" s="57" t="s">
        <v>40</v>
      </c>
      <c r="H37" s="39">
        <v>0</v>
      </c>
      <c r="I37" s="39">
        <v>1</v>
      </c>
      <c r="J37" s="38"/>
      <c r="K37" s="39">
        <v>113155.5</v>
      </c>
      <c r="L37" s="39">
        <v>0</v>
      </c>
      <c r="M37" s="39">
        <v>113155.5</v>
      </c>
      <c r="N37" s="38"/>
      <c r="O37" s="39">
        <v>45927.5</v>
      </c>
      <c r="P37" s="39">
        <v>0</v>
      </c>
      <c r="Q37" s="39">
        <v>45927.5</v>
      </c>
      <c r="R37" s="38"/>
      <c r="S37" s="39">
        <v>159083</v>
      </c>
      <c r="T37" s="39">
        <v>0</v>
      </c>
      <c r="U37" s="39">
        <v>159083</v>
      </c>
      <c r="V37" s="29"/>
      <c r="W37" s="29">
        <f>INDEX(SurtaxPayment!$C$6:$U$330,MATCH(PriorYear!$C37,SurtaxPayment!$C$6:$C$330,0),6)+INDEX(SurtaxPayment!$C$6:$U$330,MATCH(PriorYear!$C37,SurtaxPayment!$C$6:$C$330,0),7)</f>
        <v>1</v>
      </c>
      <c r="X37" s="29">
        <f t="shared" si="0"/>
        <v>0</v>
      </c>
      <c r="Y37" s="29">
        <f>INDEX(SurtaxPayment!$C$6:$U$330,MATCH(PriorYear!C37,SurtaxPayment!$C$6:$C$330,0),9)</f>
        <v>151348.14000000001</v>
      </c>
      <c r="Z37" s="66">
        <f t="shared" si="1"/>
        <v>0.33752349642748264</v>
      </c>
    </row>
    <row r="38" spans="1:26" x14ac:dyDescent="0.25">
      <c r="A38" s="52">
        <v>2023</v>
      </c>
      <c r="B38" s="52" t="s">
        <v>660</v>
      </c>
      <c r="C38" s="57" t="s">
        <v>347</v>
      </c>
      <c r="D38" s="58" t="s">
        <v>693</v>
      </c>
      <c r="E38" s="58" t="s">
        <v>693</v>
      </c>
      <c r="F38" s="58" t="s">
        <v>347</v>
      </c>
      <c r="G38" s="57" t="s">
        <v>41</v>
      </c>
      <c r="H38" s="39">
        <v>0</v>
      </c>
      <c r="I38" s="39">
        <v>5</v>
      </c>
      <c r="J38" s="38"/>
      <c r="K38" s="39">
        <v>178416.75</v>
      </c>
      <c r="L38" s="39">
        <v>0</v>
      </c>
      <c r="M38" s="39">
        <v>178416.75</v>
      </c>
      <c r="N38" s="38"/>
      <c r="O38" s="39">
        <v>71208.25</v>
      </c>
      <c r="P38" s="39">
        <v>0</v>
      </c>
      <c r="Q38" s="39">
        <v>71208.25</v>
      </c>
      <c r="R38" s="38"/>
      <c r="S38" s="39">
        <v>249625</v>
      </c>
      <c r="T38" s="39">
        <v>0</v>
      </c>
      <c r="U38" s="39">
        <v>249625</v>
      </c>
      <c r="V38" s="29"/>
      <c r="W38" s="29">
        <f>INDEX(SurtaxPayment!$C$6:$U$330,MATCH(PriorYear!$C38,SurtaxPayment!$C$6:$C$330,0),6)+INDEX(SurtaxPayment!$C$6:$U$330,MATCH(PriorYear!$C38,SurtaxPayment!$C$6:$C$330,0),7)</f>
        <v>2</v>
      </c>
      <c r="X38" s="29">
        <f t="shared" si="0"/>
        <v>-3</v>
      </c>
      <c r="Y38" s="29">
        <f>INDEX(SurtaxPayment!$C$6:$U$330,MATCH(PriorYear!C38,SurtaxPayment!$C$6:$C$330,0),9)</f>
        <v>111629.33</v>
      </c>
      <c r="Z38" s="66">
        <f t="shared" si="1"/>
        <v>-0.37433379993750587</v>
      </c>
    </row>
    <row r="39" spans="1:26" x14ac:dyDescent="0.25">
      <c r="A39" s="52">
        <v>2023</v>
      </c>
      <c r="B39" s="52" t="s">
        <v>659</v>
      </c>
      <c r="C39" s="57" t="s">
        <v>403</v>
      </c>
      <c r="D39" s="58" t="s">
        <v>693</v>
      </c>
      <c r="E39" s="58" t="s">
        <v>693</v>
      </c>
      <c r="F39" s="58" t="s">
        <v>403</v>
      </c>
      <c r="G39" s="57" t="s">
        <v>42</v>
      </c>
      <c r="H39" s="39">
        <v>1</v>
      </c>
      <c r="I39" s="39">
        <v>6</v>
      </c>
      <c r="J39" s="38"/>
      <c r="K39" s="39">
        <v>138861</v>
      </c>
      <c r="L39" s="39">
        <v>19837.29</v>
      </c>
      <c r="M39" s="39">
        <v>119023.70999999999</v>
      </c>
      <c r="N39" s="38"/>
      <c r="O39" s="39">
        <v>63256</v>
      </c>
      <c r="P39" s="39">
        <v>9036.57</v>
      </c>
      <c r="Q39" s="39">
        <v>54219.43</v>
      </c>
      <c r="R39" s="38"/>
      <c r="S39" s="39">
        <v>202117</v>
      </c>
      <c r="T39" s="39">
        <v>28873.86</v>
      </c>
      <c r="U39" s="39">
        <v>173243.13999999998</v>
      </c>
      <c r="V39" s="29"/>
      <c r="W39" s="29">
        <f>INDEX(SurtaxPayment!$C$6:$U$330,MATCH(PriorYear!$C39,SurtaxPayment!$C$6:$C$330,0),6)+INDEX(SurtaxPayment!$C$6:$U$330,MATCH(PriorYear!$C39,SurtaxPayment!$C$6:$C$330,0),7)</f>
        <v>6</v>
      </c>
      <c r="X39" s="29">
        <f t="shared" si="0"/>
        <v>-1</v>
      </c>
      <c r="Y39" s="29">
        <f>INDEX(SurtaxPayment!$C$6:$U$330,MATCH(PriorYear!C39,SurtaxPayment!$C$6:$C$330,0),9)</f>
        <v>145643.63</v>
      </c>
      <c r="Z39" s="66">
        <f t="shared" si="1"/>
        <v>4.8844744024600172E-2</v>
      </c>
    </row>
    <row r="40" spans="1:26" x14ac:dyDescent="0.25">
      <c r="A40" s="52">
        <v>2023</v>
      </c>
      <c r="B40" s="52" t="s">
        <v>658</v>
      </c>
      <c r="C40" s="57" t="s">
        <v>349</v>
      </c>
      <c r="D40" s="58" t="s">
        <v>693</v>
      </c>
      <c r="E40" s="58" t="s">
        <v>693</v>
      </c>
      <c r="F40" s="58" t="s">
        <v>349</v>
      </c>
      <c r="G40" s="57" t="s">
        <v>43</v>
      </c>
      <c r="H40" s="39">
        <v>1</v>
      </c>
      <c r="I40" s="39">
        <v>1</v>
      </c>
      <c r="J40" s="38"/>
      <c r="K40" s="39">
        <v>52468.5</v>
      </c>
      <c r="L40" s="39">
        <v>26234.25</v>
      </c>
      <c r="M40" s="39">
        <v>26234.25</v>
      </c>
      <c r="N40" s="38"/>
      <c r="O40" s="39">
        <v>25045.5</v>
      </c>
      <c r="P40" s="39">
        <v>12522.75</v>
      </c>
      <c r="Q40" s="39">
        <v>12522.75</v>
      </c>
      <c r="R40" s="38"/>
      <c r="S40" s="39">
        <v>77514</v>
      </c>
      <c r="T40" s="39">
        <v>38757</v>
      </c>
      <c r="U40" s="39">
        <v>38757</v>
      </c>
      <c r="V40" s="29"/>
      <c r="W40" s="29">
        <f>INDEX(SurtaxPayment!$C$6:$U$330,MATCH(PriorYear!$C40,SurtaxPayment!$C$6:$C$330,0),6)+INDEX(SurtaxPayment!$C$6:$U$330,MATCH(PriorYear!$C40,SurtaxPayment!$C$6:$C$330,0),7)</f>
        <v>2</v>
      </c>
      <c r="X40" s="29">
        <f t="shared" si="0"/>
        <v>0</v>
      </c>
      <c r="Y40" s="29">
        <f>INDEX(SurtaxPayment!$C$6:$U$330,MATCH(PriorYear!C40,SurtaxPayment!$C$6:$C$330,0),9)</f>
        <v>82442.789999999994</v>
      </c>
      <c r="Z40" s="66">
        <f t="shared" si="1"/>
        <v>0.57128162611852817</v>
      </c>
    </row>
    <row r="41" spans="1:26" x14ac:dyDescent="0.25">
      <c r="A41" s="52">
        <v>2023</v>
      </c>
      <c r="B41" s="52" t="s">
        <v>662</v>
      </c>
      <c r="C41" s="57" t="s">
        <v>351</v>
      </c>
      <c r="D41" s="58" t="s">
        <v>693</v>
      </c>
      <c r="E41" s="58" t="s">
        <v>693</v>
      </c>
      <c r="F41" s="58" t="s">
        <v>351</v>
      </c>
      <c r="G41" s="57" t="s">
        <v>698</v>
      </c>
      <c r="H41" s="39">
        <v>0</v>
      </c>
      <c r="I41" s="39">
        <v>0</v>
      </c>
      <c r="J41" s="38"/>
      <c r="K41" s="39">
        <v>0</v>
      </c>
      <c r="L41" s="39">
        <v>0</v>
      </c>
      <c r="M41" s="39">
        <v>0</v>
      </c>
      <c r="N41" s="38"/>
      <c r="O41" s="39">
        <v>0</v>
      </c>
      <c r="P41" s="39">
        <v>0</v>
      </c>
      <c r="Q41" s="39">
        <v>0</v>
      </c>
      <c r="R41" s="38"/>
      <c r="S41" s="39">
        <v>0</v>
      </c>
      <c r="T41" s="39">
        <v>0</v>
      </c>
      <c r="U41" s="39">
        <v>0</v>
      </c>
      <c r="V41" s="29"/>
      <c r="W41" s="29">
        <f>INDEX(SurtaxPayment!$C$6:$U$330,MATCH(PriorYear!$C41,SurtaxPayment!$C$6:$C$330,0),6)+INDEX(SurtaxPayment!$C$6:$U$330,MATCH(PriorYear!$C41,SurtaxPayment!$C$6:$C$330,0),7)</f>
        <v>0</v>
      </c>
      <c r="X41" s="29">
        <f t="shared" si="0"/>
        <v>0</v>
      </c>
      <c r="Y41" s="29">
        <f>INDEX(SurtaxPayment!$C$6:$U$330,MATCH(PriorYear!C41,SurtaxPayment!$C$6:$C$330,0),9)</f>
        <v>0</v>
      </c>
      <c r="Z41" s="66">
        <f t="shared" si="1"/>
        <v>0</v>
      </c>
    </row>
    <row r="42" spans="1:26" x14ac:dyDescent="0.25">
      <c r="A42" s="52">
        <v>2023</v>
      </c>
      <c r="B42" s="52" t="s">
        <v>658</v>
      </c>
      <c r="C42" s="57" t="s">
        <v>353</v>
      </c>
      <c r="D42" s="58" t="s">
        <v>693</v>
      </c>
      <c r="E42" s="58" t="s">
        <v>693</v>
      </c>
      <c r="F42" s="58" t="s">
        <v>353</v>
      </c>
      <c r="G42" s="57" t="s">
        <v>2</v>
      </c>
      <c r="H42" s="39">
        <v>3</v>
      </c>
      <c r="I42" s="39">
        <v>8</v>
      </c>
      <c r="J42" s="38"/>
      <c r="K42" s="39">
        <v>117058.5</v>
      </c>
      <c r="L42" s="39">
        <v>31925.05</v>
      </c>
      <c r="M42" s="39">
        <v>85133.45</v>
      </c>
      <c r="N42" s="38"/>
      <c r="O42" s="39">
        <v>44014.5</v>
      </c>
      <c r="P42" s="39">
        <v>12003.95</v>
      </c>
      <c r="Q42" s="39">
        <v>32010.55</v>
      </c>
      <c r="R42" s="38"/>
      <c r="S42" s="39">
        <v>161073</v>
      </c>
      <c r="T42" s="39">
        <v>43929</v>
      </c>
      <c r="U42" s="39">
        <v>117144</v>
      </c>
      <c r="V42" s="29"/>
      <c r="W42" s="29">
        <f>INDEX(SurtaxPayment!$C$6:$U$330,MATCH(PriorYear!$C42,SurtaxPayment!$C$6:$C$330,0),6)+INDEX(SurtaxPayment!$C$6:$U$330,MATCH(PriorYear!$C42,SurtaxPayment!$C$6:$C$330,0),7)</f>
        <v>11</v>
      </c>
      <c r="X42" s="29">
        <f t="shared" si="0"/>
        <v>0</v>
      </c>
      <c r="Y42" s="29">
        <f>INDEX(SurtaxPayment!$C$6:$U$330,MATCH(PriorYear!C42,SurtaxPayment!$C$6:$C$330,0),9)</f>
        <v>131364.39000000001</v>
      </c>
      <c r="Z42" s="66">
        <f t="shared" si="1"/>
        <v>0.12221145837337753</v>
      </c>
    </row>
    <row r="43" spans="1:26" x14ac:dyDescent="0.25">
      <c r="A43" s="52">
        <v>2023</v>
      </c>
      <c r="B43" s="52" t="s">
        <v>666</v>
      </c>
      <c r="C43" s="57" t="s">
        <v>354</v>
      </c>
      <c r="D43" s="58" t="s">
        <v>693</v>
      </c>
      <c r="E43" s="58" t="s">
        <v>693</v>
      </c>
      <c r="F43" s="58" t="s">
        <v>354</v>
      </c>
      <c r="G43" s="57" t="s">
        <v>688</v>
      </c>
      <c r="H43" s="39">
        <v>0</v>
      </c>
      <c r="I43" s="39">
        <v>6</v>
      </c>
      <c r="J43" s="38"/>
      <c r="K43" s="39">
        <v>102588</v>
      </c>
      <c r="L43" s="39">
        <v>0</v>
      </c>
      <c r="M43" s="39">
        <v>102588</v>
      </c>
      <c r="N43" s="38"/>
      <c r="O43" s="39">
        <v>37566</v>
      </c>
      <c r="P43" s="39">
        <v>0</v>
      </c>
      <c r="Q43" s="39">
        <v>37566</v>
      </c>
      <c r="R43" s="38"/>
      <c r="S43" s="39">
        <v>140154</v>
      </c>
      <c r="T43" s="39">
        <v>0</v>
      </c>
      <c r="U43" s="39">
        <v>140154</v>
      </c>
      <c r="V43" s="29"/>
      <c r="W43" s="29">
        <f>INDEX(SurtaxPayment!$C$6:$U$330,MATCH(PriorYear!$C43,SurtaxPayment!$C$6:$C$330,0),6)+INDEX(SurtaxPayment!$C$6:$U$330,MATCH(PriorYear!$C43,SurtaxPayment!$C$6:$C$330,0),7)</f>
        <v>6</v>
      </c>
      <c r="X43" s="29">
        <f t="shared" si="0"/>
        <v>0</v>
      </c>
      <c r="Y43" s="29">
        <f>INDEX(SurtaxPayment!$C$6:$U$330,MATCH(PriorYear!C43,SurtaxPayment!$C$6:$C$330,0),9)</f>
        <v>146403</v>
      </c>
      <c r="Z43" s="66">
        <f t="shared" si="1"/>
        <v>0.42709673646040475</v>
      </c>
    </row>
    <row r="44" spans="1:26" x14ac:dyDescent="0.25">
      <c r="A44" s="52">
        <v>2023</v>
      </c>
      <c r="B44" s="52" t="s">
        <v>659</v>
      </c>
      <c r="C44" s="57" t="s">
        <v>352</v>
      </c>
      <c r="D44" s="58" t="s">
        <v>693</v>
      </c>
      <c r="E44" s="58" t="s">
        <v>693</v>
      </c>
      <c r="F44" s="58" t="s">
        <v>352</v>
      </c>
      <c r="G44" s="57" t="s">
        <v>3</v>
      </c>
      <c r="H44" s="39">
        <v>0</v>
      </c>
      <c r="I44" s="39">
        <v>10</v>
      </c>
      <c r="J44" s="38"/>
      <c r="K44" s="39">
        <v>200142.75</v>
      </c>
      <c r="L44" s="39">
        <v>0</v>
      </c>
      <c r="M44" s="39">
        <v>200142.75</v>
      </c>
      <c r="N44" s="38"/>
      <c r="O44" s="39">
        <v>80204.25</v>
      </c>
      <c r="P44" s="39">
        <v>0</v>
      </c>
      <c r="Q44" s="39">
        <v>80204.25</v>
      </c>
      <c r="R44" s="38"/>
      <c r="S44" s="39">
        <v>280347</v>
      </c>
      <c r="T44" s="39">
        <v>0</v>
      </c>
      <c r="U44" s="39">
        <v>280347</v>
      </c>
      <c r="V44" s="29"/>
      <c r="W44" s="29">
        <f>INDEX(SurtaxPayment!$C$6:$U$330,MATCH(PriorYear!$C44,SurtaxPayment!$C$6:$C$330,0),6)+INDEX(SurtaxPayment!$C$6:$U$330,MATCH(PriorYear!$C44,SurtaxPayment!$C$6:$C$330,0),7)</f>
        <v>10</v>
      </c>
      <c r="X44" s="29">
        <f t="shared" si="0"/>
        <v>0</v>
      </c>
      <c r="Y44" s="29">
        <f>INDEX(SurtaxPayment!$C$6:$U$330,MATCH(PriorYear!C44,SurtaxPayment!$C$6:$C$330,0),9)</f>
        <v>258416.62</v>
      </c>
      <c r="Z44" s="66">
        <f t="shared" si="1"/>
        <v>0.29116153345549611</v>
      </c>
    </row>
    <row r="45" spans="1:26" x14ac:dyDescent="0.25">
      <c r="A45" s="52">
        <v>2023</v>
      </c>
      <c r="B45" s="52" t="s">
        <v>666</v>
      </c>
      <c r="C45" s="57" t="s">
        <v>355</v>
      </c>
      <c r="D45" s="58" t="s">
        <v>693</v>
      </c>
      <c r="E45" s="58" t="s">
        <v>693</v>
      </c>
      <c r="F45" s="58" t="s">
        <v>355</v>
      </c>
      <c r="G45" s="57" t="s">
        <v>699</v>
      </c>
      <c r="H45" s="39">
        <v>0</v>
      </c>
      <c r="I45" s="39">
        <v>0</v>
      </c>
      <c r="J45" s="38"/>
      <c r="K45" s="39">
        <v>0</v>
      </c>
      <c r="L45" s="39">
        <v>0</v>
      </c>
      <c r="M45" s="39">
        <v>0</v>
      </c>
      <c r="N45" s="38"/>
      <c r="O45" s="39">
        <v>0</v>
      </c>
      <c r="P45" s="39">
        <v>0</v>
      </c>
      <c r="Q45" s="39">
        <v>0</v>
      </c>
      <c r="R45" s="38"/>
      <c r="S45" s="39">
        <v>0</v>
      </c>
      <c r="T45" s="39">
        <v>0</v>
      </c>
      <c r="U45" s="39">
        <v>0</v>
      </c>
      <c r="V45" s="29"/>
      <c r="W45" s="29">
        <f>INDEX(SurtaxPayment!$C$6:$U$330,MATCH(PriorYear!$C45,SurtaxPayment!$C$6:$C$330,0),6)+INDEX(SurtaxPayment!$C$6:$U$330,MATCH(PriorYear!$C45,SurtaxPayment!$C$6:$C$330,0),7)</f>
        <v>0</v>
      </c>
      <c r="X45" s="29">
        <f t="shared" si="0"/>
        <v>0</v>
      </c>
      <c r="Y45" s="29">
        <f>INDEX(SurtaxPayment!$C$6:$U$330,MATCH(PriorYear!C45,SurtaxPayment!$C$6:$C$330,0),9)</f>
        <v>0</v>
      </c>
      <c r="Z45" s="66">
        <f t="shared" si="1"/>
        <v>0</v>
      </c>
    </row>
    <row r="46" spans="1:26" x14ac:dyDescent="0.25">
      <c r="A46" s="52">
        <v>2023</v>
      </c>
      <c r="B46" s="52" t="s">
        <v>662</v>
      </c>
      <c r="C46" s="57" t="s">
        <v>356</v>
      </c>
      <c r="D46" s="58" t="s">
        <v>693</v>
      </c>
      <c r="E46" s="58" t="s">
        <v>693</v>
      </c>
      <c r="F46" s="58" t="s">
        <v>356</v>
      </c>
      <c r="G46" s="57" t="s">
        <v>45</v>
      </c>
      <c r="H46" s="39">
        <v>0</v>
      </c>
      <c r="I46" s="39">
        <v>9</v>
      </c>
      <c r="J46" s="38"/>
      <c r="K46" s="39">
        <v>239958.75</v>
      </c>
      <c r="L46" s="39">
        <v>0</v>
      </c>
      <c r="M46" s="39">
        <v>239958.75</v>
      </c>
      <c r="N46" s="38"/>
      <c r="O46" s="39">
        <v>85726.25</v>
      </c>
      <c r="P46" s="39">
        <v>0</v>
      </c>
      <c r="Q46" s="39">
        <v>85726.25</v>
      </c>
      <c r="R46" s="38"/>
      <c r="S46" s="39">
        <v>325685</v>
      </c>
      <c r="T46" s="39">
        <v>0</v>
      </c>
      <c r="U46" s="39">
        <v>325685</v>
      </c>
      <c r="V46" s="29"/>
      <c r="W46" s="29">
        <f>INDEX(SurtaxPayment!$C$6:$U$330,MATCH(PriorYear!$C46,SurtaxPayment!$C$6:$C$330,0),6)+INDEX(SurtaxPayment!$C$6:$U$330,MATCH(PriorYear!$C46,SurtaxPayment!$C$6:$C$330,0),7)</f>
        <v>7</v>
      </c>
      <c r="X46" s="29">
        <f t="shared" si="0"/>
        <v>-2</v>
      </c>
      <c r="Y46" s="29">
        <f>INDEX(SurtaxPayment!$C$6:$U$330,MATCH(PriorYear!C46,SurtaxPayment!$C$6:$C$330,0),9)</f>
        <v>236387.43</v>
      </c>
      <c r="Z46" s="66">
        <f t="shared" si="1"/>
        <v>-1.4883058025598179E-2</v>
      </c>
    </row>
    <row r="47" spans="1:26" x14ac:dyDescent="0.25">
      <c r="A47" s="52">
        <v>2023</v>
      </c>
      <c r="B47" s="52" t="s">
        <v>657</v>
      </c>
      <c r="C47" s="57" t="s">
        <v>357</v>
      </c>
      <c r="D47" s="58" t="s">
        <v>693</v>
      </c>
      <c r="E47" s="58" t="s">
        <v>693</v>
      </c>
      <c r="F47" s="58" t="s">
        <v>357</v>
      </c>
      <c r="G47" s="57" t="s">
        <v>700</v>
      </c>
      <c r="H47" s="39">
        <v>0</v>
      </c>
      <c r="I47" s="39">
        <v>0</v>
      </c>
      <c r="J47" s="38"/>
      <c r="K47" s="39">
        <v>0</v>
      </c>
      <c r="L47" s="39">
        <v>0</v>
      </c>
      <c r="M47" s="39">
        <v>0</v>
      </c>
      <c r="N47" s="38"/>
      <c r="O47" s="39">
        <v>0</v>
      </c>
      <c r="P47" s="39">
        <v>0</v>
      </c>
      <c r="Q47" s="39">
        <v>0</v>
      </c>
      <c r="R47" s="38"/>
      <c r="S47" s="39">
        <v>0</v>
      </c>
      <c r="T47" s="39">
        <v>0</v>
      </c>
      <c r="U47" s="39">
        <v>0</v>
      </c>
      <c r="V47" s="29"/>
      <c r="W47" s="29">
        <f>INDEX(SurtaxPayment!$C$6:$U$330,MATCH(PriorYear!$C47,SurtaxPayment!$C$6:$C$330,0),6)+INDEX(SurtaxPayment!$C$6:$U$330,MATCH(PriorYear!$C47,SurtaxPayment!$C$6:$C$330,0),7)</f>
        <v>0</v>
      </c>
      <c r="X47" s="29">
        <f t="shared" si="0"/>
        <v>0</v>
      </c>
      <c r="Y47" s="29">
        <f>INDEX(SurtaxPayment!$C$6:$U$330,MATCH(PriorYear!C47,SurtaxPayment!$C$6:$C$330,0),9)</f>
        <v>0</v>
      </c>
      <c r="Z47" s="66">
        <f t="shared" si="1"/>
        <v>0</v>
      </c>
    </row>
    <row r="48" spans="1:26" x14ac:dyDescent="0.25">
      <c r="A48" s="52">
        <v>2023</v>
      </c>
      <c r="B48" s="52" t="s">
        <v>657</v>
      </c>
      <c r="C48" s="57" t="s">
        <v>358</v>
      </c>
      <c r="D48" s="58" t="s">
        <v>693</v>
      </c>
      <c r="E48" s="58" t="s">
        <v>693</v>
      </c>
      <c r="F48" s="58" t="s">
        <v>358</v>
      </c>
      <c r="G48" s="57" t="s">
        <v>46</v>
      </c>
      <c r="H48" s="39">
        <v>0</v>
      </c>
      <c r="I48" s="39">
        <v>3</v>
      </c>
      <c r="J48" s="38"/>
      <c r="K48" s="39">
        <v>431055</v>
      </c>
      <c r="L48" s="39">
        <v>0</v>
      </c>
      <c r="M48" s="39">
        <v>431055</v>
      </c>
      <c r="N48" s="38"/>
      <c r="O48" s="39">
        <v>160839</v>
      </c>
      <c r="P48" s="39">
        <v>0</v>
      </c>
      <c r="Q48" s="39">
        <v>160839</v>
      </c>
      <c r="R48" s="38"/>
      <c r="S48" s="39">
        <v>591894</v>
      </c>
      <c r="T48" s="39">
        <v>0</v>
      </c>
      <c r="U48" s="39">
        <v>591894</v>
      </c>
      <c r="V48" s="29"/>
      <c r="W48" s="29">
        <f>INDEX(SurtaxPayment!$C$6:$U$330,MATCH(PriorYear!$C48,SurtaxPayment!$C$6:$C$330,0),6)+INDEX(SurtaxPayment!$C$6:$U$330,MATCH(PriorYear!$C48,SurtaxPayment!$C$6:$C$330,0),7)</f>
        <v>3</v>
      </c>
      <c r="X48" s="29">
        <f t="shared" si="0"/>
        <v>0</v>
      </c>
      <c r="Y48" s="29">
        <f>INDEX(SurtaxPayment!$C$6:$U$330,MATCH(PriorYear!C48,SurtaxPayment!$C$6:$C$330,0),9)</f>
        <v>535364.92000000004</v>
      </c>
      <c r="Z48" s="66">
        <f t="shared" si="1"/>
        <v>0.24198749579520024</v>
      </c>
    </row>
    <row r="49" spans="1:26" x14ac:dyDescent="0.25">
      <c r="A49" s="52">
        <v>2023</v>
      </c>
      <c r="B49" s="52" t="s">
        <v>658</v>
      </c>
      <c r="C49" s="57" t="s">
        <v>359</v>
      </c>
      <c r="D49" s="58" t="s">
        <v>693</v>
      </c>
      <c r="E49" s="58" t="s">
        <v>693</v>
      </c>
      <c r="F49" s="58" t="s">
        <v>359</v>
      </c>
      <c r="G49" s="57" t="s">
        <v>701</v>
      </c>
      <c r="H49" s="39">
        <v>0</v>
      </c>
      <c r="I49" s="39">
        <v>0</v>
      </c>
      <c r="J49" s="38"/>
      <c r="K49" s="39">
        <v>0</v>
      </c>
      <c r="L49" s="39">
        <v>0</v>
      </c>
      <c r="M49" s="39">
        <v>0</v>
      </c>
      <c r="N49" s="38"/>
      <c r="O49" s="39">
        <v>0</v>
      </c>
      <c r="P49" s="39">
        <v>0</v>
      </c>
      <c r="Q49" s="39">
        <v>0</v>
      </c>
      <c r="R49" s="38"/>
      <c r="S49" s="39">
        <v>0</v>
      </c>
      <c r="T49" s="39">
        <v>0</v>
      </c>
      <c r="U49" s="39">
        <v>0</v>
      </c>
      <c r="V49" s="29"/>
      <c r="W49" s="29">
        <f>INDEX(SurtaxPayment!$C$6:$U$330,MATCH(PriorYear!$C49,SurtaxPayment!$C$6:$C$330,0),6)+INDEX(SurtaxPayment!$C$6:$U$330,MATCH(PriorYear!$C49,SurtaxPayment!$C$6:$C$330,0),7)</f>
        <v>1</v>
      </c>
      <c r="X49" s="29">
        <f t="shared" si="0"/>
        <v>1</v>
      </c>
      <c r="Y49" s="29">
        <f>INDEX(SurtaxPayment!$C$6:$U$330,MATCH(PriorYear!C49,SurtaxPayment!$C$6:$C$330,0),9)</f>
        <v>596078.9</v>
      </c>
      <c r="Z49" s="66">
        <f t="shared" si="1"/>
        <v>0</v>
      </c>
    </row>
    <row r="50" spans="1:26" x14ac:dyDescent="0.25">
      <c r="A50" s="52">
        <v>2023</v>
      </c>
      <c r="B50" s="52" t="s">
        <v>663</v>
      </c>
      <c r="C50" s="57" t="s">
        <v>360</v>
      </c>
      <c r="D50" s="58" t="s">
        <v>693</v>
      </c>
      <c r="E50" s="58" t="s">
        <v>693</v>
      </c>
      <c r="F50" s="58" t="s">
        <v>360</v>
      </c>
      <c r="G50" s="57" t="s">
        <v>47</v>
      </c>
      <c r="H50" s="39">
        <v>0</v>
      </c>
      <c r="I50" s="39">
        <v>5</v>
      </c>
      <c r="J50" s="38"/>
      <c r="K50" s="39">
        <v>6082188</v>
      </c>
      <c r="L50" s="39">
        <v>0</v>
      </c>
      <c r="M50" s="39">
        <v>6082188</v>
      </c>
      <c r="N50" s="38"/>
      <c r="O50" s="39">
        <v>2904113</v>
      </c>
      <c r="P50" s="39">
        <v>0</v>
      </c>
      <c r="Q50" s="39">
        <v>2904113</v>
      </c>
      <c r="R50" s="38"/>
      <c r="S50" s="39">
        <v>8986301</v>
      </c>
      <c r="T50" s="39">
        <v>0</v>
      </c>
      <c r="U50" s="39">
        <v>8986301</v>
      </c>
      <c r="V50" s="29"/>
      <c r="W50" s="29">
        <f>INDEX(SurtaxPayment!$C$6:$U$330,MATCH(PriorYear!$C50,SurtaxPayment!$C$6:$C$330,0),6)+INDEX(SurtaxPayment!$C$6:$U$330,MATCH(PriorYear!$C50,SurtaxPayment!$C$6:$C$330,0),7)</f>
        <v>5</v>
      </c>
      <c r="X50" s="29">
        <f t="shared" si="0"/>
        <v>0</v>
      </c>
      <c r="Y50" s="29">
        <f>INDEX(SurtaxPayment!$C$6:$U$330,MATCH(PriorYear!C50,SurtaxPayment!$C$6:$C$330,0),9)</f>
        <v>8052490.5300000003</v>
      </c>
      <c r="Z50" s="66">
        <f t="shared" si="1"/>
        <v>0.32394633806123724</v>
      </c>
    </row>
    <row r="51" spans="1:26" x14ac:dyDescent="0.25">
      <c r="A51" s="52">
        <v>2023</v>
      </c>
      <c r="B51" s="52" t="s">
        <v>663</v>
      </c>
      <c r="C51" s="57" t="s">
        <v>361</v>
      </c>
      <c r="D51" s="58" t="s">
        <v>693</v>
      </c>
      <c r="E51" s="58" t="s">
        <v>693</v>
      </c>
      <c r="F51" s="58" t="s">
        <v>361</v>
      </c>
      <c r="G51" s="57" t="s">
        <v>48</v>
      </c>
      <c r="H51" s="39">
        <v>0</v>
      </c>
      <c r="I51" s="39">
        <v>4</v>
      </c>
      <c r="J51" s="38"/>
      <c r="K51" s="39">
        <v>269165.25</v>
      </c>
      <c r="L51" s="39">
        <v>0</v>
      </c>
      <c r="M51" s="39">
        <v>269165.25</v>
      </c>
      <c r="N51" s="38"/>
      <c r="O51" s="39">
        <v>111604.75</v>
      </c>
      <c r="P51" s="39">
        <v>0</v>
      </c>
      <c r="Q51" s="39">
        <v>111604.75</v>
      </c>
      <c r="R51" s="38"/>
      <c r="S51" s="39">
        <v>380770</v>
      </c>
      <c r="T51" s="39">
        <v>0</v>
      </c>
      <c r="U51" s="39">
        <v>380770</v>
      </c>
      <c r="V51" s="29"/>
      <c r="W51" s="29">
        <f>INDEX(SurtaxPayment!$C$6:$U$330,MATCH(PriorYear!$C51,SurtaxPayment!$C$6:$C$330,0),6)+INDEX(SurtaxPayment!$C$6:$U$330,MATCH(PriorYear!$C51,SurtaxPayment!$C$6:$C$330,0),7)</f>
        <v>3</v>
      </c>
      <c r="X51" s="29">
        <f t="shared" si="0"/>
        <v>-1</v>
      </c>
      <c r="Y51" s="29">
        <f>INDEX(SurtaxPayment!$C$6:$U$330,MATCH(PriorYear!C51,SurtaxPayment!$C$6:$C$330,0),9)</f>
        <v>280990.03999999998</v>
      </c>
      <c r="Z51" s="66">
        <f t="shared" si="1"/>
        <v>4.393133957670977E-2</v>
      </c>
    </row>
    <row r="52" spans="1:26" x14ac:dyDescent="0.25">
      <c r="A52" s="52">
        <v>2023</v>
      </c>
      <c r="B52" s="52" t="s">
        <v>662</v>
      </c>
      <c r="C52" s="57" t="s">
        <v>362</v>
      </c>
      <c r="D52" s="58" t="s">
        <v>693</v>
      </c>
      <c r="E52" s="58" t="s">
        <v>693</v>
      </c>
      <c r="F52" s="58" t="s">
        <v>362</v>
      </c>
      <c r="G52" s="57" t="s">
        <v>49</v>
      </c>
      <c r="H52" s="39">
        <v>2</v>
      </c>
      <c r="I52" s="39">
        <v>3</v>
      </c>
      <c r="J52" s="38"/>
      <c r="K52" s="39">
        <v>238452.75</v>
      </c>
      <c r="L52" s="39">
        <v>95381.1</v>
      </c>
      <c r="M52" s="39">
        <v>143071.65</v>
      </c>
      <c r="N52" s="38"/>
      <c r="O52" s="39">
        <v>103456.25</v>
      </c>
      <c r="P52" s="39">
        <v>41382.5</v>
      </c>
      <c r="Q52" s="39">
        <v>62073.75</v>
      </c>
      <c r="R52" s="38"/>
      <c r="S52" s="39">
        <v>341909</v>
      </c>
      <c r="T52" s="39">
        <v>136763.6</v>
      </c>
      <c r="U52" s="39">
        <v>205145.4</v>
      </c>
      <c r="V52" s="29"/>
      <c r="W52" s="29">
        <f>INDEX(SurtaxPayment!$C$6:$U$330,MATCH(PriorYear!$C52,SurtaxPayment!$C$6:$C$330,0),6)+INDEX(SurtaxPayment!$C$6:$U$330,MATCH(PriorYear!$C52,SurtaxPayment!$C$6:$C$330,0),7)</f>
        <v>4</v>
      </c>
      <c r="X52" s="29">
        <f t="shared" si="0"/>
        <v>-1</v>
      </c>
      <c r="Y52" s="29">
        <f>INDEX(SurtaxPayment!$C$6:$U$330,MATCH(PriorYear!C52,SurtaxPayment!$C$6:$C$330,0),9)</f>
        <v>237972.17</v>
      </c>
      <c r="Z52" s="66">
        <f t="shared" si="1"/>
        <v>-2.0154097614726069E-3</v>
      </c>
    </row>
    <row r="53" spans="1:26" x14ac:dyDescent="0.25">
      <c r="A53" s="52">
        <v>2023</v>
      </c>
      <c r="B53" s="52" t="s">
        <v>663</v>
      </c>
      <c r="C53" s="57" t="s">
        <v>366</v>
      </c>
      <c r="D53" s="58" t="s">
        <v>693</v>
      </c>
      <c r="E53" s="58" t="s">
        <v>693</v>
      </c>
      <c r="F53" s="58" t="s">
        <v>366</v>
      </c>
      <c r="G53" s="57" t="s">
        <v>702</v>
      </c>
      <c r="H53" s="39">
        <v>0</v>
      </c>
      <c r="I53" s="39">
        <v>0</v>
      </c>
      <c r="J53" s="38"/>
      <c r="K53" s="39">
        <v>0</v>
      </c>
      <c r="L53" s="39">
        <v>0</v>
      </c>
      <c r="M53" s="39">
        <v>0</v>
      </c>
      <c r="N53" s="38"/>
      <c r="O53" s="39">
        <v>0</v>
      </c>
      <c r="P53" s="39">
        <v>0</v>
      </c>
      <c r="Q53" s="39">
        <v>0</v>
      </c>
      <c r="R53" s="38"/>
      <c r="S53" s="39">
        <v>0</v>
      </c>
      <c r="T53" s="39">
        <v>0</v>
      </c>
      <c r="U53" s="39">
        <v>0</v>
      </c>
      <c r="V53" s="29"/>
      <c r="W53" s="29">
        <f>INDEX(SurtaxPayment!$C$6:$U$330,MATCH(PriorYear!$C53,SurtaxPayment!$C$6:$C$330,0),6)+INDEX(SurtaxPayment!$C$6:$U$330,MATCH(PriorYear!$C53,SurtaxPayment!$C$6:$C$330,0),7)</f>
        <v>0</v>
      </c>
      <c r="X53" s="29">
        <f t="shared" si="0"/>
        <v>0</v>
      </c>
      <c r="Y53" s="29">
        <f>INDEX(SurtaxPayment!$C$6:$U$330,MATCH(PriorYear!C53,SurtaxPayment!$C$6:$C$330,0),9)</f>
        <v>0</v>
      </c>
      <c r="Z53" s="66">
        <f t="shared" si="1"/>
        <v>0</v>
      </c>
    </row>
    <row r="54" spans="1:26" x14ac:dyDescent="0.25">
      <c r="A54" s="52">
        <v>2023</v>
      </c>
      <c r="B54" s="52" t="s">
        <v>665</v>
      </c>
      <c r="C54" s="57" t="s">
        <v>364</v>
      </c>
      <c r="D54" s="58" t="s">
        <v>693</v>
      </c>
      <c r="E54" s="58" t="s">
        <v>693</v>
      </c>
      <c r="F54" s="58" t="s">
        <v>364</v>
      </c>
      <c r="G54" s="57" t="s">
        <v>50</v>
      </c>
      <c r="H54" s="39">
        <v>0</v>
      </c>
      <c r="I54" s="39">
        <v>1</v>
      </c>
      <c r="J54" s="38"/>
      <c r="K54" s="39">
        <v>24924.75</v>
      </c>
      <c r="L54" s="39">
        <v>0</v>
      </c>
      <c r="M54" s="39">
        <v>24924.75</v>
      </c>
      <c r="N54" s="38"/>
      <c r="O54" s="39">
        <v>10301.25</v>
      </c>
      <c r="P54" s="39">
        <v>0</v>
      </c>
      <c r="Q54" s="39">
        <v>10301.25</v>
      </c>
      <c r="R54" s="38"/>
      <c r="S54" s="39">
        <v>35226</v>
      </c>
      <c r="T54" s="39">
        <v>0</v>
      </c>
      <c r="U54" s="39">
        <v>35226</v>
      </c>
      <c r="V54" s="29"/>
      <c r="W54" s="29">
        <f>INDEX(SurtaxPayment!$C$6:$U$330,MATCH(PriorYear!$C54,SurtaxPayment!$C$6:$C$330,0),6)+INDEX(SurtaxPayment!$C$6:$U$330,MATCH(PriorYear!$C54,SurtaxPayment!$C$6:$C$330,0),7)</f>
        <v>1</v>
      </c>
      <c r="X54" s="29">
        <f t="shared" si="0"/>
        <v>0</v>
      </c>
      <c r="Y54" s="29">
        <f>INDEX(SurtaxPayment!$C$6:$U$330,MATCH(PriorYear!C54,SurtaxPayment!$C$6:$C$330,0),9)</f>
        <v>30515.5</v>
      </c>
      <c r="Z54" s="66">
        <f t="shared" si="1"/>
        <v>0.22430515852716676</v>
      </c>
    </row>
    <row r="55" spans="1:26" x14ac:dyDescent="0.25">
      <c r="A55" s="52">
        <v>2023</v>
      </c>
      <c r="B55" s="52" t="s">
        <v>666</v>
      </c>
      <c r="C55" s="57" t="s">
        <v>365</v>
      </c>
      <c r="D55" s="58" t="s">
        <v>693</v>
      </c>
      <c r="E55" s="58" t="s">
        <v>693</v>
      </c>
      <c r="F55" s="58" t="s">
        <v>365</v>
      </c>
      <c r="G55" s="57" t="s">
        <v>51</v>
      </c>
      <c r="H55" s="39">
        <v>0</v>
      </c>
      <c r="I55" s="39">
        <v>7</v>
      </c>
      <c r="J55" s="38"/>
      <c r="K55" s="39">
        <v>629805.75</v>
      </c>
      <c r="L55" s="39">
        <v>0</v>
      </c>
      <c r="M55" s="39">
        <v>629805.75</v>
      </c>
      <c r="N55" s="38"/>
      <c r="O55" s="39">
        <v>243617.25</v>
      </c>
      <c r="P55" s="39">
        <v>0</v>
      </c>
      <c r="Q55" s="39">
        <v>243617.25</v>
      </c>
      <c r="R55" s="38"/>
      <c r="S55" s="39">
        <v>873423</v>
      </c>
      <c r="T55" s="39">
        <v>0</v>
      </c>
      <c r="U55" s="39">
        <v>873423</v>
      </c>
      <c r="V55" s="29"/>
      <c r="W55" s="29">
        <f>INDEX(SurtaxPayment!$C$6:$U$330,MATCH(PriorYear!$C55,SurtaxPayment!$C$6:$C$330,0),6)+INDEX(SurtaxPayment!$C$6:$U$330,MATCH(PriorYear!$C55,SurtaxPayment!$C$6:$C$330,0),7)</f>
        <v>7</v>
      </c>
      <c r="X55" s="29">
        <f t="shared" si="0"/>
        <v>0</v>
      </c>
      <c r="Y55" s="29">
        <f>INDEX(SurtaxPayment!$C$6:$U$330,MATCH(PriorYear!C55,SurtaxPayment!$C$6:$C$330,0),9)</f>
        <v>779769.63</v>
      </c>
      <c r="Z55" s="66">
        <f t="shared" si="1"/>
        <v>0.23811132241965083</v>
      </c>
    </row>
    <row r="56" spans="1:26" x14ac:dyDescent="0.25">
      <c r="A56" s="52">
        <v>2023</v>
      </c>
      <c r="B56" s="52" t="s">
        <v>659</v>
      </c>
      <c r="C56" s="57" t="s">
        <v>367</v>
      </c>
      <c r="D56" s="58" t="s">
        <v>693</v>
      </c>
      <c r="E56" s="58" t="s">
        <v>693</v>
      </c>
      <c r="F56" s="58" t="s">
        <v>367</v>
      </c>
      <c r="G56" s="57" t="s">
        <v>52</v>
      </c>
      <c r="H56" s="39">
        <v>0</v>
      </c>
      <c r="I56" s="39">
        <v>1</v>
      </c>
      <c r="J56" s="38"/>
      <c r="K56" s="39">
        <v>21381</v>
      </c>
      <c r="L56" s="39">
        <v>0</v>
      </c>
      <c r="M56" s="39">
        <v>21381</v>
      </c>
      <c r="N56" s="38"/>
      <c r="O56" s="39">
        <v>8072</v>
      </c>
      <c r="P56" s="39">
        <v>0</v>
      </c>
      <c r="Q56" s="39">
        <v>8072</v>
      </c>
      <c r="R56" s="38"/>
      <c r="S56" s="39">
        <v>29453</v>
      </c>
      <c r="T56" s="39">
        <v>0</v>
      </c>
      <c r="U56" s="39">
        <v>29453</v>
      </c>
      <c r="V56" s="29"/>
      <c r="W56" s="29">
        <f>INDEX(SurtaxPayment!$C$6:$U$330,MATCH(PriorYear!$C56,SurtaxPayment!$C$6:$C$330,0),6)+INDEX(SurtaxPayment!$C$6:$U$330,MATCH(PriorYear!$C56,SurtaxPayment!$C$6:$C$330,0),7)</f>
        <v>1</v>
      </c>
      <c r="X56" s="29">
        <f t="shared" si="0"/>
        <v>0</v>
      </c>
      <c r="Y56" s="29">
        <f>INDEX(SurtaxPayment!$C$6:$U$330,MATCH(PriorYear!C56,SurtaxPayment!$C$6:$C$330,0),9)</f>
        <v>28036.51</v>
      </c>
      <c r="Z56" s="66">
        <f t="shared" si="1"/>
        <v>0.31128151162246848</v>
      </c>
    </row>
    <row r="57" spans="1:26" x14ac:dyDescent="0.25">
      <c r="A57" s="52">
        <v>2023</v>
      </c>
      <c r="B57" s="52" t="s">
        <v>662</v>
      </c>
      <c r="C57" s="57" t="s">
        <v>363</v>
      </c>
      <c r="D57" s="58" t="s">
        <v>693</v>
      </c>
      <c r="E57" s="58" t="s">
        <v>693</v>
      </c>
      <c r="F57" s="58" t="s">
        <v>363</v>
      </c>
      <c r="G57" s="57" t="s">
        <v>53</v>
      </c>
      <c r="H57" s="39">
        <v>0</v>
      </c>
      <c r="I57" s="39">
        <v>5</v>
      </c>
      <c r="J57" s="38"/>
      <c r="K57" s="39">
        <v>190911.75</v>
      </c>
      <c r="L57" s="39">
        <v>0</v>
      </c>
      <c r="M57" s="39">
        <v>190911.75</v>
      </c>
      <c r="N57" s="38"/>
      <c r="O57" s="39">
        <v>69367.25</v>
      </c>
      <c r="P57" s="39">
        <v>0</v>
      </c>
      <c r="Q57" s="39">
        <v>69367.25</v>
      </c>
      <c r="R57" s="38"/>
      <c r="S57" s="39">
        <v>260279</v>
      </c>
      <c r="T57" s="39">
        <v>0</v>
      </c>
      <c r="U57" s="39">
        <v>260279</v>
      </c>
      <c r="V57" s="29"/>
      <c r="W57" s="29">
        <f>INDEX(SurtaxPayment!$C$6:$U$330,MATCH(PriorYear!$C57,SurtaxPayment!$C$6:$C$330,0),6)+INDEX(SurtaxPayment!$C$6:$U$330,MATCH(PriorYear!$C57,SurtaxPayment!$C$6:$C$330,0),7)</f>
        <v>3</v>
      </c>
      <c r="X57" s="29">
        <f t="shared" si="0"/>
        <v>-2</v>
      </c>
      <c r="Y57" s="29">
        <f>INDEX(SurtaxPayment!$C$6:$U$330,MATCH(PriorYear!C57,SurtaxPayment!$C$6:$C$330,0),9)</f>
        <v>137013.59</v>
      </c>
      <c r="Z57" s="66">
        <f t="shared" si="1"/>
        <v>-0.28231976292711164</v>
      </c>
    </row>
    <row r="58" spans="1:26" x14ac:dyDescent="0.25">
      <c r="A58" s="52">
        <v>2023</v>
      </c>
      <c r="B58" s="52" t="s">
        <v>660</v>
      </c>
      <c r="C58" s="57" t="s">
        <v>368</v>
      </c>
      <c r="D58" s="58" t="s">
        <v>693</v>
      </c>
      <c r="E58" s="58" t="s">
        <v>693</v>
      </c>
      <c r="F58" s="58" t="s">
        <v>368</v>
      </c>
      <c r="G58" s="57" t="s">
        <v>54</v>
      </c>
      <c r="H58" s="39">
        <v>0</v>
      </c>
      <c r="I58" s="39">
        <v>8</v>
      </c>
      <c r="J58" s="38"/>
      <c r="K58" s="39">
        <v>333594</v>
      </c>
      <c r="L58" s="39">
        <v>0</v>
      </c>
      <c r="M58" s="39">
        <v>333594</v>
      </c>
      <c r="N58" s="38"/>
      <c r="O58" s="39">
        <v>130082</v>
      </c>
      <c r="P58" s="39">
        <v>0</v>
      </c>
      <c r="Q58" s="39">
        <v>130082</v>
      </c>
      <c r="R58" s="38"/>
      <c r="S58" s="39">
        <v>463676</v>
      </c>
      <c r="T58" s="39">
        <v>0</v>
      </c>
      <c r="U58" s="39">
        <v>463676</v>
      </c>
      <c r="V58" s="29"/>
      <c r="W58" s="29">
        <f>INDEX(SurtaxPayment!$C$6:$U$330,MATCH(PriorYear!$C58,SurtaxPayment!$C$6:$C$330,0),6)+INDEX(SurtaxPayment!$C$6:$U$330,MATCH(PriorYear!$C58,SurtaxPayment!$C$6:$C$330,0),7)</f>
        <v>4</v>
      </c>
      <c r="X58" s="29">
        <f t="shared" si="0"/>
        <v>-4</v>
      </c>
      <c r="Y58" s="29">
        <f>INDEX(SurtaxPayment!$C$6:$U$330,MATCH(PriorYear!C58,SurtaxPayment!$C$6:$C$330,0),9)</f>
        <v>256821.59</v>
      </c>
      <c r="Z58" s="66">
        <f t="shared" si="1"/>
        <v>-0.23013726266059942</v>
      </c>
    </row>
    <row r="59" spans="1:26" x14ac:dyDescent="0.25">
      <c r="A59" s="52">
        <v>2023</v>
      </c>
      <c r="B59" s="52" t="s">
        <v>658</v>
      </c>
      <c r="C59" s="57" t="s">
        <v>519</v>
      </c>
      <c r="D59" s="58" t="s">
        <v>693</v>
      </c>
      <c r="E59" s="58" t="s">
        <v>693</v>
      </c>
      <c r="F59" s="58" t="s">
        <v>519</v>
      </c>
      <c r="G59" s="57" t="s">
        <v>55</v>
      </c>
      <c r="H59" s="39">
        <v>0</v>
      </c>
      <c r="I59" s="39">
        <v>7</v>
      </c>
      <c r="J59" s="38"/>
      <c r="K59" s="39">
        <v>295212.75</v>
      </c>
      <c r="L59" s="39">
        <v>0</v>
      </c>
      <c r="M59" s="39">
        <v>295212.75</v>
      </c>
      <c r="N59" s="38"/>
      <c r="O59" s="39">
        <v>114406.25</v>
      </c>
      <c r="P59" s="39">
        <v>0</v>
      </c>
      <c r="Q59" s="39">
        <v>114406.25</v>
      </c>
      <c r="R59" s="38"/>
      <c r="S59" s="39">
        <v>409619</v>
      </c>
      <c r="T59" s="39">
        <v>0</v>
      </c>
      <c r="U59" s="39">
        <v>409619</v>
      </c>
      <c r="V59" s="29"/>
      <c r="W59" s="29">
        <f>INDEX(SurtaxPayment!$C$6:$U$330,MATCH(PriorYear!$C59,SurtaxPayment!$C$6:$C$330,0),6)+INDEX(SurtaxPayment!$C$6:$U$330,MATCH(PriorYear!$C59,SurtaxPayment!$C$6:$C$330,0),7)</f>
        <v>7</v>
      </c>
      <c r="X59" s="29">
        <f t="shared" si="0"/>
        <v>0</v>
      </c>
      <c r="Y59" s="29">
        <f>INDEX(SurtaxPayment!$C$6:$U$330,MATCH(PriorYear!C59,SurtaxPayment!$C$6:$C$330,0),9)</f>
        <v>349913.92</v>
      </c>
      <c r="Z59" s="66">
        <f t="shared" si="1"/>
        <v>0.1852940633492286</v>
      </c>
    </row>
    <row r="60" spans="1:26" x14ac:dyDescent="0.25">
      <c r="A60" s="52">
        <v>2023</v>
      </c>
      <c r="B60" s="52" t="s">
        <v>662</v>
      </c>
      <c r="C60" s="57" t="s">
        <v>369</v>
      </c>
      <c r="D60" s="58" t="s">
        <v>693</v>
      </c>
      <c r="E60" s="58" t="s">
        <v>693</v>
      </c>
      <c r="F60" s="58" t="s">
        <v>369</v>
      </c>
      <c r="G60" s="57" t="s">
        <v>56</v>
      </c>
      <c r="H60" s="39">
        <v>1</v>
      </c>
      <c r="I60" s="39">
        <v>1</v>
      </c>
      <c r="J60" s="38"/>
      <c r="K60" s="39">
        <v>108854.25</v>
      </c>
      <c r="L60" s="39">
        <v>54427.13</v>
      </c>
      <c r="M60" s="39">
        <v>54427.12</v>
      </c>
      <c r="N60" s="38"/>
      <c r="O60" s="39">
        <v>41429.75</v>
      </c>
      <c r="P60" s="39">
        <v>20714.88</v>
      </c>
      <c r="Q60" s="39">
        <v>20714.87</v>
      </c>
      <c r="R60" s="38"/>
      <c r="S60" s="39">
        <v>150284</v>
      </c>
      <c r="T60" s="39">
        <v>75142.009999999995</v>
      </c>
      <c r="U60" s="39">
        <v>75141.990000000005</v>
      </c>
      <c r="V60" s="29"/>
      <c r="W60" s="29">
        <f>INDEX(SurtaxPayment!$C$6:$U$330,MATCH(PriorYear!$C60,SurtaxPayment!$C$6:$C$330,0),6)+INDEX(SurtaxPayment!$C$6:$U$330,MATCH(PriorYear!$C60,SurtaxPayment!$C$6:$C$330,0),7)</f>
        <v>2</v>
      </c>
      <c r="X60" s="29">
        <f t="shared" si="0"/>
        <v>0</v>
      </c>
      <c r="Y60" s="29">
        <f>INDEX(SurtaxPayment!$C$6:$U$330,MATCH(PriorYear!C60,SurtaxPayment!$C$6:$C$330,0),9)</f>
        <v>133679.54</v>
      </c>
      <c r="Z60" s="66">
        <f t="shared" si="1"/>
        <v>0.22805990579145977</v>
      </c>
    </row>
    <row r="61" spans="1:26" x14ac:dyDescent="0.25">
      <c r="A61" s="52">
        <v>2023</v>
      </c>
      <c r="B61" s="52" t="s">
        <v>658</v>
      </c>
      <c r="C61" s="57" t="s">
        <v>370</v>
      </c>
      <c r="D61" s="58" t="s">
        <v>693</v>
      </c>
      <c r="E61" s="58" t="s">
        <v>693</v>
      </c>
      <c r="F61" s="58" t="s">
        <v>370</v>
      </c>
      <c r="G61" s="57" t="s">
        <v>57</v>
      </c>
      <c r="H61" s="39">
        <v>1</v>
      </c>
      <c r="I61" s="39">
        <v>6</v>
      </c>
      <c r="J61" s="38"/>
      <c r="K61" s="39">
        <v>631609.5</v>
      </c>
      <c r="L61" s="39">
        <v>90229.93</v>
      </c>
      <c r="M61" s="39">
        <v>541379.57000000007</v>
      </c>
      <c r="N61" s="38"/>
      <c r="O61" s="39">
        <v>259397.5</v>
      </c>
      <c r="P61" s="39">
        <v>37056.79</v>
      </c>
      <c r="Q61" s="39">
        <v>222340.71</v>
      </c>
      <c r="R61" s="38"/>
      <c r="S61" s="39">
        <v>891007</v>
      </c>
      <c r="T61" s="39">
        <v>127286.72</v>
      </c>
      <c r="U61" s="39">
        <v>763720.28</v>
      </c>
      <c r="V61" s="29"/>
      <c r="W61" s="29">
        <f>INDEX(SurtaxPayment!$C$6:$U$330,MATCH(PriorYear!$C61,SurtaxPayment!$C$6:$C$330,0),6)+INDEX(SurtaxPayment!$C$6:$U$330,MATCH(PriorYear!$C61,SurtaxPayment!$C$6:$C$330,0),7)</f>
        <v>7</v>
      </c>
      <c r="X61" s="29">
        <f t="shared" si="0"/>
        <v>0</v>
      </c>
      <c r="Y61" s="29">
        <f>INDEX(SurtaxPayment!$C$6:$U$330,MATCH(PriorYear!C61,SurtaxPayment!$C$6:$C$330,0),9)</f>
        <v>685657.35</v>
      </c>
      <c r="Z61" s="66">
        <f t="shared" si="1"/>
        <v>8.5571622972738653E-2</v>
      </c>
    </row>
    <row r="62" spans="1:26" x14ac:dyDescent="0.25">
      <c r="A62" s="52">
        <v>2023</v>
      </c>
      <c r="B62" s="52" t="s">
        <v>660</v>
      </c>
      <c r="C62" s="57" t="s">
        <v>371</v>
      </c>
      <c r="D62" s="58" t="s">
        <v>693</v>
      </c>
      <c r="E62" s="58" t="s">
        <v>693</v>
      </c>
      <c r="F62" s="58" t="s">
        <v>371</v>
      </c>
      <c r="G62" s="57" t="s">
        <v>58</v>
      </c>
      <c r="H62" s="39">
        <v>1</v>
      </c>
      <c r="I62" s="39">
        <v>1</v>
      </c>
      <c r="J62" s="38"/>
      <c r="K62" s="39">
        <v>26938.5</v>
      </c>
      <c r="L62" s="39">
        <v>13469.25</v>
      </c>
      <c r="M62" s="39">
        <v>13469.25</v>
      </c>
      <c r="N62" s="38"/>
      <c r="O62" s="39">
        <v>9392.5</v>
      </c>
      <c r="P62" s="39">
        <v>4696.25</v>
      </c>
      <c r="Q62" s="39">
        <v>4696.25</v>
      </c>
      <c r="R62" s="38"/>
      <c r="S62" s="39">
        <v>36331</v>
      </c>
      <c r="T62" s="39">
        <v>18165.5</v>
      </c>
      <c r="U62" s="39">
        <v>18165.5</v>
      </c>
      <c r="V62" s="29"/>
      <c r="W62" s="29">
        <f>INDEX(SurtaxPayment!$C$6:$U$330,MATCH(PriorYear!$C62,SurtaxPayment!$C$6:$C$330,0),6)+INDEX(SurtaxPayment!$C$6:$U$330,MATCH(PriorYear!$C62,SurtaxPayment!$C$6:$C$330,0),7)</f>
        <v>2</v>
      </c>
      <c r="X62" s="29">
        <f t="shared" si="0"/>
        <v>0</v>
      </c>
      <c r="Y62" s="29">
        <f>INDEX(SurtaxPayment!$C$6:$U$330,MATCH(PriorYear!C62,SurtaxPayment!$C$6:$C$330,0),9)</f>
        <v>31007.55</v>
      </c>
      <c r="Z62" s="66">
        <f t="shared" si="1"/>
        <v>0.15104961300740574</v>
      </c>
    </row>
    <row r="63" spans="1:26" x14ac:dyDescent="0.25">
      <c r="A63" s="52">
        <v>2023</v>
      </c>
      <c r="B63" s="52" t="s">
        <v>660</v>
      </c>
      <c r="C63" s="57" t="s">
        <v>372</v>
      </c>
      <c r="D63" s="58" t="s">
        <v>693</v>
      </c>
      <c r="E63" s="58" t="s">
        <v>693</v>
      </c>
      <c r="F63" s="58" t="s">
        <v>372</v>
      </c>
      <c r="G63" s="57" t="s">
        <v>59</v>
      </c>
      <c r="H63" s="39">
        <v>0</v>
      </c>
      <c r="I63" s="39">
        <v>5</v>
      </c>
      <c r="J63" s="38"/>
      <c r="K63" s="39">
        <v>240005.25</v>
      </c>
      <c r="L63" s="39">
        <v>0</v>
      </c>
      <c r="M63" s="39">
        <v>240005.25</v>
      </c>
      <c r="N63" s="38"/>
      <c r="O63" s="39">
        <v>91531.75</v>
      </c>
      <c r="P63" s="39">
        <v>0</v>
      </c>
      <c r="Q63" s="39">
        <v>91531.75</v>
      </c>
      <c r="R63" s="38"/>
      <c r="S63" s="39">
        <v>331537</v>
      </c>
      <c r="T63" s="39">
        <v>0</v>
      </c>
      <c r="U63" s="39">
        <v>331537</v>
      </c>
      <c r="V63" s="29"/>
      <c r="W63" s="29">
        <f>INDEX(SurtaxPayment!$C$6:$U$330,MATCH(PriorYear!$C63,SurtaxPayment!$C$6:$C$330,0),6)+INDEX(SurtaxPayment!$C$6:$U$330,MATCH(PriorYear!$C63,SurtaxPayment!$C$6:$C$330,0),7)</f>
        <v>3</v>
      </c>
      <c r="X63" s="29">
        <f t="shared" si="0"/>
        <v>-2</v>
      </c>
      <c r="Y63" s="29">
        <f>INDEX(SurtaxPayment!$C$6:$U$330,MATCH(PriorYear!C63,SurtaxPayment!$C$6:$C$330,0),9)</f>
        <v>183052.42</v>
      </c>
      <c r="Z63" s="66">
        <f t="shared" si="1"/>
        <v>-0.23729826743373317</v>
      </c>
    </row>
    <row r="64" spans="1:26" x14ac:dyDescent="0.25">
      <c r="A64" s="52">
        <v>2023</v>
      </c>
      <c r="B64" s="52" t="s">
        <v>659</v>
      </c>
      <c r="C64" s="57" t="s">
        <v>373</v>
      </c>
      <c r="D64" s="58" t="s">
        <v>693</v>
      </c>
      <c r="E64" s="58" t="s">
        <v>693</v>
      </c>
      <c r="F64" s="58" t="s">
        <v>373</v>
      </c>
      <c r="G64" s="57" t="s">
        <v>60</v>
      </c>
      <c r="H64" s="39">
        <v>0</v>
      </c>
      <c r="I64" s="39">
        <v>8</v>
      </c>
      <c r="J64" s="38"/>
      <c r="K64" s="39">
        <v>350529.75</v>
      </c>
      <c r="L64" s="39">
        <v>0</v>
      </c>
      <c r="M64" s="39">
        <v>350529.75</v>
      </c>
      <c r="N64" s="38"/>
      <c r="O64" s="39">
        <v>131674.25</v>
      </c>
      <c r="P64" s="39">
        <v>0</v>
      </c>
      <c r="Q64" s="39">
        <v>131674.25</v>
      </c>
      <c r="R64" s="38"/>
      <c r="S64" s="39">
        <v>482204</v>
      </c>
      <c r="T64" s="39">
        <v>0</v>
      </c>
      <c r="U64" s="39">
        <v>482204</v>
      </c>
      <c r="V64" s="29"/>
      <c r="W64" s="29">
        <f>INDEX(SurtaxPayment!$C$6:$U$330,MATCH(PriorYear!$C64,SurtaxPayment!$C$6:$C$330,0),6)+INDEX(SurtaxPayment!$C$6:$U$330,MATCH(PriorYear!$C64,SurtaxPayment!$C$6:$C$330,0),7)</f>
        <v>3</v>
      </c>
      <c r="X64" s="29">
        <f t="shared" si="0"/>
        <v>-5</v>
      </c>
      <c r="Y64" s="29">
        <f>INDEX(SurtaxPayment!$C$6:$U$330,MATCH(PriorYear!C64,SurtaxPayment!$C$6:$C$330,0),9)</f>
        <v>164439.71</v>
      </c>
      <c r="Z64" s="66">
        <f t="shared" si="1"/>
        <v>-0.53088230028977568</v>
      </c>
    </row>
    <row r="65" spans="1:26" x14ac:dyDescent="0.25">
      <c r="A65" s="52">
        <v>2023</v>
      </c>
      <c r="B65" s="52" t="s">
        <v>661</v>
      </c>
      <c r="C65" s="57" t="s">
        <v>374</v>
      </c>
      <c r="D65" s="58" t="s">
        <v>667</v>
      </c>
      <c r="E65" s="58" t="s">
        <v>693</v>
      </c>
      <c r="F65" s="58" t="s">
        <v>374</v>
      </c>
      <c r="G65" s="57" t="s">
        <v>703</v>
      </c>
      <c r="H65" s="39">
        <v>0</v>
      </c>
      <c r="I65" s="39">
        <v>8</v>
      </c>
      <c r="J65" s="38"/>
      <c r="K65" s="39">
        <v>323358</v>
      </c>
      <c r="L65" s="39">
        <v>0</v>
      </c>
      <c r="M65" s="39">
        <v>323358</v>
      </c>
      <c r="N65" s="38"/>
      <c r="O65" s="39">
        <v>141614</v>
      </c>
      <c r="P65" s="39">
        <v>0</v>
      </c>
      <c r="Q65" s="39">
        <v>141614</v>
      </c>
      <c r="R65" s="38"/>
      <c r="S65" s="39">
        <v>464972</v>
      </c>
      <c r="T65" s="39">
        <v>0</v>
      </c>
      <c r="U65" s="39">
        <v>464972</v>
      </c>
      <c r="V65" s="29"/>
      <c r="W65" s="29">
        <f>INDEX(SurtaxPayment!$C$6:$U$330,MATCH(PriorYear!$C65,SurtaxPayment!$C$6:$C$330,0),6)+INDEX(SurtaxPayment!$C$6:$U$330,MATCH(PriorYear!$C65,SurtaxPayment!$C$6:$C$330,0),7)</f>
        <v>8</v>
      </c>
      <c r="X65" s="29">
        <f t="shared" si="0"/>
        <v>0</v>
      </c>
      <c r="Y65" s="29">
        <f>INDEX(SurtaxPayment!$C$6:$U$330,MATCH(PriorYear!C65,SurtaxPayment!$C$6:$C$330,0),9)</f>
        <v>420097.09</v>
      </c>
      <c r="Z65" s="66">
        <f t="shared" si="1"/>
        <v>0.29917023855912034</v>
      </c>
    </row>
    <row r="66" spans="1:26" x14ac:dyDescent="0.25">
      <c r="A66" s="52">
        <v>2023</v>
      </c>
      <c r="B66" s="52" t="s">
        <v>659</v>
      </c>
      <c r="C66" s="57" t="s">
        <v>375</v>
      </c>
      <c r="D66" s="58" t="s">
        <v>693</v>
      </c>
      <c r="E66" s="58" t="s">
        <v>693</v>
      </c>
      <c r="F66" s="58" t="s">
        <v>375</v>
      </c>
      <c r="G66" s="57" t="s">
        <v>61</v>
      </c>
      <c r="H66" s="39">
        <v>5</v>
      </c>
      <c r="I66" s="39">
        <v>0</v>
      </c>
      <c r="J66" s="38"/>
      <c r="K66" s="39">
        <v>255342.75</v>
      </c>
      <c r="L66" s="39">
        <v>255342.75</v>
      </c>
      <c r="M66" s="39">
        <v>0</v>
      </c>
      <c r="N66" s="38"/>
      <c r="O66" s="39">
        <v>95106.25</v>
      </c>
      <c r="P66" s="39">
        <v>95106.25</v>
      </c>
      <c r="Q66" s="39">
        <v>0</v>
      </c>
      <c r="R66" s="38"/>
      <c r="S66" s="39">
        <v>350449</v>
      </c>
      <c r="T66" s="39">
        <v>350449</v>
      </c>
      <c r="U66" s="39">
        <v>0</v>
      </c>
      <c r="V66" s="29"/>
      <c r="W66" s="29">
        <f>INDEX(SurtaxPayment!$C$6:$U$330,MATCH(PriorYear!$C66,SurtaxPayment!$C$6:$C$330,0),6)+INDEX(SurtaxPayment!$C$6:$U$330,MATCH(PriorYear!$C66,SurtaxPayment!$C$6:$C$330,0),7)</f>
        <v>17</v>
      </c>
      <c r="X66" s="29">
        <f t="shared" si="0"/>
        <v>12</v>
      </c>
      <c r="Y66" s="29">
        <f>INDEX(SurtaxPayment!$C$6:$U$330,MATCH(PriorYear!C66,SurtaxPayment!$C$6:$C$330,0),9)</f>
        <v>1058377.8600000001</v>
      </c>
      <c r="Z66" s="66">
        <f t="shared" si="1"/>
        <v>3.1449301380203671</v>
      </c>
    </row>
    <row r="67" spans="1:26" x14ac:dyDescent="0.25">
      <c r="A67" s="52">
        <v>2023</v>
      </c>
      <c r="B67" s="52" t="s">
        <v>658</v>
      </c>
      <c r="C67" s="57" t="s">
        <v>376</v>
      </c>
      <c r="D67" s="58" t="s">
        <v>693</v>
      </c>
      <c r="E67" s="58" t="s">
        <v>693</v>
      </c>
      <c r="F67" s="58" t="s">
        <v>376</v>
      </c>
      <c r="G67" s="57" t="s">
        <v>62</v>
      </c>
      <c r="H67" s="39">
        <v>1</v>
      </c>
      <c r="I67" s="39">
        <v>2</v>
      </c>
      <c r="J67" s="38"/>
      <c r="K67" s="39">
        <v>43019.25</v>
      </c>
      <c r="L67" s="39">
        <v>14339.75</v>
      </c>
      <c r="M67" s="39">
        <v>28679.5</v>
      </c>
      <c r="N67" s="38"/>
      <c r="O67" s="39">
        <v>16140.75</v>
      </c>
      <c r="P67" s="39">
        <v>5380.25</v>
      </c>
      <c r="Q67" s="39">
        <v>10760.5</v>
      </c>
      <c r="R67" s="38"/>
      <c r="S67" s="39">
        <v>59160</v>
      </c>
      <c r="T67" s="39">
        <v>19720</v>
      </c>
      <c r="U67" s="39">
        <v>39440</v>
      </c>
      <c r="V67" s="29"/>
      <c r="W67" s="29">
        <f>INDEX(SurtaxPayment!$C$6:$U$330,MATCH(PriorYear!$C67,SurtaxPayment!$C$6:$C$330,0),6)+INDEX(SurtaxPayment!$C$6:$U$330,MATCH(PriorYear!$C67,SurtaxPayment!$C$6:$C$330,0),7)</f>
        <v>3</v>
      </c>
      <c r="X67" s="29">
        <f t="shared" si="0"/>
        <v>0</v>
      </c>
      <c r="Y67" s="29">
        <f>INDEX(SurtaxPayment!$C$6:$U$330,MATCH(PriorYear!C67,SurtaxPayment!$C$6:$C$330,0),9)</f>
        <v>52545.47</v>
      </c>
      <c r="Z67" s="66">
        <f t="shared" si="1"/>
        <v>0.22144086658879458</v>
      </c>
    </row>
    <row r="68" spans="1:26" x14ac:dyDescent="0.25">
      <c r="A68" s="52">
        <v>2023</v>
      </c>
      <c r="B68" s="52" t="s">
        <v>661</v>
      </c>
      <c r="C68" s="57" t="s">
        <v>377</v>
      </c>
      <c r="D68" s="58" t="s">
        <v>693</v>
      </c>
      <c r="E68" s="58" t="s">
        <v>693</v>
      </c>
      <c r="F68" s="58" t="s">
        <v>377</v>
      </c>
      <c r="G68" s="57" t="s">
        <v>63</v>
      </c>
      <c r="H68" s="39">
        <v>0</v>
      </c>
      <c r="I68" s="39">
        <v>1</v>
      </c>
      <c r="J68" s="38"/>
      <c r="K68" s="39">
        <v>18555.75</v>
      </c>
      <c r="L68" s="39">
        <v>0</v>
      </c>
      <c r="M68" s="39">
        <v>18555.75</v>
      </c>
      <c r="N68" s="38"/>
      <c r="O68" s="39">
        <v>6642.25</v>
      </c>
      <c r="P68" s="39">
        <v>0</v>
      </c>
      <c r="Q68" s="39">
        <v>6642.25</v>
      </c>
      <c r="R68" s="38"/>
      <c r="S68" s="39">
        <v>25198</v>
      </c>
      <c r="T68" s="39">
        <v>0</v>
      </c>
      <c r="U68" s="39">
        <v>25198</v>
      </c>
      <c r="V68" s="29"/>
      <c r="W68" s="29">
        <f>INDEX(SurtaxPayment!$C$6:$U$330,MATCH(PriorYear!$C68,SurtaxPayment!$C$6:$C$330,0),6)+INDEX(SurtaxPayment!$C$6:$U$330,MATCH(PriorYear!$C68,SurtaxPayment!$C$6:$C$330,0),7)</f>
        <v>1</v>
      </c>
      <c r="X68" s="29">
        <f t="shared" si="0"/>
        <v>0</v>
      </c>
      <c r="Y68" s="29">
        <f>INDEX(SurtaxPayment!$C$6:$U$330,MATCH(PriorYear!C68,SurtaxPayment!$C$6:$C$330,0),9)</f>
        <v>22668.7</v>
      </c>
      <c r="Z68" s="66">
        <f t="shared" si="1"/>
        <v>0.22165366530590253</v>
      </c>
    </row>
    <row r="69" spans="1:26" x14ac:dyDescent="0.25">
      <c r="A69" s="52">
        <v>2023</v>
      </c>
      <c r="B69" s="52" t="s">
        <v>665</v>
      </c>
      <c r="C69" s="57" t="s">
        <v>440</v>
      </c>
      <c r="D69" s="58" t="s">
        <v>693</v>
      </c>
      <c r="E69" s="58" t="s">
        <v>693</v>
      </c>
      <c r="F69" s="58" t="s">
        <v>440</v>
      </c>
      <c r="G69" s="57" t="s">
        <v>704</v>
      </c>
      <c r="H69" s="39">
        <v>0</v>
      </c>
      <c r="I69" s="39">
        <v>0</v>
      </c>
      <c r="J69" s="38"/>
      <c r="K69" s="39">
        <v>0</v>
      </c>
      <c r="L69" s="39">
        <v>0</v>
      </c>
      <c r="M69" s="39">
        <v>0</v>
      </c>
      <c r="N69" s="38"/>
      <c r="O69" s="39">
        <v>0</v>
      </c>
      <c r="P69" s="39">
        <v>0</v>
      </c>
      <c r="Q69" s="39">
        <v>0</v>
      </c>
      <c r="R69" s="38"/>
      <c r="S69" s="39">
        <v>0</v>
      </c>
      <c r="T69" s="39">
        <v>0</v>
      </c>
      <c r="U69" s="39">
        <v>0</v>
      </c>
      <c r="V69" s="29"/>
      <c r="W69" s="29">
        <f>INDEX(SurtaxPayment!$C$6:$U$330,MATCH(PriorYear!$C69,SurtaxPayment!$C$6:$C$330,0),6)+INDEX(SurtaxPayment!$C$6:$U$330,MATCH(PriorYear!$C69,SurtaxPayment!$C$6:$C$330,0),7)</f>
        <v>0</v>
      </c>
      <c r="X69" s="29">
        <f t="shared" si="0"/>
        <v>0</v>
      </c>
      <c r="Y69" s="29">
        <f>INDEX(SurtaxPayment!$C$6:$U$330,MATCH(PriorYear!C69,SurtaxPayment!$C$6:$C$330,0),9)</f>
        <v>0</v>
      </c>
      <c r="Z69" s="66">
        <f t="shared" si="1"/>
        <v>0</v>
      </c>
    </row>
    <row r="70" spans="1:26" x14ac:dyDescent="0.25">
      <c r="A70" s="52">
        <v>2023</v>
      </c>
      <c r="B70" s="52" t="s">
        <v>663</v>
      </c>
      <c r="C70" s="57" t="s">
        <v>378</v>
      </c>
      <c r="D70" s="58" t="s">
        <v>668</v>
      </c>
      <c r="E70" s="58" t="s">
        <v>693</v>
      </c>
      <c r="F70" s="58" t="s">
        <v>378</v>
      </c>
      <c r="G70" s="57" t="s">
        <v>64</v>
      </c>
      <c r="H70" s="39">
        <v>4</v>
      </c>
      <c r="I70" s="39">
        <v>7</v>
      </c>
      <c r="J70" s="38"/>
      <c r="K70" s="39">
        <v>1998122.25</v>
      </c>
      <c r="L70" s="39">
        <v>726589.91</v>
      </c>
      <c r="M70" s="39">
        <v>1271532.3399999999</v>
      </c>
      <c r="N70" s="38"/>
      <c r="O70" s="39">
        <v>770360.75</v>
      </c>
      <c r="P70" s="39">
        <v>280131.18</v>
      </c>
      <c r="Q70" s="39">
        <v>490229.57</v>
      </c>
      <c r="R70" s="38"/>
      <c r="S70" s="39">
        <v>2768483</v>
      </c>
      <c r="T70" s="39">
        <v>1006721.0900000001</v>
      </c>
      <c r="U70" s="39">
        <v>1761761.91</v>
      </c>
      <c r="V70" s="29"/>
      <c r="W70" s="29">
        <f>INDEX(SurtaxPayment!$C$6:$U$330,MATCH(PriorYear!$C70,SurtaxPayment!$C$6:$C$330,0),6)+INDEX(SurtaxPayment!$C$6:$U$330,MATCH(PriorYear!$C70,SurtaxPayment!$C$6:$C$330,0),7)</f>
        <v>10</v>
      </c>
      <c r="X70" s="29">
        <f t="shared" si="0"/>
        <v>-1</v>
      </c>
      <c r="Y70" s="29">
        <f>INDEX(SurtaxPayment!$C$6:$U$330,MATCH(PriorYear!C70,SurtaxPayment!$C$6:$C$330,0),9)</f>
        <v>2558264.91</v>
      </c>
      <c r="Z70" s="66">
        <f t="shared" si="1"/>
        <v>0.28033452908099099</v>
      </c>
    </row>
    <row r="71" spans="1:26" x14ac:dyDescent="0.25">
      <c r="A71" s="52">
        <v>2023</v>
      </c>
      <c r="B71" s="52" t="s">
        <v>658</v>
      </c>
      <c r="C71" s="57" t="s">
        <v>379</v>
      </c>
      <c r="D71" s="58" t="s">
        <v>693</v>
      </c>
      <c r="E71" s="58" t="s">
        <v>693</v>
      </c>
      <c r="F71" s="58" t="s">
        <v>379</v>
      </c>
      <c r="G71" s="57" t="s">
        <v>65</v>
      </c>
      <c r="H71" s="39">
        <v>0</v>
      </c>
      <c r="I71" s="39">
        <v>5</v>
      </c>
      <c r="J71" s="38"/>
      <c r="K71" s="39">
        <v>518051.25</v>
      </c>
      <c r="L71" s="39">
        <v>0</v>
      </c>
      <c r="M71" s="39">
        <v>518051.25</v>
      </c>
      <c r="N71" s="38"/>
      <c r="O71" s="39">
        <v>278485.75</v>
      </c>
      <c r="P71" s="39">
        <v>0</v>
      </c>
      <c r="Q71" s="39">
        <v>278485.75</v>
      </c>
      <c r="R71" s="38"/>
      <c r="S71" s="39">
        <v>796537</v>
      </c>
      <c r="T71" s="39">
        <v>0</v>
      </c>
      <c r="U71" s="39">
        <v>796537</v>
      </c>
      <c r="V71" s="29"/>
      <c r="W71" s="29">
        <f>INDEX(SurtaxPayment!$C$6:$U$330,MATCH(PriorYear!$C71,SurtaxPayment!$C$6:$C$330,0),6)+INDEX(SurtaxPayment!$C$6:$U$330,MATCH(PriorYear!$C71,SurtaxPayment!$C$6:$C$330,0),7)</f>
        <v>4</v>
      </c>
      <c r="X71" s="29">
        <f t="shared" ref="X71:X134" si="2">W71-SUM(H71:I71)</f>
        <v>-1</v>
      </c>
      <c r="Y71" s="29">
        <f>INDEX(SurtaxPayment!$C$6:$U$330,MATCH(PriorYear!C71,SurtaxPayment!$C$6:$C$330,0),9)</f>
        <v>609122.18999999994</v>
      </c>
      <c r="Z71" s="66">
        <f t="shared" ref="Z71:Z134" si="3">IFERROR((Y71-K71)/K71,0)</f>
        <v>0.1757952326145337</v>
      </c>
    </row>
    <row r="72" spans="1:26" x14ac:dyDescent="0.25">
      <c r="A72" s="52">
        <v>2023</v>
      </c>
      <c r="B72" s="52" t="s">
        <v>666</v>
      </c>
      <c r="C72" s="57" t="s">
        <v>380</v>
      </c>
      <c r="D72" s="58" t="s">
        <v>693</v>
      </c>
      <c r="E72" s="58" t="s">
        <v>693</v>
      </c>
      <c r="F72" s="58" t="s">
        <v>380</v>
      </c>
      <c r="G72" s="57" t="s">
        <v>66</v>
      </c>
      <c r="H72" s="39">
        <v>0</v>
      </c>
      <c r="I72" s="39">
        <v>3</v>
      </c>
      <c r="J72" s="38"/>
      <c r="K72" s="39">
        <v>462463.5</v>
      </c>
      <c r="L72" s="39">
        <v>0</v>
      </c>
      <c r="M72" s="39">
        <v>462463.5</v>
      </c>
      <c r="N72" s="38"/>
      <c r="O72" s="39">
        <v>173816.5</v>
      </c>
      <c r="P72" s="39">
        <v>0</v>
      </c>
      <c r="Q72" s="39">
        <v>173816.5</v>
      </c>
      <c r="R72" s="38"/>
      <c r="S72" s="39">
        <v>636280</v>
      </c>
      <c r="T72" s="39">
        <v>0</v>
      </c>
      <c r="U72" s="39">
        <v>636280</v>
      </c>
      <c r="V72" s="29"/>
      <c r="W72" s="29">
        <f>INDEX(SurtaxPayment!$C$6:$U$330,MATCH(PriorYear!$C72,SurtaxPayment!$C$6:$C$330,0),6)+INDEX(SurtaxPayment!$C$6:$U$330,MATCH(PriorYear!$C72,SurtaxPayment!$C$6:$C$330,0),7)</f>
        <v>3</v>
      </c>
      <c r="X72" s="29">
        <f t="shared" si="2"/>
        <v>0</v>
      </c>
      <c r="Y72" s="29">
        <f>INDEX(SurtaxPayment!$C$6:$U$330,MATCH(PriorYear!C72,SurtaxPayment!$C$6:$C$330,0),9)</f>
        <v>548551.63</v>
      </c>
      <c r="Z72" s="66">
        <f t="shared" si="3"/>
        <v>0.18615118814782142</v>
      </c>
    </row>
    <row r="73" spans="1:26" x14ac:dyDescent="0.25">
      <c r="A73" s="52">
        <v>2023</v>
      </c>
      <c r="B73" s="52" t="s">
        <v>657</v>
      </c>
      <c r="C73" s="57" t="s">
        <v>381</v>
      </c>
      <c r="D73" s="58" t="s">
        <v>693</v>
      </c>
      <c r="E73" s="58" t="s">
        <v>693</v>
      </c>
      <c r="F73" s="58" t="s">
        <v>381</v>
      </c>
      <c r="G73" s="57" t="s">
        <v>67</v>
      </c>
      <c r="H73" s="39">
        <v>0</v>
      </c>
      <c r="I73" s="39">
        <v>1</v>
      </c>
      <c r="J73" s="38"/>
      <c r="K73" s="39">
        <v>37671.75</v>
      </c>
      <c r="L73" s="39">
        <v>0</v>
      </c>
      <c r="M73" s="39">
        <v>37671.75</v>
      </c>
      <c r="N73" s="38"/>
      <c r="O73" s="39">
        <v>13822.25</v>
      </c>
      <c r="P73" s="39">
        <v>0</v>
      </c>
      <c r="Q73" s="39">
        <v>13822.25</v>
      </c>
      <c r="R73" s="38"/>
      <c r="S73" s="39">
        <v>51494</v>
      </c>
      <c r="T73" s="39">
        <v>0</v>
      </c>
      <c r="U73" s="39">
        <v>51494</v>
      </c>
      <c r="V73" s="29"/>
      <c r="W73" s="29">
        <f>INDEX(SurtaxPayment!$C$6:$U$330,MATCH(PriorYear!$C73,SurtaxPayment!$C$6:$C$330,0),6)+INDEX(SurtaxPayment!$C$6:$U$330,MATCH(PriorYear!$C73,SurtaxPayment!$C$6:$C$330,0),7)</f>
        <v>2</v>
      </c>
      <c r="X73" s="29">
        <f t="shared" si="2"/>
        <v>1</v>
      </c>
      <c r="Y73" s="29">
        <f>INDEX(SurtaxPayment!$C$6:$U$330,MATCH(PriorYear!C73,SurtaxPayment!$C$6:$C$330,0),9)</f>
        <v>92945.53</v>
      </c>
      <c r="Z73" s="66">
        <f t="shared" si="3"/>
        <v>1.4672474732392309</v>
      </c>
    </row>
    <row r="74" spans="1:26" x14ac:dyDescent="0.25">
      <c r="A74" s="52">
        <v>2023</v>
      </c>
      <c r="B74" s="52" t="s">
        <v>663</v>
      </c>
      <c r="C74" s="57" t="s">
        <v>382</v>
      </c>
      <c r="D74" s="58" t="s">
        <v>693</v>
      </c>
      <c r="E74" s="58" t="s">
        <v>693</v>
      </c>
      <c r="F74" s="58" t="s">
        <v>382</v>
      </c>
      <c r="G74" s="57" t="s">
        <v>705</v>
      </c>
      <c r="H74" s="39">
        <v>0</v>
      </c>
      <c r="I74" s="39">
        <v>0</v>
      </c>
      <c r="J74" s="38"/>
      <c r="K74" s="39">
        <v>0</v>
      </c>
      <c r="L74" s="39">
        <v>0</v>
      </c>
      <c r="M74" s="39">
        <v>0</v>
      </c>
      <c r="N74" s="38"/>
      <c r="O74" s="39">
        <v>0</v>
      </c>
      <c r="P74" s="39">
        <v>0</v>
      </c>
      <c r="Q74" s="39">
        <v>0</v>
      </c>
      <c r="R74" s="38"/>
      <c r="S74" s="39">
        <v>0</v>
      </c>
      <c r="T74" s="39">
        <v>0</v>
      </c>
      <c r="U74" s="39">
        <v>0</v>
      </c>
      <c r="V74" s="29"/>
      <c r="W74" s="29">
        <f>INDEX(SurtaxPayment!$C$6:$U$330,MATCH(PriorYear!$C74,SurtaxPayment!$C$6:$C$330,0),6)+INDEX(SurtaxPayment!$C$6:$U$330,MATCH(PriorYear!$C74,SurtaxPayment!$C$6:$C$330,0),7)</f>
        <v>0</v>
      </c>
      <c r="X74" s="29">
        <f t="shared" si="2"/>
        <v>0</v>
      </c>
      <c r="Y74" s="29">
        <f>INDEX(SurtaxPayment!$C$6:$U$330,MATCH(PriorYear!C74,SurtaxPayment!$C$6:$C$330,0),9)</f>
        <v>0</v>
      </c>
      <c r="Z74" s="66">
        <f t="shared" si="3"/>
        <v>0</v>
      </c>
    </row>
    <row r="75" spans="1:26" x14ac:dyDescent="0.25">
      <c r="A75" s="52">
        <v>2023</v>
      </c>
      <c r="B75" s="52" t="s">
        <v>657</v>
      </c>
      <c r="C75" s="57" t="s">
        <v>383</v>
      </c>
      <c r="D75" s="58" t="s">
        <v>693</v>
      </c>
      <c r="E75" s="58" t="s">
        <v>693</v>
      </c>
      <c r="F75" s="58" t="s">
        <v>383</v>
      </c>
      <c r="G75" s="57" t="s">
        <v>68</v>
      </c>
      <c r="H75" s="39">
        <v>0</v>
      </c>
      <c r="I75" s="39">
        <v>7</v>
      </c>
      <c r="J75" s="38"/>
      <c r="K75" s="39">
        <v>177909</v>
      </c>
      <c r="L75" s="39">
        <v>0</v>
      </c>
      <c r="M75" s="39">
        <v>177909</v>
      </c>
      <c r="N75" s="38"/>
      <c r="O75" s="39">
        <v>65535</v>
      </c>
      <c r="P75" s="39">
        <v>0</v>
      </c>
      <c r="Q75" s="39">
        <v>65535</v>
      </c>
      <c r="R75" s="38"/>
      <c r="S75" s="39">
        <v>243444</v>
      </c>
      <c r="T75" s="39">
        <v>0</v>
      </c>
      <c r="U75" s="39">
        <v>243444</v>
      </c>
      <c r="V75" s="29"/>
      <c r="W75" s="29">
        <f>INDEX(SurtaxPayment!$C$6:$U$330,MATCH(PriorYear!$C75,SurtaxPayment!$C$6:$C$330,0),6)+INDEX(SurtaxPayment!$C$6:$U$330,MATCH(PriorYear!$C75,SurtaxPayment!$C$6:$C$330,0),7)</f>
        <v>4</v>
      </c>
      <c r="X75" s="29">
        <f t="shared" si="2"/>
        <v>-3</v>
      </c>
      <c r="Y75" s="29">
        <f>INDEX(SurtaxPayment!$C$6:$U$330,MATCH(PriorYear!C75,SurtaxPayment!$C$6:$C$330,0),9)</f>
        <v>142556.68</v>
      </c>
      <c r="Z75" s="66">
        <f t="shared" si="3"/>
        <v>-0.19871012708744362</v>
      </c>
    </row>
    <row r="76" spans="1:26" x14ac:dyDescent="0.25">
      <c r="A76" s="52">
        <v>2023</v>
      </c>
      <c r="B76" s="52" t="s">
        <v>657</v>
      </c>
      <c r="C76" s="57" t="s">
        <v>384</v>
      </c>
      <c r="D76" s="58" t="s">
        <v>693</v>
      </c>
      <c r="E76" s="58" t="s">
        <v>693</v>
      </c>
      <c r="F76" s="58" t="s">
        <v>384</v>
      </c>
      <c r="G76" s="57" t="s">
        <v>69</v>
      </c>
      <c r="H76" s="39">
        <v>0</v>
      </c>
      <c r="I76" s="39">
        <v>0</v>
      </c>
      <c r="J76" s="38"/>
      <c r="K76" s="39">
        <v>0</v>
      </c>
      <c r="L76" s="39">
        <v>0</v>
      </c>
      <c r="M76" s="39">
        <v>0</v>
      </c>
      <c r="N76" s="38"/>
      <c r="O76" s="39">
        <v>0</v>
      </c>
      <c r="P76" s="39">
        <v>0</v>
      </c>
      <c r="Q76" s="39">
        <v>0</v>
      </c>
      <c r="R76" s="38"/>
      <c r="S76" s="39">
        <v>0</v>
      </c>
      <c r="T76" s="39">
        <v>0</v>
      </c>
      <c r="U76" s="39">
        <v>0</v>
      </c>
      <c r="V76" s="29"/>
      <c r="W76" s="29">
        <f>INDEX(SurtaxPayment!$C$6:$U$330,MATCH(PriorYear!$C76,SurtaxPayment!$C$6:$C$330,0),6)+INDEX(SurtaxPayment!$C$6:$U$330,MATCH(PriorYear!$C76,SurtaxPayment!$C$6:$C$330,0),7)</f>
        <v>5</v>
      </c>
      <c r="X76" s="29">
        <f t="shared" si="2"/>
        <v>5</v>
      </c>
      <c r="Y76" s="29">
        <f>INDEX(SurtaxPayment!$C$6:$U$330,MATCH(PriorYear!C76,SurtaxPayment!$C$6:$C$330,0),9)</f>
        <v>157112.63</v>
      </c>
      <c r="Z76" s="66">
        <f t="shared" si="3"/>
        <v>0</v>
      </c>
    </row>
    <row r="77" spans="1:26" x14ac:dyDescent="0.25">
      <c r="A77" s="52">
        <v>2023</v>
      </c>
      <c r="B77" s="52" t="s">
        <v>666</v>
      </c>
      <c r="C77" s="57" t="s">
        <v>385</v>
      </c>
      <c r="D77" s="58" t="s">
        <v>693</v>
      </c>
      <c r="E77" s="58" t="s">
        <v>693</v>
      </c>
      <c r="F77" s="58" t="s">
        <v>385</v>
      </c>
      <c r="G77" s="57" t="s">
        <v>70</v>
      </c>
      <c r="H77" s="39">
        <v>0</v>
      </c>
      <c r="I77" s="39">
        <v>9</v>
      </c>
      <c r="J77" s="38"/>
      <c r="K77" s="39">
        <v>255872.25</v>
      </c>
      <c r="L77" s="39">
        <v>0</v>
      </c>
      <c r="M77" s="39">
        <v>255872.25</v>
      </c>
      <c r="N77" s="38"/>
      <c r="O77" s="39">
        <v>96657.75</v>
      </c>
      <c r="P77" s="39">
        <v>0</v>
      </c>
      <c r="Q77" s="39">
        <v>96657.75</v>
      </c>
      <c r="R77" s="38"/>
      <c r="S77" s="39">
        <v>352530</v>
      </c>
      <c r="T77" s="39">
        <v>0</v>
      </c>
      <c r="U77" s="39">
        <v>352530</v>
      </c>
      <c r="V77" s="29"/>
      <c r="W77" s="29">
        <f>INDEX(SurtaxPayment!$C$6:$U$330,MATCH(PriorYear!$C77,SurtaxPayment!$C$6:$C$330,0),6)+INDEX(SurtaxPayment!$C$6:$U$330,MATCH(PriorYear!$C77,SurtaxPayment!$C$6:$C$330,0),7)</f>
        <v>10</v>
      </c>
      <c r="X77" s="29">
        <f t="shared" si="2"/>
        <v>1</v>
      </c>
      <c r="Y77" s="29">
        <f>INDEX(SurtaxPayment!$C$6:$U$330,MATCH(PriorYear!C77,SurtaxPayment!$C$6:$C$330,0),9)</f>
        <v>336095.17</v>
      </c>
      <c r="Z77" s="66">
        <f t="shared" si="3"/>
        <v>0.31352723869040111</v>
      </c>
    </row>
    <row r="78" spans="1:26" x14ac:dyDescent="0.25">
      <c r="A78" s="52">
        <v>2023</v>
      </c>
      <c r="B78" s="52" t="s">
        <v>657</v>
      </c>
      <c r="C78" s="57" t="s">
        <v>386</v>
      </c>
      <c r="D78" s="58" t="s">
        <v>693</v>
      </c>
      <c r="E78" s="58" t="s">
        <v>693</v>
      </c>
      <c r="F78" s="58" t="s">
        <v>386</v>
      </c>
      <c r="G78" s="57" t="s">
        <v>71</v>
      </c>
      <c r="H78" s="39">
        <v>0</v>
      </c>
      <c r="I78" s="39">
        <v>5</v>
      </c>
      <c r="J78" s="38"/>
      <c r="K78" s="39">
        <v>83817.75</v>
      </c>
      <c r="L78" s="39">
        <v>0</v>
      </c>
      <c r="M78" s="39">
        <v>83817.75</v>
      </c>
      <c r="N78" s="38"/>
      <c r="O78" s="39">
        <v>33426.25</v>
      </c>
      <c r="P78" s="39">
        <v>0</v>
      </c>
      <c r="Q78" s="39">
        <v>33426.25</v>
      </c>
      <c r="R78" s="38"/>
      <c r="S78" s="39">
        <v>117244</v>
      </c>
      <c r="T78" s="39">
        <v>0</v>
      </c>
      <c r="U78" s="39">
        <v>117244</v>
      </c>
      <c r="V78" s="29"/>
      <c r="W78" s="29">
        <f>INDEX(SurtaxPayment!$C$6:$U$330,MATCH(PriorYear!$C78,SurtaxPayment!$C$6:$C$330,0),6)+INDEX(SurtaxPayment!$C$6:$U$330,MATCH(PriorYear!$C78,SurtaxPayment!$C$6:$C$330,0),7)</f>
        <v>7</v>
      </c>
      <c r="X78" s="29">
        <f t="shared" si="2"/>
        <v>2</v>
      </c>
      <c r="Y78" s="29">
        <f>INDEX(SurtaxPayment!$C$6:$U$330,MATCH(PriorYear!C78,SurtaxPayment!$C$6:$C$330,0),9)</f>
        <v>150984.89000000001</v>
      </c>
      <c r="Z78" s="66">
        <f t="shared" si="3"/>
        <v>0.80134744728890972</v>
      </c>
    </row>
    <row r="79" spans="1:26" x14ac:dyDescent="0.25">
      <c r="A79" s="52">
        <v>2023</v>
      </c>
      <c r="B79" s="52" t="s">
        <v>659</v>
      </c>
      <c r="C79" s="57" t="s">
        <v>387</v>
      </c>
      <c r="D79" s="58" t="s">
        <v>693</v>
      </c>
      <c r="E79" s="58" t="s">
        <v>693</v>
      </c>
      <c r="F79" s="58" t="s">
        <v>387</v>
      </c>
      <c r="G79" s="57" t="s">
        <v>72</v>
      </c>
      <c r="H79" s="39">
        <v>0</v>
      </c>
      <c r="I79" s="39">
        <v>6</v>
      </c>
      <c r="J79" s="38"/>
      <c r="K79" s="39">
        <v>134779.5</v>
      </c>
      <c r="L79" s="39">
        <v>0</v>
      </c>
      <c r="M79" s="39">
        <v>134779.5</v>
      </c>
      <c r="N79" s="38"/>
      <c r="O79" s="39">
        <v>50514.5</v>
      </c>
      <c r="P79" s="39">
        <v>0</v>
      </c>
      <c r="Q79" s="39">
        <v>50514.5</v>
      </c>
      <c r="R79" s="38"/>
      <c r="S79" s="39">
        <v>185294</v>
      </c>
      <c r="T79" s="39">
        <v>0</v>
      </c>
      <c r="U79" s="39">
        <v>185294</v>
      </c>
      <c r="V79" s="29"/>
      <c r="W79" s="29">
        <f>INDEX(SurtaxPayment!$C$6:$U$330,MATCH(PriorYear!$C79,SurtaxPayment!$C$6:$C$330,0),6)+INDEX(SurtaxPayment!$C$6:$U$330,MATCH(PriorYear!$C79,SurtaxPayment!$C$6:$C$330,0),7)</f>
        <v>7</v>
      </c>
      <c r="X79" s="29">
        <f t="shared" si="2"/>
        <v>1</v>
      </c>
      <c r="Y79" s="29">
        <f>INDEX(SurtaxPayment!$C$6:$U$330,MATCH(PriorYear!C79,SurtaxPayment!$C$6:$C$330,0),9)</f>
        <v>159836.85999999999</v>
      </c>
      <c r="Z79" s="66">
        <f t="shared" si="3"/>
        <v>0.18591373317158758</v>
      </c>
    </row>
    <row r="80" spans="1:26" x14ac:dyDescent="0.25">
      <c r="A80" s="52">
        <v>2023</v>
      </c>
      <c r="B80" s="52" t="s">
        <v>659</v>
      </c>
      <c r="C80" s="57" t="s">
        <v>388</v>
      </c>
      <c r="D80" s="58" t="s">
        <v>693</v>
      </c>
      <c r="E80" s="58" t="s">
        <v>693</v>
      </c>
      <c r="F80" s="58" t="s">
        <v>388</v>
      </c>
      <c r="G80" s="57" t="s">
        <v>706</v>
      </c>
      <c r="H80" s="39">
        <v>0</v>
      </c>
      <c r="I80" s="39">
        <v>0</v>
      </c>
      <c r="J80" s="38"/>
      <c r="K80" s="39">
        <v>0</v>
      </c>
      <c r="L80" s="39">
        <v>0</v>
      </c>
      <c r="M80" s="39">
        <v>0</v>
      </c>
      <c r="N80" s="38"/>
      <c r="O80" s="39">
        <v>0</v>
      </c>
      <c r="P80" s="39">
        <v>0</v>
      </c>
      <c r="Q80" s="39">
        <v>0</v>
      </c>
      <c r="R80" s="38"/>
      <c r="S80" s="39">
        <v>0</v>
      </c>
      <c r="T80" s="39">
        <v>0</v>
      </c>
      <c r="U80" s="39">
        <v>0</v>
      </c>
      <c r="V80" s="29"/>
      <c r="W80" s="29">
        <f>INDEX(SurtaxPayment!$C$6:$U$330,MATCH(PriorYear!$C80,SurtaxPayment!$C$6:$C$330,0),6)+INDEX(SurtaxPayment!$C$6:$U$330,MATCH(PriorYear!$C80,SurtaxPayment!$C$6:$C$330,0),7)</f>
        <v>0</v>
      </c>
      <c r="X80" s="29">
        <f t="shared" si="2"/>
        <v>0</v>
      </c>
      <c r="Y80" s="29">
        <f>INDEX(SurtaxPayment!$C$6:$U$330,MATCH(PriorYear!C80,SurtaxPayment!$C$6:$C$330,0),9)</f>
        <v>0</v>
      </c>
      <c r="Z80" s="66">
        <f t="shared" si="3"/>
        <v>0</v>
      </c>
    </row>
    <row r="81" spans="1:26" x14ac:dyDescent="0.25">
      <c r="A81" s="52">
        <v>2023</v>
      </c>
      <c r="B81" s="52" t="s">
        <v>659</v>
      </c>
      <c r="C81" s="57" t="s">
        <v>389</v>
      </c>
      <c r="D81" s="58" t="s">
        <v>669</v>
      </c>
      <c r="E81" s="58" t="s">
        <v>693</v>
      </c>
      <c r="F81" s="58" t="s">
        <v>389</v>
      </c>
      <c r="G81" s="57" t="s">
        <v>73</v>
      </c>
      <c r="H81" s="39">
        <v>2</v>
      </c>
      <c r="I81" s="39">
        <v>6</v>
      </c>
      <c r="J81" s="38"/>
      <c r="K81" s="39">
        <v>521918.25</v>
      </c>
      <c r="L81" s="39">
        <v>130479.56</v>
      </c>
      <c r="M81" s="39">
        <v>391438.69</v>
      </c>
      <c r="N81" s="38"/>
      <c r="O81" s="39">
        <v>198361.75</v>
      </c>
      <c r="P81" s="39">
        <v>49590.44</v>
      </c>
      <c r="Q81" s="39">
        <v>148771.31</v>
      </c>
      <c r="R81" s="38"/>
      <c r="S81" s="39">
        <v>720280</v>
      </c>
      <c r="T81" s="39">
        <v>180070</v>
      </c>
      <c r="U81" s="39">
        <v>540210</v>
      </c>
      <c r="V81" s="29"/>
      <c r="W81" s="29">
        <f>INDEX(SurtaxPayment!$C$6:$U$330,MATCH(PriorYear!$C81,SurtaxPayment!$C$6:$C$330,0),6)+INDEX(SurtaxPayment!$C$6:$U$330,MATCH(PriorYear!$C81,SurtaxPayment!$C$6:$C$330,0),7)</f>
        <v>8</v>
      </c>
      <c r="X81" s="29">
        <f t="shared" si="2"/>
        <v>0</v>
      </c>
      <c r="Y81" s="29">
        <f>INDEX(SurtaxPayment!$C$6:$U$330,MATCH(PriorYear!C81,SurtaxPayment!$C$6:$C$330,0),9)</f>
        <v>622412</v>
      </c>
      <c r="Z81" s="66">
        <f t="shared" si="3"/>
        <v>0.19254691706986679</v>
      </c>
    </row>
    <row r="82" spans="1:26" x14ac:dyDescent="0.25">
      <c r="A82" s="52">
        <v>2023</v>
      </c>
      <c r="B82" s="52" t="s">
        <v>657</v>
      </c>
      <c r="C82" s="57" t="s">
        <v>390</v>
      </c>
      <c r="D82" s="58" t="s">
        <v>693</v>
      </c>
      <c r="E82" s="58" t="s">
        <v>693</v>
      </c>
      <c r="F82" s="58" t="s">
        <v>390</v>
      </c>
      <c r="G82" s="57" t="s">
        <v>707</v>
      </c>
      <c r="H82" s="39">
        <v>0</v>
      </c>
      <c r="I82" s="39">
        <v>0</v>
      </c>
      <c r="J82" s="38"/>
      <c r="K82" s="39">
        <v>0</v>
      </c>
      <c r="L82" s="39">
        <v>0</v>
      </c>
      <c r="M82" s="39">
        <v>0</v>
      </c>
      <c r="N82" s="38"/>
      <c r="O82" s="39">
        <v>0</v>
      </c>
      <c r="P82" s="39">
        <v>0</v>
      </c>
      <c r="Q82" s="39">
        <v>0</v>
      </c>
      <c r="R82" s="38"/>
      <c r="S82" s="39">
        <v>0</v>
      </c>
      <c r="T82" s="39">
        <v>0</v>
      </c>
      <c r="U82" s="39">
        <v>0</v>
      </c>
      <c r="V82" s="29"/>
      <c r="W82" s="29">
        <f>INDEX(SurtaxPayment!$C$6:$U$330,MATCH(PriorYear!$C82,SurtaxPayment!$C$6:$C$330,0),6)+INDEX(SurtaxPayment!$C$6:$U$330,MATCH(PriorYear!$C82,SurtaxPayment!$C$6:$C$330,0),7)</f>
        <v>0</v>
      </c>
      <c r="X82" s="29">
        <f t="shared" si="2"/>
        <v>0</v>
      </c>
      <c r="Y82" s="29">
        <f>INDEX(SurtaxPayment!$C$6:$U$330,MATCH(PriorYear!C82,SurtaxPayment!$C$6:$C$330,0),9)</f>
        <v>0</v>
      </c>
      <c r="Z82" s="66">
        <f t="shared" si="3"/>
        <v>0</v>
      </c>
    </row>
    <row r="83" spans="1:26" x14ac:dyDescent="0.25">
      <c r="A83" s="52">
        <v>2023</v>
      </c>
      <c r="B83" s="52" t="s">
        <v>662</v>
      </c>
      <c r="C83" s="57" t="s">
        <v>391</v>
      </c>
      <c r="D83" s="58" t="s">
        <v>693</v>
      </c>
      <c r="E83" s="58" t="s">
        <v>693</v>
      </c>
      <c r="F83" s="58" t="s">
        <v>391</v>
      </c>
      <c r="G83" s="57" t="s">
        <v>74</v>
      </c>
      <c r="H83" s="39">
        <v>0</v>
      </c>
      <c r="I83" s="39">
        <v>2</v>
      </c>
      <c r="J83" s="38"/>
      <c r="K83" s="39">
        <v>48597</v>
      </c>
      <c r="L83" s="39">
        <v>0</v>
      </c>
      <c r="M83" s="39">
        <v>48597</v>
      </c>
      <c r="N83" s="38"/>
      <c r="O83" s="39">
        <v>19444</v>
      </c>
      <c r="P83" s="39">
        <v>0</v>
      </c>
      <c r="Q83" s="39">
        <v>19444</v>
      </c>
      <c r="R83" s="38"/>
      <c r="S83" s="39">
        <v>68041</v>
      </c>
      <c r="T83" s="39">
        <v>0</v>
      </c>
      <c r="U83" s="39">
        <v>68041</v>
      </c>
      <c r="V83" s="29"/>
      <c r="W83" s="29">
        <f>INDEX(SurtaxPayment!$C$6:$U$330,MATCH(PriorYear!$C83,SurtaxPayment!$C$6:$C$330,0),6)+INDEX(SurtaxPayment!$C$6:$U$330,MATCH(PriorYear!$C83,SurtaxPayment!$C$6:$C$330,0),7)</f>
        <v>7</v>
      </c>
      <c r="X83" s="29">
        <f t="shared" si="2"/>
        <v>5</v>
      </c>
      <c r="Y83" s="29">
        <f>INDEX(SurtaxPayment!$C$6:$U$330,MATCH(PriorYear!C83,SurtaxPayment!$C$6:$C$330,0),9)</f>
        <v>209532.57</v>
      </c>
      <c r="Z83" s="66">
        <f t="shared" si="3"/>
        <v>3.3116359034508305</v>
      </c>
    </row>
    <row r="84" spans="1:26" x14ac:dyDescent="0.25">
      <c r="A84" s="52">
        <v>2023</v>
      </c>
      <c r="B84" s="52" t="s">
        <v>666</v>
      </c>
      <c r="C84" s="57" t="s">
        <v>392</v>
      </c>
      <c r="D84" s="58" t="s">
        <v>693</v>
      </c>
      <c r="E84" s="58" t="s">
        <v>693</v>
      </c>
      <c r="F84" s="58" t="s">
        <v>392</v>
      </c>
      <c r="G84" s="57" t="s">
        <v>708</v>
      </c>
      <c r="H84" s="39">
        <v>0</v>
      </c>
      <c r="I84" s="39">
        <v>0</v>
      </c>
      <c r="J84" s="38"/>
      <c r="K84" s="39">
        <v>0</v>
      </c>
      <c r="L84" s="39">
        <v>0</v>
      </c>
      <c r="M84" s="39">
        <v>0</v>
      </c>
      <c r="N84" s="38"/>
      <c r="O84" s="39">
        <v>0</v>
      </c>
      <c r="P84" s="39">
        <v>0</v>
      </c>
      <c r="Q84" s="39">
        <v>0</v>
      </c>
      <c r="R84" s="38"/>
      <c r="S84" s="39">
        <v>0</v>
      </c>
      <c r="T84" s="39">
        <v>0</v>
      </c>
      <c r="U84" s="39">
        <v>0</v>
      </c>
      <c r="V84" s="29"/>
      <c r="W84" s="29">
        <f>INDEX(SurtaxPayment!$C$6:$U$330,MATCH(PriorYear!$C84,SurtaxPayment!$C$6:$C$330,0),6)+INDEX(SurtaxPayment!$C$6:$U$330,MATCH(PriorYear!$C84,SurtaxPayment!$C$6:$C$330,0),7)</f>
        <v>0</v>
      </c>
      <c r="X84" s="29">
        <f t="shared" si="2"/>
        <v>0</v>
      </c>
      <c r="Y84" s="29">
        <f>INDEX(SurtaxPayment!$C$6:$U$330,MATCH(PriorYear!C84,SurtaxPayment!$C$6:$C$330,0),9)</f>
        <v>0</v>
      </c>
      <c r="Z84" s="66">
        <f t="shared" si="3"/>
        <v>0</v>
      </c>
    </row>
    <row r="85" spans="1:26" x14ac:dyDescent="0.25">
      <c r="A85" s="52">
        <v>2023</v>
      </c>
      <c r="B85" s="52" t="s">
        <v>662</v>
      </c>
      <c r="C85" s="57" t="s">
        <v>393</v>
      </c>
      <c r="D85" s="58" t="s">
        <v>693</v>
      </c>
      <c r="E85" s="58" t="s">
        <v>693</v>
      </c>
      <c r="F85" s="58" t="s">
        <v>393</v>
      </c>
      <c r="G85" s="57" t="s">
        <v>75</v>
      </c>
      <c r="H85" s="39">
        <v>0</v>
      </c>
      <c r="I85" s="39">
        <v>1</v>
      </c>
      <c r="J85" s="38"/>
      <c r="K85" s="39">
        <v>59088.75</v>
      </c>
      <c r="L85" s="39">
        <v>0</v>
      </c>
      <c r="M85" s="39">
        <v>59088.75</v>
      </c>
      <c r="N85" s="38"/>
      <c r="O85" s="39">
        <v>23617.25</v>
      </c>
      <c r="P85" s="39">
        <v>0</v>
      </c>
      <c r="Q85" s="39">
        <v>23617.25</v>
      </c>
      <c r="R85" s="38"/>
      <c r="S85" s="39">
        <v>82706</v>
      </c>
      <c r="T85" s="39">
        <v>0</v>
      </c>
      <c r="U85" s="39">
        <v>82706</v>
      </c>
      <c r="V85" s="29"/>
      <c r="W85" s="29">
        <f>INDEX(SurtaxPayment!$C$6:$U$330,MATCH(PriorYear!$C85,SurtaxPayment!$C$6:$C$330,0),6)+INDEX(SurtaxPayment!$C$6:$U$330,MATCH(PriorYear!$C85,SurtaxPayment!$C$6:$C$330,0),7)</f>
        <v>1</v>
      </c>
      <c r="X85" s="29">
        <f t="shared" si="2"/>
        <v>0</v>
      </c>
      <c r="Y85" s="29">
        <f>INDEX(SurtaxPayment!$C$6:$U$330,MATCH(PriorYear!C85,SurtaxPayment!$C$6:$C$330,0),9)</f>
        <v>68647.320000000007</v>
      </c>
      <c r="Z85" s="66">
        <f t="shared" si="3"/>
        <v>0.1617663260772991</v>
      </c>
    </row>
    <row r="86" spans="1:26" x14ac:dyDescent="0.25">
      <c r="A86" s="52">
        <v>2023</v>
      </c>
      <c r="B86" s="52" t="s">
        <v>665</v>
      </c>
      <c r="C86" s="57" t="s">
        <v>394</v>
      </c>
      <c r="D86" s="58" t="s">
        <v>693</v>
      </c>
      <c r="E86" s="58" t="s">
        <v>693</v>
      </c>
      <c r="F86" s="58" t="s">
        <v>394</v>
      </c>
      <c r="G86" s="57" t="s">
        <v>76</v>
      </c>
      <c r="H86" s="39">
        <v>0</v>
      </c>
      <c r="I86" s="39">
        <v>6</v>
      </c>
      <c r="J86" s="38"/>
      <c r="K86" s="39">
        <v>675946.5</v>
      </c>
      <c r="L86" s="39">
        <v>0</v>
      </c>
      <c r="M86" s="39">
        <v>675946.5</v>
      </c>
      <c r="N86" s="38"/>
      <c r="O86" s="39">
        <v>293687.5</v>
      </c>
      <c r="P86" s="39">
        <v>0</v>
      </c>
      <c r="Q86" s="39">
        <v>293687.5</v>
      </c>
      <c r="R86" s="38"/>
      <c r="S86" s="39">
        <v>969634</v>
      </c>
      <c r="T86" s="39">
        <v>0</v>
      </c>
      <c r="U86" s="39">
        <v>969634</v>
      </c>
      <c r="V86" s="29"/>
      <c r="W86" s="29">
        <f>INDEX(SurtaxPayment!$C$6:$U$330,MATCH(PriorYear!$C86,SurtaxPayment!$C$6:$C$330,0),6)+INDEX(SurtaxPayment!$C$6:$U$330,MATCH(PriorYear!$C86,SurtaxPayment!$C$6:$C$330,0),7)</f>
        <v>6</v>
      </c>
      <c r="X86" s="29">
        <f t="shared" si="2"/>
        <v>0</v>
      </c>
      <c r="Y86" s="29">
        <f>INDEX(SurtaxPayment!$C$6:$U$330,MATCH(PriorYear!C86,SurtaxPayment!$C$6:$C$330,0),9)</f>
        <v>834449.68</v>
      </c>
      <c r="Z86" s="66">
        <f t="shared" si="3"/>
        <v>0.23449071783047926</v>
      </c>
    </row>
    <row r="87" spans="1:26" x14ac:dyDescent="0.25">
      <c r="A87" s="52">
        <v>2023</v>
      </c>
      <c r="B87" s="52" t="s">
        <v>666</v>
      </c>
      <c r="C87" s="57" t="s">
        <v>395</v>
      </c>
      <c r="D87" s="58" t="s">
        <v>693</v>
      </c>
      <c r="E87" s="58" t="s">
        <v>693</v>
      </c>
      <c r="F87" s="58" t="s">
        <v>395</v>
      </c>
      <c r="G87" s="57" t="s">
        <v>77</v>
      </c>
      <c r="H87" s="39">
        <v>0</v>
      </c>
      <c r="I87" s="39">
        <v>8</v>
      </c>
      <c r="J87" s="38"/>
      <c r="K87" s="39">
        <v>61338</v>
      </c>
      <c r="L87" s="39">
        <v>0</v>
      </c>
      <c r="M87" s="39">
        <v>61338</v>
      </c>
      <c r="N87" s="38"/>
      <c r="O87" s="39">
        <v>21579</v>
      </c>
      <c r="P87" s="39">
        <v>0</v>
      </c>
      <c r="Q87" s="39">
        <v>21579</v>
      </c>
      <c r="R87" s="38"/>
      <c r="S87" s="39">
        <v>82917</v>
      </c>
      <c r="T87" s="39">
        <v>0</v>
      </c>
      <c r="U87" s="39">
        <v>82917</v>
      </c>
      <c r="V87" s="29"/>
      <c r="W87" s="29">
        <f>INDEX(SurtaxPayment!$C$6:$U$330,MATCH(PriorYear!$C87,SurtaxPayment!$C$6:$C$330,0),6)+INDEX(SurtaxPayment!$C$6:$U$330,MATCH(PriorYear!$C87,SurtaxPayment!$C$6:$C$330,0),7)</f>
        <v>9</v>
      </c>
      <c r="X87" s="29">
        <f t="shared" si="2"/>
        <v>1</v>
      </c>
      <c r="Y87" s="29">
        <f>INDEX(SurtaxPayment!$C$6:$U$330,MATCH(PriorYear!C87,SurtaxPayment!$C$6:$C$330,0),9)</f>
        <v>100855.65</v>
      </c>
      <c r="Z87" s="66">
        <f t="shared" si="3"/>
        <v>0.64426049104959393</v>
      </c>
    </row>
    <row r="88" spans="1:26" x14ac:dyDescent="0.25">
      <c r="A88" s="52">
        <v>2023</v>
      </c>
      <c r="B88" s="52" t="s">
        <v>660</v>
      </c>
      <c r="C88" s="57" t="s">
        <v>396</v>
      </c>
      <c r="D88" s="58" t="s">
        <v>693</v>
      </c>
      <c r="E88" s="58" t="s">
        <v>693</v>
      </c>
      <c r="F88" s="58" t="s">
        <v>396</v>
      </c>
      <c r="G88" s="57" t="s">
        <v>78</v>
      </c>
      <c r="H88" s="39">
        <v>0</v>
      </c>
      <c r="I88" s="39">
        <v>6</v>
      </c>
      <c r="J88" s="38"/>
      <c r="K88" s="39">
        <v>458730</v>
      </c>
      <c r="L88" s="39">
        <v>0</v>
      </c>
      <c r="M88" s="39">
        <v>458730</v>
      </c>
      <c r="N88" s="38"/>
      <c r="O88" s="39">
        <v>178357</v>
      </c>
      <c r="P88" s="39">
        <v>0</v>
      </c>
      <c r="Q88" s="39">
        <v>178357</v>
      </c>
      <c r="R88" s="38"/>
      <c r="S88" s="39">
        <v>637087</v>
      </c>
      <c r="T88" s="39">
        <v>0</v>
      </c>
      <c r="U88" s="39">
        <v>637087</v>
      </c>
      <c r="V88" s="29"/>
      <c r="W88" s="29">
        <f>INDEX(SurtaxPayment!$C$6:$U$330,MATCH(PriorYear!$C88,SurtaxPayment!$C$6:$C$330,0),6)+INDEX(SurtaxPayment!$C$6:$U$330,MATCH(PriorYear!$C88,SurtaxPayment!$C$6:$C$330,0),7)</f>
        <v>3</v>
      </c>
      <c r="X88" s="29">
        <f t="shared" si="2"/>
        <v>-3</v>
      </c>
      <c r="Y88" s="29">
        <f>INDEX(SurtaxPayment!$C$6:$U$330,MATCH(PriorYear!C88,SurtaxPayment!$C$6:$C$330,0),9)</f>
        <v>278598.93</v>
      </c>
      <c r="Z88" s="66">
        <f t="shared" si="3"/>
        <v>-0.39267340265515666</v>
      </c>
    </row>
    <row r="89" spans="1:26" x14ac:dyDescent="0.25">
      <c r="A89" s="52">
        <v>2023</v>
      </c>
      <c r="B89" s="52" t="s">
        <v>658</v>
      </c>
      <c r="C89" s="57" t="s">
        <v>397</v>
      </c>
      <c r="D89" s="58" t="s">
        <v>693</v>
      </c>
      <c r="E89" s="58" t="s">
        <v>693</v>
      </c>
      <c r="F89" s="58" t="s">
        <v>397</v>
      </c>
      <c r="G89" s="57" t="s">
        <v>79</v>
      </c>
      <c r="H89" s="39">
        <v>0</v>
      </c>
      <c r="I89" s="39">
        <v>4</v>
      </c>
      <c r="J89" s="38"/>
      <c r="K89" s="39">
        <v>190313.25</v>
      </c>
      <c r="L89" s="39">
        <v>0</v>
      </c>
      <c r="M89" s="39">
        <v>190313.25</v>
      </c>
      <c r="N89" s="38"/>
      <c r="O89" s="39">
        <v>80516.75</v>
      </c>
      <c r="P89" s="39">
        <v>0</v>
      </c>
      <c r="Q89" s="39">
        <v>80516.75</v>
      </c>
      <c r="R89" s="38"/>
      <c r="S89" s="39">
        <v>270830</v>
      </c>
      <c r="T89" s="39">
        <v>0</v>
      </c>
      <c r="U89" s="39">
        <v>270830</v>
      </c>
      <c r="V89" s="29"/>
      <c r="W89" s="29">
        <f>INDEX(SurtaxPayment!$C$6:$U$330,MATCH(PriorYear!$C89,SurtaxPayment!$C$6:$C$330,0),6)+INDEX(SurtaxPayment!$C$6:$U$330,MATCH(PriorYear!$C89,SurtaxPayment!$C$6:$C$330,0),7)</f>
        <v>4</v>
      </c>
      <c r="X89" s="29">
        <f t="shared" si="2"/>
        <v>0</v>
      </c>
      <c r="Y89" s="29">
        <f>INDEX(SurtaxPayment!$C$6:$U$330,MATCH(PriorYear!C89,SurtaxPayment!$C$6:$C$330,0),9)</f>
        <v>246807.91</v>
      </c>
      <c r="Z89" s="66">
        <f t="shared" si="3"/>
        <v>0.29685090239381651</v>
      </c>
    </row>
    <row r="90" spans="1:26" x14ac:dyDescent="0.25">
      <c r="A90" s="52">
        <v>2023</v>
      </c>
      <c r="B90" s="52" t="s">
        <v>657</v>
      </c>
      <c r="C90" s="57" t="s">
        <v>398</v>
      </c>
      <c r="D90" s="58" t="s">
        <v>693</v>
      </c>
      <c r="E90" s="58" t="s">
        <v>693</v>
      </c>
      <c r="F90" s="58" t="s">
        <v>398</v>
      </c>
      <c r="G90" s="57" t="s">
        <v>709</v>
      </c>
      <c r="H90" s="39">
        <v>0</v>
      </c>
      <c r="I90" s="39">
        <v>0</v>
      </c>
      <c r="J90" s="38"/>
      <c r="K90" s="39">
        <v>0</v>
      </c>
      <c r="L90" s="39">
        <v>0</v>
      </c>
      <c r="M90" s="39">
        <v>0</v>
      </c>
      <c r="N90" s="38"/>
      <c r="O90" s="39">
        <v>0</v>
      </c>
      <c r="P90" s="39">
        <v>0</v>
      </c>
      <c r="Q90" s="39">
        <v>0</v>
      </c>
      <c r="R90" s="38"/>
      <c r="S90" s="39">
        <v>0</v>
      </c>
      <c r="T90" s="39">
        <v>0</v>
      </c>
      <c r="U90" s="39">
        <v>0</v>
      </c>
      <c r="V90" s="29"/>
      <c r="W90" s="29">
        <f>INDEX(SurtaxPayment!$C$6:$U$330,MATCH(PriorYear!$C90,SurtaxPayment!$C$6:$C$330,0),6)+INDEX(SurtaxPayment!$C$6:$U$330,MATCH(PriorYear!$C90,SurtaxPayment!$C$6:$C$330,0),7)</f>
        <v>0</v>
      </c>
      <c r="X90" s="29">
        <f t="shared" si="2"/>
        <v>0</v>
      </c>
      <c r="Y90" s="29">
        <f>INDEX(SurtaxPayment!$C$6:$U$330,MATCH(PriorYear!C90,SurtaxPayment!$C$6:$C$330,0),9)</f>
        <v>0</v>
      </c>
      <c r="Z90" s="66">
        <f t="shared" si="3"/>
        <v>0</v>
      </c>
    </row>
    <row r="91" spans="1:26" x14ac:dyDescent="0.25">
      <c r="A91" s="52">
        <v>2023</v>
      </c>
      <c r="B91" s="52" t="s">
        <v>659</v>
      </c>
      <c r="C91" s="57" t="s">
        <v>399</v>
      </c>
      <c r="D91" s="58" t="s">
        <v>693</v>
      </c>
      <c r="E91" s="58" t="s">
        <v>693</v>
      </c>
      <c r="F91" s="58" t="s">
        <v>399</v>
      </c>
      <c r="G91" s="57" t="s">
        <v>80</v>
      </c>
      <c r="H91" s="39">
        <v>0</v>
      </c>
      <c r="I91" s="39">
        <v>3</v>
      </c>
      <c r="J91" s="38"/>
      <c r="K91" s="39">
        <v>9976.5</v>
      </c>
      <c r="L91" s="39">
        <v>0</v>
      </c>
      <c r="M91" s="39">
        <v>9976.5</v>
      </c>
      <c r="N91" s="38"/>
      <c r="O91" s="39">
        <v>4104.5</v>
      </c>
      <c r="P91" s="39">
        <v>0</v>
      </c>
      <c r="Q91" s="39">
        <v>4104.5</v>
      </c>
      <c r="R91" s="38"/>
      <c r="S91" s="39">
        <v>14081</v>
      </c>
      <c r="T91" s="39">
        <v>0</v>
      </c>
      <c r="U91" s="39">
        <v>14081</v>
      </c>
      <c r="V91" s="29"/>
      <c r="W91" s="29">
        <f>INDEX(SurtaxPayment!$C$6:$U$330,MATCH(PriorYear!$C91,SurtaxPayment!$C$6:$C$330,0),6)+INDEX(SurtaxPayment!$C$6:$U$330,MATCH(PriorYear!$C91,SurtaxPayment!$C$6:$C$330,0),7)</f>
        <v>8</v>
      </c>
      <c r="X91" s="29">
        <f t="shared" si="2"/>
        <v>5</v>
      </c>
      <c r="Y91" s="29">
        <f>INDEX(SurtaxPayment!$C$6:$U$330,MATCH(PriorYear!C91,SurtaxPayment!$C$6:$C$330,0),9)</f>
        <v>32685.51</v>
      </c>
      <c r="Z91" s="66">
        <f t="shared" si="3"/>
        <v>2.2762501879416628</v>
      </c>
    </row>
    <row r="92" spans="1:26" x14ac:dyDescent="0.25">
      <c r="A92" s="52">
        <v>2023</v>
      </c>
      <c r="B92" s="52" t="s">
        <v>658</v>
      </c>
      <c r="C92" s="57" t="s">
        <v>400</v>
      </c>
      <c r="D92" s="58" t="s">
        <v>693</v>
      </c>
      <c r="E92" s="58" t="s">
        <v>693</v>
      </c>
      <c r="F92" s="58" t="s">
        <v>400</v>
      </c>
      <c r="G92" s="57" t="s">
        <v>81</v>
      </c>
      <c r="H92" s="39">
        <v>0</v>
      </c>
      <c r="I92" s="39">
        <v>8</v>
      </c>
      <c r="J92" s="38"/>
      <c r="K92" s="39">
        <v>378648</v>
      </c>
      <c r="L92" s="39">
        <v>0</v>
      </c>
      <c r="M92" s="39">
        <v>378648</v>
      </c>
      <c r="N92" s="38"/>
      <c r="O92" s="39">
        <v>149136</v>
      </c>
      <c r="P92" s="39">
        <v>0</v>
      </c>
      <c r="Q92" s="39">
        <v>149136</v>
      </c>
      <c r="R92" s="38"/>
      <c r="S92" s="39">
        <v>527784</v>
      </c>
      <c r="T92" s="39">
        <v>0</v>
      </c>
      <c r="U92" s="39">
        <v>527784</v>
      </c>
      <c r="V92" s="29"/>
      <c r="W92" s="29">
        <f>INDEX(SurtaxPayment!$C$6:$U$330,MATCH(PriorYear!$C92,SurtaxPayment!$C$6:$C$330,0),6)+INDEX(SurtaxPayment!$C$6:$U$330,MATCH(PriorYear!$C92,SurtaxPayment!$C$6:$C$330,0),7)</f>
        <v>7</v>
      </c>
      <c r="X92" s="29">
        <f t="shared" si="2"/>
        <v>-1</v>
      </c>
      <c r="Y92" s="29">
        <f>INDEX(SurtaxPayment!$C$6:$U$330,MATCH(PriorYear!C92,SurtaxPayment!$C$6:$C$330,0),9)</f>
        <v>427459.09</v>
      </c>
      <c r="Z92" s="66">
        <f t="shared" si="3"/>
        <v>0.1289088810716022</v>
      </c>
    </row>
    <row r="93" spans="1:26" x14ac:dyDescent="0.25">
      <c r="A93" s="52">
        <v>2023</v>
      </c>
      <c r="B93" s="52" t="s">
        <v>665</v>
      </c>
      <c r="C93" s="57" t="s">
        <v>401</v>
      </c>
      <c r="D93" s="58" t="s">
        <v>693</v>
      </c>
      <c r="E93" s="58" t="s">
        <v>693</v>
      </c>
      <c r="F93" s="58" t="s">
        <v>401</v>
      </c>
      <c r="G93" s="57" t="s">
        <v>710</v>
      </c>
      <c r="H93" s="39">
        <v>0</v>
      </c>
      <c r="I93" s="39">
        <v>0</v>
      </c>
      <c r="J93" s="38"/>
      <c r="K93" s="39">
        <v>0</v>
      </c>
      <c r="L93" s="39">
        <v>0</v>
      </c>
      <c r="M93" s="39">
        <v>0</v>
      </c>
      <c r="N93" s="38"/>
      <c r="O93" s="39">
        <v>0</v>
      </c>
      <c r="P93" s="39">
        <v>0</v>
      </c>
      <c r="Q93" s="39">
        <v>0</v>
      </c>
      <c r="R93" s="38"/>
      <c r="S93" s="39">
        <v>0</v>
      </c>
      <c r="T93" s="39">
        <v>0</v>
      </c>
      <c r="U93" s="39">
        <v>0</v>
      </c>
      <c r="V93" s="29"/>
      <c r="W93" s="29">
        <f>INDEX(SurtaxPayment!$C$6:$U$330,MATCH(PriorYear!$C93,SurtaxPayment!$C$6:$C$330,0),6)+INDEX(SurtaxPayment!$C$6:$U$330,MATCH(PriorYear!$C93,SurtaxPayment!$C$6:$C$330,0),7)</f>
        <v>0</v>
      </c>
      <c r="X93" s="29">
        <f t="shared" si="2"/>
        <v>0</v>
      </c>
      <c r="Y93" s="29">
        <f>INDEX(SurtaxPayment!$C$6:$U$330,MATCH(PriorYear!C93,SurtaxPayment!$C$6:$C$330,0),9)</f>
        <v>0</v>
      </c>
      <c r="Z93" s="66">
        <f t="shared" si="3"/>
        <v>0</v>
      </c>
    </row>
    <row r="94" spans="1:26" x14ac:dyDescent="0.25">
      <c r="A94" s="52">
        <v>2023</v>
      </c>
      <c r="B94" s="52" t="s">
        <v>658</v>
      </c>
      <c r="C94" s="57" t="s">
        <v>402</v>
      </c>
      <c r="D94" s="58" t="s">
        <v>693</v>
      </c>
      <c r="E94" s="58" t="s">
        <v>693</v>
      </c>
      <c r="F94" s="58" t="s">
        <v>402</v>
      </c>
      <c r="G94" s="57" t="s">
        <v>82</v>
      </c>
      <c r="H94" s="39">
        <v>0</v>
      </c>
      <c r="I94" s="39">
        <v>8</v>
      </c>
      <c r="J94" s="38"/>
      <c r="K94" s="39">
        <v>160086.75</v>
      </c>
      <c r="L94" s="39">
        <v>0</v>
      </c>
      <c r="M94" s="39">
        <v>160086.75</v>
      </c>
      <c r="N94" s="38"/>
      <c r="O94" s="39">
        <v>56403.25</v>
      </c>
      <c r="P94" s="39">
        <v>0</v>
      </c>
      <c r="Q94" s="39">
        <v>56403.25</v>
      </c>
      <c r="R94" s="38"/>
      <c r="S94" s="39">
        <v>216490</v>
      </c>
      <c r="T94" s="39">
        <v>0</v>
      </c>
      <c r="U94" s="39">
        <v>216490</v>
      </c>
      <c r="V94" s="29"/>
      <c r="W94" s="29">
        <f>INDEX(SurtaxPayment!$C$6:$U$330,MATCH(PriorYear!$C94,SurtaxPayment!$C$6:$C$330,0),6)+INDEX(SurtaxPayment!$C$6:$U$330,MATCH(PriorYear!$C94,SurtaxPayment!$C$6:$C$330,0),7)</f>
        <v>5</v>
      </c>
      <c r="X94" s="29">
        <f t="shared" si="2"/>
        <v>-3</v>
      </c>
      <c r="Y94" s="29">
        <f>INDEX(SurtaxPayment!$C$6:$U$330,MATCH(PriorYear!C94,SurtaxPayment!$C$6:$C$330,0),9)</f>
        <v>134165.5</v>
      </c>
      <c r="Z94" s="66">
        <f t="shared" si="3"/>
        <v>-0.16192002148834927</v>
      </c>
    </row>
    <row r="95" spans="1:26" x14ac:dyDescent="0.25">
      <c r="A95" s="52">
        <v>2023</v>
      </c>
      <c r="B95" s="52" t="s">
        <v>666</v>
      </c>
      <c r="C95" s="57" t="s">
        <v>404</v>
      </c>
      <c r="D95" s="58" t="s">
        <v>693</v>
      </c>
      <c r="E95" s="58" t="s">
        <v>693</v>
      </c>
      <c r="F95" s="58" t="s">
        <v>404</v>
      </c>
      <c r="G95" s="57" t="s">
        <v>83</v>
      </c>
      <c r="H95" s="39">
        <v>0</v>
      </c>
      <c r="I95" s="39">
        <v>6</v>
      </c>
      <c r="J95" s="38"/>
      <c r="K95" s="39">
        <v>170625</v>
      </c>
      <c r="L95" s="39">
        <v>0</v>
      </c>
      <c r="M95" s="39">
        <v>170625</v>
      </c>
      <c r="N95" s="38"/>
      <c r="O95" s="39">
        <v>84876</v>
      </c>
      <c r="P95" s="39">
        <v>0</v>
      </c>
      <c r="Q95" s="39">
        <v>84876</v>
      </c>
      <c r="R95" s="38"/>
      <c r="S95" s="39">
        <v>255501</v>
      </c>
      <c r="T95" s="39">
        <v>0</v>
      </c>
      <c r="U95" s="39">
        <v>255501</v>
      </c>
      <c r="V95" s="29"/>
      <c r="W95" s="29">
        <f>INDEX(SurtaxPayment!$C$6:$U$330,MATCH(PriorYear!$C95,SurtaxPayment!$C$6:$C$330,0),6)+INDEX(SurtaxPayment!$C$6:$U$330,MATCH(PriorYear!$C95,SurtaxPayment!$C$6:$C$330,0),7)</f>
        <v>7</v>
      </c>
      <c r="X95" s="29">
        <f t="shared" si="2"/>
        <v>1</v>
      </c>
      <c r="Y95" s="29">
        <f>INDEX(SurtaxPayment!$C$6:$U$330,MATCH(PriorYear!C95,SurtaxPayment!$C$6:$C$330,0),9)</f>
        <v>261805.4</v>
      </c>
      <c r="Z95" s="66">
        <f t="shared" si="3"/>
        <v>0.53439062271062265</v>
      </c>
    </row>
    <row r="96" spans="1:26" x14ac:dyDescent="0.25">
      <c r="A96" s="52">
        <v>2023</v>
      </c>
      <c r="B96" s="52" t="s">
        <v>661</v>
      </c>
      <c r="C96" s="57" t="s">
        <v>406</v>
      </c>
      <c r="D96" s="58" t="s">
        <v>693</v>
      </c>
      <c r="E96" s="58" t="s">
        <v>693</v>
      </c>
      <c r="F96" s="58" t="s">
        <v>406</v>
      </c>
      <c r="G96" s="57" t="s">
        <v>84</v>
      </c>
      <c r="H96" s="39">
        <v>0</v>
      </c>
      <c r="I96" s="39">
        <v>1</v>
      </c>
      <c r="J96" s="38"/>
      <c r="K96" s="39">
        <v>29772</v>
      </c>
      <c r="L96" s="39">
        <v>0</v>
      </c>
      <c r="M96" s="39">
        <v>29772</v>
      </c>
      <c r="N96" s="38"/>
      <c r="O96" s="39">
        <v>13168</v>
      </c>
      <c r="P96" s="39">
        <v>0</v>
      </c>
      <c r="Q96" s="39">
        <v>13168</v>
      </c>
      <c r="R96" s="38"/>
      <c r="S96" s="39">
        <v>42940</v>
      </c>
      <c r="T96" s="39">
        <v>0</v>
      </c>
      <c r="U96" s="39">
        <v>42940</v>
      </c>
      <c r="V96" s="29"/>
      <c r="W96" s="29">
        <f>INDEX(SurtaxPayment!$C$6:$U$330,MATCH(PriorYear!$C96,SurtaxPayment!$C$6:$C$330,0),6)+INDEX(SurtaxPayment!$C$6:$U$330,MATCH(PriorYear!$C96,SurtaxPayment!$C$6:$C$330,0),7)</f>
        <v>1</v>
      </c>
      <c r="X96" s="29">
        <f t="shared" si="2"/>
        <v>0</v>
      </c>
      <c r="Y96" s="29">
        <f>INDEX(SurtaxPayment!$C$6:$U$330,MATCH(PriorYear!C96,SurtaxPayment!$C$6:$C$330,0),9)</f>
        <v>37503.99</v>
      </c>
      <c r="Z96" s="66">
        <f t="shared" si="3"/>
        <v>0.25970677146311966</v>
      </c>
    </row>
    <row r="97" spans="1:26" x14ac:dyDescent="0.25">
      <c r="A97" s="52">
        <v>2023</v>
      </c>
      <c r="B97" s="52" t="s">
        <v>657</v>
      </c>
      <c r="C97" s="57" t="s">
        <v>407</v>
      </c>
      <c r="D97" s="58" t="s">
        <v>693</v>
      </c>
      <c r="E97" s="58" t="s">
        <v>693</v>
      </c>
      <c r="F97" s="58" t="s">
        <v>407</v>
      </c>
      <c r="G97" s="57" t="s">
        <v>711</v>
      </c>
      <c r="H97" s="39">
        <v>0</v>
      </c>
      <c r="I97" s="39">
        <v>0</v>
      </c>
      <c r="J97" s="38"/>
      <c r="K97" s="39">
        <v>0</v>
      </c>
      <c r="L97" s="39">
        <v>0</v>
      </c>
      <c r="M97" s="39">
        <v>0</v>
      </c>
      <c r="N97" s="38"/>
      <c r="O97" s="39">
        <v>0</v>
      </c>
      <c r="P97" s="39">
        <v>0</v>
      </c>
      <c r="Q97" s="39">
        <v>0</v>
      </c>
      <c r="R97" s="38"/>
      <c r="S97" s="39">
        <v>0</v>
      </c>
      <c r="T97" s="39">
        <v>0</v>
      </c>
      <c r="U97" s="39">
        <v>0</v>
      </c>
      <c r="V97" s="29"/>
      <c r="W97" s="29">
        <f>INDEX(SurtaxPayment!$C$6:$U$330,MATCH(PriorYear!$C97,SurtaxPayment!$C$6:$C$330,0),6)+INDEX(SurtaxPayment!$C$6:$U$330,MATCH(PriorYear!$C97,SurtaxPayment!$C$6:$C$330,0),7)</f>
        <v>0</v>
      </c>
      <c r="X97" s="29">
        <f t="shared" si="2"/>
        <v>0</v>
      </c>
      <c r="Y97" s="29">
        <f>INDEX(SurtaxPayment!$C$6:$U$330,MATCH(PriorYear!C97,SurtaxPayment!$C$6:$C$330,0),9)</f>
        <v>0</v>
      </c>
      <c r="Z97" s="66">
        <f t="shared" si="3"/>
        <v>0</v>
      </c>
    </row>
    <row r="98" spans="1:26" x14ac:dyDescent="0.25">
      <c r="A98" s="52">
        <v>2023</v>
      </c>
      <c r="B98" s="52" t="s">
        <v>658</v>
      </c>
      <c r="C98" s="57" t="s">
        <v>408</v>
      </c>
      <c r="D98" s="58" t="s">
        <v>693</v>
      </c>
      <c r="E98" s="58" t="s">
        <v>693</v>
      </c>
      <c r="F98" s="58" t="s">
        <v>408</v>
      </c>
      <c r="G98" s="57" t="s">
        <v>85</v>
      </c>
      <c r="H98" s="39">
        <v>0</v>
      </c>
      <c r="I98" s="39">
        <v>5</v>
      </c>
      <c r="J98" s="38"/>
      <c r="K98" s="39">
        <v>129658.5</v>
      </c>
      <c r="L98" s="39">
        <v>0</v>
      </c>
      <c r="M98" s="39">
        <v>129658.5</v>
      </c>
      <c r="N98" s="38"/>
      <c r="O98" s="39">
        <v>48168.5</v>
      </c>
      <c r="P98" s="39">
        <v>0</v>
      </c>
      <c r="Q98" s="39">
        <v>48168.5</v>
      </c>
      <c r="R98" s="38"/>
      <c r="S98" s="39">
        <v>177827</v>
      </c>
      <c r="T98" s="39">
        <v>0</v>
      </c>
      <c r="U98" s="39">
        <v>177827</v>
      </c>
      <c r="V98" s="29"/>
      <c r="W98" s="29">
        <f>INDEX(SurtaxPayment!$C$6:$U$330,MATCH(PriorYear!$C98,SurtaxPayment!$C$6:$C$330,0),6)+INDEX(SurtaxPayment!$C$6:$U$330,MATCH(PriorYear!$C98,SurtaxPayment!$C$6:$C$330,0),7)</f>
        <v>7</v>
      </c>
      <c r="X98" s="29">
        <f t="shared" si="2"/>
        <v>2</v>
      </c>
      <c r="Y98" s="29">
        <f>INDEX(SurtaxPayment!$C$6:$U$330,MATCH(PriorYear!C98,SurtaxPayment!$C$6:$C$330,0),9)</f>
        <v>210982.31</v>
      </c>
      <c r="Z98" s="66">
        <f t="shared" si="3"/>
        <v>0.62721541588094876</v>
      </c>
    </row>
    <row r="99" spans="1:26" x14ac:dyDescent="0.25">
      <c r="A99" s="52">
        <v>2023</v>
      </c>
      <c r="B99" s="52" t="s">
        <v>658</v>
      </c>
      <c r="C99" s="57" t="s">
        <v>472</v>
      </c>
      <c r="D99" s="58" t="s">
        <v>693</v>
      </c>
      <c r="E99" s="58" t="s">
        <v>693</v>
      </c>
      <c r="F99" s="58" t="s">
        <v>670</v>
      </c>
      <c r="G99" s="57" t="s">
        <v>86</v>
      </c>
      <c r="H99" s="39">
        <v>0</v>
      </c>
      <c r="I99" s="39">
        <v>9</v>
      </c>
      <c r="J99" s="38"/>
      <c r="K99" s="39">
        <v>251022.75</v>
      </c>
      <c r="L99" s="39">
        <v>0</v>
      </c>
      <c r="M99" s="39">
        <v>251022.75</v>
      </c>
      <c r="N99" s="38"/>
      <c r="O99" s="39">
        <v>101510.25</v>
      </c>
      <c r="P99" s="39">
        <v>0</v>
      </c>
      <c r="Q99" s="39">
        <v>101510.25</v>
      </c>
      <c r="R99" s="38"/>
      <c r="S99" s="39">
        <v>352533</v>
      </c>
      <c r="T99" s="39">
        <v>0</v>
      </c>
      <c r="U99" s="39">
        <v>352533</v>
      </c>
      <c r="V99" s="29"/>
      <c r="W99" s="29">
        <f>INDEX(SurtaxPayment!$C$6:$U$330,MATCH(PriorYear!$C99,SurtaxPayment!$C$6:$C$330,0),6)+INDEX(SurtaxPayment!$C$6:$U$330,MATCH(PriorYear!$C99,SurtaxPayment!$C$6:$C$330,0),7)</f>
        <v>9</v>
      </c>
      <c r="X99" s="29">
        <f t="shared" si="2"/>
        <v>0</v>
      </c>
      <c r="Y99" s="29">
        <f>INDEX(SurtaxPayment!$C$6:$U$330,MATCH(PriorYear!C99,SurtaxPayment!$C$6:$C$330,0),9)</f>
        <v>309786.62</v>
      </c>
      <c r="Z99" s="66">
        <f t="shared" si="3"/>
        <v>0.23409778595764724</v>
      </c>
    </row>
    <row r="100" spans="1:26" x14ac:dyDescent="0.25">
      <c r="A100" s="52">
        <v>2023</v>
      </c>
      <c r="B100" s="52" t="s">
        <v>659</v>
      </c>
      <c r="C100" s="57" t="s">
        <v>485</v>
      </c>
      <c r="D100" s="58" t="s">
        <v>693</v>
      </c>
      <c r="E100" s="58" t="s">
        <v>693</v>
      </c>
      <c r="F100" s="58" t="s">
        <v>485</v>
      </c>
      <c r="G100" s="57" t="s">
        <v>87</v>
      </c>
      <c r="H100" s="39">
        <v>1</v>
      </c>
      <c r="I100" s="39">
        <v>10</v>
      </c>
      <c r="J100" s="38"/>
      <c r="K100" s="39">
        <v>219172.5</v>
      </c>
      <c r="L100" s="39">
        <v>19924.77</v>
      </c>
      <c r="M100" s="39">
        <v>199247.73</v>
      </c>
      <c r="N100" s="38"/>
      <c r="O100" s="39">
        <v>97506.5</v>
      </c>
      <c r="P100" s="39">
        <v>8864.23</v>
      </c>
      <c r="Q100" s="39">
        <v>88642.27</v>
      </c>
      <c r="R100" s="38"/>
      <c r="S100" s="39">
        <v>316679</v>
      </c>
      <c r="T100" s="39">
        <v>28789</v>
      </c>
      <c r="U100" s="39">
        <v>287890</v>
      </c>
      <c r="V100" s="29"/>
      <c r="W100" s="29">
        <f>INDEX(SurtaxPayment!$C$6:$U$330,MATCH(PriorYear!$C100,SurtaxPayment!$C$6:$C$330,0),6)+INDEX(SurtaxPayment!$C$6:$U$330,MATCH(PriorYear!$C100,SurtaxPayment!$C$6:$C$330,0),7)</f>
        <v>20</v>
      </c>
      <c r="X100" s="29">
        <f t="shared" si="2"/>
        <v>9</v>
      </c>
      <c r="Y100" s="29">
        <f>INDEX(SurtaxPayment!$C$6:$U$330,MATCH(PriorYear!C100,SurtaxPayment!$C$6:$C$330,0),9)</f>
        <v>528441.53</v>
      </c>
      <c r="Z100" s="66">
        <f t="shared" si="3"/>
        <v>1.4110758877140153</v>
      </c>
    </row>
    <row r="101" spans="1:26" x14ac:dyDescent="0.25">
      <c r="A101" s="52">
        <v>2023</v>
      </c>
      <c r="B101" s="52" t="s">
        <v>661</v>
      </c>
      <c r="C101" s="57" t="s">
        <v>608</v>
      </c>
      <c r="D101" s="58" t="s">
        <v>693</v>
      </c>
      <c r="E101" s="58" t="s">
        <v>693</v>
      </c>
      <c r="F101" s="58" t="s">
        <v>608</v>
      </c>
      <c r="G101" s="57" t="s">
        <v>88</v>
      </c>
      <c r="H101" s="39">
        <v>0</v>
      </c>
      <c r="I101" s="39">
        <v>1</v>
      </c>
      <c r="J101" s="38"/>
      <c r="K101" s="39">
        <v>50772.75</v>
      </c>
      <c r="L101" s="39">
        <v>0</v>
      </c>
      <c r="M101" s="39">
        <v>50772.75</v>
      </c>
      <c r="N101" s="38"/>
      <c r="O101" s="39">
        <v>19920.25</v>
      </c>
      <c r="P101" s="39">
        <v>0</v>
      </c>
      <c r="Q101" s="39">
        <v>19920.25</v>
      </c>
      <c r="R101" s="38"/>
      <c r="S101" s="39">
        <v>70693</v>
      </c>
      <c r="T101" s="39">
        <v>0</v>
      </c>
      <c r="U101" s="39">
        <v>70693</v>
      </c>
      <c r="V101" s="29"/>
      <c r="W101" s="29">
        <f>INDEX(SurtaxPayment!$C$6:$U$330,MATCH(PriorYear!$C101,SurtaxPayment!$C$6:$C$330,0),6)+INDEX(SurtaxPayment!$C$6:$U$330,MATCH(PriorYear!$C101,SurtaxPayment!$C$6:$C$330,0),7)</f>
        <v>1</v>
      </c>
      <c r="X101" s="29">
        <f t="shared" si="2"/>
        <v>0</v>
      </c>
      <c r="Y101" s="29">
        <f>INDEX(SurtaxPayment!$C$6:$U$330,MATCH(PriorYear!C101,SurtaxPayment!$C$6:$C$330,0),9)</f>
        <v>64027.93</v>
      </c>
      <c r="Z101" s="66">
        <f t="shared" si="3"/>
        <v>0.26106878197458283</v>
      </c>
    </row>
    <row r="102" spans="1:26" x14ac:dyDescent="0.25">
      <c r="A102" s="52">
        <v>2023</v>
      </c>
      <c r="B102" s="52" t="s">
        <v>659</v>
      </c>
      <c r="C102" s="57" t="s">
        <v>410</v>
      </c>
      <c r="D102" s="58" t="s">
        <v>693</v>
      </c>
      <c r="E102" s="58" t="s">
        <v>693</v>
      </c>
      <c r="F102" s="58" t="s">
        <v>410</v>
      </c>
      <c r="G102" s="57" t="s">
        <v>89</v>
      </c>
      <c r="H102" s="39">
        <v>0</v>
      </c>
      <c r="I102" s="39">
        <v>11</v>
      </c>
      <c r="J102" s="38"/>
      <c r="K102" s="39">
        <v>200902.5</v>
      </c>
      <c r="L102" s="39">
        <v>0</v>
      </c>
      <c r="M102" s="39">
        <v>200902.5</v>
      </c>
      <c r="N102" s="38"/>
      <c r="O102" s="39">
        <v>75456.5</v>
      </c>
      <c r="P102" s="39">
        <v>0</v>
      </c>
      <c r="Q102" s="39">
        <v>75456.5</v>
      </c>
      <c r="R102" s="38"/>
      <c r="S102" s="39">
        <v>276359</v>
      </c>
      <c r="T102" s="39">
        <v>0</v>
      </c>
      <c r="U102" s="39">
        <v>276359</v>
      </c>
      <c r="V102" s="29"/>
      <c r="W102" s="29">
        <f>INDEX(SurtaxPayment!$C$6:$U$330,MATCH(PriorYear!$C102,SurtaxPayment!$C$6:$C$330,0),6)+INDEX(SurtaxPayment!$C$6:$U$330,MATCH(PriorYear!$C102,SurtaxPayment!$C$6:$C$330,0),7)</f>
        <v>10</v>
      </c>
      <c r="X102" s="29">
        <f t="shared" si="2"/>
        <v>-1</v>
      </c>
      <c r="Y102" s="29">
        <f>INDEX(SurtaxPayment!$C$6:$U$330,MATCH(PriorYear!C102,SurtaxPayment!$C$6:$C$330,0),9)</f>
        <v>232769.23</v>
      </c>
      <c r="Z102" s="66">
        <f t="shared" si="3"/>
        <v>0.15861788678587876</v>
      </c>
    </row>
    <row r="103" spans="1:26" x14ac:dyDescent="0.25">
      <c r="A103" s="52">
        <v>2023</v>
      </c>
      <c r="B103" s="52" t="s">
        <v>665</v>
      </c>
      <c r="C103" s="57" t="s">
        <v>411</v>
      </c>
      <c r="D103" s="58" t="s">
        <v>693</v>
      </c>
      <c r="E103" s="58" t="s">
        <v>693</v>
      </c>
      <c r="F103" s="58" t="s">
        <v>411</v>
      </c>
      <c r="G103" s="57" t="s">
        <v>90</v>
      </c>
      <c r="H103" s="39">
        <v>0</v>
      </c>
      <c r="I103" s="39">
        <v>10</v>
      </c>
      <c r="J103" s="38"/>
      <c r="K103" s="39">
        <v>130054.5</v>
      </c>
      <c r="L103" s="39">
        <v>0</v>
      </c>
      <c r="M103" s="39">
        <v>130054.5</v>
      </c>
      <c r="N103" s="38"/>
      <c r="O103" s="39">
        <v>59139.5</v>
      </c>
      <c r="P103" s="39">
        <v>0</v>
      </c>
      <c r="Q103" s="39">
        <v>59139.5</v>
      </c>
      <c r="R103" s="38"/>
      <c r="S103" s="39">
        <v>189194</v>
      </c>
      <c r="T103" s="39">
        <v>0</v>
      </c>
      <c r="U103" s="39">
        <v>189194</v>
      </c>
      <c r="V103" s="29"/>
      <c r="W103" s="29">
        <f>INDEX(SurtaxPayment!$C$6:$U$330,MATCH(PriorYear!$C103,SurtaxPayment!$C$6:$C$330,0),6)+INDEX(SurtaxPayment!$C$6:$U$330,MATCH(PriorYear!$C103,SurtaxPayment!$C$6:$C$330,0),7)</f>
        <v>6</v>
      </c>
      <c r="X103" s="29">
        <f t="shared" si="2"/>
        <v>-4</v>
      </c>
      <c r="Y103" s="29">
        <f>INDEX(SurtaxPayment!$C$6:$U$330,MATCH(PriorYear!C103,SurtaxPayment!$C$6:$C$330,0),9)</f>
        <v>98026.89</v>
      </c>
      <c r="Z103" s="66">
        <f t="shared" si="3"/>
        <v>-0.24626298974660624</v>
      </c>
    </row>
    <row r="104" spans="1:26" x14ac:dyDescent="0.25">
      <c r="A104" s="52">
        <v>2023</v>
      </c>
      <c r="B104" s="52" t="s">
        <v>666</v>
      </c>
      <c r="C104" s="57" t="s">
        <v>409</v>
      </c>
      <c r="D104" s="58" t="s">
        <v>693</v>
      </c>
      <c r="E104" s="58" t="s">
        <v>693</v>
      </c>
      <c r="F104" s="58" t="s">
        <v>409</v>
      </c>
      <c r="G104" s="57" t="s">
        <v>639</v>
      </c>
      <c r="H104" s="39">
        <v>0</v>
      </c>
      <c r="I104" s="39">
        <v>4</v>
      </c>
      <c r="J104" s="38"/>
      <c r="K104" s="39">
        <v>105732.75</v>
      </c>
      <c r="L104" s="39">
        <v>0</v>
      </c>
      <c r="M104" s="39">
        <v>105732.75</v>
      </c>
      <c r="N104" s="38"/>
      <c r="O104" s="39">
        <v>39877.25</v>
      </c>
      <c r="P104" s="39">
        <v>0</v>
      </c>
      <c r="Q104" s="39">
        <v>39877.25</v>
      </c>
      <c r="R104" s="38"/>
      <c r="S104" s="39">
        <v>145610</v>
      </c>
      <c r="T104" s="39">
        <v>0</v>
      </c>
      <c r="U104" s="39">
        <v>145610</v>
      </c>
      <c r="V104" s="29"/>
      <c r="W104" s="29">
        <f>INDEX(SurtaxPayment!$C$6:$U$330,MATCH(PriorYear!$C104,SurtaxPayment!$C$6:$C$330,0),6)+INDEX(SurtaxPayment!$C$6:$U$330,MATCH(PriorYear!$C104,SurtaxPayment!$C$6:$C$330,0),7)</f>
        <v>4</v>
      </c>
      <c r="X104" s="29">
        <f t="shared" si="2"/>
        <v>0</v>
      </c>
      <c r="Y104" s="29">
        <f>INDEX(SurtaxPayment!$C$6:$U$330,MATCH(PriorYear!C104,SurtaxPayment!$C$6:$C$330,0),9)</f>
        <v>133403.24</v>
      </c>
      <c r="Z104" s="66">
        <f t="shared" si="3"/>
        <v>0.26170216891171366</v>
      </c>
    </row>
    <row r="105" spans="1:26" x14ac:dyDescent="0.25">
      <c r="A105" s="52">
        <v>2023</v>
      </c>
      <c r="B105" s="52" t="s">
        <v>662</v>
      </c>
      <c r="C105" s="57" t="s">
        <v>344</v>
      </c>
      <c r="D105" s="58" t="s">
        <v>693</v>
      </c>
      <c r="E105" s="58" t="s">
        <v>693</v>
      </c>
      <c r="F105" s="58" t="s">
        <v>344</v>
      </c>
      <c r="G105" s="57" t="s">
        <v>91</v>
      </c>
      <c r="H105" s="39">
        <v>0</v>
      </c>
      <c r="I105" s="39">
        <v>5</v>
      </c>
      <c r="J105" s="38"/>
      <c r="K105" s="39">
        <v>167287.5</v>
      </c>
      <c r="L105" s="39">
        <v>0</v>
      </c>
      <c r="M105" s="39">
        <v>167287.5</v>
      </c>
      <c r="N105" s="38"/>
      <c r="O105" s="39">
        <v>80841.5</v>
      </c>
      <c r="P105" s="39">
        <v>0</v>
      </c>
      <c r="Q105" s="39">
        <v>80841.5</v>
      </c>
      <c r="R105" s="38"/>
      <c r="S105" s="39">
        <v>248129</v>
      </c>
      <c r="T105" s="39">
        <v>0</v>
      </c>
      <c r="U105" s="39">
        <v>248129</v>
      </c>
      <c r="V105" s="29"/>
      <c r="W105" s="29">
        <f>INDEX(SurtaxPayment!$C$6:$U$330,MATCH(PriorYear!$C105,SurtaxPayment!$C$6:$C$330,0),6)+INDEX(SurtaxPayment!$C$6:$U$330,MATCH(PriorYear!$C105,SurtaxPayment!$C$6:$C$330,0),7)</f>
        <v>5</v>
      </c>
      <c r="X105" s="29">
        <f t="shared" si="2"/>
        <v>0</v>
      </c>
      <c r="Y105" s="29">
        <f>INDEX(SurtaxPayment!$C$6:$U$330,MATCH(PriorYear!C105,SurtaxPayment!$C$6:$C$330,0),9)</f>
        <v>230353.42</v>
      </c>
      <c r="Z105" s="66">
        <f t="shared" si="3"/>
        <v>0.37699122767690363</v>
      </c>
    </row>
    <row r="106" spans="1:26" x14ac:dyDescent="0.25">
      <c r="A106" s="52">
        <v>2023</v>
      </c>
      <c r="B106" s="52" t="s">
        <v>665</v>
      </c>
      <c r="C106" s="57" t="s">
        <v>413</v>
      </c>
      <c r="D106" s="58" t="s">
        <v>693</v>
      </c>
      <c r="E106" s="58" t="s">
        <v>693</v>
      </c>
      <c r="F106" s="58" t="s">
        <v>413</v>
      </c>
      <c r="G106" s="57" t="s">
        <v>92</v>
      </c>
      <c r="H106" s="39">
        <v>1</v>
      </c>
      <c r="I106" s="39">
        <v>1</v>
      </c>
      <c r="J106" s="38"/>
      <c r="K106" s="39">
        <v>43392.75</v>
      </c>
      <c r="L106" s="39">
        <v>21696.38</v>
      </c>
      <c r="M106" s="39">
        <v>21696.37</v>
      </c>
      <c r="N106" s="38"/>
      <c r="O106" s="39">
        <v>15797.25</v>
      </c>
      <c r="P106" s="39">
        <v>7898.63</v>
      </c>
      <c r="Q106" s="39">
        <v>7898.62</v>
      </c>
      <c r="R106" s="38"/>
      <c r="S106" s="39">
        <v>59190</v>
      </c>
      <c r="T106" s="39">
        <v>29595.010000000002</v>
      </c>
      <c r="U106" s="39">
        <v>29594.989999999998</v>
      </c>
      <c r="V106" s="29"/>
      <c r="W106" s="29">
        <f>INDEX(SurtaxPayment!$C$6:$U$330,MATCH(PriorYear!$C106,SurtaxPayment!$C$6:$C$330,0),6)+INDEX(SurtaxPayment!$C$6:$U$330,MATCH(PriorYear!$C106,SurtaxPayment!$C$6:$C$330,0),7)</f>
        <v>4</v>
      </c>
      <c r="X106" s="29">
        <f t="shared" si="2"/>
        <v>2</v>
      </c>
      <c r="Y106" s="29">
        <f>INDEX(SurtaxPayment!$C$6:$U$330,MATCH(PriorYear!C106,SurtaxPayment!$C$6:$C$330,0),9)</f>
        <v>108274.89</v>
      </c>
      <c r="Z106" s="66">
        <f t="shared" si="3"/>
        <v>1.4952299635307742</v>
      </c>
    </row>
    <row r="107" spans="1:26" x14ac:dyDescent="0.25">
      <c r="A107" s="52">
        <v>2023</v>
      </c>
      <c r="B107" s="52" t="s">
        <v>658</v>
      </c>
      <c r="C107" s="57" t="s">
        <v>414</v>
      </c>
      <c r="D107" s="58" t="s">
        <v>693</v>
      </c>
      <c r="E107" s="58" t="s">
        <v>693</v>
      </c>
      <c r="F107" s="58" t="s">
        <v>414</v>
      </c>
      <c r="G107" s="57" t="s">
        <v>93</v>
      </c>
      <c r="H107" s="39">
        <v>0</v>
      </c>
      <c r="I107" s="39">
        <v>5</v>
      </c>
      <c r="J107" s="38"/>
      <c r="K107" s="39">
        <v>118890.75</v>
      </c>
      <c r="L107" s="39">
        <v>0</v>
      </c>
      <c r="M107" s="39">
        <v>118890.75</v>
      </c>
      <c r="N107" s="38"/>
      <c r="O107" s="39">
        <v>46579.25</v>
      </c>
      <c r="P107" s="39">
        <v>0</v>
      </c>
      <c r="Q107" s="39">
        <v>46579.25</v>
      </c>
      <c r="R107" s="38"/>
      <c r="S107" s="39">
        <v>165470</v>
      </c>
      <c r="T107" s="39">
        <v>0</v>
      </c>
      <c r="U107" s="39">
        <v>165470</v>
      </c>
      <c r="V107" s="29"/>
      <c r="W107" s="29">
        <f>INDEX(SurtaxPayment!$C$6:$U$330,MATCH(PriorYear!$C107,SurtaxPayment!$C$6:$C$330,0),6)+INDEX(SurtaxPayment!$C$6:$U$330,MATCH(PriorYear!$C107,SurtaxPayment!$C$6:$C$330,0),7)</f>
        <v>2</v>
      </c>
      <c r="X107" s="29">
        <f t="shared" si="2"/>
        <v>-3</v>
      </c>
      <c r="Y107" s="29">
        <f>INDEX(SurtaxPayment!$C$6:$U$330,MATCH(PriorYear!C107,SurtaxPayment!$C$6:$C$330,0),9)</f>
        <v>63738.37</v>
      </c>
      <c r="Z107" s="66">
        <f t="shared" si="3"/>
        <v>-0.46389126151529869</v>
      </c>
    </row>
    <row r="108" spans="1:26" x14ac:dyDescent="0.25">
      <c r="A108" s="52">
        <v>2023</v>
      </c>
      <c r="B108" s="52" t="s">
        <v>661</v>
      </c>
      <c r="C108" s="57" t="s">
        <v>415</v>
      </c>
      <c r="D108" s="58" t="s">
        <v>693</v>
      </c>
      <c r="E108" s="58" t="s">
        <v>693</v>
      </c>
      <c r="F108" s="58" t="s">
        <v>415</v>
      </c>
      <c r="G108" s="57" t="s">
        <v>94</v>
      </c>
      <c r="H108" s="39">
        <v>6</v>
      </c>
      <c r="I108" s="39">
        <v>7</v>
      </c>
      <c r="J108" s="38"/>
      <c r="K108" s="39">
        <v>458057.25</v>
      </c>
      <c r="L108" s="39">
        <v>211411.04</v>
      </c>
      <c r="M108" s="39">
        <v>246646.21</v>
      </c>
      <c r="N108" s="38"/>
      <c r="O108" s="39">
        <v>170059.75</v>
      </c>
      <c r="P108" s="39">
        <v>78489.119999999995</v>
      </c>
      <c r="Q108" s="39">
        <v>91570.63</v>
      </c>
      <c r="R108" s="38"/>
      <c r="S108" s="39">
        <v>628117</v>
      </c>
      <c r="T108" s="39">
        <v>289900.16000000003</v>
      </c>
      <c r="U108" s="39">
        <v>338216.83999999997</v>
      </c>
      <c r="V108" s="29"/>
      <c r="W108" s="29">
        <f>INDEX(SurtaxPayment!$C$6:$U$330,MATCH(PriorYear!$C108,SurtaxPayment!$C$6:$C$330,0),6)+INDEX(SurtaxPayment!$C$6:$U$330,MATCH(PriorYear!$C108,SurtaxPayment!$C$6:$C$330,0),7)</f>
        <v>7</v>
      </c>
      <c r="X108" s="29">
        <f t="shared" si="2"/>
        <v>-6</v>
      </c>
      <c r="Y108" s="29">
        <f>INDEX(SurtaxPayment!$C$6:$U$330,MATCH(PriorYear!C108,SurtaxPayment!$C$6:$C$330,0),9)</f>
        <v>310844.59000000003</v>
      </c>
      <c r="Z108" s="66">
        <f t="shared" si="3"/>
        <v>-0.32138484872797007</v>
      </c>
    </row>
    <row r="109" spans="1:26" x14ac:dyDescent="0.25">
      <c r="A109" s="52">
        <v>2023</v>
      </c>
      <c r="B109" s="52" t="s">
        <v>663</v>
      </c>
      <c r="C109" s="57" t="s">
        <v>416</v>
      </c>
      <c r="D109" s="58" t="s">
        <v>693</v>
      </c>
      <c r="E109" s="58" t="s">
        <v>693</v>
      </c>
      <c r="F109" s="58" t="s">
        <v>416</v>
      </c>
      <c r="G109" s="57" t="s">
        <v>95</v>
      </c>
      <c r="H109" s="39">
        <v>6</v>
      </c>
      <c r="I109" s="39">
        <v>6</v>
      </c>
      <c r="J109" s="38"/>
      <c r="K109" s="39">
        <v>209482.5</v>
      </c>
      <c r="L109" s="39">
        <v>104741.25</v>
      </c>
      <c r="M109" s="39">
        <v>104741.25</v>
      </c>
      <c r="N109" s="38"/>
      <c r="O109" s="39">
        <v>80293.5</v>
      </c>
      <c r="P109" s="39">
        <v>40146.75</v>
      </c>
      <c r="Q109" s="39">
        <v>40146.75</v>
      </c>
      <c r="R109" s="38"/>
      <c r="S109" s="39">
        <v>289776</v>
      </c>
      <c r="T109" s="39">
        <v>144888</v>
      </c>
      <c r="U109" s="39">
        <v>144888</v>
      </c>
      <c r="V109" s="29"/>
      <c r="W109" s="29">
        <f>INDEX(SurtaxPayment!$C$6:$U$330,MATCH(PriorYear!$C109,SurtaxPayment!$C$6:$C$330,0),6)+INDEX(SurtaxPayment!$C$6:$U$330,MATCH(PriorYear!$C109,SurtaxPayment!$C$6:$C$330,0),7)</f>
        <v>8</v>
      </c>
      <c r="X109" s="29">
        <f t="shared" si="2"/>
        <v>-4</v>
      </c>
      <c r="Y109" s="29">
        <f>INDEX(SurtaxPayment!$C$6:$U$330,MATCH(PriorYear!C109,SurtaxPayment!$C$6:$C$330,0),9)</f>
        <v>180326.51</v>
      </c>
      <c r="Z109" s="66">
        <f t="shared" si="3"/>
        <v>-0.1391810294416001</v>
      </c>
    </row>
    <row r="110" spans="1:26" x14ac:dyDescent="0.25">
      <c r="A110" s="52">
        <v>2023</v>
      </c>
      <c r="B110" s="52" t="s">
        <v>659</v>
      </c>
      <c r="C110" s="57" t="s">
        <v>417</v>
      </c>
      <c r="D110" s="58" t="s">
        <v>693</v>
      </c>
      <c r="E110" s="58" t="s">
        <v>693</v>
      </c>
      <c r="F110" s="58" t="s">
        <v>417</v>
      </c>
      <c r="G110" s="57" t="s">
        <v>96</v>
      </c>
      <c r="H110" s="39">
        <v>0</v>
      </c>
      <c r="I110" s="39">
        <v>9</v>
      </c>
      <c r="J110" s="38"/>
      <c r="K110" s="39">
        <v>76781.25</v>
      </c>
      <c r="L110" s="39">
        <v>0</v>
      </c>
      <c r="M110" s="39">
        <v>76781.25</v>
      </c>
      <c r="N110" s="38"/>
      <c r="O110" s="39">
        <v>32963.75</v>
      </c>
      <c r="P110" s="39">
        <v>0</v>
      </c>
      <c r="Q110" s="39">
        <v>32963.75</v>
      </c>
      <c r="R110" s="38"/>
      <c r="S110" s="39">
        <v>109745</v>
      </c>
      <c r="T110" s="39">
        <v>0</v>
      </c>
      <c r="U110" s="39">
        <v>109745</v>
      </c>
      <c r="V110" s="29"/>
      <c r="W110" s="29">
        <f>INDEX(SurtaxPayment!$C$6:$U$330,MATCH(PriorYear!$C110,SurtaxPayment!$C$6:$C$330,0),6)+INDEX(SurtaxPayment!$C$6:$U$330,MATCH(PriorYear!$C110,SurtaxPayment!$C$6:$C$330,0),7)</f>
        <v>9</v>
      </c>
      <c r="X110" s="29">
        <f t="shared" si="2"/>
        <v>0</v>
      </c>
      <c r="Y110" s="29">
        <f>INDEX(SurtaxPayment!$C$6:$U$330,MATCH(PriorYear!C110,SurtaxPayment!$C$6:$C$330,0),9)</f>
        <v>87117.57</v>
      </c>
      <c r="Z110" s="66">
        <f t="shared" si="3"/>
        <v>0.13462036630036639</v>
      </c>
    </row>
    <row r="111" spans="1:26" x14ac:dyDescent="0.25">
      <c r="A111" s="52">
        <v>2023</v>
      </c>
      <c r="B111" s="52" t="s">
        <v>661</v>
      </c>
      <c r="C111" s="57" t="s">
        <v>418</v>
      </c>
      <c r="D111" s="58" t="s">
        <v>693</v>
      </c>
      <c r="E111" s="58" t="s">
        <v>693</v>
      </c>
      <c r="F111" s="58" t="s">
        <v>418</v>
      </c>
      <c r="G111" s="57" t="s">
        <v>640</v>
      </c>
      <c r="H111" s="39">
        <v>0</v>
      </c>
      <c r="I111" s="39">
        <v>10</v>
      </c>
      <c r="J111" s="38"/>
      <c r="K111" s="39">
        <v>506667.75</v>
      </c>
      <c r="L111" s="39">
        <v>0</v>
      </c>
      <c r="M111" s="39">
        <v>506667.75</v>
      </c>
      <c r="N111" s="38"/>
      <c r="O111" s="39">
        <v>187633.25</v>
      </c>
      <c r="P111" s="39">
        <v>0</v>
      </c>
      <c r="Q111" s="39">
        <v>187633.25</v>
      </c>
      <c r="R111" s="38"/>
      <c r="S111" s="39">
        <v>694301</v>
      </c>
      <c r="T111" s="39">
        <v>0</v>
      </c>
      <c r="U111" s="39">
        <v>694301</v>
      </c>
      <c r="V111" s="29"/>
      <c r="W111" s="29">
        <f>INDEX(SurtaxPayment!$C$6:$U$330,MATCH(PriorYear!$C111,SurtaxPayment!$C$6:$C$330,0),6)+INDEX(SurtaxPayment!$C$6:$U$330,MATCH(PriorYear!$C111,SurtaxPayment!$C$6:$C$330,0),7)</f>
        <v>9</v>
      </c>
      <c r="X111" s="29">
        <f t="shared" si="2"/>
        <v>-1</v>
      </c>
      <c r="Y111" s="29">
        <f>INDEX(SurtaxPayment!$C$6:$U$330,MATCH(PriorYear!C111,SurtaxPayment!$C$6:$C$330,0),9)</f>
        <v>521991.3</v>
      </c>
      <c r="Z111" s="66">
        <f t="shared" si="3"/>
        <v>3.0243784018224938E-2</v>
      </c>
    </row>
    <row r="112" spans="1:26" x14ac:dyDescent="0.25">
      <c r="A112" s="52">
        <v>2023</v>
      </c>
      <c r="B112" s="52" t="s">
        <v>657</v>
      </c>
      <c r="C112" s="57" t="s">
        <v>419</v>
      </c>
      <c r="D112" s="58" t="s">
        <v>693</v>
      </c>
      <c r="E112" s="58" t="s">
        <v>693</v>
      </c>
      <c r="F112" s="58" t="s">
        <v>419</v>
      </c>
      <c r="G112" s="57" t="s">
        <v>98</v>
      </c>
      <c r="H112" s="39">
        <v>0</v>
      </c>
      <c r="I112" s="39">
        <v>6</v>
      </c>
      <c r="J112" s="38"/>
      <c r="K112" s="39">
        <v>120537.75</v>
      </c>
      <c r="L112" s="39">
        <v>0</v>
      </c>
      <c r="M112" s="39">
        <v>120537.75</v>
      </c>
      <c r="N112" s="38"/>
      <c r="O112" s="39">
        <v>50663.25</v>
      </c>
      <c r="P112" s="39">
        <v>0</v>
      </c>
      <c r="Q112" s="39">
        <v>50663.25</v>
      </c>
      <c r="R112" s="38"/>
      <c r="S112" s="39">
        <v>171201</v>
      </c>
      <c r="T112" s="39">
        <v>0</v>
      </c>
      <c r="U112" s="39">
        <v>171201</v>
      </c>
      <c r="V112" s="29"/>
      <c r="W112" s="29">
        <f>INDEX(SurtaxPayment!$C$6:$U$330,MATCH(PriorYear!$C112,SurtaxPayment!$C$6:$C$330,0),6)+INDEX(SurtaxPayment!$C$6:$U$330,MATCH(PriorYear!$C112,SurtaxPayment!$C$6:$C$330,0),7)</f>
        <v>5</v>
      </c>
      <c r="X112" s="29">
        <f t="shared" si="2"/>
        <v>-1</v>
      </c>
      <c r="Y112" s="29">
        <f>INDEX(SurtaxPayment!$C$6:$U$330,MATCH(PriorYear!C112,SurtaxPayment!$C$6:$C$330,0),9)</f>
        <v>124562.35</v>
      </c>
      <c r="Z112" s="66">
        <f t="shared" si="3"/>
        <v>3.3388710175857816E-2</v>
      </c>
    </row>
    <row r="113" spans="1:26" x14ac:dyDescent="0.25">
      <c r="A113" s="52">
        <v>2023</v>
      </c>
      <c r="B113" s="52" t="s">
        <v>662</v>
      </c>
      <c r="C113" s="57" t="s">
        <v>420</v>
      </c>
      <c r="D113" s="58" t="s">
        <v>693</v>
      </c>
      <c r="E113" s="58" t="s">
        <v>693</v>
      </c>
      <c r="F113" s="58" t="s">
        <v>420</v>
      </c>
      <c r="G113" s="57" t="s">
        <v>99</v>
      </c>
      <c r="H113" s="39">
        <v>0</v>
      </c>
      <c r="I113" s="39">
        <v>1</v>
      </c>
      <c r="J113" s="38"/>
      <c r="K113" s="39">
        <v>106053</v>
      </c>
      <c r="L113" s="39">
        <v>0</v>
      </c>
      <c r="M113" s="39">
        <v>106053</v>
      </c>
      <c r="N113" s="38"/>
      <c r="O113" s="39">
        <v>56388</v>
      </c>
      <c r="P113" s="39">
        <v>0</v>
      </c>
      <c r="Q113" s="39">
        <v>56388</v>
      </c>
      <c r="R113" s="38"/>
      <c r="S113" s="39">
        <v>162441</v>
      </c>
      <c r="T113" s="39">
        <v>0</v>
      </c>
      <c r="U113" s="39">
        <v>162441</v>
      </c>
      <c r="V113" s="29"/>
      <c r="W113" s="29">
        <f>INDEX(SurtaxPayment!$C$6:$U$330,MATCH(PriorYear!$C113,SurtaxPayment!$C$6:$C$330,0),6)+INDEX(SurtaxPayment!$C$6:$U$330,MATCH(PriorYear!$C113,SurtaxPayment!$C$6:$C$330,0),7)</f>
        <v>1</v>
      </c>
      <c r="X113" s="29">
        <f t="shared" si="2"/>
        <v>0</v>
      </c>
      <c r="Y113" s="29">
        <f>INDEX(SurtaxPayment!$C$6:$U$330,MATCH(PriorYear!C113,SurtaxPayment!$C$6:$C$330,0),9)</f>
        <v>126538.03</v>
      </c>
      <c r="Z113" s="66">
        <f t="shared" si="3"/>
        <v>0.19315842078960518</v>
      </c>
    </row>
    <row r="114" spans="1:26" x14ac:dyDescent="0.25">
      <c r="A114" s="52">
        <v>2023</v>
      </c>
      <c r="B114" s="52" t="s">
        <v>658</v>
      </c>
      <c r="C114" s="57" t="s">
        <v>421</v>
      </c>
      <c r="D114" s="58" t="s">
        <v>693</v>
      </c>
      <c r="E114" s="58" t="s">
        <v>693</v>
      </c>
      <c r="F114" s="58" t="s">
        <v>421</v>
      </c>
      <c r="G114" s="57" t="s">
        <v>101</v>
      </c>
      <c r="H114" s="39">
        <v>2</v>
      </c>
      <c r="I114" s="39">
        <v>8</v>
      </c>
      <c r="J114" s="38"/>
      <c r="K114" s="39">
        <v>664110</v>
      </c>
      <c r="L114" s="39">
        <v>132822</v>
      </c>
      <c r="M114" s="39">
        <v>531288</v>
      </c>
      <c r="N114" s="38"/>
      <c r="O114" s="39">
        <v>249243</v>
      </c>
      <c r="P114" s="39">
        <v>49848.6</v>
      </c>
      <c r="Q114" s="39">
        <v>199394.4</v>
      </c>
      <c r="R114" s="38"/>
      <c r="S114" s="39">
        <v>913353</v>
      </c>
      <c r="T114" s="39">
        <v>182670.6</v>
      </c>
      <c r="U114" s="39">
        <v>730682.4</v>
      </c>
      <c r="V114" s="29"/>
      <c r="W114" s="29">
        <f>INDEX(SurtaxPayment!$C$6:$U$330,MATCH(PriorYear!$C114,SurtaxPayment!$C$6:$C$330,0),6)+INDEX(SurtaxPayment!$C$6:$U$330,MATCH(PriorYear!$C114,SurtaxPayment!$C$6:$C$330,0),7)</f>
        <v>8</v>
      </c>
      <c r="X114" s="29">
        <f t="shared" si="2"/>
        <v>-2</v>
      </c>
      <c r="Y114" s="29">
        <f>INDEX(SurtaxPayment!$C$6:$U$330,MATCH(PriorYear!C114,SurtaxPayment!$C$6:$C$330,0),9)</f>
        <v>558281.51</v>
      </c>
      <c r="Z114" s="66">
        <f t="shared" si="3"/>
        <v>-0.15935385704175511</v>
      </c>
    </row>
    <row r="115" spans="1:26" x14ac:dyDescent="0.25">
      <c r="A115" s="52">
        <v>2023</v>
      </c>
      <c r="B115" s="52" t="s">
        <v>661</v>
      </c>
      <c r="C115" s="57" t="s">
        <v>422</v>
      </c>
      <c r="D115" s="58" t="s">
        <v>693</v>
      </c>
      <c r="E115" s="58" t="s">
        <v>693</v>
      </c>
      <c r="F115" s="58" t="s">
        <v>422</v>
      </c>
      <c r="G115" s="57" t="s">
        <v>102</v>
      </c>
      <c r="H115" s="39">
        <v>1</v>
      </c>
      <c r="I115" s="39">
        <v>1</v>
      </c>
      <c r="J115" s="38"/>
      <c r="K115" s="39">
        <v>387054</v>
      </c>
      <c r="L115" s="39">
        <v>193527</v>
      </c>
      <c r="M115" s="39">
        <v>193527</v>
      </c>
      <c r="N115" s="38"/>
      <c r="O115" s="39">
        <v>156374</v>
      </c>
      <c r="P115" s="39">
        <v>78187</v>
      </c>
      <c r="Q115" s="39">
        <v>78187</v>
      </c>
      <c r="R115" s="38"/>
      <c r="S115" s="39">
        <v>543428</v>
      </c>
      <c r="T115" s="39">
        <v>271714</v>
      </c>
      <c r="U115" s="39">
        <v>271714</v>
      </c>
      <c r="V115" s="29"/>
      <c r="W115" s="29">
        <f>INDEX(SurtaxPayment!$C$6:$U$330,MATCH(PriorYear!$C115,SurtaxPayment!$C$6:$C$330,0),6)+INDEX(SurtaxPayment!$C$6:$U$330,MATCH(PriorYear!$C115,SurtaxPayment!$C$6:$C$330,0),7)</f>
        <v>2</v>
      </c>
      <c r="X115" s="29">
        <f t="shared" si="2"/>
        <v>0</v>
      </c>
      <c r="Y115" s="29">
        <f>INDEX(SurtaxPayment!$C$6:$U$330,MATCH(PriorYear!C115,SurtaxPayment!$C$6:$C$330,0),9)</f>
        <v>482446.71</v>
      </c>
      <c r="Z115" s="66">
        <f t="shared" si="3"/>
        <v>0.24645840115332748</v>
      </c>
    </row>
    <row r="116" spans="1:26" x14ac:dyDescent="0.25">
      <c r="A116" s="52">
        <v>2023</v>
      </c>
      <c r="B116" s="52" t="s">
        <v>662</v>
      </c>
      <c r="C116" s="57" t="s">
        <v>423</v>
      </c>
      <c r="D116" s="58" t="s">
        <v>693</v>
      </c>
      <c r="E116" s="58" t="s">
        <v>693</v>
      </c>
      <c r="F116" s="58" t="s">
        <v>423</v>
      </c>
      <c r="G116" s="57" t="s">
        <v>650</v>
      </c>
      <c r="H116" s="39">
        <v>0</v>
      </c>
      <c r="I116" s="39">
        <v>3</v>
      </c>
      <c r="J116" s="38"/>
      <c r="K116" s="39">
        <v>360533.25</v>
      </c>
      <c r="L116" s="39">
        <v>0</v>
      </c>
      <c r="M116" s="39">
        <v>360533.25</v>
      </c>
      <c r="N116" s="38"/>
      <c r="O116" s="39">
        <v>162746.75</v>
      </c>
      <c r="P116" s="39">
        <v>0</v>
      </c>
      <c r="Q116" s="39">
        <v>162746.75</v>
      </c>
      <c r="R116" s="38"/>
      <c r="S116" s="39">
        <v>523280</v>
      </c>
      <c r="T116" s="39">
        <v>0</v>
      </c>
      <c r="U116" s="39">
        <v>523280</v>
      </c>
      <c r="V116" s="29"/>
      <c r="W116" s="29">
        <f>INDEX(SurtaxPayment!$C$6:$U$330,MATCH(PriorYear!$C116,SurtaxPayment!$C$6:$C$330,0),6)+INDEX(SurtaxPayment!$C$6:$U$330,MATCH(PriorYear!$C116,SurtaxPayment!$C$6:$C$330,0),7)</f>
        <v>3</v>
      </c>
      <c r="X116" s="29">
        <f t="shared" si="2"/>
        <v>0</v>
      </c>
      <c r="Y116" s="29">
        <f>INDEX(SurtaxPayment!$C$6:$U$330,MATCH(PriorYear!C116,SurtaxPayment!$C$6:$C$330,0),9)</f>
        <v>450821.13</v>
      </c>
      <c r="Z116" s="66">
        <f t="shared" si="3"/>
        <v>0.25042871912646059</v>
      </c>
    </row>
    <row r="117" spans="1:26" x14ac:dyDescent="0.25">
      <c r="A117" s="52">
        <v>2023</v>
      </c>
      <c r="B117" s="52" t="s">
        <v>659</v>
      </c>
      <c r="C117" s="57" t="s">
        <v>424</v>
      </c>
      <c r="D117" s="58" t="s">
        <v>693</v>
      </c>
      <c r="E117" s="58" t="s">
        <v>693</v>
      </c>
      <c r="F117" s="58" t="s">
        <v>424</v>
      </c>
      <c r="G117" s="57" t="s">
        <v>103</v>
      </c>
      <c r="H117" s="39">
        <v>8</v>
      </c>
      <c r="I117" s="39">
        <v>10</v>
      </c>
      <c r="J117" s="38"/>
      <c r="K117" s="39">
        <v>289068.75</v>
      </c>
      <c r="L117" s="39">
        <v>128475</v>
      </c>
      <c r="M117" s="39">
        <v>160593.75</v>
      </c>
      <c r="N117" s="38"/>
      <c r="O117" s="39">
        <v>109445.25</v>
      </c>
      <c r="P117" s="39">
        <v>48642.33</v>
      </c>
      <c r="Q117" s="39">
        <v>60802.92</v>
      </c>
      <c r="R117" s="38"/>
      <c r="S117" s="39">
        <v>398514</v>
      </c>
      <c r="T117" s="39">
        <v>177117.33000000002</v>
      </c>
      <c r="U117" s="39">
        <v>221396.66999999998</v>
      </c>
      <c r="V117" s="29"/>
      <c r="W117" s="29">
        <f>INDEX(SurtaxPayment!$C$6:$U$330,MATCH(PriorYear!$C117,SurtaxPayment!$C$6:$C$330,0),6)+INDEX(SurtaxPayment!$C$6:$U$330,MATCH(PriorYear!$C117,SurtaxPayment!$C$6:$C$330,0),7)</f>
        <v>18</v>
      </c>
      <c r="X117" s="29">
        <f t="shared" si="2"/>
        <v>0</v>
      </c>
      <c r="Y117" s="29">
        <f>INDEX(SurtaxPayment!$C$6:$U$330,MATCH(PriorYear!C117,SurtaxPayment!$C$6:$C$330,0),9)</f>
        <v>371755.75</v>
      </c>
      <c r="Z117" s="66">
        <f t="shared" si="3"/>
        <v>0.28604613954292879</v>
      </c>
    </row>
    <row r="118" spans="1:26" x14ac:dyDescent="0.25">
      <c r="A118" s="52">
        <v>2023</v>
      </c>
      <c r="B118" s="52" t="s">
        <v>660</v>
      </c>
      <c r="C118" s="57" t="s">
        <v>425</v>
      </c>
      <c r="D118" s="58" t="s">
        <v>693</v>
      </c>
      <c r="E118" s="58" t="s">
        <v>693</v>
      </c>
      <c r="F118" s="58" t="s">
        <v>425</v>
      </c>
      <c r="G118" s="57" t="s">
        <v>104</v>
      </c>
      <c r="H118" s="39">
        <v>5</v>
      </c>
      <c r="I118" s="39">
        <v>5</v>
      </c>
      <c r="J118" s="38"/>
      <c r="K118" s="39">
        <v>262423.5</v>
      </c>
      <c r="L118" s="39">
        <v>131211.75</v>
      </c>
      <c r="M118" s="39">
        <v>131211.75</v>
      </c>
      <c r="N118" s="38"/>
      <c r="O118" s="39">
        <v>95197.5</v>
      </c>
      <c r="P118" s="39">
        <v>47598.75</v>
      </c>
      <c r="Q118" s="39">
        <v>47598.75</v>
      </c>
      <c r="R118" s="38"/>
      <c r="S118" s="39">
        <v>357621</v>
      </c>
      <c r="T118" s="39">
        <v>178810.5</v>
      </c>
      <c r="U118" s="39">
        <v>178810.5</v>
      </c>
      <c r="V118" s="29"/>
      <c r="W118" s="29">
        <f>INDEX(SurtaxPayment!$C$6:$U$330,MATCH(PriorYear!$C118,SurtaxPayment!$C$6:$C$330,0),6)+INDEX(SurtaxPayment!$C$6:$U$330,MATCH(PriorYear!$C118,SurtaxPayment!$C$6:$C$330,0),7)</f>
        <v>10</v>
      </c>
      <c r="X118" s="29">
        <f t="shared" si="2"/>
        <v>0</v>
      </c>
      <c r="Y118" s="29">
        <f>INDEX(SurtaxPayment!$C$6:$U$330,MATCH(PriorYear!C118,SurtaxPayment!$C$6:$C$330,0),9)</f>
        <v>343453.8</v>
      </c>
      <c r="Z118" s="66">
        <f t="shared" si="3"/>
        <v>0.30877684353725937</v>
      </c>
    </row>
    <row r="119" spans="1:26" x14ac:dyDescent="0.25">
      <c r="A119" s="52">
        <v>2023</v>
      </c>
      <c r="B119" s="52" t="s">
        <v>658</v>
      </c>
      <c r="C119" s="57" t="s">
        <v>426</v>
      </c>
      <c r="D119" s="58" t="s">
        <v>693</v>
      </c>
      <c r="E119" s="58" t="s">
        <v>693</v>
      </c>
      <c r="F119" s="58" t="s">
        <v>426</v>
      </c>
      <c r="G119" s="57" t="s">
        <v>105</v>
      </c>
      <c r="H119" s="39">
        <v>3</v>
      </c>
      <c r="I119" s="39">
        <v>3</v>
      </c>
      <c r="J119" s="38"/>
      <c r="K119" s="39">
        <v>317724</v>
      </c>
      <c r="L119" s="39">
        <v>158862</v>
      </c>
      <c r="M119" s="39">
        <v>158862</v>
      </c>
      <c r="N119" s="38"/>
      <c r="O119" s="39">
        <v>132134</v>
      </c>
      <c r="P119" s="39">
        <v>66067</v>
      </c>
      <c r="Q119" s="39">
        <v>66067</v>
      </c>
      <c r="R119" s="38"/>
      <c r="S119" s="39">
        <v>449858</v>
      </c>
      <c r="T119" s="39">
        <v>224929</v>
      </c>
      <c r="U119" s="39">
        <v>224929</v>
      </c>
      <c r="V119" s="29"/>
      <c r="W119" s="29">
        <f>INDEX(SurtaxPayment!$C$6:$U$330,MATCH(PriorYear!$C119,SurtaxPayment!$C$6:$C$330,0),6)+INDEX(SurtaxPayment!$C$6:$U$330,MATCH(PriorYear!$C119,SurtaxPayment!$C$6:$C$330,0),7)</f>
        <v>2</v>
      </c>
      <c r="X119" s="29">
        <f t="shared" si="2"/>
        <v>-4</v>
      </c>
      <c r="Y119" s="29">
        <f>INDEX(SurtaxPayment!$C$6:$U$330,MATCH(PriorYear!C119,SurtaxPayment!$C$6:$C$330,0),9)</f>
        <v>142328.51999999999</v>
      </c>
      <c r="Z119" s="66">
        <f t="shared" si="3"/>
        <v>-0.55203723986856523</v>
      </c>
    </row>
    <row r="120" spans="1:26" x14ac:dyDescent="0.25">
      <c r="A120" s="52">
        <v>2023</v>
      </c>
      <c r="B120" s="52" t="s">
        <v>660</v>
      </c>
      <c r="C120" s="57" t="s">
        <v>427</v>
      </c>
      <c r="D120" s="58" t="s">
        <v>693</v>
      </c>
      <c r="E120" s="58" t="s">
        <v>693</v>
      </c>
      <c r="F120" s="58" t="s">
        <v>427</v>
      </c>
      <c r="G120" s="57" t="s">
        <v>106</v>
      </c>
      <c r="H120" s="39">
        <v>6</v>
      </c>
      <c r="I120" s="39">
        <v>9</v>
      </c>
      <c r="J120" s="38"/>
      <c r="K120" s="39">
        <v>281802.75</v>
      </c>
      <c r="L120" s="39">
        <v>112721.1</v>
      </c>
      <c r="M120" s="39">
        <v>169081.65</v>
      </c>
      <c r="N120" s="38"/>
      <c r="O120" s="39">
        <v>112325.25</v>
      </c>
      <c r="P120" s="39">
        <v>44930.1</v>
      </c>
      <c r="Q120" s="39">
        <v>67395.149999999994</v>
      </c>
      <c r="R120" s="38"/>
      <c r="S120" s="39">
        <v>394128</v>
      </c>
      <c r="T120" s="39">
        <v>157651.20000000001</v>
      </c>
      <c r="U120" s="39">
        <v>236476.79999999999</v>
      </c>
      <c r="V120" s="29"/>
      <c r="W120" s="29">
        <f>INDEX(SurtaxPayment!$C$6:$U$330,MATCH(PriorYear!$C120,SurtaxPayment!$C$6:$C$330,0),6)+INDEX(SurtaxPayment!$C$6:$U$330,MATCH(PriorYear!$C120,SurtaxPayment!$C$6:$C$330,0),7)</f>
        <v>16</v>
      </c>
      <c r="X120" s="29">
        <f t="shared" si="2"/>
        <v>1</v>
      </c>
      <c r="Y120" s="29">
        <f>INDEX(SurtaxPayment!$C$6:$U$330,MATCH(PriorYear!C120,SurtaxPayment!$C$6:$C$330,0),9)</f>
        <v>349044.82</v>
      </c>
      <c r="Z120" s="66">
        <f t="shared" si="3"/>
        <v>0.23861395958698065</v>
      </c>
    </row>
    <row r="121" spans="1:26" x14ac:dyDescent="0.25">
      <c r="A121" s="52">
        <v>2023</v>
      </c>
      <c r="B121" s="52" t="s">
        <v>657</v>
      </c>
      <c r="C121" s="57" t="s">
        <v>428</v>
      </c>
      <c r="D121" s="58" t="s">
        <v>693</v>
      </c>
      <c r="E121" s="58" t="s">
        <v>693</v>
      </c>
      <c r="F121" s="58" t="s">
        <v>428</v>
      </c>
      <c r="G121" s="57" t="s">
        <v>712</v>
      </c>
      <c r="H121" s="39">
        <v>0</v>
      </c>
      <c r="I121" s="39">
        <v>0</v>
      </c>
      <c r="J121" s="38"/>
      <c r="K121" s="39">
        <v>0</v>
      </c>
      <c r="L121" s="39">
        <v>0</v>
      </c>
      <c r="M121" s="39">
        <v>0</v>
      </c>
      <c r="N121" s="38"/>
      <c r="O121" s="39">
        <v>0</v>
      </c>
      <c r="P121" s="39">
        <v>0</v>
      </c>
      <c r="Q121" s="39">
        <v>0</v>
      </c>
      <c r="R121" s="38"/>
      <c r="S121" s="39">
        <v>0</v>
      </c>
      <c r="T121" s="39">
        <v>0</v>
      </c>
      <c r="U121" s="39">
        <v>0</v>
      </c>
      <c r="V121" s="29"/>
      <c r="W121" s="29">
        <f>INDEX(SurtaxPayment!$C$6:$U$330,MATCH(PriorYear!$C121,SurtaxPayment!$C$6:$C$330,0),6)+INDEX(SurtaxPayment!$C$6:$U$330,MATCH(PriorYear!$C121,SurtaxPayment!$C$6:$C$330,0),7)</f>
        <v>0</v>
      </c>
      <c r="X121" s="29">
        <f t="shared" si="2"/>
        <v>0</v>
      </c>
      <c r="Y121" s="29">
        <f>INDEX(SurtaxPayment!$C$6:$U$330,MATCH(PriorYear!C121,SurtaxPayment!$C$6:$C$330,0),9)</f>
        <v>0</v>
      </c>
      <c r="Z121" s="66">
        <f t="shared" si="3"/>
        <v>0</v>
      </c>
    </row>
    <row r="122" spans="1:26" x14ac:dyDescent="0.25">
      <c r="A122" s="52">
        <v>2023</v>
      </c>
      <c r="B122" s="52" t="s">
        <v>661</v>
      </c>
      <c r="C122" s="57" t="s">
        <v>429</v>
      </c>
      <c r="D122" s="58" t="s">
        <v>693</v>
      </c>
      <c r="E122" s="58" t="s">
        <v>693</v>
      </c>
      <c r="F122" s="58" t="s">
        <v>429</v>
      </c>
      <c r="G122" s="57" t="s">
        <v>107</v>
      </c>
      <c r="H122" s="39">
        <v>0</v>
      </c>
      <c r="I122" s="39">
        <v>5</v>
      </c>
      <c r="J122" s="38"/>
      <c r="K122" s="39">
        <v>30297.75</v>
      </c>
      <c r="L122" s="39">
        <v>0</v>
      </c>
      <c r="M122" s="39">
        <v>30297.75</v>
      </c>
      <c r="N122" s="38"/>
      <c r="O122" s="39">
        <v>10536.25</v>
      </c>
      <c r="P122" s="39">
        <v>0</v>
      </c>
      <c r="Q122" s="39">
        <v>10536.25</v>
      </c>
      <c r="R122" s="38"/>
      <c r="S122" s="39">
        <v>40834</v>
      </c>
      <c r="T122" s="39">
        <v>0</v>
      </c>
      <c r="U122" s="39">
        <v>40834</v>
      </c>
      <c r="V122" s="29"/>
      <c r="W122" s="29">
        <f>INDEX(SurtaxPayment!$C$6:$U$330,MATCH(PriorYear!$C122,SurtaxPayment!$C$6:$C$330,0),6)+INDEX(SurtaxPayment!$C$6:$U$330,MATCH(PriorYear!$C122,SurtaxPayment!$C$6:$C$330,0),7)</f>
        <v>5</v>
      </c>
      <c r="X122" s="29">
        <f t="shared" si="2"/>
        <v>0</v>
      </c>
      <c r="Y122" s="29">
        <f>INDEX(SurtaxPayment!$C$6:$U$330,MATCH(PriorYear!C122,SurtaxPayment!$C$6:$C$330,0),9)</f>
        <v>34387.86</v>
      </c>
      <c r="Z122" s="66">
        <f t="shared" si="3"/>
        <v>0.13499715325395453</v>
      </c>
    </row>
    <row r="123" spans="1:26" x14ac:dyDescent="0.25">
      <c r="A123" s="52">
        <v>2023</v>
      </c>
      <c r="B123" s="52" t="s">
        <v>658</v>
      </c>
      <c r="C123" s="57" t="s">
        <v>430</v>
      </c>
      <c r="D123" s="58" t="s">
        <v>693</v>
      </c>
      <c r="E123" s="58" t="s">
        <v>693</v>
      </c>
      <c r="F123" s="58" t="s">
        <v>430</v>
      </c>
      <c r="G123" s="57" t="s">
        <v>108</v>
      </c>
      <c r="H123" s="39">
        <v>1</v>
      </c>
      <c r="I123" s="39">
        <v>2</v>
      </c>
      <c r="J123" s="38"/>
      <c r="K123" s="39">
        <v>113082</v>
      </c>
      <c r="L123" s="39">
        <v>37694</v>
      </c>
      <c r="M123" s="39">
        <v>75388</v>
      </c>
      <c r="N123" s="38"/>
      <c r="O123" s="39">
        <v>40365</v>
      </c>
      <c r="P123" s="39">
        <v>13455</v>
      </c>
      <c r="Q123" s="39">
        <v>26910</v>
      </c>
      <c r="R123" s="38"/>
      <c r="S123" s="39">
        <v>153447</v>
      </c>
      <c r="T123" s="39">
        <v>51149</v>
      </c>
      <c r="U123" s="39">
        <v>102298</v>
      </c>
      <c r="V123" s="29"/>
      <c r="W123" s="29">
        <f>INDEX(SurtaxPayment!$C$6:$U$330,MATCH(PriorYear!$C123,SurtaxPayment!$C$6:$C$330,0),6)+INDEX(SurtaxPayment!$C$6:$U$330,MATCH(PriorYear!$C123,SurtaxPayment!$C$6:$C$330,0),7)</f>
        <v>2</v>
      </c>
      <c r="X123" s="29">
        <f t="shared" si="2"/>
        <v>-1</v>
      </c>
      <c r="Y123" s="29">
        <f>INDEX(SurtaxPayment!$C$6:$U$330,MATCH(PriorYear!C123,SurtaxPayment!$C$6:$C$330,0),9)</f>
        <v>93925.91</v>
      </c>
      <c r="Z123" s="66">
        <f t="shared" si="3"/>
        <v>-0.16939999292548766</v>
      </c>
    </row>
    <row r="124" spans="1:26" x14ac:dyDescent="0.25">
      <c r="A124" s="52">
        <v>2023</v>
      </c>
      <c r="B124" s="52" t="s">
        <v>659</v>
      </c>
      <c r="C124" s="57" t="s">
        <v>431</v>
      </c>
      <c r="D124" s="58" t="s">
        <v>693</v>
      </c>
      <c r="E124" s="58" t="s">
        <v>693</v>
      </c>
      <c r="F124" s="58" t="s">
        <v>431</v>
      </c>
      <c r="G124" s="57" t="s">
        <v>109</v>
      </c>
      <c r="H124" s="39">
        <v>0</v>
      </c>
      <c r="I124" s="39">
        <v>9</v>
      </c>
      <c r="J124" s="38"/>
      <c r="K124" s="39">
        <v>577937.25</v>
      </c>
      <c r="L124" s="39">
        <v>0</v>
      </c>
      <c r="M124" s="39">
        <v>577937.25</v>
      </c>
      <c r="N124" s="38"/>
      <c r="O124" s="39">
        <v>265518.75</v>
      </c>
      <c r="P124" s="39">
        <v>0</v>
      </c>
      <c r="Q124" s="39">
        <v>265518.75</v>
      </c>
      <c r="R124" s="38"/>
      <c r="S124" s="39">
        <v>843456</v>
      </c>
      <c r="T124" s="39">
        <v>0</v>
      </c>
      <c r="U124" s="39">
        <v>843456</v>
      </c>
      <c r="V124" s="29"/>
      <c r="W124" s="29">
        <f>INDEX(SurtaxPayment!$C$6:$U$330,MATCH(PriorYear!$C124,SurtaxPayment!$C$6:$C$330,0),6)+INDEX(SurtaxPayment!$C$6:$U$330,MATCH(PriorYear!$C124,SurtaxPayment!$C$6:$C$330,0),7)</f>
        <v>9</v>
      </c>
      <c r="X124" s="29">
        <f t="shared" si="2"/>
        <v>0</v>
      </c>
      <c r="Y124" s="29">
        <f>INDEX(SurtaxPayment!$C$6:$U$330,MATCH(PriorYear!C124,SurtaxPayment!$C$6:$C$330,0),9)</f>
        <v>785851.23</v>
      </c>
      <c r="Z124" s="66">
        <f t="shared" si="3"/>
        <v>0.35975182426811902</v>
      </c>
    </row>
    <row r="125" spans="1:26" x14ac:dyDescent="0.25">
      <c r="A125" s="52">
        <v>2023</v>
      </c>
      <c r="B125" s="52" t="s">
        <v>657</v>
      </c>
      <c r="C125" s="57" t="s">
        <v>432</v>
      </c>
      <c r="D125" s="58" t="s">
        <v>693</v>
      </c>
      <c r="E125" s="58" t="s">
        <v>693</v>
      </c>
      <c r="F125" s="58" t="s">
        <v>432</v>
      </c>
      <c r="G125" s="57" t="s">
        <v>110</v>
      </c>
      <c r="H125" s="39">
        <v>0</v>
      </c>
      <c r="I125" s="39">
        <v>5</v>
      </c>
      <c r="J125" s="38"/>
      <c r="K125" s="39">
        <v>90280.5</v>
      </c>
      <c r="L125" s="39">
        <v>0</v>
      </c>
      <c r="M125" s="39">
        <v>90280.5</v>
      </c>
      <c r="N125" s="38"/>
      <c r="O125" s="39">
        <v>29776.5</v>
      </c>
      <c r="P125" s="39">
        <v>0</v>
      </c>
      <c r="Q125" s="39">
        <v>29776.5</v>
      </c>
      <c r="R125" s="38"/>
      <c r="S125" s="39">
        <v>120057</v>
      </c>
      <c r="T125" s="39">
        <v>0</v>
      </c>
      <c r="U125" s="39">
        <v>120057</v>
      </c>
      <c r="V125" s="29"/>
      <c r="W125" s="29">
        <f>INDEX(SurtaxPayment!$C$6:$U$330,MATCH(PriorYear!$C125,SurtaxPayment!$C$6:$C$330,0),6)+INDEX(SurtaxPayment!$C$6:$U$330,MATCH(PriorYear!$C125,SurtaxPayment!$C$6:$C$330,0),7)</f>
        <v>1</v>
      </c>
      <c r="X125" s="29">
        <f t="shared" si="2"/>
        <v>-4</v>
      </c>
      <c r="Y125" s="29">
        <f>INDEX(SurtaxPayment!$C$6:$U$330,MATCH(PriorYear!C125,SurtaxPayment!$C$6:$C$330,0),9)</f>
        <v>19016.16</v>
      </c>
      <c r="Z125" s="66">
        <f t="shared" si="3"/>
        <v>-0.78936580989250171</v>
      </c>
    </row>
    <row r="126" spans="1:26" x14ac:dyDescent="0.25">
      <c r="A126" s="52">
        <v>2023</v>
      </c>
      <c r="B126" s="52" t="s">
        <v>658</v>
      </c>
      <c r="C126" s="57" t="s">
        <v>435</v>
      </c>
      <c r="D126" s="58" t="s">
        <v>693</v>
      </c>
      <c r="E126" s="58" t="s">
        <v>693</v>
      </c>
      <c r="F126" s="58" t="s">
        <v>435</v>
      </c>
      <c r="G126" s="57" t="s">
        <v>4</v>
      </c>
      <c r="H126" s="39">
        <v>0</v>
      </c>
      <c r="I126" s="39">
        <v>9</v>
      </c>
      <c r="J126" s="38"/>
      <c r="K126" s="39">
        <v>128862</v>
      </c>
      <c r="L126" s="39">
        <v>0</v>
      </c>
      <c r="M126" s="39">
        <v>128862</v>
      </c>
      <c r="N126" s="38"/>
      <c r="O126" s="39">
        <v>48006</v>
      </c>
      <c r="P126" s="39">
        <v>0</v>
      </c>
      <c r="Q126" s="39">
        <v>48006</v>
      </c>
      <c r="R126" s="38"/>
      <c r="S126" s="39">
        <v>176868</v>
      </c>
      <c r="T126" s="39">
        <v>0</v>
      </c>
      <c r="U126" s="39">
        <v>176868</v>
      </c>
      <c r="V126" s="29"/>
      <c r="W126" s="29">
        <f>INDEX(SurtaxPayment!$C$6:$U$330,MATCH(PriorYear!$C126,SurtaxPayment!$C$6:$C$330,0),6)+INDEX(SurtaxPayment!$C$6:$U$330,MATCH(PriorYear!$C126,SurtaxPayment!$C$6:$C$330,0),7)</f>
        <v>8</v>
      </c>
      <c r="X126" s="29">
        <f t="shared" si="2"/>
        <v>-1</v>
      </c>
      <c r="Y126" s="29">
        <f>INDEX(SurtaxPayment!$C$6:$U$330,MATCH(PriorYear!C126,SurtaxPayment!$C$6:$C$330,0),9)</f>
        <v>124578.83</v>
      </c>
      <c r="Z126" s="66">
        <f t="shared" si="3"/>
        <v>-3.3238425602582597E-2</v>
      </c>
    </row>
    <row r="127" spans="1:26" x14ac:dyDescent="0.25">
      <c r="A127" s="52">
        <v>2023</v>
      </c>
      <c r="B127" s="52" t="s">
        <v>661</v>
      </c>
      <c r="C127" s="57" t="s">
        <v>433</v>
      </c>
      <c r="D127" s="58" t="s">
        <v>693</v>
      </c>
      <c r="E127" s="58" t="s">
        <v>693</v>
      </c>
      <c r="F127" s="58" t="s">
        <v>433</v>
      </c>
      <c r="G127" s="57" t="s">
        <v>111</v>
      </c>
      <c r="H127" s="39">
        <v>1</v>
      </c>
      <c r="I127" s="39">
        <v>1</v>
      </c>
      <c r="J127" s="38"/>
      <c r="K127" s="39">
        <v>30433.5</v>
      </c>
      <c r="L127" s="39">
        <v>15216.75</v>
      </c>
      <c r="M127" s="39">
        <v>15216.75</v>
      </c>
      <c r="N127" s="38"/>
      <c r="O127" s="39">
        <v>12684.5</v>
      </c>
      <c r="P127" s="39">
        <v>6342.25</v>
      </c>
      <c r="Q127" s="39">
        <v>6342.25</v>
      </c>
      <c r="R127" s="38"/>
      <c r="S127" s="39">
        <v>43118</v>
      </c>
      <c r="T127" s="39">
        <v>21559</v>
      </c>
      <c r="U127" s="39">
        <v>21559</v>
      </c>
      <c r="V127" s="29"/>
      <c r="W127" s="29">
        <f>INDEX(SurtaxPayment!$C$6:$U$330,MATCH(PriorYear!$C127,SurtaxPayment!$C$6:$C$330,0),6)+INDEX(SurtaxPayment!$C$6:$U$330,MATCH(PriorYear!$C127,SurtaxPayment!$C$6:$C$330,0),7)</f>
        <v>4</v>
      </c>
      <c r="X127" s="29">
        <f t="shared" si="2"/>
        <v>2</v>
      </c>
      <c r="Y127" s="29">
        <f>INDEX(SurtaxPayment!$C$6:$U$330,MATCH(PriorYear!C127,SurtaxPayment!$C$6:$C$330,0),9)</f>
        <v>95667.11</v>
      </c>
      <c r="Z127" s="66">
        <f t="shared" si="3"/>
        <v>2.1434803752443852</v>
      </c>
    </row>
    <row r="128" spans="1:26" x14ac:dyDescent="0.25">
      <c r="A128" s="52">
        <v>2023</v>
      </c>
      <c r="B128" s="52" t="s">
        <v>661</v>
      </c>
      <c r="C128" s="57" t="s">
        <v>461</v>
      </c>
      <c r="D128" s="58" t="s">
        <v>693</v>
      </c>
      <c r="E128" s="58" t="s">
        <v>693</v>
      </c>
      <c r="F128" s="58" t="s">
        <v>461</v>
      </c>
      <c r="G128" s="57" t="s">
        <v>112</v>
      </c>
      <c r="H128" s="39">
        <v>4</v>
      </c>
      <c r="I128" s="39">
        <v>8</v>
      </c>
      <c r="J128" s="38"/>
      <c r="K128" s="39">
        <v>679748.25</v>
      </c>
      <c r="L128" s="39">
        <v>226582.75</v>
      </c>
      <c r="M128" s="39">
        <v>453165.5</v>
      </c>
      <c r="N128" s="38"/>
      <c r="O128" s="39">
        <v>261708.75</v>
      </c>
      <c r="P128" s="39">
        <v>87236.25</v>
      </c>
      <c r="Q128" s="39">
        <v>174472.5</v>
      </c>
      <c r="R128" s="38"/>
      <c r="S128" s="39">
        <v>941457</v>
      </c>
      <c r="T128" s="39">
        <v>313819</v>
      </c>
      <c r="U128" s="39">
        <v>627638</v>
      </c>
      <c r="V128" s="29"/>
      <c r="W128" s="29">
        <f>INDEX(SurtaxPayment!$C$6:$U$330,MATCH(PriorYear!$C128,SurtaxPayment!$C$6:$C$330,0),6)+INDEX(SurtaxPayment!$C$6:$U$330,MATCH(PriorYear!$C128,SurtaxPayment!$C$6:$C$330,0),7)</f>
        <v>9</v>
      </c>
      <c r="X128" s="29">
        <f t="shared" si="2"/>
        <v>-3</v>
      </c>
      <c r="Y128" s="29">
        <f>INDEX(SurtaxPayment!$C$6:$U$330,MATCH(PriorYear!C128,SurtaxPayment!$C$6:$C$330,0),9)</f>
        <v>657100.66</v>
      </c>
      <c r="Z128" s="66">
        <f t="shared" si="3"/>
        <v>-3.3317614278521451E-2</v>
      </c>
    </row>
    <row r="129" spans="1:26" x14ac:dyDescent="0.25">
      <c r="A129" s="52">
        <v>2023</v>
      </c>
      <c r="B129" s="52" t="s">
        <v>658</v>
      </c>
      <c r="C129" s="57" t="s">
        <v>436</v>
      </c>
      <c r="D129" s="58" t="s">
        <v>693</v>
      </c>
      <c r="E129" s="58" t="s">
        <v>693</v>
      </c>
      <c r="F129" s="58" t="s">
        <v>436</v>
      </c>
      <c r="G129" s="57" t="s">
        <v>113</v>
      </c>
      <c r="H129" s="39">
        <v>1</v>
      </c>
      <c r="I129" s="39">
        <v>1</v>
      </c>
      <c r="J129" s="38"/>
      <c r="K129" s="39">
        <v>183582</v>
      </c>
      <c r="L129" s="39">
        <v>91791</v>
      </c>
      <c r="M129" s="39">
        <v>91791</v>
      </c>
      <c r="N129" s="38"/>
      <c r="O129" s="39">
        <v>74372</v>
      </c>
      <c r="P129" s="39">
        <v>37186</v>
      </c>
      <c r="Q129" s="39">
        <v>37186</v>
      </c>
      <c r="R129" s="38"/>
      <c r="S129" s="39">
        <v>257954</v>
      </c>
      <c r="T129" s="39">
        <v>128977</v>
      </c>
      <c r="U129" s="39">
        <v>128977</v>
      </c>
      <c r="V129" s="29"/>
      <c r="W129" s="29">
        <f>INDEX(SurtaxPayment!$C$6:$U$330,MATCH(PriorYear!$C129,SurtaxPayment!$C$6:$C$330,0),6)+INDEX(SurtaxPayment!$C$6:$U$330,MATCH(PriorYear!$C129,SurtaxPayment!$C$6:$C$330,0),7)</f>
        <v>2</v>
      </c>
      <c r="X129" s="29">
        <f t="shared" si="2"/>
        <v>0</v>
      </c>
      <c r="Y129" s="29">
        <f>INDEX(SurtaxPayment!$C$6:$U$330,MATCH(PriorYear!C129,SurtaxPayment!$C$6:$C$330,0),9)</f>
        <v>235343.68</v>
      </c>
      <c r="Z129" s="66">
        <f t="shared" si="3"/>
        <v>0.28195400420520528</v>
      </c>
    </row>
    <row r="130" spans="1:26" x14ac:dyDescent="0.25">
      <c r="A130" s="52">
        <v>2023</v>
      </c>
      <c r="B130" s="52" t="s">
        <v>659</v>
      </c>
      <c r="C130" s="57" t="s">
        <v>437</v>
      </c>
      <c r="D130" s="58" t="s">
        <v>693</v>
      </c>
      <c r="E130" s="58" t="s">
        <v>693</v>
      </c>
      <c r="F130" s="58" t="s">
        <v>437</v>
      </c>
      <c r="G130" s="57" t="s">
        <v>114</v>
      </c>
      <c r="H130" s="39">
        <v>0</v>
      </c>
      <c r="I130" s="39">
        <v>1</v>
      </c>
      <c r="J130" s="38"/>
      <c r="K130" s="39">
        <v>21387</v>
      </c>
      <c r="L130" s="39">
        <v>0</v>
      </c>
      <c r="M130" s="39">
        <v>21387</v>
      </c>
      <c r="N130" s="38"/>
      <c r="O130" s="39">
        <v>8148</v>
      </c>
      <c r="P130" s="39">
        <v>0</v>
      </c>
      <c r="Q130" s="39">
        <v>8148</v>
      </c>
      <c r="R130" s="38"/>
      <c r="S130" s="39">
        <v>29535</v>
      </c>
      <c r="T130" s="39">
        <v>0</v>
      </c>
      <c r="U130" s="39">
        <v>29535</v>
      </c>
      <c r="V130" s="29"/>
      <c r="W130" s="29">
        <f>INDEX(SurtaxPayment!$C$6:$U$330,MATCH(PriorYear!$C130,SurtaxPayment!$C$6:$C$330,0),6)+INDEX(SurtaxPayment!$C$6:$U$330,MATCH(PriorYear!$C130,SurtaxPayment!$C$6:$C$330,0),7)</f>
        <v>1</v>
      </c>
      <c r="X130" s="29">
        <f t="shared" si="2"/>
        <v>0</v>
      </c>
      <c r="Y130" s="29">
        <f>INDEX(SurtaxPayment!$C$6:$U$330,MATCH(PriorYear!C130,SurtaxPayment!$C$6:$C$330,0),9)</f>
        <v>27753.1</v>
      </c>
      <c r="Z130" s="66">
        <f t="shared" si="3"/>
        <v>0.29766213120119694</v>
      </c>
    </row>
    <row r="131" spans="1:26" x14ac:dyDescent="0.25">
      <c r="A131" s="52">
        <v>2023</v>
      </c>
      <c r="B131" s="52" t="s">
        <v>658</v>
      </c>
      <c r="C131" s="57" t="s">
        <v>438</v>
      </c>
      <c r="D131" s="58" t="s">
        <v>693</v>
      </c>
      <c r="E131" s="58" t="s">
        <v>693</v>
      </c>
      <c r="F131" s="58" t="s">
        <v>438</v>
      </c>
      <c r="G131" s="57" t="s">
        <v>115</v>
      </c>
      <c r="H131" s="39">
        <v>0</v>
      </c>
      <c r="I131" s="39">
        <v>8</v>
      </c>
      <c r="J131" s="38"/>
      <c r="K131" s="39">
        <v>265529.25</v>
      </c>
      <c r="L131" s="39">
        <v>0</v>
      </c>
      <c r="M131" s="39">
        <v>265529.25</v>
      </c>
      <c r="N131" s="38"/>
      <c r="O131" s="39">
        <v>102453.75</v>
      </c>
      <c r="P131" s="39">
        <v>0</v>
      </c>
      <c r="Q131" s="39">
        <v>102453.75</v>
      </c>
      <c r="R131" s="38"/>
      <c r="S131" s="39">
        <v>367983</v>
      </c>
      <c r="T131" s="39">
        <v>0</v>
      </c>
      <c r="U131" s="39">
        <v>367983</v>
      </c>
      <c r="V131" s="29"/>
      <c r="W131" s="29">
        <f>INDEX(SurtaxPayment!$C$6:$U$330,MATCH(PriorYear!$C131,SurtaxPayment!$C$6:$C$330,0),6)+INDEX(SurtaxPayment!$C$6:$U$330,MATCH(PriorYear!$C131,SurtaxPayment!$C$6:$C$330,0),7)</f>
        <v>6</v>
      </c>
      <c r="X131" s="29">
        <f t="shared" si="2"/>
        <v>-2</v>
      </c>
      <c r="Y131" s="29">
        <f>INDEX(SurtaxPayment!$C$6:$U$330,MATCH(PriorYear!C131,SurtaxPayment!$C$6:$C$330,0),9)</f>
        <v>261271.04000000001</v>
      </c>
      <c r="Z131" s="66">
        <f t="shared" si="3"/>
        <v>-1.6036688990007663E-2</v>
      </c>
    </row>
    <row r="132" spans="1:26" x14ac:dyDescent="0.25">
      <c r="A132" s="52">
        <v>2023</v>
      </c>
      <c r="B132" s="52" t="s">
        <v>657</v>
      </c>
      <c r="C132" s="57" t="s">
        <v>439</v>
      </c>
      <c r="D132" s="58" t="s">
        <v>693</v>
      </c>
      <c r="E132" s="58" t="s">
        <v>693</v>
      </c>
      <c r="F132" s="58" t="s">
        <v>439</v>
      </c>
      <c r="G132" s="57" t="s">
        <v>116</v>
      </c>
      <c r="H132" s="39">
        <v>0</v>
      </c>
      <c r="I132" s="39">
        <v>7</v>
      </c>
      <c r="J132" s="38"/>
      <c r="K132" s="39">
        <v>149430.75</v>
      </c>
      <c r="L132" s="39">
        <v>0</v>
      </c>
      <c r="M132" s="39">
        <v>149430.75</v>
      </c>
      <c r="N132" s="38"/>
      <c r="O132" s="39">
        <v>55341.25</v>
      </c>
      <c r="P132" s="39">
        <v>0</v>
      </c>
      <c r="Q132" s="39">
        <v>55341.25</v>
      </c>
      <c r="R132" s="38"/>
      <c r="S132" s="39">
        <v>204772</v>
      </c>
      <c r="T132" s="39">
        <v>0</v>
      </c>
      <c r="U132" s="39">
        <v>204772</v>
      </c>
      <c r="V132" s="29"/>
      <c r="W132" s="29">
        <f>INDEX(SurtaxPayment!$C$6:$U$330,MATCH(PriorYear!$C132,SurtaxPayment!$C$6:$C$330,0),6)+INDEX(SurtaxPayment!$C$6:$U$330,MATCH(PriorYear!$C132,SurtaxPayment!$C$6:$C$330,0),7)</f>
        <v>7</v>
      </c>
      <c r="X132" s="29">
        <f t="shared" si="2"/>
        <v>0</v>
      </c>
      <c r="Y132" s="29">
        <f>INDEX(SurtaxPayment!$C$6:$U$330,MATCH(PriorYear!C132,SurtaxPayment!$C$6:$C$330,0),9)</f>
        <v>181585.27</v>
      </c>
      <c r="Z132" s="66">
        <f t="shared" si="3"/>
        <v>0.21518007505148698</v>
      </c>
    </row>
    <row r="133" spans="1:26" x14ac:dyDescent="0.25">
      <c r="A133" s="52">
        <v>2023</v>
      </c>
      <c r="B133" s="52" t="s">
        <v>659</v>
      </c>
      <c r="C133" s="57" t="s">
        <v>442</v>
      </c>
      <c r="D133" s="58" t="s">
        <v>693</v>
      </c>
      <c r="E133" s="58" t="s">
        <v>693</v>
      </c>
      <c r="F133" s="58" t="s">
        <v>442</v>
      </c>
      <c r="G133" s="57" t="s">
        <v>117</v>
      </c>
      <c r="H133" s="39">
        <v>4</v>
      </c>
      <c r="I133" s="39">
        <v>3</v>
      </c>
      <c r="J133" s="38"/>
      <c r="K133" s="39">
        <v>69829.5</v>
      </c>
      <c r="L133" s="39">
        <v>39902.57</v>
      </c>
      <c r="M133" s="39">
        <v>29926.93</v>
      </c>
      <c r="N133" s="38"/>
      <c r="O133" s="39">
        <v>37138.5</v>
      </c>
      <c r="P133" s="39">
        <v>21222</v>
      </c>
      <c r="Q133" s="39">
        <v>15916.5</v>
      </c>
      <c r="R133" s="38"/>
      <c r="S133" s="39">
        <v>106968</v>
      </c>
      <c r="T133" s="39">
        <v>61124.57</v>
      </c>
      <c r="U133" s="39">
        <v>45843.43</v>
      </c>
      <c r="V133" s="29"/>
      <c r="W133" s="29">
        <f>INDEX(SurtaxPayment!$C$6:$U$330,MATCH(PriorYear!$C133,SurtaxPayment!$C$6:$C$330,0),6)+INDEX(SurtaxPayment!$C$6:$U$330,MATCH(PriorYear!$C133,SurtaxPayment!$C$6:$C$330,0),7)</f>
        <v>4</v>
      </c>
      <c r="X133" s="29">
        <f t="shared" si="2"/>
        <v>-3</v>
      </c>
      <c r="Y133" s="29">
        <f>INDEX(SurtaxPayment!$C$6:$U$330,MATCH(PriorYear!C133,SurtaxPayment!$C$6:$C$330,0),9)</f>
        <v>61310.6</v>
      </c>
      <c r="Z133" s="66">
        <f t="shared" si="3"/>
        <v>-0.121995718142046</v>
      </c>
    </row>
    <row r="134" spans="1:26" x14ac:dyDescent="0.25">
      <c r="A134" s="52">
        <v>2023</v>
      </c>
      <c r="B134" s="52" t="s">
        <v>658</v>
      </c>
      <c r="C134" s="57" t="s">
        <v>443</v>
      </c>
      <c r="D134" s="58" t="s">
        <v>693</v>
      </c>
      <c r="E134" s="58" t="s">
        <v>693</v>
      </c>
      <c r="F134" s="58" t="s">
        <v>443</v>
      </c>
      <c r="G134" s="57" t="s">
        <v>118</v>
      </c>
      <c r="H134" s="39">
        <v>0</v>
      </c>
      <c r="I134" s="39">
        <v>3</v>
      </c>
      <c r="J134" s="38"/>
      <c r="K134" s="39">
        <v>131972.25</v>
      </c>
      <c r="L134" s="39">
        <v>0</v>
      </c>
      <c r="M134" s="39">
        <v>131972.25</v>
      </c>
      <c r="N134" s="38"/>
      <c r="O134" s="39">
        <v>55088.75</v>
      </c>
      <c r="P134" s="39">
        <v>0</v>
      </c>
      <c r="Q134" s="39">
        <v>55088.75</v>
      </c>
      <c r="R134" s="38"/>
      <c r="S134" s="39">
        <v>187061</v>
      </c>
      <c r="T134" s="39">
        <v>0</v>
      </c>
      <c r="U134" s="39">
        <v>187061</v>
      </c>
      <c r="V134" s="29"/>
      <c r="W134" s="29">
        <f>INDEX(SurtaxPayment!$C$6:$U$330,MATCH(PriorYear!$C134,SurtaxPayment!$C$6:$C$330,0),6)+INDEX(SurtaxPayment!$C$6:$U$330,MATCH(PriorYear!$C134,SurtaxPayment!$C$6:$C$330,0),7)</f>
        <v>3</v>
      </c>
      <c r="X134" s="29">
        <f t="shared" si="2"/>
        <v>0</v>
      </c>
      <c r="Y134" s="29">
        <f>INDEX(SurtaxPayment!$C$6:$U$330,MATCH(PriorYear!C134,SurtaxPayment!$C$6:$C$330,0),9)</f>
        <v>159254.51999999999</v>
      </c>
      <c r="Z134" s="66">
        <f t="shared" si="3"/>
        <v>0.20672732335775126</v>
      </c>
    </row>
    <row r="135" spans="1:26" x14ac:dyDescent="0.25">
      <c r="A135" s="52">
        <v>2023</v>
      </c>
      <c r="B135" s="52" t="s">
        <v>659</v>
      </c>
      <c r="C135" s="57" t="s">
        <v>444</v>
      </c>
      <c r="D135" s="58" t="s">
        <v>693</v>
      </c>
      <c r="E135" s="58" t="s">
        <v>693</v>
      </c>
      <c r="F135" s="58" t="s">
        <v>444</v>
      </c>
      <c r="G135" s="57" t="s">
        <v>119</v>
      </c>
      <c r="H135" s="39">
        <v>0</v>
      </c>
      <c r="I135" s="39">
        <v>7</v>
      </c>
      <c r="J135" s="38"/>
      <c r="K135" s="39">
        <v>536815.5</v>
      </c>
      <c r="L135" s="39">
        <v>0</v>
      </c>
      <c r="M135" s="39">
        <v>536815.5</v>
      </c>
      <c r="N135" s="38"/>
      <c r="O135" s="39">
        <v>203553.5</v>
      </c>
      <c r="P135" s="39">
        <v>0</v>
      </c>
      <c r="Q135" s="39">
        <v>203553.5</v>
      </c>
      <c r="R135" s="38"/>
      <c r="S135" s="39">
        <v>740369</v>
      </c>
      <c r="T135" s="39">
        <v>0</v>
      </c>
      <c r="U135" s="39">
        <v>740369</v>
      </c>
      <c r="V135" s="29"/>
      <c r="W135" s="29">
        <f>INDEX(SurtaxPayment!$C$6:$U$330,MATCH(PriorYear!$C135,SurtaxPayment!$C$6:$C$330,0),6)+INDEX(SurtaxPayment!$C$6:$U$330,MATCH(PriorYear!$C135,SurtaxPayment!$C$6:$C$330,0),7)</f>
        <v>7</v>
      </c>
      <c r="X135" s="29">
        <f t="shared" ref="X135:X198" si="4">W135-SUM(H135:I135)</f>
        <v>0</v>
      </c>
      <c r="Y135" s="29">
        <f>INDEX(SurtaxPayment!$C$6:$U$330,MATCH(PriorYear!C135,SurtaxPayment!$C$6:$C$330,0),9)</f>
        <v>665015.76</v>
      </c>
      <c r="Z135" s="66">
        <f t="shared" ref="Z135:Z198" si="5">IFERROR((Y135-K135)/K135,0)</f>
        <v>0.2388162413343132</v>
      </c>
    </row>
    <row r="136" spans="1:26" x14ac:dyDescent="0.25">
      <c r="A136" s="52">
        <v>2023</v>
      </c>
      <c r="B136" s="52" t="s">
        <v>661</v>
      </c>
      <c r="C136" s="57" t="s">
        <v>445</v>
      </c>
      <c r="D136" s="58" t="s">
        <v>693</v>
      </c>
      <c r="E136" s="58" t="s">
        <v>693</v>
      </c>
      <c r="F136" s="58" t="s">
        <v>445</v>
      </c>
      <c r="G136" s="57" t="s">
        <v>713</v>
      </c>
      <c r="H136" s="39">
        <v>0</v>
      </c>
      <c r="I136" s="39">
        <v>0</v>
      </c>
      <c r="J136" s="38"/>
      <c r="K136" s="39">
        <v>0</v>
      </c>
      <c r="L136" s="39">
        <v>0</v>
      </c>
      <c r="M136" s="39">
        <v>0</v>
      </c>
      <c r="N136" s="38"/>
      <c r="O136" s="39">
        <v>0</v>
      </c>
      <c r="P136" s="39">
        <v>0</v>
      </c>
      <c r="Q136" s="39">
        <v>0</v>
      </c>
      <c r="R136" s="38"/>
      <c r="S136" s="39">
        <v>0</v>
      </c>
      <c r="T136" s="39">
        <v>0</v>
      </c>
      <c r="U136" s="39">
        <v>0</v>
      </c>
      <c r="V136" s="29"/>
      <c r="W136" s="29">
        <f>INDEX(SurtaxPayment!$C$6:$U$330,MATCH(PriorYear!$C136,SurtaxPayment!$C$6:$C$330,0),6)+INDEX(SurtaxPayment!$C$6:$U$330,MATCH(PriorYear!$C136,SurtaxPayment!$C$6:$C$330,0),7)</f>
        <v>0</v>
      </c>
      <c r="X136" s="29">
        <f t="shared" si="4"/>
        <v>0</v>
      </c>
      <c r="Y136" s="29">
        <f>INDEX(SurtaxPayment!$C$6:$U$330,MATCH(PriorYear!C136,SurtaxPayment!$C$6:$C$330,0),9)</f>
        <v>0</v>
      </c>
      <c r="Z136" s="66">
        <f t="shared" si="5"/>
        <v>0</v>
      </c>
    </row>
    <row r="137" spans="1:26" x14ac:dyDescent="0.25">
      <c r="A137" s="52">
        <v>2023</v>
      </c>
      <c r="B137" s="52" t="s">
        <v>660</v>
      </c>
      <c r="C137" s="57" t="s">
        <v>446</v>
      </c>
      <c r="D137" s="58" t="s">
        <v>693</v>
      </c>
      <c r="E137" s="58" t="s">
        <v>693</v>
      </c>
      <c r="F137" s="58" t="s">
        <v>446</v>
      </c>
      <c r="G137" s="57" t="s">
        <v>121</v>
      </c>
      <c r="H137" s="39">
        <v>1</v>
      </c>
      <c r="I137" s="39">
        <v>5</v>
      </c>
      <c r="J137" s="38"/>
      <c r="K137" s="39">
        <v>199275</v>
      </c>
      <c r="L137" s="39">
        <v>33212.5</v>
      </c>
      <c r="M137" s="39">
        <v>166062.5</v>
      </c>
      <c r="N137" s="38"/>
      <c r="O137" s="39">
        <v>88916</v>
      </c>
      <c r="P137" s="39">
        <v>14819.33</v>
      </c>
      <c r="Q137" s="39">
        <v>74096.67</v>
      </c>
      <c r="R137" s="38"/>
      <c r="S137" s="39">
        <v>288191</v>
      </c>
      <c r="T137" s="39">
        <v>48031.83</v>
      </c>
      <c r="U137" s="39">
        <v>240159.16999999998</v>
      </c>
      <c r="V137" s="29"/>
      <c r="W137" s="29">
        <f>INDEX(SurtaxPayment!$C$6:$U$330,MATCH(PriorYear!$C137,SurtaxPayment!$C$6:$C$330,0),6)+INDEX(SurtaxPayment!$C$6:$U$330,MATCH(PriorYear!$C137,SurtaxPayment!$C$6:$C$330,0),7)</f>
        <v>3</v>
      </c>
      <c r="X137" s="29">
        <f t="shared" si="4"/>
        <v>-3</v>
      </c>
      <c r="Y137" s="29">
        <f>INDEX(SurtaxPayment!$C$6:$U$330,MATCH(PriorYear!C137,SurtaxPayment!$C$6:$C$330,0),9)</f>
        <v>137038.16</v>
      </c>
      <c r="Z137" s="66">
        <f t="shared" si="5"/>
        <v>-0.3123163467569941</v>
      </c>
    </row>
    <row r="138" spans="1:26" x14ac:dyDescent="0.25">
      <c r="A138" s="52">
        <v>2023</v>
      </c>
      <c r="B138" s="52" t="s">
        <v>663</v>
      </c>
      <c r="C138" s="57" t="s">
        <v>447</v>
      </c>
      <c r="D138" s="58" t="s">
        <v>693</v>
      </c>
      <c r="E138" s="58" t="s">
        <v>693</v>
      </c>
      <c r="F138" s="58" t="s">
        <v>447</v>
      </c>
      <c r="G138" s="57" t="s">
        <v>122</v>
      </c>
      <c r="H138" s="39">
        <v>0</v>
      </c>
      <c r="I138" s="39">
        <v>2</v>
      </c>
      <c r="J138" s="38"/>
      <c r="K138" s="39">
        <v>75246.75</v>
      </c>
      <c r="L138" s="39">
        <v>0</v>
      </c>
      <c r="M138" s="39">
        <v>75246.75</v>
      </c>
      <c r="N138" s="38"/>
      <c r="O138" s="39">
        <v>42847.25</v>
      </c>
      <c r="P138" s="39">
        <v>0</v>
      </c>
      <c r="Q138" s="39">
        <v>42847.25</v>
      </c>
      <c r="R138" s="38"/>
      <c r="S138" s="39">
        <v>118094</v>
      </c>
      <c r="T138" s="39">
        <v>0</v>
      </c>
      <c r="U138" s="39">
        <v>118094</v>
      </c>
      <c r="V138" s="29"/>
      <c r="W138" s="29">
        <f>INDEX(SurtaxPayment!$C$6:$U$330,MATCH(PriorYear!$C138,SurtaxPayment!$C$6:$C$330,0),6)+INDEX(SurtaxPayment!$C$6:$U$330,MATCH(PriorYear!$C138,SurtaxPayment!$C$6:$C$330,0),7)</f>
        <v>2</v>
      </c>
      <c r="X138" s="29">
        <f t="shared" si="4"/>
        <v>0</v>
      </c>
      <c r="Y138" s="29">
        <f>INDEX(SurtaxPayment!$C$6:$U$330,MATCH(PriorYear!C138,SurtaxPayment!$C$6:$C$330,0),9)</f>
        <v>113308.21</v>
      </c>
      <c r="Z138" s="66">
        <f t="shared" si="5"/>
        <v>0.50582197902234993</v>
      </c>
    </row>
    <row r="139" spans="1:26" x14ac:dyDescent="0.25">
      <c r="A139" s="52">
        <v>2023</v>
      </c>
      <c r="B139" s="52" t="s">
        <v>660</v>
      </c>
      <c r="C139" s="57" t="s">
        <v>448</v>
      </c>
      <c r="D139" s="58" t="s">
        <v>693</v>
      </c>
      <c r="E139" s="58" t="s">
        <v>693</v>
      </c>
      <c r="F139" s="58" t="s">
        <v>448</v>
      </c>
      <c r="G139" s="57" t="s">
        <v>123</v>
      </c>
      <c r="H139" s="39">
        <v>0</v>
      </c>
      <c r="I139" s="39">
        <v>6</v>
      </c>
      <c r="J139" s="38"/>
      <c r="K139" s="39">
        <v>199047</v>
      </c>
      <c r="L139" s="39">
        <v>0</v>
      </c>
      <c r="M139" s="39">
        <v>199047</v>
      </c>
      <c r="N139" s="38"/>
      <c r="O139" s="39">
        <v>86081</v>
      </c>
      <c r="P139" s="39">
        <v>0</v>
      </c>
      <c r="Q139" s="39">
        <v>86081</v>
      </c>
      <c r="R139" s="38"/>
      <c r="S139" s="39">
        <v>285128</v>
      </c>
      <c r="T139" s="39">
        <v>0</v>
      </c>
      <c r="U139" s="39">
        <v>285128</v>
      </c>
      <c r="V139" s="29"/>
      <c r="W139" s="29">
        <f>INDEX(SurtaxPayment!$C$6:$U$330,MATCH(PriorYear!$C139,SurtaxPayment!$C$6:$C$330,0),6)+INDEX(SurtaxPayment!$C$6:$U$330,MATCH(PriorYear!$C139,SurtaxPayment!$C$6:$C$330,0),7)</f>
        <v>7</v>
      </c>
      <c r="X139" s="29">
        <f t="shared" si="4"/>
        <v>1</v>
      </c>
      <c r="Y139" s="29">
        <f>INDEX(SurtaxPayment!$C$6:$U$330,MATCH(PriorYear!C139,SurtaxPayment!$C$6:$C$330,0),9)</f>
        <v>327505.49</v>
      </c>
      <c r="Z139" s="66">
        <f t="shared" si="5"/>
        <v>0.64536762674142278</v>
      </c>
    </row>
    <row r="140" spans="1:26" x14ac:dyDescent="0.25">
      <c r="A140" s="52">
        <v>2023</v>
      </c>
      <c r="B140" s="52" t="s">
        <v>663</v>
      </c>
      <c r="C140" s="57" t="s">
        <v>441</v>
      </c>
      <c r="D140" s="58" t="s">
        <v>693</v>
      </c>
      <c r="E140" s="58" t="s">
        <v>693</v>
      </c>
      <c r="F140" s="58" t="s">
        <v>441</v>
      </c>
      <c r="G140" s="57" t="s">
        <v>5</v>
      </c>
      <c r="H140" s="39">
        <v>1</v>
      </c>
      <c r="I140" s="39">
        <v>1</v>
      </c>
      <c r="J140" s="38"/>
      <c r="K140" s="39">
        <v>32517.75</v>
      </c>
      <c r="L140" s="39">
        <v>16258.88</v>
      </c>
      <c r="M140" s="39">
        <v>16258.87</v>
      </c>
      <c r="N140" s="38"/>
      <c r="O140" s="39">
        <v>11559.25</v>
      </c>
      <c r="P140" s="39">
        <v>5779.63</v>
      </c>
      <c r="Q140" s="39">
        <v>5779.62</v>
      </c>
      <c r="R140" s="38"/>
      <c r="S140" s="39">
        <v>44077</v>
      </c>
      <c r="T140" s="39">
        <v>22038.51</v>
      </c>
      <c r="U140" s="39">
        <v>22038.49</v>
      </c>
      <c r="V140" s="29"/>
      <c r="W140" s="29">
        <f>INDEX(SurtaxPayment!$C$6:$U$330,MATCH(PriorYear!$C140,SurtaxPayment!$C$6:$C$330,0),6)+INDEX(SurtaxPayment!$C$6:$U$330,MATCH(PriorYear!$C140,SurtaxPayment!$C$6:$C$330,0),7)</f>
        <v>2</v>
      </c>
      <c r="X140" s="29">
        <f t="shared" si="4"/>
        <v>0</v>
      </c>
      <c r="Y140" s="29">
        <f>INDEX(SurtaxPayment!$C$6:$U$330,MATCH(PriorYear!C140,SurtaxPayment!$C$6:$C$330,0),9)</f>
        <v>39402.959999999999</v>
      </c>
      <c r="Z140" s="66">
        <f t="shared" si="5"/>
        <v>0.21173697442166198</v>
      </c>
    </row>
    <row r="141" spans="1:26" x14ac:dyDescent="0.25">
      <c r="A141" s="52">
        <v>2023</v>
      </c>
      <c r="B141" s="52" t="s">
        <v>665</v>
      </c>
      <c r="C141" s="57" t="s">
        <v>449</v>
      </c>
      <c r="D141" s="58" t="s">
        <v>693</v>
      </c>
      <c r="E141" s="58" t="s">
        <v>693</v>
      </c>
      <c r="F141" s="58" t="s">
        <v>449</v>
      </c>
      <c r="G141" s="57" t="s">
        <v>124</v>
      </c>
      <c r="H141" s="39">
        <v>3</v>
      </c>
      <c r="I141" s="39">
        <v>3</v>
      </c>
      <c r="J141" s="38"/>
      <c r="K141" s="39">
        <v>400983</v>
      </c>
      <c r="L141" s="39">
        <v>200491.5</v>
      </c>
      <c r="M141" s="39">
        <v>200491.5</v>
      </c>
      <c r="N141" s="38"/>
      <c r="O141" s="39">
        <v>158723</v>
      </c>
      <c r="P141" s="39">
        <v>79361.5</v>
      </c>
      <c r="Q141" s="39">
        <v>79361.5</v>
      </c>
      <c r="R141" s="38"/>
      <c r="S141" s="39">
        <v>559706</v>
      </c>
      <c r="T141" s="39">
        <v>279853</v>
      </c>
      <c r="U141" s="39">
        <v>279853</v>
      </c>
      <c r="V141" s="29"/>
      <c r="W141" s="29">
        <f>INDEX(SurtaxPayment!$C$6:$U$330,MATCH(PriorYear!$C141,SurtaxPayment!$C$6:$C$330,0),6)+INDEX(SurtaxPayment!$C$6:$U$330,MATCH(PriorYear!$C141,SurtaxPayment!$C$6:$C$330,0),7)</f>
        <v>6</v>
      </c>
      <c r="X141" s="29">
        <f t="shared" si="4"/>
        <v>0</v>
      </c>
      <c r="Y141" s="29">
        <f>INDEX(SurtaxPayment!$C$6:$U$330,MATCH(PriorYear!C141,SurtaxPayment!$C$6:$C$330,0),9)</f>
        <v>490443.29</v>
      </c>
      <c r="Z141" s="66">
        <f t="shared" si="5"/>
        <v>0.2231024507273375</v>
      </c>
    </row>
    <row r="142" spans="1:26" x14ac:dyDescent="0.25">
      <c r="A142" s="52">
        <v>2023</v>
      </c>
      <c r="B142" s="52" t="s">
        <v>658</v>
      </c>
      <c r="C142" s="57" t="s">
        <v>450</v>
      </c>
      <c r="D142" s="58" t="s">
        <v>693</v>
      </c>
      <c r="E142" s="58" t="s">
        <v>693</v>
      </c>
      <c r="F142" s="58" t="s">
        <v>450</v>
      </c>
      <c r="G142" s="57" t="s">
        <v>714</v>
      </c>
      <c r="H142" s="39">
        <v>0</v>
      </c>
      <c r="I142" s="39">
        <v>0</v>
      </c>
      <c r="J142" s="38"/>
      <c r="K142" s="39">
        <v>0</v>
      </c>
      <c r="L142" s="39">
        <v>0</v>
      </c>
      <c r="M142" s="39">
        <v>0</v>
      </c>
      <c r="N142" s="38"/>
      <c r="O142" s="39">
        <v>0</v>
      </c>
      <c r="P142" s="39">
        <v>0</v>
      </c>
      <c r="Q142" s="39">
        <v>0</v>
      </c>
      <c r="R142" s="38"/>
      <c r="S142" s="39">
        <v>0</v>
      </c>
      <c r="T142" s="39">
        <v>0</v>
      </c>
      <c r="U142" s="39">
        <v>0</v>
      </c>
      <c r="V142" s="29"/>
      <c r="W142" s="29">
        <f>INDEX(SurtaxPayment!$C$6:$U$330,MATCH(PriorYear!$C142,SurtaxPayment!$C$6:$C$330,0),6)+INDEX(SurtaxPayment!$C$6:$U$330,MATCH(PriorYear!$C142,SurtaxPayment!$C$6:$C$330,0),7)</f>
        <v>0</v>
      </c>
      <c r="X142" s="29">
        <f t="shared" si="4"/>
        <v>0</v>
      </c>
      <c r="Y142" s="29">
        <f>INDEX(SurtaxPayment!$C$6:$U$330,MATCH(PriorYear!C142,SurtaxPayment!$C$6:$C$330,0),9)</f>
        <v>0</v>
      </c>
      <c r="Z142" s="66">
        <f t="shared" si="5"/>
        <v>0</v>
      </c>
    </row>
    <row r="143" spans="1:26" x14ac:dyDescent="0.25">
      <c r="A143" s="52">
        <v>2023</v>
      </c>
      <c r="B143" s="52" t="s">
        <v>658</v>
      </c>
      <c r="C143" s="57" t="s">
        <v>451</v>
      </c>
      <c r="D143" s="58" t="s">
        <v>693</v>
      </c>
      <c r="E143" s="58" t="s">
        <v>693</v>
      </c>
      <c r="F143" s="58" t="s">
        <v>451</v>
      </c>
      <c r="G143" s="57" t="s">
        <v>125</v>
      </c>
      <c r="H143" s="39">
        <v>0</v>
      </c>
      <c r="I143" s="39">
        <v>2</v>
      </c>
      <c r="J143" s="38"/>
      <c r="K143" s="39">
        <v>87625.5</v>
      </c>
      <c r="L143" s="39">
        <v>0</v>
      </c>
      <c r="M143" s="39">
        <v>87625.5</v>
      </c>
      <c r="N143" s="38"/>
      <c r="O143" s="39">
        <v>32035.5</v>
      </c>
      <c r="P143" s="39">
        <v>0</v>
      </c>
      <c r="Q143" s="39">
        <v>32035.5</v>
      </c>
      <c r="R143" s="38"/>
      <c r="S143" s="39">
        <v>119661</v>
      </c>
      <c r="T143" s="39">
        <v>0</v>
      </c>
      <c r="U143" s="39">
        <v>119661</v>
      </c>
      <c r="V143" s="29"/>
      <c r="W143" s="29">
        <f>INDEX(SurtaxPayment!$C$6:$U$330,MATCH(PriorYear!$C143,SurtaxPayment!$C$6:$C$330,0),6)+INDEX(SurtaxPayment!$C$6:$U$330,MATCH(PriorYear!$C143,SurtaxPayment!$C$6:$C$330,0),7)</f>
        <v>2</v>
      </c>
      <c r="X143" s="29">
        <f t="shared" si="4"/>
        <v>0</v>
      </c>
      <c r="Y143" s="29">
        <f>INDEX(SurtaxPayment!$C$6:$U$330,MATCH(PriorYear!C143,SurtaxPayment!$C$6:$C$330,0),9)</f>
        <v>105716.89</v>
      </c>
      <c r="Z143" s="66">
        <f t="shared" si="5"/>
        <v>0.20646261647579756</v>
      </c>
    </row>
    <row r="144" spans="1:26" x14ac:dyDescent="0.25">
      <c r="A144" s="52">
        <v>2023</v>
      </c>
      <c r="B144" s="52" t="s">
        <v>661</v>
      </c>
      <c r="C144" s="57" t="s">
        <v>452</v>
      </c>
      <c r="D144" s="58" t="s">
        <v>693</v>
      </c>
      <c r="E144" s="58" t="s">
        <v>693</v>
      </c>
      <c r="F144" s="58" t="s">
        <v>452</v>
      </c>
      <c r="G144" s="57" t="s">
        <v>126</v>
      </c>
      <c r="H144" s="39">
        <v>0</v>
      </c>
      <c r="I144" s="39">
        <v>7</v>
      </c>
      <c r="J144" s="38"/>
      <c r="K144" s="39">
        <v>507392.25</v>
      </c>
      <c r="L144" s="39">
        <v>0</v>
      </c>
      <c r="M144" s="39">
        <v>507392.25</v>
      </c>
      <c r="N144" s="38"/>
      <c r="O144" s="39">
        <v>201540.75</v>
      </c>
      <c r="P144" s="39">
        <v>0</v>
      </c>
      <c r="Q144" s="39">
        <v>201540.75</v>
      </c>
      <c r="R144" s="38"/>
      <c r="S144" s="39">
        <v>708933</v>
      </c>
      <c r="T144" s="39">
        <v>0</v>
      </c>
      <c r="U144" s="39">
        <v>708933</v>
      </c>
      <c r="V144" s="29"/>
      <c r="W144" s="29">
        <f>INDEX(SurtaxPayment!$C$6:$U$330,MATCH(PriorYear!$C144,SurtaxPayment!$C$6:$C$330,0),6)+INDEX(SurtaxPayment!$C$6:$U$330,MATCH(PriorYear!$C144,SurtaxPayment!$C$6:$C$330,0),7)</f>
        <v>2</v>
      </c>
      <c r="X144" s="29">
        <f t="shared" si="4"/>
        <v>-5</v>
      </c>
      <c r="Y144" s="29">
        <f>INDEX(SurtaxPayment!$C$6:$U$330,MATCH(PriorYear!C144,SurtaxPayment!$C$6:$C$330,0),9)</f>
        <v>211422.33</v>
      </c>
      <c r="Z144" s="66">
        <f t="shared" si="5"/>
        <v>-0.58331580744483191</v>
      </c>
    </row>
    <row r="145" spans="1:26" x14ac:dyDescent="0.25">
      <c r="A145" s="52">
        <v>2023</v>
      </c>
      <c r="B145" s="52" t="s">
        <v>659</v>
      </c>
      <c r="C145" s="57" t="s">
        <v>459</v>
      </c>
      <c r="D145" s="58" t="s">
        <v>693</v>
      </c>
      <c r="E145" s="58" t="s">
        <v>693</v>
      </c>
      <c r="F145" s="58" t="s">
        <v>459</v>
      </c>
      <c r="G145" s="57" t="s">
        <v>127</v>
      </c>
      <c r="H145" s="39">
        <v>0</v>
      </c>
      <c r="I145" s="39">
        <v>4</v>
      </c>
      <c r="J145" s="38"/>
      <c r="K145" s="39">
        <v>139173.75</v>
      </c>
      <c r="L145" s="39">
        <v>0</v>
      </c>
      <c r="M145" s="39">
        <v>139173.75</v>
      </c>
      <c r="N145" s="38"/>
      <c r="O145" s="39">
        <v>61734.25</v>
      </c>
      <c r="P145" s="39">
        <v>0</v>
      </c>
      <c r="Q145" s="39">
        <v>61734.25</v>
      </c>
      <c r="R145" s="38"/>
      <c r="S145" s="39">
        <v>200908</v>
      </c>
      <c r="T145" s="39">
        <v>0</v>
      </c>
      <c r="U145" s="39">
        <v>200908</v>
      </c>
      <c r="V145" s="29"/>
      <c r="W145" s="29">
        <f>INDEX(SurtaxPayment!$C$6:$U$330,MATCH(PriorYear!$C145,SurtaxPayment!$C$6:$C$330,0),6)+INDEX(SurtaxPayment!$C$6:$U$330,MATCH(PriorYear!$C145,SurtaxPayment!$C$6:$C$330,0),7)</f>
        <v>5</v>
      </c>
      <c r="X145" s="29">
        <f t="shared" si="4"/>
        <v>1</v>
      </c>
      <c r="Y145" s="29">
        <f>INDEX(SurtaxPayment!$C$6:$U$330,MATCH(PriorYear!C145,SurtaxPayment!$C$6:$C$330,0),9)</f>
        <v>216163.9</v>
      </c>
      <c r="Z145" s="66">
        <f t="shared" si="5"/>
        <v>0.55319447812536482</v>
      </c>
    </row>
    <row r="146" spans="1:26" x14ac:dyDescent="0.25">
      <c r="A146" s="52">
        <v>2023</v>
      </c>
      <c r="B146" s="52" t="s">
        <v>658</v>
      </c>
      <c r="C146" s="57" t="s">
        <v>453</v>
      </c>
      <c r="D146" s="58" t="s">
        <v>693</v>
      </c>
      <c r="E146" s="58" t="s">
        <v>693</v>
      </c>
      <c r="F146" s="58" t="s">
        <v>453</v>
      </c>
      <c r="G146" s="57" t="s">
        <v>128</v>
      </c>
      <c r="H146" s="39">
        <v>0</v>
      </c>
      <c r="I146" s="39">
        <v>7</v>
      </c>
      <c r="J146" s="38"/>
      <c r="K146" s="39">
        <v>571822.5</v>
      </c>
      <c r="L146" s="39">
        <v>0</v>
      </c>
      <c r="M146" s="39">
        <v>571822.5</v>
      </c>
      <c r="N146" s="38"/>
      <c r="O146" s="39">
        <v>239639.5</v>
      </c>
      <c r="P146" s="39">
        <v>0</v>
      </c>
      <c r="Q146" s="39">
        <v>239639.5</v>
      </c>
      <c r="R146" s="38"/>
      <c r="S146" s="39">
        <v>811462</v>
      </c>
      <c r="T146" s="39">
        <v>0</v>
      </c>
      <c r="U146" s="39">
        <v>811462</v>
      </c>
      <c r="V146" s="29"/>
      <c r="W146" s="29">
        <f>INDEX(SurtaxPayment!$C$6:$U$330,MATCH(PriorYear!$C146,SurtaxPayment!$C$6:$C$330,0),6)+INDEX(SurtaxPayment!$C$6:$U$330,MATCH(PriorYear!$C146,SurtaxPayment!$C$6:$C$330,0),7)</f>
        <v>6</v>
      </c>
      <c r="X146" s="29">
        <f t="shared" si="4"/>
        <v>-1</v>
      </c>
      <c r="Y146" s="29">
        <f>INDEX(SurtaxPayment!$C$6:$U$330,MATCH(PriorYear!C146,SurtaxPayment!$C$6:$C$330,0),9)</f>
        <v>627241.93000000005</v>
      </c>
      <c r="Z146" s="66">
        <f t="shared" si="5"/>
        <v>9.6917190211997697E-2</v>
      </c>
    </row>
    <row r="147" spans="1:26" x14ac:dyDescent="0.25">
      <c r="A147" s="52">
        <v>2023</v>
      </c>
      <c r="B147" s="52" t="s">
        <v>657</v>
      </c>
      <c r="C147" s="57" t="s">
        <v>454</v>
      </c>
      <c r="D147" s="58" t="s">
        <v>693</v>
      </c>
      <c r="E147" s="58" t="s">
        <v>693</v>
      </c>
      <c r="F147" s="58" t="s">
        <v>454</v>
      </c>
      <c r="G147" s="57" t="s">
        <v>129</v>
      </c>
      <c r="H147" s="39">
        <v>0</v>
      </c>
      <c r="I147" s="39">
        <v>5</v>
      </c>
      <c r="J147" s="38"/>
      <c r="K147" s="39">
        <v>1050190.5</v>
      </c>
      <c r="L147" s="39">
        <v>0</v>
      </c>
      <c r="M147" s="39">
        <v>1050190.5</v>
      </c>
      <c r="N147" s="38"/>
      <c r="O147" s="39">
        <v>429860.5</v>
      </c>
      <c r="P147" s="39">
        <v>0</v>
      </c>
      <c r="Q147" s="39">
        <v>429860.5</v>
      </c>
      <c r="R147" s="38"/>
      <c r="S147" s="39">
        <v>1480051</v>
      </c>
      <c r="T147" s="39">
        <v>0</v>
      </c>
      <c r="U147" s="39">
        <v>1480051</v>
      </c>
      <c r="V147" s="29"/>
      <c r="W147" s="29">
        <f>INDEX(SurtaxPayment!$C$6:$U$330,MATCH(PriorYear!$C147,SurtaxPayment!$C$6:$C$330,0),6)+INDEX(SurtaxPayment!$C$6:$U$330,MATCH(PriorYear!$C147,SurtaxPayment!$C$6:$C$330,0),7)</f>
        <v>5</v>
      </c>
      <c r="X147" s="29">
        <f t="shared" si="4"/>
        <v>0</v>
      </c>
      <c r="Y147" s="29">
        <f>INDEX(SurtaxPayment!$C$6:$U$330,MATCH(PriorYear!C147,SurtaxPayment!$C$6:$C$330,0),9)</f>
        <v>1373915.68</v>
      </c>
      <c r="Z147" s="66">
        <f t="shared" si="5"/>
        <v>0.30825376919711228</v>
      </c>
    </row>
    <row r="148" spans="1:26" x14ac:dyDescent="0.25">
      <c r="A148" s="52">
        <v>2023</v>
      </c>
      <c r="B148" s="52" t="s">
        <v>657</v>
      </c>
      <c r="C148" s="57" t="s">
        <v>455</v>
      </c>
      <c r="D148" s="58" t="s">
        <v>693</v>
      </c>
      <c r="E148" s="58" t="s">
        <v>693</v>
      </c>
      <c r="F148" s="58" t="s">
        <v>455</v>
      </c>
      <c r="G148" s="57" t="s">
        <v>715</v>
      </c>
      <c r="H148" s="39">
        <v>0</v>
      </c>
      <c r="I148" s="39">
        <v>0</v>
      </c>
      <c r="J148" s="38"/>
      <c r="K148" s="39">
        <v>0</v>
      </c>
      <c r="L148" s="39">
        <v>0</v>
      </c>
      <c r="M148" s="39">
        <v>0</v>
      </c>
      <c r="N148" s="38"/>
      <c r="O148" s="39">
        <v>0</v>
      </c>
      <c r="P148" s="39">
        <v>0</v>
      </c>
      <c r="Q148" s="39">
        <v>0</v>
      </c>
      <c r="R148" s="38"/>
      <c r="S148" s="39">
        <v>0</v>
      </c>
      <c r="T148" s="39">
        <v>0</v>
      </c>
      <c r="U148" s="39">
        <v>0</v>
      </c>
      <c r="V148" s="29"/>
      <c r="W148" s="29">
        <f>INDEX(SurtaxPayment!$C$6:$U$330,MATCH(PriorYear!$C148,SurtaxPayment!$C$6:$C$330,0),6)+INDEX(SurtaxPayment!$C$6:$U$330,MATCH(PriorYear!$C148,SurtaxPayment!$C$6:$C$330,0),7)</f>
        <v>0</v>
      </c>
      <c r="X148" s="29">
        <f t="shared" si="4"/>
        <v>0</v>
      </c>
      <c r="Y148" s="29">
        <f>INDEX(SurtaxPayment!$C$6:$U$330,MATCH(PriorYear!C148,SurtaxPayment!$C$6:$C$330,0),9)</f>
        <v>0</v>
      </c>
      <c r="Z148" s="66">
        <f t="shared" si="5"/>
        <v>0</v>
      </c>
    </row>
    <row r="149" spans="1:26" x14ac:dyDescent="0.25">
      <c r="A149" s="52">
        <v>2023</v>
      </c>
      <c r="B149" s="52" t="s">
        <v>663</v>
      </c>
      <c r="C149" s="57" t="s">
        <v>456</v>
      </c>
      <c r="D149" s="58" t="s">
        <v>693</v>
      </c>
      <c r="E149" s="58" t="s">
        <v>693</v>
      </c>
      <c r="F149" s="58" t="s">
        <v>456</v>
      </c>
      <c r="G149" s="57" t="s">
        <v>130</v>
      </c>
      <c r="H149" s="39">
        <v>0</v>
      </c>
      <c r="I149" s="39">
        <v>5</v>
      </c>
      <c r="J149" s="38"/>
      <c r="K149" s="39">
        <v>6236082</v>
      </c>
      <c r="L149" s="39">
        <v>0</v>
      </c>
      <c r="M149" s="39">
        <v>6236082</v>
      </c>
      <c r="N149" s="38"/>
      <c r="O149" s="39">
        <v>2756229</v>
      </c>
      <c r="P149" s="39">
        <v>0</v>
      </c>
      <c r="Q149" s="39">
        <v>2756229</v>
      </c>
      <c r="R149" s="38"/>
      <c r="S149" s="39">
        <v>8992311</v>
      </c>
      <c r="T149" s="39">
        <v>0</v>
      </c>
      <c r="U149" s="39">
        <v>8992311</v>
      </c>
      <c r="V149" s="29"/>
      <c r="W149" s="29">
        <f>INDEX(SurtaxPayment!$C$6:$U$330,MATCH(PriorYear!$C149,SurtaxPayment!$C$6:$C$330,0),6)+INDEX(SurtaxPayment!$C$6:$U$330,MATCH(PriorYear!$C149,SurtaxPayment!$C$6:$C$330,0),7)</f>
        <v>4</v>
      </c>
      <c r="X149" s="29">
        <f t="shared" si="4"/>
        <v>-1</v>
      </c>
      <c r="Y149" s="29">
        <f>INDEX(SurtaxPayment!$C$6:$U$330,MATCH(PriorYear!C149,SurtaxPayment!$C$6:$C$330,0),9)</f>
        <v>6729556.96</v>
      </c>
      <c r="Z149" s="66">
        <f t="shared" si="5"/>
        <v>7.9132211539232486E-2</v>
      </c>
    </row>
    <row r="150" spans="1:26" x14ac:dyDescent="0.25">
      <c r="A150" s="52">
        <v>2023</v>
      </c>
      <c r="B150" s="52" t="s">
        <v>658</v>
      </c>
      <c r="C150" s="57" t="s">
        <v>457</v>
      </c>
      <c r="D150" s="58" t="s">
        <v>693</v>
      </c>
      <c r="E150" s="58" t="s">
        <v>693</v>
      </c>
      <c r="F150" s="58" t="s">
        <v>457</v>
      </c>
      <c r="G150" s="57" t="s">
        <v>131</v>
      </c>
      <c r="H150" s="39">
        <v>0</v>
      </c>
      <c r="I150" s="39">
        <v>8</v>
      </c>
      <c r="J150" s="38"/>
      <c r="K150" s="39">
        <v>417661.5</v>
      </c>
      <c r="L150" s="39">
        <v>0</v>
      </c>
      <c r="M150" s="39">
        <v>417661.5</v>
      </c>
      <c r="N150" s="38"/>
      <c r="O150" s="39">
        <v>174409.5</v>
      </c>
      <c r="P150" s="39">
        <v>0</v>
      </c>
      <c r="Q150" s="39">
        <v>174409.5</v>
      </c>
      <c r="R150" s="38"/>
      <c r="S150" s="39">
        <v>592071</v>
      </c>
      <c r="T150" s="39">
        <v>0</v>
      </c>
      <c r="U150" s="39">
        <v>592071</v>
      </c>
      <c r="V150" s="29"/>
      <c r="W150" s="29">
        <f>INDEX(SurtaxPayment!$C$6:$U$330,MATCH(PriorYear!$C150,SurtaxPayment!$C$6:$C$330,0),6)+INDEX(SurtaxPayment!$C$6:$U$330,MATCH(PriorYear!$C150,SurtaxPayment!$C$6:$C$330,0),7)</f>
        <v>7</v>
      </c>
      <c r="X150" s="29">
        <f t="shared" si="4"/>
        <v>-1</v>
      </c>
      <c r="Y150" s="29">
        <f>INDEX(SurtaxPayment!$C$6:$U$330,MATCH(PriorYear!C150,SurtaxPayment!$C$6:$C$330,0),9)</f>
        <v>448366.33</v>
      </c>
      <c r="Z150" s="66">
        <f t="shared" si="5"/>
        <v>7.3516065043103124E-2</v>
      </c>
    </row>
    <row r="151" spans="1:26" x14ac:dyDescent="0.25">
      <c r="A151" s="52">
        <v>2023</v>
      </c>
      <c r="B151" s="52" t="s">
        <v>663</v>
      </c>
      <c r="C151" s="57" t="s">
        <v>458</v>
      </c>
      <c r="D151" s="58" t="s">
        <v>693</v>
      </c>
      <c r="E151" s="58" t="s">
        <v>693</v>
      </c>
      <c r="F151" s="58" t="s">
        <v>458</v>
      </c>
      <c r="G151" s="57" t="s">
        <v>132</v>
      </c>
      <c r="H151" s="39">
        <v>6</v>
      </c>
      <c r="I151" s="39">
        <v>6</v>
      </c>
      <c r="J151" s="38"/>
      <c r="K151" s="39">
        <v>346806.75</v>
      </c>
      <c r="L151" s="39">
        <v>173403.38</v>
      </c>
      <c r="M151" s="39">
        <v>173403.37</v>
      </c>
      <c r="N151" s="38"/>
      <c r="O151" s="39">
        <v>129804.25</v>
      </c>
      <c r="P151" s="39">
        <v>64902.13</v>
      </c>
      <c r="Q151" s="39">
        <v>64902.12</v>
      </c>
      <c r="R151" s="38"/>
      <c r="S151" s="39">
        <v>476611</v>
      </c>
      <c r="T151" s="39">
        <v>238305.51</v>
      </c>
      <c r="U151" s="39">
        <v>238305.49</v>
      </c>
      <c r="V151" s="29"/>
      <c r="W151" s="29">
        <f>INDEX(SurtaxPayment!$C$6:$U$330,MATCH(PriorYear!$C151,SurtaxPayment!$C$6:$C$330,0),6)+INDEX(SurtaxPayment!$C$6:$U$330,MATCH(PriorYear!$C151,SurtaxPayment!$C$6:$C$330,0),7)</f>
        <v>12</v>
      </c>
      <c r="X151" s="29">
        <f t="shared" si="4"/>
        <v>0</v>
      </c>
      <c r="Y151" s="29">
        <f>INDEX(SurtaxPayment!$C$6:$U$330,MATCH(PriorYear!C151,SurtaxPayment!$C$6:$C$330,0),9)</f>
        <v>432147.32</v>
      </c>
      <c r="Z151" s="66">
        <f t="shared" si="5"/>
        <v>0.24607528544355037</v>
      </c>
    </row>
    <row r="152" spans="1:26" x14ac:dyDescent="0.25">
      <c r="A152" s="52">
        <v>2023</v>
      </c>
      <c r="B152" s="52" t="s">
        <v>658</v>
      </c>
      <c r="C152" s="57" t="s">
        <v>460</v>
      </c>
      <c r="D152" s="58" t="s">
        <v>693</v>
      </c>
      <c r="E152" s="58" t="s">
        <v>693</v>
      </c>
      <c r="F152" s="58" t="s">
        <v>460</v>
      </c>
      <c r="G152" s="57" t="s">
        <v>133</v>
      </c>
      <c r="H152" s="39">
        <v>0</v>
      </c>
      <c r="I152" s="39">
        <v>5</v>
      </c>
      <c r="J152" s="38"/>
      <c r="K152" s="39">
        <v>134452.5</v>
      </c>
      <c r="L152" s="39">
        <v>0</v>
      </c>
      <c r="M152" s="39">
        <v>134452.5</v>
      </c>
      <c r="N152" s="38"/>
      <c r="O152" s="39">
        <v>53413.5</v>
      </c>
      <c r="P152" s="39">
        <v>0</v>
      </c>
      <c r="Q152" s="39">
        <v>53413.5</v>
      </c>
      <c r="R152" s="38"/>
      <c r="S152" s="39">
        <v>187866</v>
      </c>
      <c r="T152" s="39">
        <v>0</v>
      </c>
      <c r="U152" s="39">
        <v>187866</v>
      </c>
      <c r="V152" s="29"/>
      <c r="W152" s="29">
        <f>INDEX(SurtaxPayment!$C$6:$U$330,MATCH(PriorYear!$C152,SurtaxPayment!$C$6:$C$330,0),6)+INDEX(SurtaxPayment!$C$6:$U$330,MATCH(PriorYear!$C152,SurtaxPayment!$C$6:$C$330,0),7)</f>
        <v>6</v>
      </c>
      <c r="X152" s="29">
        <f t="shared" si="4"/>
        <v>1</v>
      </c>
      <c r="Y152" s="29">
        <f>INDEX(SurtaxPayment!$C$6:$U$330,MATCH(PriorYear!C152,SurtaxPayment!$C$6:$C$330,0),9)</f>
        <v>210929.77</v>
      </c>
      <c r="Z152" s="66">
        <f t="shared" si="5"/>
        <v>0.56880511704877179</v>
      </c>
    </row>
    <row r="153" spans="1:26" x14ac:dyDescent="0.25">
      <c r="A153" s="52">
        <v>2023</v>
      </c>
      <c r="B153" s="52" t="s">
        <v>658</v>
      </c>
      <c r="C153" s="57" t="s">
        <v>462</v>
      </c>
      <c r="D153" s="58" t="s">
        <v>693</v>
      </c>
      <c r="E153" s="58" t="s">
        <v>693</v>
      </c>
      <c r="F153" s="58" t="s">
        <v>462</v>
      </c>
      <c r="G153" s="57" t="s">
        <v>716</v>
      </c>
      <c r="H153" s="39">
        <v>0</v>
      </c>
      <c r="I153" s="39">
        <v>0</v>
      </c>
      <c r="J153" s="38"/>
      <c r="K153" s="39">
        <v>0</v>
      </c>
      <c r="L153" s="39">
        <v>0</v>
      </c>
      <c r="M153" s="39">
        <v>0</v>
      </c>
      <c r="N153" s="38"/>
      <c r="O153" s="39">
        <v>0</v>
      </c>
      <c r="P153" s="39">
        <v>0</v>
      </c>
      <c r="Q153" s="39">
        <v>0</v>
      </c>
      <c r="R153" s="38"/>
      <c r="S153" s="39">
        <v>0</v>
      </c>
      <c r="T153" s="39">
        <v>0</v>
      </c>
      <c r="U153" s="39">
        <v>0</v>
      </c>
      <c r="V153" s="29"/>
      <c r="W153" s="29">
        <f>INDEX(SurtaxPayment!$C$6:$U$330,MATCH(PriorYear!$C153,SurtaxPayment!$C$6:$C$330,0),6)+INDEX(SurtaxPayment!$C$6:$U$330,MATCH(PriorYear!$C153,SurtaxPayment!$C$6:$C$330,0),7)</f>
        <v>0</v>
      </c>
      <c r="X153" s="29">
        <f t="shared" si="4"/>
        <v>0</v>
      </c>
      <c r="Y153" s="29">
        <f>INDEX(SurtaxPayment!$C$6:$U$330,MATCH(PriorYear!C153,SurtaxPayment!$C$6:$C$330,0),9)</f>
        <v>0</v>
      </c>
      <c r="Z153" s="66">
        <f t="shared" si="5"/>
        <v>0</v>
      </c>
    </row>
    <row r="154" spans="1:26" x14ac:dyDescent="0.25">
      <c r="A154" s="52">
        <v>2023</v>
      </c>
      <c r="B154" s="52" t="s">
        <v>657</v>
      </c>
      <c r="C154" s="57" t="s">
        <v>463</v>
      </c>
      <c r="D154" s="58" t="s">
        <v>693</v>
      </c>
      <c r="E154" s="58" t="s">
        <v>693</v>
      </c>
      <c r="F154" s="58" t="s">
        <v>463</v>
      </c>
      <c r="G154" s="57" t="s">
        <v>717</v>
      </c>
      <c r="H154" s="39">
        <v>0</v>
      </c>
      <c r="I154" s="39">
        <v>0</v>
      </c>
      <c r="J154" s="38"/>
      <c r="K154" s="39">
        <v>0</v>
      </c>
      <c r="L154" s="39">
        <v>0</v>
      </c>
      <c r="M154" s="39">
        <v>0</v>
      </c>
      <c r="N154" s="38"/>
      <c r="O154" s="39">
        <v>0</v>
      </c>
      <c r="P154" s="39">
        <v>0</v>
      </c>
      <c r="Q154" s="39">
        <v>0</v>
      </c>
      <c r="R154" s="38"/>
      <c r="S154" s="39">
        <v>0</v>
      </c>
      <c r="T154" s="39">
        <v>0</v>
      </c>
      <c r="U154" s="39">
        <v>0</v>
      </c>
      <c r="V154" s="29"/>
      <c r="W154" s="29">
        <f>INDEX(SurtaxPayment!$C$6:$U$330,MATCH(PriorYear!$C154,SurtaxPayment!$C$6:$C$330,0),6)+INDEX(SurtaxPayment!$C$6:$U$330,MATCH(PriorYear!$C154,SurtaxPayment!$C$6:$C$330,0),7)</f>
        <v>0</v>
      </c>
      <c r="X154" s="29">
        <f t="shared" si="4"/>
        <v>0</v>
      </c>
      <c r="Y154" s="29">
        <f>INDEX(SurtaxPayment!$C$6:$U$330,MATCH(PriorYear!C154,SurtaxPayment!$C$6:$C$330,0),9)</f>
        <v>0</v>
      </c>
      <c r="Z154" s="66">
        <f t="shared" si="5"/>
        <v>0</v>
      </c>
    </row>
    <row r="155" spans="1:26" x14ac:dyDescent="0.25">
      <c r="A155" s="52">
        <v>2023</v>
      </c>
      <c r="B155" s="52" t="s">
        <v>662</v>
      </c>
      <c r="C155" s="57" t="s">
        <v>464</v>
      </c>
      <c r="D155" s="58" t="s">
        <v>693</v>
      </c>
      <c r="E155" s="58" t="s">
        <v>693</v>
      </c>
      <c r="F155" s="58" t="s">
        <v>464</v>
      </c>
      <c r="G155" s="57" t="s">
        <v>718</v>
      </c>
      <c r="H155" s="39">
        <v>0</v>
      </c>
      <c r="I155" s="39">
        <v>0</v>
      </c>
      <c r="J155" s="38"/>
      <c r="K155" s="39">
        <v>0</v>
      </c>
      <c r="L155" s="39">
        <v>0</v>
      </c>
      <c r="M155" s="39">
        <v>0</v>
      </c>
      <c r="N155" s="38"/>
      <c r="O155" s="39">
        <v>0</v>
      </c>
      <c r="P155" s="39">
        <v>0</v>
      </c>
      <c r="Q155" s="39">
        <v>0</v>
      </c>
      <c r="R155" s="38"/>
      <c r="S155" s="39">
        <v>0</v>
      </c>
      <c r="T155" s="39">
        <v>0</v>
      </c>
      <c r="U155" s="39">
        <v>0</v>
      </c>
      <c r="V155" s="29"/>
      <c r="W155" s="29">
        <f>INDEX(SurtaxPayment!$C$6:$U$330,MATCH(PriorYear!$C155,SurtaxPayment!$C$6:$C$330,0),6)+INDEX(SurtaxPayment!$C$6:$U$330,MATCH(PriorYear!$C155,SurtaxPayment!$C$6:$C$330,0),7)</f>
        <v>0</v>
      </c>
      <c r="X155" s="29">
        <f t="shared" si="4"/>
        <v>0</v>
      </c>
      <c r="Y155" s="29">
        <f>INDEX(SurtaxPayment!$C$6:$U$330,MATCH(PriorYear!C155,SurtaxPayment!$C$6:$C$330,0),9)</f>
        <v>0</v>
      </c>
      <c r="Z155" s="66">
        <f t="shared" si="5"/>
        <v>0</v>
      </c>
    </row>
    <row r="156" spans="1:26" x14ac:dyDescent="0.25">
      <c r="A156" s="52">
        <v>2023</v>
      </c>
      <c r="B156" s="52" t="s">
        <v>662</v>
      </c>
      <c r="C156" s="57" t="s">
        <v>465</v>
      </c>
      <c r="D156" s="58" t="s">
        <v>693</v>
      </c>
      <c r="E156" s="58" t="s">
        <v>693</v>
      </c>
      <c r="F156" s="58" t="s">
        <v>465</v>
      </c>
      <c r="G156" s="57" t="s">
        <v>134</v>
      </c>
      <c r="H156" s="39">
        <v>0</v>
      </c>
      <c r="I156" s="39">
        <v>9</v>
      </c>
      <c r="J156" s="38"/>
      <c r="K156" s="39">
        <v>150555</v>
      </c>
      <c r="L156" s="39">
        <v>0</v>
      </c>
      <c r="M156" s="39">
        <v>150555</v>
      </c>
      <c r="N156" s="38"/>
      <c r="O156" s="39">
        <v>60213</v>
      </c>
      <c r="P156" s="39">
        <v>0</v>
      </c>
      <c r="Q156" s="39">
        <v>60213</v>
      </c>
      <c r="R156" s="38"/>
      <c r="S156" s="39">
        <v>210768</v>
      </c>
      <c r="T156" s="39">
        <v>0</v>
      </c>
      <c r="U156" s="39">
        <v>210768</v>
      </c>
      <c r="V156" s="29"/>
      <c r="W156" s="29">
        <f>INDEX(SurtaxPayment!$C$6:$U$330,MATCH(PriorYear!$C156,SurtaxPayment!$C$6:$C$330,0),6)+INDEX(SurtaxPayment!$C$6:$U$330,MATCH(PriorYear!$C156,SurtaxPayment!$C$6:$C$330,0),7)</f>
        <v>3</v>
      </c>
      <c r="X156" s="29">
        <f t="shared" si="4"/>
        <v>-6</v>
      </c>
      <c r="Y156" s="29">
        <f>INDEX(SurtaxPayment!$C$6:$U$330,MATCH(PriorYear!C156,SurtaxPayment!$C$6:$C$330,0),9)</f>
        <v>72282.23</v>
      </c>
      <c r="Z156" s="66">
        <f t="shared" si="5"/>
        <v>-0.51989485570057459</v>
      </c>
    </row>
    <row r="157" spans="1:26" x14ac:dyDescent="0.25">
      <c r="A157" s="52">
        <v>2023</v>
      </c>
      <c r="B157" s="52" t="s">
        <v>660</v>
      </c>
      <c r="C157" s="57" t="s">
        <v>466</v>
      </c>
      <c r="D157" s="58" t="s">
        <v>693</v>
      </c>
      <c r="E157" s="58" t="s">
        <v>693</v>
      </c>
      <c r="F157" s="58" t="s">
        <v>466</v>
      </c>
      <c r="G157" s="57" t="s">
        <v>135</v>
      </c>
      <c r="H157" s="39">
        <v>3</v>
      </c>
      <c r="I157" s="39">
        <v>1</v>
      </c>
      <c r="J157" s="38"/>
      <c r="K157" s="39">
        <v>87505.5</v>
      </c>
      <c r="L157" s="39">
        <v>65629.13</v>
      </c>
      <c r="M157" s="39">
        <v>21876.369999999995</v>
      </c>
      <c r="N157" s="38"/>
      <c r="O157" s="39">
        <v>36011.5</v>
      </c>
      <c r="P157" s="39">
        <v>27008.63</v>
      </c>
      <c r="Q157" s="39">
        <v>9002.869999999999</v>
      </c>
      <c r="R157" s="38"/>
      <c r="S157" s="39">
        <v>123517</v>
      </c>
      <c r="T157" s="39">
        <v>92637.760000000009</v>
      </c>
      <c r="U157" s="39">
        <v>30879.239999999994</v>
      </c>
      <c r="V157" s="29"/>
      <c r="W157" s="29">
        <f>INDEX(SurtaxPayment!$C$6:$U$330,MATCH(PriorYear!$C157,SurtaxPayment!$C$6:$C$330,0),6)+INDEX(SurtaxPayment!$C$6:$U$330,MATCH(PriorYear!$C157,SurtaxPayment!$C$6:$C$330,0),7)</f>
        <v>4</v>
      </c>
      <c r="X157" s="29">
        <f t="shared" si="4"/>
        <v>0</v>
      </c>
      <c r="Y157" s="29">
        <f>INDEX(SurtaxPayment!$C$6:$U$330,MATCH(PriorYear!C157,SurtaxPayment!$C$6:$C$330,0),9)</f>
        <v>112259.32</v>
      </c>
      <c r="Z157" s="66">
        <f t="shared" si="5"/>
        <v>0.28288301878167665</v>
      </c>
    </row>
    <row r="158" spans="1:26" x14ac:dyDescent="0.25">
      <c r="A158" s="52">
        <v>2023</v>
      </c>
      <c r="B158" s="52" t="s">
        <v>657</v>
      </c>
      <c r="C158" s="57" t="s">
        <v>467</v>
      </c>
      <c r="D158" s="58" t="s">
        <v>693</v>
      </c>
      <c r="E158" s="58" t="s">
        <v>693</v>
      </c>
      <c r="F158" s="58" t="s">
        <v>467</v>
      </c>
      <c r="G158" s="57" t="s">
        <v>136</v>
      </c>
      <c r="H158" s="39">
        <v>0</v>
      </c>
      <c r="I158" s="39">
        <v>7</v>
      </c>
      <c r="J158" s="38"/>
      <c r="K158" s="39">
        <v>615081.75</v>
      </c>
      <c r="L158" s="39">
        <v>0</v>
      </c>
      <c r="M158" s="39">
        <v>615081.75</v>
      </c>
      <c r="N158" s="38"/>
      <c r="O158" s="39">
        <v>225721.25</v>
      </c>
      <c r="P158" s="39">
        <v>0</v>
      </c>
      <c r="Q158" s="39">
        <v>225721.25</v>
      </c>
      <c r="R158" s="38"/>
      <c r="S158" s="39">
        <v>840803</v>
      </c>
      <c r="T158" s="39">
        <v>0</v>
      </c>
      <c r="U158" s="39">
        <v>840803</v>
      </c>
      <c r="V158" s="29"/>
      <c r="W158" s="29">
        <f>INDEX(SurtaxPayment!$C$6:$U$330,MATCH(PriorYear!$C158,SurtaxPayment!$C$6:$C$330,0),6)+INDEX(SurtaxPayment!$C$6:$U$330,MATCH(PriorYear!$C158,SurtaxPayment!$C$6:$C$330,0),7)</f>
        <v>7</v>
      </c>
      <c r="X158" s="29">
        <f t="shared" si="4"/>
        <v>0</v>
      </c>
      <c r="Y158" s="29">
        <f>INDEX(SurtaxPayment!$C$6:$U$330,MATCH(PriorYear!C158,SurtaxPayment!$C$6:$C$330,0),9)</f>
        <v>724499.32</v>
      </c>
      <c r="Z158" s="66">
        <f t="shared" si="5"/>
        <v>0.1778911014674065</v>
      </c>
    </row>
    <row r="159" spans="1:26" x14ac:dyDescent="0.25">
      <c r="A159" s="52">
        <v>2023</v>
      </c>
      <c r="B159" s="52" t="s">
        <v>658</v>
      </c>
      <c r="C159" s="57" t="s">
        <v>468</v>
      </c>
      <c r="D159" s="58" t="s">
        <v>693</v>
      </c>
      <c r="E159" s="58" t="s">
        <v>693</v>
      </c>
      <c r="F159" s="58" t="s">
        <v>468</v>
      </c>
      <c r="G159" s="57" t="s">
        <v>137</v>
      </c>
      <c r="H159" s="39">
        <v>0</v>
      </c>
      <c r="I159" s="39">
        <v>9</v>
      </c>
      <c r="J159" s="38"/>
      <c r="K159" s="39">
        <v>244311.75</v>
      </c>
      <c r="L159" s="39">
        <v>0</v>
      </c>
      <c r="M159" s="39">
        <v>244311.75</v>
      </c>
      <c r="N159" s="38"/>
      <c r="O159" s="39">
        <v>106643.25</v>
      </c>
      <c r="P159" s="39">
        <v>0</v>
      </c>
      <c r="Q159" s="39">
        <v>106643.25</v>
      </c>
      <c r="R159" s="38"/>
      <c r="S159" s="39">
        <v>350955</v>
      </c>
      <c r="T159" s="39">
        <v>0</v>
      </c>
      <c r="U159" s="39">
        <v>350955</v>
      </c>
      <c r="V159" s="29"/>
      <c r="W159" s="29">
        <f>INDEX(SurtaxPayment!$C$6:$U$330,MATCH(PriorYear!$C159,SurtaxPayment!$C$6:$C$330,0),6)+INDEX(SurtaxPayment!$C$6:$U$330,MATCH(PriorYear!$C159,SurtaxPayment!$C$6:$C$330,0),7)</f>
        <v>1</v>
      </c>
      <c r="X159" s="29">
        <f t="shared" si="4"/>
        <v>-8</v>
      </c>
      <c r="Y159" s="29">
        <f>INDEX(SurtaxPayment!$C$6:$U$330,MATCH(PriorYear!C159,SurtaxPayment!$C$6:$C$330,0),9)</f>
        <v>35970.18</v>
      </c>
      <c r="Z159" s="66">
        <f t="shared" si="5"/>
        <v>-0.8527693408114837</v>
      </c>
    </row>
    <row r="160" spans="1:26" x14ac:dyDescent="0.25">
      <c r="A160" s="52">
        <v>2023</v>
      </c>
      <c r="B160" s="52" t="s">
        <v>659</v>
      </c>
      <c r="C160" s="57" t="s">
        <v>469</v>
      </c>
      <c r="D160" s="58" t="s">
        <v>693</v>
      </c>
      <c r="E160" s="58" t="s">
        <v>693</v>
      </c>
      <c r="F160" s="58" t="s">
        <v>469</v>
      </c>
      <c r="G160" s="57" t="s">
        <v>138</v>
      </c>
      <c r="H160" s="39">
        <v>1</v>
      </c>
      <c r="I160" s="39">
        <v>4</v>
      </c>
      <c r="J160" s="38"/>
      <c r="K160" s="39">
        <v>48164.25</v>
      </c>
      <c r="L160" s="39">
        <v>9632.85</v>
      </c>
      <c r="M160" s="39">
        <v>38531.4</v>
      </c>
      <c r="N160" s="38"/>
      <c r="O160" s="39">
        <v>22534.75</v>
      </c>
      <c r="P160" s="39">
        <v>4506.95</v>
      </c>
      <c r="Q160" s="39">
        <v>18027.8</v>
      </c>
      <c r="R160" s="38"/>
      <c r="S160" s="39">
        <v>70699</v>
      </c>
      <c r="T160" s="39">
        <v>14139.8</v>
      </c>
      <c r="U160" s="39">
        <v>56559.199999999997</v>
      </c>
      <c r="V160" s="29"/>
      <c r="W160" s="29">
        <f>INDEX(SurtaxPayment!$C$6:$U$330,MATCH(PriorYear!$C160,SurtaxPayment!$C$6:$C$330,0),6)+INDEX(SurtaxPayment!$C$6:$U$330,MATCH(PriorYear!$C160,SurtaxPayment!$C$6:$C$330,0),7)</f>
        <v>5</v>
      </c>
      <c r="X160" s="29">
        <f t="shared" si="4"/>
        <v>0</v>
      </c>
      <c r="Y160" s="29">
        <f>INDEX(SurtaxPayment!$C$6:$U$330,MATCH(PriorYear!C160,SurtaxPayment!$C$6:$C$330,0),9)</f>
        <v>54901.36</v>
      </c>
      <c r="Z160" s="66">
        <f t="shared" si="5"/>
        <v>0.13987781393876164</v>
      </c>
    </row>
    <row r="161" spans="1:26" x14ac:dyDescent="0.25">
      <c r="A161" s="52">
        <v>2023</v>
      </c>
      <c r="B161" s="52" t="s">
        <v>661</v>
      </c>
      <c r="C161" s="57" t="s">
        <v>470</v>
      </c>
      <c r="D161" s="58" t="s">
        <v>693</v>
      </c>
      <c r="E161" s="58" t="s">
        <v>693</v>
      </c>
      <c r="F161" s="58" t="s">
        <v>470</v>
      </c>
      <c r="G161" s="57" t="s">
        <v>139</v>
      </c>
      <c r="H161" s="39">
        <v>5</v>
      </c>
      <c r="I161" s="39">
        <v>4</v>
      </c>
      <c r="J161" s="38"/>
      <c r="K161" s="39">
        <v>119814</v>
      </c>
      <c r="L161" s="39">
        <v>66563.33</v>
      </c>
      <c r="M161" s="39">
        <v>53250.67</v>
      </c>
      <c r="N161" s="38"/>
      <c r="O161" s="39">
        <v>44304</v>
      </c>
      <c r="P161" s="39">
        <v>24613.33</v>
      </c>
      <c r="Q161" s="39">
        <v>19690.669999999998</v>
      </c>
      <c r="R161" s="38"/>
      <c r="S161" s="39">
        <v>164118</v>
      </c>
      <c r="T161" s="39">
        <v>91176.66</v>
      </c>
      <c r="U161" s="39">
        <v>72941.34</v>
      </c>
      <c r="V161" s="29"/>
      <c r="W161" s="29">
        <f>INDEX(SurtaxPayment!$C$6:$U$330,MATCH(PriorYear!$C161,SurtaxPayment!$C$6:$C$330,0),6)+INDEX(SurtaxPayment!$C$6:$U$330,MATCH(PriorYear!$C161,SurtaxPayment!$C$6:$C$330,0),7)</f>
        <v>10</v>
      </c>
      <c r="X161" s="29">
        <f t="shared" si="4"/>
        <v>1</v>
      </c>
      <c r="Y161" s="29">
        <f>INDEX(SurtaxPayment!$C$6:$U$330,MATCH(PriorYear!C161,SurtaxPayment!$C$6:$C$330,0),9)</f>
        <v>142785.57999999999</v>
      </c>
      <c r="Z161" s="66">
        <f t="shared" si="5"/>
        <v>0.1917270101991419</v>
      </c>
    </row>
    <row r="162" spans="1:26" x14ac:dyDescent="0.25">
      <c r="A162" s="52">
        <v>2023</v>
      </c>
      <c r="B162" s="52" t="s">
        <v>660</v>
      </c>
      <c r="C162" s="57" t="s">
        <v>471</v>
      </c>
      <c r="D162" s="58" t="s">
        <v>693</v>
      </c>
      <c r="E162" s="58" t="s">
        <v>693</v>
      </c>
      <c r="F162" s="58" t="s">
        <v>471</v>
      </c>
      <c r="G162" s="57" t="s">
        <v>140</v>
      </c>
      <c r="H162" s="39">
        <v>0</v>
      </c>
      <c r="I162" s="39">
        <v>3</v>
      </c>
      <c r="J162" s="38"/>
      <c r="K162" s="39">
        <v>107607.75</v>
      </c>
      <c r="L162" s="39">
        <v>0</v>
      </c>
      <c r="M162" s="39">
        <v>107607.75</v>
      </c>
      <c r="N162" s="38"/>
      <c r="O162" s="39">
        <v>40598.25</v>
      </c>
      <c r="P162" s="39">
        <v>0</v>
      </c>
      <c r="Q162" s="39">
        <v>40598.25</v>
      </c>
      <c r="R162" s="38"/>
      <c r="S162" s="39">
        <v>148206</v>
      </c>
      <c r="T162" s="39">
        <v>0</v>
      </c>
      <c r="U162" s="39">
        <v>148206</v>
      </c>
      <c r="V162" s="29"/>
      <c r="W162" s="29">
        <f>INDEX(SurtaxPayment!$C$6:$U$330,MATCH(PriorYear!$C162,SurtaxPayment!$C$6:$C$330,0),6)+INDEX(SurtaxPayment!$C$6:$U$330,MATCH(PriorYear!$C162,SurtaxPayment!$C$6:$C$330,0),7)</f>
        <v>1</v>
      </c>
      <c r="X162" s="29">
        <f t="shared" si="4"/>
        <v>-2</v>
      </c>
      <c r="Y162" s="29">
        <f>INDEX(SurtaxPayment!$C$6:$U$330,MATCH(PriorYear!C162,SurtaxPayment!$C$6:$C$330,0),9)</f>
        <v>46696.31</v>
      </c>
      <c r="Z162" s="66">
        <f t="shared" si="5"/>
        <v>-0.56605067943526377</v>
      </c>
    </row>
    <row r="163" spans="1:26" x14ac:dyDescent="0.25">
      <c r="A163" s="52">
        <v>2023</v>
      </c>
      <c r="B163" s="52" t="s">
        <v>660</v>
      </c>
      <c r="C163" s="57" t="s">
        <v>473</v>
      </c>
      <c r="D163" s="58" t="s">
        <v>693</v>
      </c>
      <c r="E163" s="58" t="s">
        <v>693</v>
      </c>
      <c r="F163" s="58" t="s">
        <v>473</v>
      </c>
      <c r="G163" s="57" t="s">
        <v>719</v>
      </c>
      <c r="H163" s="39">
        <v>0</v>
      </c>
      <c r="I163" s="39">
        <v>0</v>
      </c>
      <c r="J163" s="38"/>
      <c r="K163" s="39">
        <v>0</v>
      </c>
      <c r="L163" s="39">
        <v>0</v>
      </c>
      <c r="M163" s="39">
        <v>0</v>
      </c>
      <c r="N163" s="38"/>
      <c r="O163" s="39">
        <v>0</v>
      </c>
      <c r="P163" s="39">
        <v>0</v>
      </c>
      <c r="Q163" s="39">
        <v>0</v>
      </c>
      <c r="R163" s="38"/>
      <c r="S163" s="39">
        <v>0</v>
      </c>
      <c r="T163" s="39">
        <v>0</v>
      </c>
      <c r="U163" s="39">
        <v>0</v>
      </c>
      <c r="V163" s="29"/>
      <c r="W163" s="29">
        <f>INDEX(SurtaxPayment!$C$6:$U$330,MATCH(PriorYear!$C163,SurtaxPayment!$C$6:$C$330,0),6)+INDEX(SurtaxPayment!$C$6:$U$330,MATCH(PriorYear!$C163,SurtaxPayment!$C$6:$C$330,0),7)</f>
        <v>0</v>
      </c>
      <c r="X163" s="29">
        <f t="shared" si="4"/>
        <v>0</v>
      </c>
      <c r="Y163" s="29">
        <f>INDEX(SurtaxPayment!$C$6:$U$330,MATCH(PriorYear!C163,SurtaxPayment!$C$6:$C$330,0),9)</f>
        <v>0</v>
      </c>
      <c r="Z163" s="66">
        <f t="shared" si="5"/>
        <v>0</v>
      </c>
    </row>
    <row r="164" spans="1:26" x14ac:dyDescent="0.25">
      <c r="A164" s="52">
        <v>2023</v>
      </c>
      <c r="B164" s="52" t="s">
        <v>659</v>
      </c>
      <c r="C164" s="57" t="s">
        <v>474</v>
      </c>
      <c r="D164" s="58" t="s">
        <v>693</v>
      </c>
      <c r="E164" s="58" t="s">
        <v>693</v>
      </c>
      <c r="F164" s="58" t="s">
        <v>474</v>
      </c>
      <c r="G164" s="57" t="s">
        <v>141</v>
      </c>
      <c r="H164" s="39">
        <v>1</v>
      </c>
      <c r="I164" s="39">
        <v>1</v>
      </c>
      <c r="J164" s="38"/>
      <c r="K164" s="39">
        <v>34236.75</v>
      </c>
      <c r="L164" s="39">
        <v>17118.38</v>
      </c>
      <c r="M164" s="39">
        <v>17118.37</v>
      </c>
      <c r="N164" s="38"/>
      <c r="O164" s="39">
        <v>12537.25</v>
      </c>
      <c r="P164" s="39">
        <v>6268.63</v>
      </c>
      <c r="Q164" s="39">
        <v>6268.62</v>
      </c>
      <c r="R164" s="38"/>
      <c r="S164" s="39">
        <v>46774</v>
      </c>
      <c r="T164" s="39">
        <v>23387.010000000002</v>
      </c>
      <c r="U164" s="39">
        <v>23386.989999999998</v>
      </c>
      <c r="V164" s="29"/>
      <c r="W164" s="29">
        <f>INDEX(SurtaxPayment!$C$6:$U$330,MATCH(PriorYear!$C164,SurtaxPayment!$C$6:$C$330,0),6)+INDEX(SurtaxPayment!$C$6:$U$330,MATCH(PriorYear!$C164,SurtaxPayment!$C$6:$C$330,0),7)</f>
        <v>2</v>
      </c>
      <c r="X164" s="29">
        <f t="shared" si="4"/>
        <v>0</v>
      </c>
      <c r="Y164" s="29">
        <f>INDEX(SurtaxPayment!$C$6:$U$330,MATCH(PriorYear!C164,SurtaxPayment!$C$6:$C$330,0),9)</f>
        <v>42128.85</v>
      </c>
      <c r="Z164" s="66">
        <f t="shared" si="5"/>
        <v>0.23051545488400618</v>
      </c>
    </row>
    <row r="165" spans="1:26" x14ac:dyDescent="0.25">
      <c r="A165" s="52">
        <v>2023</v>
      </c>
      <c r="B165" s="52" t="s">
        <v>659</v>
      </c>
      <c r="C165" s="57" t="s">
        <v>475</v>
      </c>
      <c r="D165" s="58" t="s">
        <v>693</v>
      </c>
      <c r="E165" s="58" t="s">
        <v>693</v>
      </c>
      <c r="F165" s="58" t="s">
        <v>475</v>
      </c>
      <c r="G165" s="57" t="s">
        <v>142</v>
      </c>
      <c r="H165" s="39">
        <v>0</v>
      </c>
      <c r="I165" s="39">
        <v>1</v>
      </c>
      <c r="J165" s="38"/>
      <c r="K165" s="39">
        <v>109371.75</v>
      </c>
      <c r="L165" s="39">
        <v>0</v>
      </c>
      <c r="M165" s="39">
        <v>109371.75</v>
      </c>
      <c r="N165" s="38"/>
      <c r="O165" s="39">
        <v>54542.25</v>
      </c>
      <c r="P165" s="39">
        <v>0</v>
      </c>
      <c r="Q165" s="39">
        <v>54542.25</v>
      </c>
      <c r="R165" s="38"/>
      <c r="S165" s="39">
        <v>163914</v>
      </c>
      <c r="T165" s="39">
        <v>0</v>
      </c>
      <c r="U165" s="39">
        <v>163914</v>
      </c>
      <c r="V165" s="29"/>
      <c r="W165" s="29">
        <f>INDEX(SurtaxPayment!$C$6:$U$330,MATCH(PriorYear!$C165,SurtaxPayment!$C$6:$C$330,0),6)+INDEX(SurtaxPayment!$C$6:$U$330,MATCH(PriorYear!$C165,SurtaxPayment!$C$6:$C$330,0),7)</f>
        <v>2</v>
      </c>
      <c r="X165" s="29">
        <f t="shared" si="4"/>
        <v>1</v>
      </c>
      <c r="Y165" s="29">
        <f>INDEX(SurtaxPayment!$C$6:$U$330,MATCH(PriorYear!C165,SurtaxPayment!$C$6:$C$330,0),9)</f>
        <v>245544.38</v>
      </c>
      <c r="Z165" s="66">
        <f t="shared" si="5"/>
        <v>1.2450438984472683</v>
      </c>
    </row>
    <row r="166" spans="1:26" x14ac:dyDescent="0.25">
      <c r="A166" s="52">
        <v>2023</v>
      </c>
      <c r="B166" s="52" t="s">
        <v>663</v>
      </c>
      <c r="C166" s="57" t="s">
        <v>477</v>
      </c>
      <c r="D166" s="58" t="s">
        <v>693</v>
      </c>
      <c r="E166" s="58" t="s">
        <v>693</v>
      </c>
      <c r="F166" s="58" t="s">
        <v>477</v>
      </c>
      <c r="G166" s="57" t="s">
        <v>720</v>
      </c>
      <c r="H166" s="39">
        <v>0</v>
      </c>
      <c r="I166" s="39">
        <v>0</v>
      </c>
      <c r="J166" s="38"/>
      <c r="K166" s="39">
        <v>0</v>
      </c>
      <c r="L166" s="39">
        <v>0</v>
      </c>
      <c r="M166" s="39">
        <v>0</v>
      </c>
      <c r="N166" s="38"/>
      <c r="O166" s="39">
        <v>0</v>
      </c>
      <c r="P166" s="39">
        <v>0</v>
      </c>
      <c r="Q166" s="39">
        <v>0</v>
      </c>
      <c r="R166" s="38"/>
      <c r="S166" s="39">
        <v>0</v>
      </c>
      <c r="T166" s="39">
        <v>0</v>
      </c>
      <c r="U166" s="39">
        <v>0</v>
      </c>
      <c r="V166" s="29"/>
      <c r="W166" s="29">
        <f>INDEX(SurtaxPayment!$C$6:$U$330,MATCH(PriorYear!$C166,SurtaxPayment!$C$6:$C$330,0),6)+INDEX(SurtaxPayment!$C$6:$U$330,MATCH(PriorYear!$C166,SurtaxPayment!$C$6:$C$330,0),7)</f>
        <v>0</v>
      </c>
      <c r="X166" s="29">
        <f t="shared" si="4"/>
        <v>0</v>
      </c>
      <c r="Y166" s="29">
        <f>INDEX(SurtaxPayment!$C$6:$U$330,MATCH(PriorYear!C166,SurtaxPayment!$C$6:$C$330,0),9)</f>
        <v>0</v>
      </c>
      <c r="Z166" s="66">
        <f t="shared" si="5"/>
        <v>0</v>
      </c>
    </row>
    <row r="167" spans="1:26" x14ac:dyDescent="0.25">
      <c r="A167" s="52">
        <v>2023</v>
      </c>
      <c r="B167" s="52" t="s">
        <v>663</v>
      </c>
      <c r="C167" s="57" t="s">
        <v>478</v>
      </c>
      <c r="D167" s="58" t="s">
        <v>693</v>
      </c>
      <c r="E167" s="58" t="s">
        <v>693</v>
      </c>
      <c r="F167" s="58" t="s">
        <v>478</v>
      </c>
      <c r="G167" s="57" t="s">
        <v>143</v>
      </c>
      <c r="H167" s="39">
        <v>0</v>
      </c>
      <c r="I167" s="39">
        <v>1</v>
      </c>
      <c r="J167" s="38"/>
      <c r="K167" s="39">
        <v>33141</v>
      </c>
      <c r="L167" s="39">
        <v>0</v>
      </c>
      <c r="M167" s="39">
        <v>33141</v>
      </c>
      <c r="N167" s="38"/>
      <c r="O167" s="39">
        <v>14050</v>
      </c>
      <c r="P167" s="39">
        <v>0</v>
      </c>
      <c r="Q167" s="39">
        <v>14050</v>
      </c>
      <c r="R167" s="38"/>
      <c r="S167" s="39">
        <v>47191</v>
      </c>
      <c r="T167" s="39">
        <v>0</v>
      </c>
      <c r="U167" s="39">
        <v>47191</v>
      </c>
      <c r="V167" s="29"/>
      <c r="W167" s="29">
        <f>INDEX(SurtaxPayment!$C$6:$U$330,MATCH(PriorYear!$C167,SurtaxPayment!$C$6:$C$330,0),6)+INDEX(SurtaxPayment!$C$6:$U$330,MATCH(PriorYear!$C167,SurtaxPayment!$C$6:$C$330,0),7)</f>
        <v>2</v>
      </c>
      <c r="X167" s="29">
        <f t="shared" si="4"/>
        <v>1</v>
      </c>
      <c r="Y167" s="29">
        <f>INDEX(SurtaxPayment!$C$6:$U$330,MATCH(PriorYear!C167,SurtaxPayment!$C$6:$C$330,0),9)</f>
        <v>85574.19</v>
      </c>
      <c r="Z167" s="66">
        <f t="shared" si="5"/>
        <v>1.5821245587037205</v>
      </c>
    </row>
    <row r="168" spans="1:26" x14ac:dyDescent="0.25">
      <c r="A168" s="52">
        <v>2023</v>
      </c>
      <c r="B168" s="52" t="s">
        <v>659</v>
      </c>
      <c r="C168" s="57" t="s">
        <v>479</v>
      </c>
      <c r="D168" s="58" t="s">
        <v>693</v>
      </c>
      <c r="E168" s="58" t="s">
        <v>693</v>
      </c>
      <c r="F168" s="58" t="s">
        <v>479</v>
      </c>
      <c r="G168" s="57" t="s">
        <v>144</v>
      </c>
      <c r="H168" s="39">
        <v>0</v>
      </c>
      <c r="I168" s="39">
        <v>7</v>
      </c>
      <c r="J168" s="38"/>
      <c r="K168" s="39">
        <v>129600</v>
      </c>
      <c r="L168" s="39">
        <v>0</v>
      </c>
      <c r="M168" s="39">
        <v>129600</v>
      </c>
      <c r="N168" s="38"/>
      <c r="O168" s="39">
        <v>48628</v>
      </c>
      <c r="P168" s="39">
        <v>0</v>
      </c>
      <c r="Q168" s="39">
        <v>48628</v>
      </c>
      <c r="R168" s="38"/>
      <c r="S168" s="39">
        <v>178228</v>
      </c>
      <c r="T168" s="39">
        <v>0</v>
      </c>
      <c r="U168" s="39">
        <v>178228</v>
      </c>
      <c r="V168" s="29"/>
      <c r="W168" s="29">
        <f>INDEX(SurtaxPayment!$C$6:$U$330,MATCH(PriorYear!$C168,SurtaxPayment!$C$6:$C$330,0),6)+INDEX(SurtaxPayment!$C$6:$U$330,MATCH(PriorYear!$C168,SurtaxPayment!$C$6:$C$330,0),7)</f>
        <v>7</v>
      </c>
      <c r="X168" s="29">
        <f t="shared" si="4"/>
        <v>0</v>
      </c>
      <c r="Y168" s="29">
        <f>INDEX(SurtaxPayment!$C$6:$U$330,MATCH(PriorYear!C168,SurtaxPayment!$C$6:$C$330,0),9)</f>
        <v>170187.12</v>
      </c>
      <c r="Z168" s="66">
        <f t="shared" si="5"/>
        <v>0.31317222222222219</v>
      </c>
    </row>
    <row r="169" spans="1:26" x14ac:dyDescent="0.25">
      <c r="A169" s="52">
        <v>2023</v>
      </c>
      <c r="B169" s="52" t="s">
        <v>663</v>
      </c>
      <c r="C169" s="57" t="s">
        <v>480</v>
      </c>
      <c r="D169" s="58" t="s">
        <v>693</v>
      </c>
      <c r="E169" s="58" t="s">
        <v>693</v>
      </c>
      <c r="F169" s="58" t="s">
        <v>480</v>
      </c>
      <c r="G169" s="57" t="s">
        <v>145</v>
      </c>
      <c r="H169" s="39">
        <v>1</v>
      </c>
      <c r="I169" s="39">
        <v>9</v>
      </c>
      <c r="J169" s="38"/>
      <c r="K169" s="39">
        <v>195004.5</v>
      </c>
      <c r="L169" s="39">
        <v>19500.45</v>
      </c>
      <c r="M169" s="39">
        <v>175504.05</v>
      </c>
      <c r="N169" s="38"/>
      <c r="O169" s="39">
        <v>75926.5</v>
      </c>
      <c r="P169" s="39">
        <v>7592.65</v>
      </c>
      <c r="Q169" s="39">
        <v>68333.850000000006</v>
      </c>
      <c r="R169" s="38"/>
      <c r="S169" s="39">
        <v>270931</v>
      </c>
      <c r="T169" s="39">
        <v>27093.1</v>
      </c>
      <c r="U169" s="39">
        <v>243837.9</v>
      </c>
      <c r="V169" s="29"/>
      <c r="W169" s="29">
        <f>INDEX(SurtaxPayment!$C$6:$U$330,MATCH(PriorYear!$C169,SurtaxPayment!$C$6:$C$330,0),6)+INDEX(SurtaxPayment!$C$6:$U$330,MATCH(PriorYear!$C169,SurtaxPayment!$C$6:$C$330,0),7)</f>
        <v>8</v>
      </c>
      <c r="X169" s="29">
        <f t="shared" si="4"/>
        <v>-2</v>
      </c>
      <c r="Y169" s="29">
        <f>INDEX(SurtaxPayment!$C$6:$U$330,MATCH(PriorYear!C169,SurtaxPayment!$C$6:$C$330,0),9)</f>
        <v>196860.53</v>
      </c>
      <c r="Z169" s="66">
        <f t="shared" si="5"/>
        <v>9.5178829206505437E-3</v>
      </c>
    </row>
    <row r="170" spans="1:26" x14ac:dyDescent="0.25">
      <c r="A170" s="52">
        <v>2023</v>
      </c>
      <c r="B170" s="52" t="s">
        <v>666</v>
      </c>
      <c r="C170" s="57" t="s">
        <v>481</v>
      </c>
      <c r="D170" s="58" t="s">
        <v>693</v>
      </c>
      <c r="E170" s="58" t="s">
        <v>693</v>
      </c>
      <c r="F170" s="58" t="s">
        <v>481</v>
      </c>
      <c r="G170" s="57" t="s">
        <v>146</v>
      </c>
      <c r="H170" s="39">
        <v>0</v>
      </c>
      <c r="I170" s="39">
        <v>8</v>
      </c>
      <c r="J170" s="38"/>
      <c r="K170" s="39">
        <v>276294.75</v>
      </c>
      <c r="L170" s="39">
        <v>0</v>
      </c>
      <c r="M170" s="39">
        <v>276294.75</v>
      </c>
      <c r="N170" s="38"/>
      <c r="O170" s="39">
        <v>104558.25</v>
      </c>
      <c r="P170" s="39">
        <v>0</v>
      </c>
      <c r="Q170" s="39">
        <v>104558.25</v>
      </c>
      <c r="R170" s="38"/>
      <c r="S170" s="39">
        <v>380853</v>
      </c>
      <c r="T170" s="39">
        <v>0</v>
      </c>
      <c r="U170" s="39">
        <v>380853</v>
      </c>
      <c r="V170" s="29"/>
      <c r="W170" s="29">
        <f>INDEX(SurtaxPayment!$C$6:$U$330,MATCH(PriorYear!$C170,SurtaxPayment!$C$6:$C$330,0),6)+INDEX(SurtaxPayment!$C$6:$U$330,MATCH(PriorYear!$C170,SurtaxPayment!$C$6:$C$330,0),7)</f>
        <v>8</v>
      </c>
      <c r="X170" s="29">
        <f t="shared" si="4"/>
        <v>0</v>
      </c>
      <c r="Y170" s="29">
        <f>INDEX(SurtaxPayment!$C$6:$U$330,MATCH(PriorYear!C170,SurtaxPayment!$C$6:$C$330,0),9)</f>
        <v>351343.14</v>
      </c>
      <c r="Z170" s="66">
        <f t="shared" si="5"/>
        <v>0.27162437939917428</v>
      </c>
    </row>
    <row r="171" spans="1:26" x14ac:dyDescent="0.25">
      <c r="A171" s="52">
        <v>2023</v>
      </c>
      <c r="B171" s="52" t="s">
        <v>661</v>
      </c>
      <c r="C171" s="57" t="s">
        <v>482</v>
      </c>
      <c r="D171" s="58" t="s">
        <v>693</v>
      </c>
      <c r="E171" s="58" t="s">
        <v>693</v>
      </c>
      <c r="F171" s="58" t="s">
        <v>482</v>
      </c>
      <c r="G171" s="57" t="s">
        <v>147</v>
      </c>
      <c r="H171" s="39">
        <v>0</v>
      </c>
      <c r="I171" s="39">
        <v>13</v>
      </c>
      <c r="J171" s="38"/>
      <c r="K171" s="39">
        <v>130779</v>
      </c>
      <c r="L171" s="39">
        <v>0</v>
      </c>
      <c r="M171" s="39">
        <v>130779</v>
      </c>
      <c r="N171" s="38"/>
      <c r="O171" s="39">
        <v>60521</v>
      </c>
      <c r="P171" s="39">
        <v>0</v>
      </c>
      <c r="Q171" s="39">
        <v>60521</v>
      </c>
      <c r="R171" s="38"/>
      <c r="S171" s="39">
        <v>191300</v>
      </c>
      <c r="T171" s="39">
        <v>0</v>
      </c>
      <c r="U171" s="39">
        <v>191300</v>
      </c>
      <c r="V171" s="29"/>
      <c r="W171" s="29" t="e">
        <f>INDEX(SurtaxPayment!$C$6:$U$330,MATCH(PriorYear!$C171,SurtaxPayment!$C$6:$C$330,0),6)+INDEX(SurtaxPayment!$C$6:$U$330,MATCH(PriorYear!$C171,SurtaxPayment!$C$6:$C$330,0),7)</f>
        <v>#N/A</v>
      </c>
      <c r="X171" s="29" t="e">
        <f t="shared" si="4"/>
        <v>#N/A</v>
      </c>
      <c r="Y171" s="29" t="e">
        <f>INDEX(SurtaxPayment!$C$6:$U$330,MATCH(PriorYear!C171,SurtaxPayment!$C$6:$C$330,0),9)</f>
        <v>#N/A</v>
      </c>
      <c r="Z171" s="66">
        <f t="shared" si="5"/>
        <v>0</v>
      </c>
    </row>
    <row r="172" spans="1:26" x14ac:dyDescent="0.25">
      <c r="A172" s="52">
        <v>2023</v>
      </c>
      <c r="B172" s="52" t="s">
        <v>657</v>
      </c>
      <c r="C172" s="57" t="s">
        <v>483</v>
      </c>
      <c r="D172" s="58" t="s">
        <v>693</v>
      </c>
      <c r="E172" s="58" t="s">
        <v>693</v>
      </c>
      <c r="F172" s="58" t="s">
        <v>483</v>
      </c>
      <c r="G172" s="57" t="s">
        <v>148</v>
      </c>
      <c r="H172" s="39">
        <v>1</v>
      </c>
      <c r="I172" s="39">
        <v>5</v>
      </c>
      <c r="J172" s="38"/>
      <c r="K172" s="39">
        <v>224335.5</v>
      </c>
      <c r="L172" s="39">
        <v>37389.25</v>
      </c>
      <c r="M172" s="39">
        <v>186946.25</v>
      </c>
      <c r="N172" s="38"/>
      <c r="O172" s="39">
        <v>84175.5</v>
      </c>
      <c r="P172" s="39">
        <v>14029.25</v>
      </c>
      <c r="Q172" s="39">
        <v>70146.25</v>
      </c>
      <c r="R172" s="38"/>
      <c r="S172" s="39">
        <v>308511</v>
      </c>
      <c r="T172" s="39">
        <v>51418.5</v>
      </c>
      <c r="U172" s="39">
        <v>257092.5</v>
      </c>
      <c r="V172" s="29"/>
      <c r="W172" s="29">
        <f>INDEX(SurtaxPayment!$C$6:$U$330,MATCH(PriorYear!$C172,SurtaxPayment!$C$6:$C$330,0),6)+INDEX(SurtaxPayment!$C$6:$U$330,MATCH(PriorYear!$C172,SurtaxPayment!$C$6:$C$330,0),7)</f>
        <v>6</v>
      </c>
      <c r="X172" s="29">
        <f t="shared" si="4"/>
        <v>0</v>
      </c>
      <c r="Y172" s="29">
        <f>INDEX(SurtaxPayment!$C$6:$U$330,MATCH(PriorYear!C172,SurtaxPayment!$C$6:$C$330,0),9)</f>
        <v>289533.90000000002</v>
      </c>
      <c r="Z172" s="66">
        <f t="shared" si="5"/>
        <v>0.29062899095328215</v>
      </c>
    </row>
    <row r="173" spans="1:26" x14ac:dyDescent="0.25">
      <c r="A173" s="52">
        <v>2023</v>
      </c>
      <c r="B173" s="52" t="s">
        <v>657</v>
      </c>
      <c r="C173" s="57" t="s">
        <v>484</v>
      </c>
      <c r="D173" s="58" t="s">
        <v>693</v>
      </c>
      <c r="E173" s="58" t="s">
        <v>693</v>
      </c>
      <c r="F173" s="58" t="s">
        <v>484</v>
      </c>
      <c r="G173" s="57" t="s">
        <v>149</v>
      </c>
      <c r="H173" s="39">
        <v>0</v>
      </c>
      <c r="I173" s="39">
        <v>2</v>
      </c>
      <c r="J173" s="38"/>
      <c r="K173" s="39">
        <v>73393.5</v>
      </c>
      <c r="L173" s="39">
        <v>0</v>
      </c>
      <c r="M173" s="39">
        <v>73393.5</v>
      </c>
      <c r="N173" s="38"/>
      <c r="O173" s="39">
        <v>30538.5</v>
      </c>
      <c r="P173" s="39">
        <v>0</v>
      </c>
      <c r="Q173" s="39">
        <v>30538.5</v>
      </c>
      <c r="R173" s="38"/>
      <c r="S173" s="39">
        <v>103932</v>
      </c>
      <c r="T173" s="39">
        <v>0</v>
      </c>
      <c r="U173" s="39">
        <v>103932</v>
      </c>
      <c r="V173" s="29"/>
      <c r="W173" s="29">
        <f>INDEX(SurtaxPayment!$C$6:$U$330,MATCH(PriorYear!$C173,SurtaxPayment!$C$6:$C$330,0),6)+INDEX(SurtaxPayment!$C$6:$U$330,MATCH(PriorYear!$C173,SurtaxPayment!$C$6:$C$330,0),7)</f>
        <v>4</v>
      </c>
      <c r="X173" s="29">
        <f t="shared" si="4"/>
        <v>2</v>
      </c>
      <c r="Y173" s="29">
        <f>INDEX(SurtaxPayment!$C$6:$U$330,MATCH(PriorYear!C173,SurtaxPayment!$C$6:$C$330,0),9)</f>
        <v>188232.2</v>
      </c>
      <c r="Z173" s="66">
        <f t="shared" si="5"/>
        <v>1.5646985087235248</v>
      </c>
    </row>
    <row r="174" spans="1:26" x14ac:dyDescent="0.25">
      <c r="A174" s="52">
        <v>2023</v>
      </c>
      <c r="B174" s="52" t="s">
        <v>661</v>
      </c>
      <c r="C174" s="57" t="s">
        <v>486</v>
      </c>
      <c r="D174" s="58" t="s">
        <v>693</v>
      </c>
      <c r="E174" s="58" t="s">
        <v>693</v>
      </c>
      <c r="F174" s="58" t="s">
        <v>486</v>
      </c>
      <c r="G174" s="57" t="s">
        <v>150</v>
      </c>
      <c r="H174" s="39">
        <v>0</v>
      </c>
      <c r="I174" s="39">
        <v>6</v>
      </c>
      <c r="J174" s="38"/>
      <c r="K174" s="39">
        <v>268246.5</v>
      </c>
      <c r="L174" s="39">
        <v>0</v>
      </c>
      <c r="M174" s="39">
        <v>268246.5</v>
      </c>
      <c r="N174" s="38"/>
      <c r="O174" s="39">
        <v>112383.5</v>
      </c>
      <c r="P174" s="39">
        <v>0</v>
      </c>
      <c r="Q174" s="39">
        <v>112383.5</v>
      </c>
      <c r="R174" s="38"/>
      <c r="S174" s="39">
        <v>380630</v>
      </c>
      <c r="T174" s="39">
        <v>0</v>
      </c>
      <c r="U174" s="39">
        <v>380630</v>
      </c>
      <c r="V174" s="29"/>
      <c r="W174" s="29">
        <f>INDEX(SurtaxPayment!$C$6:$U$330,MATCH(PriorYear!$C174,SurtaxPayment!$C$6:$C$330,0),6)+INDEX(SurtaxPayment!$C$6:$U$330,MATCH(PriorYear!$C174,SurtaxPayment!$C$6:$C$330,0),7)</f>
        <v>6</v>
      </c>
      <c r="X174" s="29">
        <f t="shared" si="4"/>
        <v>0</v>
      </c>
      <c r="Y174" s="29">
        <f>INDEX(SurtaxPayment!$C$6:$U$330,MATCH(PriorYear!C174,SurtaxPayment!$C$6:$C$330,0),9)</f>
        <v>305395.82</v>
      </c>
      <c r="Z174" s="66">
        <f t="shared" si="5"/>
        <v>0.13848948634930933</v>
      </c>
    </row>
    <row r="175" spans="1:26" x14ac:dyDescent="0.25">
      <c r="A175" s="52">
        <v>2023</v>
      </c>
      <c r="B175" s="52" t="s">
        <v>660</v>
      </c>
      <c r="C175" s="57" t="s">
        <v>487</v>
      </c>
      <c r="D175" s="58" t="s">
        <v>693</v>
      </c>
      <c r="E175" s="58" t="s">
        <v>693</v>
      </c>
      <c r="F175" s="58" t="s">
        <v>487</v>
      </c>
      <c r="G175" s="57" t="s">
        <v>151</v>
      </c>
      <c r="H175" s="39">
        <v>0</v>
      </c>
      <c r="I175" s="39">
        <v>1</v>
      </c>
      <c r="J175" s="38"/>
      <c r="K175" s="39">
        <v>30180.75</v>
      </c>
      <c r="L175" s="39">
        <v>0</v>
      </c>
      <c r="M175" s="39">
        <v>30180.75</v>
      </c>
      <c r="N175" s="38"/>
      <c r="O175" s="39">
        <v>11994.25</v>
      </c>
      <c r="P175" s="39">
        <v>0</v>
      </c>
      <c r="Q175" s="39">
        <v>11994.25</v>
      </c>
      <c r="R175" s="38"/>
      <c r="S175" s="39">
        <v>42175</v>
      </c>
      <c r="T175" s="39">
        <v>0</v>
      </c>
      <c r="U175" s="39">
        <v>42175</v>
      </c>
      <c r="V175" s="29"/>
      <c r="W175" s="29">
        <f>INDEX(SurtaxPayment!$C$6:$U$330,MATCH(PriorYear!$C175,SurtaxPayment!$C$6:$C$330,0),6)+INDEX(SurtaxPayment!$C$6:$U$330,MATCH(PriorYear!$C175,SurtaxPayment!$C$6:$C$330,0),7)</f>
        <v>1</v>
      </c>
      <c r="X175" s="29">
        <f t="shared" si="4"/>
        <v>0</v>
      </c>
      <c r="Y175" s="29">
        <f>INDEX(SurtaxPayment!$C$6:$U$330,MATCH(PriorYear!C175,SurtaxPayment!$C$6:$C$330,0),9)</f>
        <v>37822.18</v>
      </c>
      <c r="Z175" s="66">
        <f t="shared" si="5"/>
        <v>0.25318887038923821</v>
      </c>
    </row>
    <row r="176" spans="1:26" x14ac:dyDescent="0.25">
      <c r="A176" s="52">
        <v>2023</v>
      </c>
      <c r="B176" s="52" t="s">
        <v>666</v>
      </c>
      <c r="C176" s="57" t="s">
        <v>488</v>
      </c>
      <c r="D176" s="58" t="s">
        <v>693</v>
      </c>
      <c r="E176" s="58" t="s">
        <v>693</v>
      </c>
      <c r="F176" s="58" t="s">
        <v>488</v>
      </c>
      <c r="G176" s="57" t="s">
        <v>152</v>
      </c>
      <c r="H176" s="39">
        <v>0</v>
      </c>
      <c r="I176" s="39">
        <v>8</v>
      </c>
      <c r="J176" s="38"/>
      <c r="K176" s="39">
        <v>480389.25</v>
      </c>
      <c r="L176" s="39">
        <v>0</v>
      </c>
      <c r="M176" s="39">
        <v>480389.25</v>
      </c>
      <c r="N176" s="38"/>
      <c r="O176" s="39">
        <v>189382.75</v>
      </c>
      <c r="P176" s="39">
        <v>0</v>
      </c>
      <c r="Q176" s="39">
        <v>189382.75</v>
      </c>
      <c r="R176" s="38"/>
      <c r="S176" s="39">
        <v>669772</v>
      </c>
      <c r="T176" s="39">
        <v>0</v>
      </c>
      <c r="U176" s="39">
        <v>669772</v>
      </c>
      <c r="V176" s="29"/>
      <c r="W176" s="29">
        <f>INDEX(SurtaxPayment!$C$6:$U$330,MATCH(PriorYear!$C176,SurtaxPayment!$C$6:$C$330,0),6)+INDEX(SurtaxPayment!$C$6:$U$330,MATCH(PriorYear!$C176,SurtaxPayment!$C$6:$C$330,0),7)</f>
        <v>8</v>
      </c>
      <c r="X176" s="29">
        <f t="shared" si="4"/>
        <v>0</v>
      </c>
      <c r="Y176" s="29">
        <f>INDEX(SurtaxPayment!$C$6:$U$330,MATCH(PriorYear!C176,SurtaxPayment!$C$6:$C$330,0),9)</f>
        <v>651096.68999999994</v>
      </c>
      <c r="Z176" s="66">
        <f t="shared" si="5"/>
        <v>0.35535233146869949</v>
      </c>
    </row>
    <row r="177" spans="1:26" x14ac:dyDescent="0.25">
      <c r="A177" s="52">
        <v>2023</v>
      </c>
      <c r="B177" s="52" t="s">
        <v>665</v>
      </c>
      <c r="C177" s="57" t="s">
        <v>489</v>
      </c>
      <c r="D177" s="58" t="s">
        <v>693</v>
      </c>
      <c r="E177" s="58" t="s">
        <v>693</v>
      </c>
      <c r="F177" s="58" t="s">
        <v>489</v>
      </c>
      <c r="G177" s="57" t="s">
        <v>721</v>
      </c>
      <c r="H177" s="39">
        <v>0</v>
      </c>
      <c r="I177" s="39">
        <v>0</v>
      </c>
      <c r="J177" s="38"/>
      <c r="K177" s="39">
        <v>0</v>
      </c>
      <c r="L177" s="39">
        <v>0</v>
      </c>
      <c r="M177" s="39">
        <v>0</v>
      </c>
      <c r="N177" s="38"/>
      <c r="O177" s="39">
        <v>0</v>
      </c>
      <c r="P177" s="39">
        <v>0</v>
      </c>
      <c r="Q177" s="39">
        <v>0</v>
      </c>
      <c r="R177" s="38"/>
      <c r="S177" s="39">
        <v>0</v>
      </c>
      <c r="T177" s="39">
        <v>0</v>
      </c>
      <c r="U177" s="39">
        <v>0</v>
      </c>
      <c r="V177" s="29"/>
      <c r="W177" s="29">
        <f>INDEX(SurtaxPayment!$C$6:$U$330,MATCH(PriorYear!$C177,SurtaxPayment!$C$6:$C$330,0),6)+INDEX(SurtaxPayment!$C$6:$U$330,MATCH(PriorYear!$C177,SurtaxPayment!$C$6:$C$330,0),7)</f>
        <v>0</v>
      </c>
      <c r="X177" s="29">
        <f t="shared" si="4"/>
        <v>0</v>
      </c>
      <c r="Y177" s="29">
        <f>INDEX(SurtaxPayment!$C$6:$U$330,MATCH(PriorYear!C177,SurtaxPayment!$C$6:$C$330,0),9)</f>
        <v>0</v>
      </c>
      <c r="Z177" s="66">
        <f t="shared" si="5"/>
        <v>0</v>
      </c>
    </row>
    <row r="178" spans="1:26" x14ac:dyDescent="0.25">
      <c r="A178" s="52">
        <v>2023</v>
      </c>
      <c r="B178" s="52" t="s">
        <v>660</v>
      </c>
      <c r="C178" s="57" t="s">
        <v>490</v>
      </c>
      <c r="D178" s="58" t="s">
        <v>693</v>
      </c>
      <c r="E178" s="58" t="s">
        <v>693</v>
      </c>
      <c r="F178" s="58" t="s">
        <v>490</v>
      </c>
      <c r="G178" s="57" t="s">
        <v>153</v>
      </c>
      <c r="H178" s="39">
        <v>0</v>
      </c>
      <c r="I178" s="39">
        <v>8</v>
      </c>
      <c r="J178" s="38"/>
      <c r="K178" s="39">
        <v>208499.25</v>
      </c>
      <c r="L178" s="39">
        <v>0</v>
      </c>
      <c r="M178" s="39">
        <v>208499.25</v>
      </c>
      <c r="N178" s="38"/>
      <c r="O178" s="39">
        <v>85392.75</v>
      </c>
      <c r="P178" s="39">
        <v>0</v>
      </c>
      <c r="Q178" s="39">
        <v>85392.75</v>
      </c>
      <c r="R178" s="38"/>
      <c r="S178" s="39">
        <v>293892</v>
      </c>
      <c r="T178" s="39">
        <v>0</v>
      </c>
      <c r="U178" s="39">
        <v>293892</v>
      </c>
      <c r="V178" s="29"/>
      <c r="W178" s="29">
        <f>INDEX(SurtaxPayment!$C$6:$U$330,MATCH(PriorYear!$C178,SurtaxPayment!$C$6:$C$330,0),6)+INDEX(SurtaxPayment!$C$6:$U$330,MATCH(PriorYear!$C178,SurtaxPayment!$C$6:$C$330,0),7)</f>
        <v>8</v>
      </c>
      <c r="X178" s="29">
        <f t="shared" si="4"/>
        <v>0</v>
      </c>
      <c r="Y178" s="29">
        <f>INDEX(SurtaxPayment!$C$6:$U$330,MATCH(PriorYear!C178,SurtaxPayment!$C$6:$C$330,0),9)</f>
        <v>273517.53999999998</v>
      </c>
      <c r="Z178" s="66">
        <f t="shared" si="5"/>
        <v>0.31183944306754091</v>
      </c>
    </row>
    <row r="179" spans="1:26" x14ac:dyDescent="0.25">
      <c r="A179" s="52">
        <v>2023</v>
      </c>
      <c r="B179" s="52" t="s">
        <v>663</v>
      </c>
      <c r="C179" s="57" t="s">
        <v>491</v>
      </c>
      <c r="D179" s="58" t="s">
        <v>693</v>
      </c>
      <c r="E179" s="58" t="s">
        <v>693</v>
      </c>
      <c r="F179" s="58" t="s">
        <v>491</v>
      </c>
      <c r="G179" s="57" t="s">
        <v>154</v>
      </c>
      <c r="H179" s="39">
        <v>1</v>
      </c>
      <c r="I179" s="39">
        <v>1</v>
      </c>
      <c r="J179" s="38"/>
      <c r="K179" s="39">
        <v>239448.75</v>
      </c>
      <c r="L179" s="39">
        <v>119724.38</v>
      </c>
      <c r="M179" s="39">
        <v>119724.37</v>
      </c>
      <c r="N179" s="38"/>
      <c r="O179" s="39">
        <v>92199.25</v>
      </c>
      <c r="P179" s="39">
        <v>46099.63</v>
      </c>
      <c r="Q179" s="39">
        <v>46099.62</v>
      </c>
      <c r="R179" s="38"/>
      <c r="S179" s="39">
        <v>331648</v>
      </c>
      <c r="T179" s="39">
        <v>165824.01</v>
      </c>
      <c r="U179" s="39">
        <v>165823.99</v>
      </c>
      <c r="V179" s="29"/>
      <c r="W179" s="29">
        <f>INDEX(SurtaxPayment!$C$6:$U$330,MATCH(PriorYear!$C179,SurtaxPayment!$C$6:$C$330,0),6)+INDEX(SurtaxPayment!$C$6:$U$330,MATCH(PriorYear!$C179,SurtaxPayment!$C$6:$C$330,0),7)</f>
        <v>4</v>
      </c>
      <c r="X179" s="29">
        <f t="shared" si="4"/>
        <v>2</v>
      </c>
      <c r="Y179" s="29">
        <f>INDEX(SurtaxPayment!$C$6:$U$330,MATCH(PriorYear!C179,SurtaxPayment!$C$6:$C$330,0),9)</f>
        <v>607071.32999999996</v>
      </c>
      <c r="Z179" s="66">
        <f t="shared" si="5"/>
        <v>1.5352871125867225</v>
      </c>
    </row>
    <row r="180" spans="1:26" x14ac:dyDescent="0.25">
      <c r="A180" s="52">
        <v>2023</v>
      </c>
      <c r="B180" s="52" t="s">
        <v>658</v>
      </c>
      <c r="C180" s="57" t="s">
        <v>492</v>
      </c>
      <c r="D180" s="58" t="s">
        <v>693</v>
      </c>
      <c r="E180" s="58" t="s">
        <v>693</v>
      </c>
      <c r="F180" s="58" t="s">
        <v>492</v>
      </c>
      <c r="G180" s="57" t="s">
        <v>722</v>
      </c>
      <c r="H180" s="39">
        <v>0</v>
      </c>
      <c r="I180" s="39">
        <v>2</v>
      </c>
      <c r="J180" s="38"/>
      <c r="K180" s="39">
        <v>417493.5</v>
      </c>
      <c r="L180" s="39">
        <v>0</v>
      </c>
      <c r="M180" s="39">
        <v>417493.5</v>
      </c>
      <c r="N180" s="38"/>
      <c r="O180" s="39">
        <v>160423.5</v>
      </c>
      <c r="P180" s="39">
        <v>0</v>
      </c>
      <c r="Q180" s="39">
        <v>160423.5</v>
      </c>
      <c r="R180" s="38"/>
      <c r="S180" s="39">
        <v>577917</v>
      </c>
      <c r="T180" s="39">
        <v>0</v>
      </c>
      <c r="U180" s="39">
        <v>577917</v>
      </c>
      <c r="V180" s="29"/>
      <c r="W180" s="29">
        <f>INDEX(SurtaxPayment!$C$6:$U$330,MATCH(PriorYear!$C180,SurtaxPayment!$C$6:$C$330,0),6)+INDEX(SurtaxPayment!$C$6:$U$330,MATCH(PriorYear!$C180,SurtaxPayment!$C$6:$C$330,0),7)</f>
        <v>1</v>
      </c>
      <c r="X180" s="29">
        <f t="shared" si="4"/>
        <v>-1</v>
      </c>
      <c r="Y180" s="29">
        <f>INDEX(SurtaxPayment!$C$6:$U$330,MATCH(PriorYear!C180,SurtaxPayment!$C$6:$C$330,0),9)</f>
        <v>265187.36</v>
      </c>
      <c r="Z180" s="66">
        <f t="shared" si="5"/>
        <v>-0.36481080543768946</v>
      </c>
    </row>
    <row r="181" spans="1:26" x14ac:dyDescent="0.25">
      <c r="A181" s="52">
        <v>2023</v>
      </c>
      <c r="B181" s="52" t="s">
        <v>657</v>
      </c>
      <c r="C181" s="57" t="s">
        <v>493</v>
      </c>
      <c r="D181" s="58" t="s">
        <v>693</v>
      </c>
      <c r="E181" s="58" t="s">
        <v>693</v>
      </c>
      <c r="F181" s="58" t="s">
        <v>493</v>
      </c>
      <c r="G181" s="57" t="s">
        <v>155</v>
      </c>
      <c r="H181" s="39">
        <v>0</v>
      </c>
      <c r="I181" s="39">
        <v>1</v>
      </c>
      <c r="J181" s="38"/>
      <c r="K181" s="39">
        <v>35280.75</v>
      </c>
      <c r="L181" s="39">
        <v>0</v>
      </c>
      <c r="M181" s="39">
        <v>35280.75</v>
      </c>
      <c r="N181" s="38"/>
      <c r="O181" s="39">
        <v>14193.25</v>
      </c>
      <c r="P181" s="39">
        <v>0</v>
      </c>
      <c r="Q181" s="39">
        <v>14193.25</v>
      </c>
      <c r="R181" s="38"/>
      <c r="S181" s="39">
        <v>49474</v>
      </c>
      <c r="T181" s="39">
        <v>0</v>
      </c>
      <c r="U181" s="39">
        <v>49474</v>
      </c>
      <c r="V181" s="29"/>
      <c r="W181" s="29">
        <f>INDEX(SurtaxPayment!$C$6:$U$330,MATCH(PriorYear!$C181,SurtaxPayment!$C$6:$C$330,0),6)+INDEX(SurtaxPayment!$C$6:$U$330,MATCH(PriorYear!$C181,SurtaxPayment!$C$6:$C$330,0),7)</f>
        <v>1</v>
      </c>
      <c r="X181" s="29">
        <f t="shared" si="4"/>
        <v>0</v>
      </c>
      <c r="Y181" s="29">
        <f>INDEX(SurtaxPayment!$C$6:$U$330,MATCH(PriorYear!C181,SurtaxPayment!$C$6:$C$330,0),9)</f>
        <v>45546.03</v>
      </c>
      <c r="Z181" s="66">
        <f t="shared" si="5"/>
        <v>0.29095980102463803</v>
      </c>
    </row>
    <row r="182" spans="1:26" x14ac:dyDescent="0.25">
      <c r="A182" s="52">
        <v>2023</v>
      </c>
      <c r="B182" s="52" t="s">
        <v>658</v>
      </c>
      <c r="C182" s="57" t="s">
        <v>494</v>
      </c>
      <c r="D182" s="58" t="s">
        <v>693</v>
      </c>
      <c r="E182" s="58" t="s">
        <v>693</v>
      </c>
      <c r="F182" s="58" t="s">
        <v>494</v>
      </c>
      <c r="G182" s="57" t="s">
        <v>156</v>
      </c>
      <c r="H182" s="39">
        <v>0</v>
      </c>
      <c r="I182" s="39">
        <v>6</v>
      </c>
      <c r="J182" s="38"/>
      <c r="K182" s="39">
        <v>1372807.5</v>
      </c>
      <c r="L182" s="39">
        <v>0</v>
      </c>
      <c r="M182" s="39">
        <v>1372807.5</v>
      </c>
      <c r="N182" s="38"/>
      <c r="O182" s="39">
        <v>612713.5</v>
      </c>
      <c r="P182" s="39">
        <v>0</v>
      </c>
      <c r="Q182" s="39">
        <v>612713.5</v>
      </c>
      <c r="R182" s="38"/>
      <c r="S182" s="39">
        <v>1985521</v>
      </c>
      <c r="T182" s="39">
        <v>0</v>
      </c>
      <c r="U182" s="39">
        <v>1985521</v>
      </c>
      <c r="V182" s="29"/>
      <c r="W182" s="29">
        <f>INDEX(SurtaxPayment!$C$6:$U$330,MATCH(PriorYear!$C182,SurtaxPayment!$C$6:$C$330,0),6)+INDEX(SurtaxPayment!$C$6:$U$330,MATCH(PriorYear!$C182,SurtaxPayment!$C$6:$C$330,0),7)</f>
        <v>1</v>
      </c>
      <c r="X182" s="29">
        <f t="shared" si="4"/>
        <v>-5</v>
      </c>
      <c r="Y182" s="29">
        <f>INDEX(SurtaxPayment!$C$6:$U$330,MATCH(PriorYear!C182,SurtaxPayment!$C$6:$C$330,0),9)</f>
        <v>370604.79999999999</v>
      </c>
      <c r="Z182" s="66">
        <f t="shared" si="5"/>
        <v>-0.73003877091289193</v>
      </c>
    </row>
    <row r="183" spans="1:26" x14ac:dyDescent="0.25">
      <c r="A183" s="52">
        <v>2023</v>
      </c>
      <c r="B183" s="52" t="s">
        <v>662</v>
      </c>
      <c r="C183" s="57" t="s">
        <v>496</v>
      </c>
      <c r="D183" s="58" t="s">
        <v>693</v>
      </c>
      <c r="E183" s="58" t="s">
        <v>693</v>
      </c>
      <c r="F183" s="58" t="s">
        <v>496</v>
      </c>
      <c r="G183" s="57" t="s">
        <v>157</v>
      </c>
      <c r="H183" s="39">
        <v>4</v>
      </c>
      <c r="I183" s="39">
        <v>6</v>
      </c>
      <c r="J183" s="38"/>
      <c r="K183" s="39">
        <v>428405.25</v>
      </c>
      <c r="L183" s="39">
        <v>171362.1</v>
      </c>
      <c r="M183" s="39">
        <v>257043.15</v>
      </c>
      <c r="N183" s="38"/>
      <c r="O183" s="39">
        <v>211974.75</v>
      </c>
      <c r="P183" s="39">
        <v>84789.9</v>
      </c>
      <c r="Q183" s="39">
        <v>127184.85</v>
      </c>
      <c r="R183" s="38"/>
      <c r="S183" s="39">
        <v>640380</v>
      </c>
      <c r="T183" s="39">
        <v>256152</v>
      </c>
      <c r="U183" s="39">
        <v>384228</v>
      </c>
      <c r="V183" s="29"/>
      <c r="W183" s="29">
        <f>INDEX(SurtaxPayment!$C$6:$U$330,MATCH(PriorYear!$C183,SurtaxPayment!$C$6:$C$330,0),6)+INDEX(SurtaxPayment!$C$6:$U$330,MATCH(PriorYear!$C183,SurtaxPayment!$C$6:$C$330,0),7)</f>
        <v>7</v>
      </c>
      <c r="X183" s="29">
        <f t="shared" si="4"/>
        <v>-3</v>
      </c>
      <c r="Y183" s="29">
        <f>INDEX(SurtaxPayment!$C$6:$U$330,MATCH(PriorYear!C183,SurtaxPayment!$C$6:$C$330,0),9)</f>
        <v>402141.32</v>
      </c>
      <c r="Z183" s="66">
        <f t="shared" si="5"/>
        <v>-6.1306274841403073E-2</v>
      </c>
    </row>
    <row r="184" spans="1:26" x14ac:dyDescent="0.25">
      <c r="A184" s="52">
        <v>2023</v>
      </c>
      <c r="B184" s="52" t="s">
        <v>657</v>
      </c>
      <c r="C184" s="57" t="s">
        <v>497</v>
      </c>
      <c r="D184" s="58" t="s">
        <v>693</v>
      </c>
      <c r="E184" s="58" t="s">
        <v>693</v>
      </c>
      <c r="F184" s="58" t="s">
        <v>497</v>
      </c>
      <c r="G184" s="57" t="s">
        <v>158</v>
      </c>
      <c r="H184" s="39">
        <v>0</v>
      </c>
      <c r="I184" s="39">
        <v>1</v>
      </c>
      <c r="J184" s="38"/>
      <c r="K184" s="39">
        <v>10810.5</v>
      </c>
      <c r="L184" s="39">
        <v>0</v>
      </c>
      <c r="M184" s="39">
        <v>10810.5</v>
      </c>
      <c r="N184" s="38"/>
      <c r="O184" s="39">
        <v>3759.5</v>
      </c>
      <c r="P184" s="39">
        <v>0</v>
      </c>
      <c r="Q184" s="39">
        <v>3759.5</v>
      </c>
      <c r="R184" s="38"/>
      <c r="S184" s="39">
        <v>14570</v>
      </c>
      <c r="T184" s="39">
        <v>0</v>
      </c>
      <c r="U184" s="39">
        <v>14570</v>
      </c>
      <c r="V184" s="29"/>
      <c r="W184" s="29">
        <f>INDEX(SurtaxPayment!$C$6:$U$330,MATCH(PriorYear!$C184,SurtaxPayment!$C$6:$C$330,0),6)+INDEX(SurtaxPayment!$C$6:$U$330,MATCH(PriorYear!$C184,SurtaxPayment!$C$6:$C$330,0),7)</f>
        <v>1</v>
      </c>
      <c r="X184" s="29">
        <f t="shared" si="4"/>
        <v>0</v>
      </c>
      <c r="Y184" s="29">
        <f>INDEX(SurtaxPayment!$C$6:$U$330,MATCH(PriorYear!C184,SurtaxPayment!$C$6:$C$330,0),9)</f>
        <v>13122.02</v>
      </c>
      <c r="Z184" s="66">
        <f t="shared" si="5"/>
        <v>0.21382174737523707</v>
      </c>
    </row>
    <row r="185" spans="1:26" x14ac:dyDescent="0.25">
      <c r="A185" s="52">
        <v>2023</v>
      </c>
      <c r="B185" s="52" t="s">
        <v>665</v>
      </c>
      <c r="C185" s="57" t="s">
        <v>501</v>
      </c>
      <c r="D185" s="58" t="s">
        <v>693</v>
      </c>
      <c r="E185" s="58" t="s">
        <v>693</v>
      </c>
      <c r="F185" s="58" t="s">
        <v>501</v>
      </c>
      <c r="G185" s="57" t="s">
        <v>689</v>
      </c>
      <c r="H185" s="39">
        <v>4</v>
      </c>
      <c r="I185" s="39">
        <v>6</v>
      </c>
      <c r="J185" s="38"/>
      <c r="K185" s="39">
        <v>321870</v>
      </c>
      <c r="L185" s="39">
        <v>128748</v>
      </c>
      <c r="M185" s="39">
        <v>193122</v>
      </c>
      <c r="N185" s="38"/>
      <c r="O185" s="39">
        <v>117476</v>
      </c>
      <c r="P185" s="39">
        <v>46990.400000000001</v>
      </c>
      <c r="Q185" s="39">
        <v>70485.600000000006</v>
      </c>
      <c r="R185" s="38"/>
      <c r="S185" s="39">
        <v>439346</v>
      </c>
      <c r="T185" s="39">
        <v>175738.4</v>
      </c>
      <c r="U185" s="39">
        <v>263607.59999999998</v>
      </c>
      <c r="V185" s="29"/>
      <c r="W185" s="29">
        <f>INDEX(SurtaxPayment!$C$6:$U$330,MATCH(PriorYear!$C185,SurtaxPayment!$C$6:$C$330,0),6)+INDEX(SurtaxPayment!$C$6:$U$330,MATCH(PriorYear!$C185,SurtaxPayment!$C$6:$C$330,0),7)</f>
        <v>10</v>
      </c>
      <c r="X185" s="29">
        <f t="shared" si="4"/>
        <v>0</v>
      </c>
      <c r="Y185" s="29">
        <f>INDEX(SurtaxPayment!$C$6:$U$330,MATCH(PriorYear!C185,SurtaxPayment!$C$6:$C$330,0),9)</f>
        <v>388292.83</v>
      </c>
      <c r="Z185" s="66">
        <f t="shared" si="5"/>
        <v>0.20636539596731604</v>
      </c>
    </row>
    <row r="186" spans="1:26" x14ac:dyDescent="0.25">
      <c r="A186" s="52">
        <v>2023</v>
      </c>
      <c r="B186" s="52" t="s">
        <v>663</v>
      </c>
      <c r="C186" s="57" t="s">
        <v>498</v>
      </c>
      <c r="D186" s="58" t="s">
        <v>693</v>
      </c>
      <c r="E186" s="58" t="s">
        <v>693</v>
      </c>
      <c r="F186" s="58" t="s">
        <v>498</v>
      </c>
      <c r="G186" s="57" t="s">
        <v>161</v>
      </c>
      <c r="H186" s="39">
        <v>1</v>
      </c>
      <c r="I186" s="39">
        <v>10</v>
      </c>
      <c r="J186" s="38"/>
      <c r="K186" s="39">
        <v>234408</v>
      </c>
      <c r="L186" s="39">
        <v>21309.82</v>
      </c>
      <c r="M186" s="39">
        <v>213098.18</v>
      </c>
      <c r="N186" s="38"/>
      <c r="O186" s="39">
        <v>88110</v>
      </c>
      <c r="P186" s="39">
        <v>8010</v>
      </c>
      <c r="Q186" s="39">
        <v>80100</v>
      </c>
      <c r="R186" s="38"/>
      <c r="S186" s="39">
        <v>322518</v>
      </c>
      <c r="T186" s="39">
        <v>29319.82</v>
      </c>
      <c r="U186" s="39">
        <v>293198.18</v>
      </c>
      <c r="V186" s="29"/>
      <c r="W186" s="29">
        <f>INDEX(SurtaxPayment!$C$6:$U$330,MATCH(PriorYear!$C186,SurtaxPayment!$C$6:$C$330,0),6)+INDEX(SurtaxPayment!$C$6:$U$330,MATCH(PriorYear!$C186,SurtaxPayment!$C$6:$C$330,0),7)</f>
        <v>12</v>
      </c>
      <c r="X186" s="29">
        <f t="shared" si="4"/>
        <v>1</v>
      </c>
      <c r="Y186" s="29">
        <f>INDEX(SurtaxPayment!$C$6:$U$330,MATCH(PriorYear!C186,SurtaxPayment!$C$6:$C$330,0),9)</f>
        <v>350135.77</v>
      </c>
      <c r="Z186" s="66">
        <f t="shared" si="5"/>
        <v>0.49370230538206894</v>
      </c>
    </row>
    <row r="187" spans="1:26" x14ac:dyDescent="0.25">
      <c r="A187" s="52">
        <v>2023</v>
      </c>
      <c r="B187" s="52" t="s">
        <v>663</v>
      </c>
      <c r="C187" s="57" t="s">
        <v>499</v>
      </c>
      <c r="D187" s="58" t="s">
        <v>693</v>
      </c>
      <c r="E187" s="58" t="s">
        <v>693</v>
      </c>
      <c r="F187" s="58" t="s">
        <v>499</v>
      </c>
      <c r="G187" s="57" t="s">
        <v>160</v>
      </c>
      <c r="H187" s="39">
        <v>5</v>
      </c>
      <c r="I187" s="39">
        <v>5</v>
      </c>
      <c r="J187" s="38"/>
      <c r="K187" s="39">
        <v>696063</v>
      </c>
      <c r="L187" s="39">
        <v>348031.5</v>
      </c>
      <c r="M187" s="39">
        <v>348031.5</v>
      </c>
      <c r="N187" s="38"/>
      <c r="O187" s="39">
        <v>285761</v>
      </c>
      <c r="P187" s="39">
        <v>142880.5</v>
      </c>
      <c r="Q187" s="39">
        <v>142880.5</v>
      </c>
      <c r="R187" s="38"/>
      <c r="S187" s="39">
        <v>981824</v>
      </c>
      <c r="T187" s="39">
        <v>490912</v>
      </c>
      <c r="U187" s="39">
        <v>490912</v>
      </c>
      <c r="V187" s="29"/>
      <c r="W187" s="29">
        <f>INDEX(SurtaxPayment!$C$6:$U$330,MATCH(PriorYear!$C187,SurtaxPayment!$C$6:$C$330,0),6)+INDEX(SurtaxPayment!$C$6:$U$330,MATCH(PriorYear!$C187,SurtaxPayment!$C$6:$C$330,0),7)</f>
        <v>9</v>
      </c>
      <c r="X187" s="29">
        <f t="shared" si="4"/>
        <v>-1</v>
      </c>
      <c r="Y187" s="29">
        <f>INDEX(SurtaxPayment!$C$6:$U$330,MATCH(PriorYear!C187,SurtaxPayment!$C$6:$C$330,0),9)</f>
        <v>837749.08</v>
      </c>
      <c r="Z187" s="66">
        <f t="shared" si="5"/>
        <v>0.20355352891907766</v>
      </c>
    </row>
    <row r="188" spans="1:26" x14ac:dyDescent="0.25">
      <c r="A188" s="52">
        <v>2023</v>
      </c>
      <c r="B188" s="52" t="s">
        <v>659</v>
      </c>
      <c r="C188" s="57" t="s">
        <v>500</v>
      </c>
      <c r="D188" s="58" t="s">
        <v>693</v>
      </c>
      <c r="E188" s="58" t="s">
        <v>693</v>
      </c>
      <c r="F188" s="58" t="s">
        <v>500</v>
      </c>
      <c r="G188" s="57" t="s">
        <v>162</v>
      </c>
      <c r="H188" s="39">
        <v>0</v>
      </c>
      <c r="I188" s="39">
        <v>4</v>
      </c>
      <c r="J188" s="38"/>
      <c r="K188" s="39">
        <v>126143.25</v>
      </c>
      <c r="L188" s="39">
        <v>0</v>
      </c>
      <c r="M188" s="39">
        <v>126143.25</v>
      </c>
      <c r="N188" s="38"/>
      <c r="O188" s="39">
        <v>51761.75</v>
      </c>
      <c r="P188" s="39">
        <v>0</v>
      </c>
      <c r="Q188" s="39">
        <v>51761.75</v>
      </c>
      <c r="R188" s="38"/>
      <c r="S188" s="39">
        <v>177905</v>
      </c>
      <c r="T188" s="39">
        <v>0</v>
      </c>
      <c r="U188" s="39">
        <v>177905</v>
      </c>
      <c r="V188" s="29"/>
      <c r="W188" s="29">
        <f>INDEX(SurtaxPayment!$C$6:$U$330,MATCH(PriorYear!$C188,SurtaxPayment!$C$6:$C$330,0),6)+INDEX(SurtaxPayment!$C$6:$U$330,MATCH(PriorYear!$C188,SurtaxPayment!$C$6:$C$330,0),7)</f>
        <v>1</v>
      </c>
      <c r="X188" s="29">
        <f t="shared" si="4"/>
        <v>-3</v>
      </c>
      <c r="Y188" s="29">
        <f>INDEX(SurtaxPayment!$C$6:$U$330,MATCH(PriorYear!C188,SurtaxPayment!$C$6:$C$330,0),9)</f>
        <v>36470.81</v>
      </c>
      <c r="Z188" s="66">
        <f t="shared" si="5"/>
        <v>-0.71087783135443239</v>
      </c>
    </row>
    <row r="189" spans="1:26" x14ac:dyDescent="0.25">
      <c r="A189" s="52">
        <v>2023</v>
      </c>
      <c r="B189" s="52" t="s">
        <v>660</v>
      </c>
      <c r="C189" s="57" t="s">
        <v>495</v>
      </c>
      <c r="D189" s="58" t="s">
        <v>693</v>
      </c>
      <c r="E189" s="58" t="s">
        <v>693</v>
      </c>
      <c r="F189" s="58" t="s">
        <v>495</v>
      </c>
      <c r="G189" s="57" t="s">
        <v>163</v>
      </c>
      <c r="H189" s="39">
        <v>0</v>
      </c>
      <c r="I189" s="39">
        <v>2</v>
      </c>
      <c r="J189" s="38"/>
      <c r="K189" s="39">
        <v>189279</v>
      </c>
      <c r="L189" s="39">
        <v>0</v>
      </c>
      <c r="M189" s="39">
        <v>189279</v>
      </c>
      <c r="N189" s="38"/>
      <c r="O189" s="39">
        <v>77395</v>
      </c>
      <c r="P189" s="39">
        <v>0</v>
      </c>
      <c r="Q189" s="39">
        <v>77395</v>
      </c>
      <c r="R189" s="38"/>
      <c r="S189" s="39">
        <v>266674</v>
      </c>
      <c r="T189" s="39">
        <v>0</v>
      </c>
      <c r="U189" s="39">
        <v>266674</v>
      </c>
      <c r="V189" s="29"/>
      <c r="W189" s="29">
        <f>INDEX(SurtaxPayment!$C$6:$U$330,MATCH(PriorYear!$C189,SurtaxPayment!$C$6:$C$330,0),6)+INDEX(SurtaxPayment!$C$6:$U$330,MATCH(PriorYear!$C189,SurtaxPayment!$C$6:$C$330,0),7)</f>
        <v>2</v>
      </c>
      <c r="X189" s="29">
        <f t="shared" si="4"/>
        <v>0</v>
      </c>
      <c r="Y189" s="29">
        <f>INDEX(SurtaxPayment!$C$6:$U$330,MATCH(PriorYear!C189,SurtaxPayment!$C$6:$C$330,0),9)</f>
        <v>242239.61</v>
      </c>
      <c r="Z189" s="66">
        <f t="shared" si="5"/>
        <v>0.27980182693272887</v>
      </c>
    </row>
    <row r="190" spans="1:26" x14ac:dyDescent="0.25">
      <c r="A190" s="52">
        <v>2023</v>
      </c>
      <c r="B190" s="52" t="s">
        <v>658</v>
      </c>
      <c r="C190" s="57" t="s">
        <v>502</v>
      </c>
      <c r="D190" s="58" t="s">
        <v>693</v>
      </c>
      <c r="E190" s="58" t="s">
        <v>693</v>
      </c>
      <c r="F190" s="58" t="s">
        <v>502</v>
      </c>
      <c r="G190" s="57" t="s">
        <v>164</v>
      </c>
      <c r="H190" s="39">
        <v>0</v>
      </c>
      <c r="I190" s="39">
        <v>7</v>
      </c>
      <c r="J190" s="38"/>
      <c r="K190" s="39">
        <v>190753.5</v>
      </c>
      <c r="L190" s="39">
        <v>0</v>
      </c>
      <c r="M190" s="39">
        <v>190753.5</v>
      </c>
      <c r="N190" s="38"/>
      <c r="O190" s="39">
        <v>89705.5</v>
      </c>
      <c r="P190" s="39">
        <v>0</v>
      </c>
      <c r="Q190" s="39">
        <v>89705.5</v>
      </c>
      <c r="R190" s="38"/>
      <c r="S190" s="39">
        <v>280459</v>
      </c>
      <c r="T190" s="39">
        <v>0</v>
      </c>
      <c r="U190" s="39">
        <v>280459</v>
      </c>
      <c r="V190" s="29"/>
      <c r="W190" s="29">
        <f>INDEX(SurtaxPayment!$C$6:$U$330,MATCH(PriorYear!$C190,SurtaxPayment!$C$6:$C$330,0),6)+INDEX(SurtaxPayment!$C$6:$U$330,MATCH(PriorYear!$C190,SurtaxPayment!$C$6:$C$330,0),7)</f>
        <v>8</v>
      </c>
      <c r="X190" s="29">
        <f t="shared" si="4"/>
        <v>1</v>
      </c>
      <c r="Y190" s="29">
        <f>INDEX(SurtaxPayment!$C$6:$U$330,MATCH(PriorYear!C190,SurtaxPayment!$C$6:$C$330,0),9)</f>
        <v>250696.38</v>
      </c>
      <c r="Z190" s="66">
        <f t="shared" si="5"/>
        <v>0.31424262202266279</v>
      </c>
    </row>
    <row r="191" spans="1:26" x14ac:dyDescent="0.25">
      <c r="A191" s="52">
        <v>2023</v>
      </c>
      <c r="B191" s="52" t="s">
        <v>663</v>
      </c>
      <c r="C191" s="57" t="s">
        <v>503</v>
      </c>
      <c r="D191" s="58" t="s">
        <v>693</v>
      </c>
      <c r="E191" s="58" t="s">
        <v>693</v>
      </c>
      <c r="F191" s="58" t="s">
        <v>503</v>
      </c>
      <c r="G191" s="57" t="s">
        <v>165</v>
      </c>
      <c r="H191" s="39">
        <v>2</v>
      </c>
      <c r="I191" s="39">
        <v>2</v>
      </c>
      <c r="J191" s="38"/>
      <c r="K191" s="39">
        <v>230339.25</v>
      </c>
      <c r="L191" s="39">
        <v>115169.63</v>
      </c>
      <c r="M191" s="39">
        <v>115169.62</v>
      </c>
      <c r="N191" s="38"/>
      <c r="O191" s="39">
        <v>90382.75</v>
      </c>
      <c r="P191" s="39">
        <v>45191.38</v>
      </c>
      <c r="Q191" s="39">
        <v>45191.37</v>
      </c>
      <c r="R191" s="38"/>
      <c r="S191" s="39">
        <v>320722</v>
      </c>
      <c r="T191" s="39">
        <v>160361.01</v>
      </c>
      <c r="U191" s="39">
        <v>160360.99</v>
      </c>
      <c r="V191" s="29"/>
      <c r="W191" s="29">
        <f>INDEX(SurtaxPayment!$C$6:$U$330,MATCH(PriorYear!$C191,SurtaxPayment!$C$6:$C$330,0),6)+INDEX(SurtaxPayment!$C$6:$U$330,MATCH(PriorYear!$C191,SurtaxPayment!$C$6:$C$330,0),7)</f>
        <v>6</v>
      </c>
      <c r="X191" s="29">
        <f t="shared" si="4"/>
        <v>2</v>
      </c>
      <c r="Y191" s="29">
        <f>INDEX(SurtaxPayment!$C$6:$U$330,MATCH(PriorYear!C191,SurtaxPayment!$C$6:$C$330,0),9)</f>
        <v>425667.65</v>
      </c>
      <c r="Z191" s="66">
        <f t="shared" si="5"/>
        <v>0.84800310845850202</v>
      </c>
    </row>
    <row r="192" spans="1:26" x14ac:dyDescent="0.25">
      <c r="A192" s="52">
        <v>2023</v>
      </c>
      <c r="B192" s="52" t="s">
        <v>662</v>
      </c>
      <c r="C192" s="57" t="s">
        <v>504</v>
      </c>
      <c r="D192" s="58" t="s">
        <v>693</v>
      </c>
      <c r="E192" s="58" t="s">
        <v>693</v>
      </c>
      <c r="F192" s="58" t="s">
        <v>504</v>
      </c>
      <c r="G192" s="57" t="s">
        <v>166</v>
      </c>
      <c r="H192" s="39">
        <v>0</v>
      </c>
      <c r="I192" s="39">
        <v>10</v>
      </c>
      <c r="J192" s="38"/>
      <c r="K192" s="39">
        <v>141500.25</v>
      </c>
      <c r="L192" s="39">
        <v>0</v>
      </c>
      <c r="M192" s="39">
        <v>141500.25</v>
      </c>
      <c r="N192" s="38"/>
      <c r="O192" s="39">
        <v>61031.75</v>
      </c>
      <c r="P192" s="39">
        <v>0</v>
      </c>
      <c r="Q192" s="39">
        <v>61031.75</v>
      </c>
      <c r="R192" s="38"/>
      <c r="S192" s="39">
        <v>202532</v>
      </c>
      <c r="T192" s="39">
        <v>0</v>
      </c>
      <c r="U192" s="39">
        <v>202532</v>
      </c>
      <c r="V192" s="29"/>
      <c r="W192" s="29">
        <f>INDEX(SurtaxPayment!$C$6:$U$330,MATCH(PriorYear!$C192,SurtaxPayment!$C$6:$C$330,0),6)+INDEX(SurtaxPayment!$C$6:$U$330,MATCH(PriorYear!$C192,SurtaxPayment!$C$6:$C$330,0),7)</f>
        <v>5</v>
      </c>
      <c r="X192" s="29">
        <f t="shared" si="4"/>
        <v>-5</v>
      </c>
      <c r="Y192" s="29">
        <f>INDEX(SurtaxPayment!$C$6:$U$330,MATCH(PriorYear!C192,SurtaxPayment!$C$6:$C$330,0),9)</f>
        <v>92395.96</v>
      </c>
      <c r="Z192" s="66">
        <f t="shared" si="5"/>
        <v>-0.34702617133185271</v>
      </c>
    </row>
    <row r="193" spans="1:26" x14ac:dyDescent="0.25">
      <c r="A193" s="52">
        <v>2023</v>
      </c>
      <c r="B193" s="52" t="s">
        <v>659</v>
      </c>
      <c r="C193" s="57" t="s">
        <v>505</v>
      </c>
      <c r="D193" s="58" t="s">
        <v>693</v>
      </c>
      <c r="E193" s="58" t="s">
        <v>693</v>
      </c>
      <c r="F193" s="58" t="s">
        <v>505</v>
      </c>
      <c r="G193" s="57" t="s">
        <v>167</v>
      </c>
      <c r="H193" s="39">
        <v>0</v>
      </c>
      <c r="I193" s="39">
        <v>10</v>
      </c>
      <c r="J193" s="38"/>
      <c r="K193" s="39">
        <v>93750</v>
      </c>
      <c r="L193" s="39">
        <v>0</v>
      </c>
      <c r="M193" s="39">
        <v>93750</v>
      </c>
      <c r="N193" s="38"/>
      <c r="O193" s="39">
        <v>35560</v>
      </c>
      <c r="P193" s="39">
        <v>0</v>
      </c>
      <c r="Q193" s="39">
        <v>35560</v>
      </c>
      <c r="R193" s="38"/>
      <c r="S193" s="39">
        <v>129310</v>
      </c>
      <c r="T193" s="39">
        <v>0</v>
      </c>
      <c r="U193" s="39">
        <v>129310</v>
      </c>
      <c r="V193" s="29"/>
      <c r="W193" s="29">
        <f>INDEX(SurtaxPayment!$C$6:$U$330,MATCH(PriorYear!$C193,SurtaxPayment!$C$6:$C$330,0),6)+INDEX(SurtaxPayment!$C$6:$U$330,MATCH(PriorYear!$C193,SurtaxPayment!$C$6:$C$330,0),7)</f>
        <v>10</v>
      </c>
      <c r="X193" s="29">
        <f t="shared" si="4"/>
        <v>0</v>
      </c>
      <c r="Y193" s="29">
        <f>INDEX(SurtaxPayment!$C$6:$U$330,MATCH(PriorYear!C193,SurtaxPayment!$C$6:$C$330,0),9)</f>
        <v>112960.63</v>
      </c>
      <c r="Z193" s="66">
        <f t="shared" si="5"/>
        <v>0.20491338666666672</v>
      </c>
    </row>
    <row r="194" spans="1:26" x14ac:dyDescent="0.25">
      <c r="A194" s="52">
        <v>2023</v>
      </c>
      <c r="B194" s="52" t="s">
        <v>662</v>
      </c>
      <c r="C194" s="57" t="s">
        <v>506</v>
      </c>
      <c r="D194" s="58" t="s">
        <v>693</v>
      </c>
      <c r="E194" s="58" t="s">
        <v>693</v>
      </c>
      <c r="F194" s="58" t="s">
        <v>506</v>
      </c>
      <c r="G194" s="57" t="s">
        <v>168</v>
      </c>
      <c r="H194" s="39">
        <v>0</v>
      </c>
      <c r="I194" s="39">
        <v>7</v>
      </c>
      <c r="J194" s="38"/>
      <c r="K194" s="39">
        <v>67557</v>
      </c>
      <c r="L194" s="39">
        <v>0</v>
      </c>
      <c r="M194" s="39">
        <v>67557</v>
      </c>
      <c r="N194" s="38"/>
      <c r="O194" s="39">
        <v>24331</v>
      </c>
      <c r="P194" s="39">
        <v>0</v>
      </c>
      <c r="Q194" s="39">
        <v>24331</v>
      </c>
      <c r="R194" s="38"/>
      <c r="S194" s="39">
        <v>91888</v>
      </c>
      <c r="T194" s="39">
        <v>0</v>
      </c>
      <c r="U194" s="39">
        <v>91888</v>
      </c>
      <c r="V194" s="29"/>
      <c r="W194" s="29">
        <f>INDEX(SurtaxPayment!$C$6:$U$330,MATCH(PriorYear!$C194,SurtaxPayment!$C$6:$C$330,0),6)+INDEX(SurtaxPayment!$C$6:$U$330,MATCH(PriorYear!$C194,SurtaxPayment!$C$6:$C$330,0),7)</f>
        <v>7</v>
      </c>
      <c r="X194" s="29">
        <f t="shared" si="4"/>
        <v>0</v>
      </c>
      <c r="Y194" s="29">
        <f>INDEX(SurtaxPayment!$C$6:$U$330,MATCH(PriorYear!C194,SurtaxPayment!$C$6:$C$330,0),9)</f>
        <v>79395.8</v>
      </c>
      <c r="Z194" s="66">
        <f t="shared" si="5"/>
        <v>0.17524164779371498</v>
      </c>
    </row>
    <row r="195" spans="1:26" x14ac:dyDescent="0.25">
      <c r="A195" s="52">
        <v>2023</v>
      </c>
      <c r="B195" s="52" t="s">
        <v>662</v>
      </c>
      <c r="C195" s="57" t="s">
        <v>507</v>
      </c>
      <c r="D195" s="58" t="s">
        <v>693</v>
      </c>
      <c r="E195" s="58" t="s">
        <v>693</v>
      </c>
      <c r="F195" s="58" t="s">
        <v>507</v>
      </c>
      <c r="G195" s="57" t="s">
        <v>169</v>
      </c>
      <c r="H195" s="39">
        <v>0</v>
      </c>
      <c r="I195" s="39">
        <v>12</v>
      </c>
      <c r="J195" s="38"/>
      <c r="K195" s="39">
        <v>90984</v>
      </c>
      <c r="L195" s="39">
        <v>0</v>
      </c>
      <c r="M195" s="39">
        <v>90984</v>
      </c>
      <c r="N195" s="38"/>
      <c r="O195" s="39">
        <v>35490</v>
      </c>
      <c r="P195" s="39">
        <v>0</v>
      </c>
      <c r="Q195" s="39">
        <v>35490</v>
      </c>
      <c r="R195" s="38"/>
      <c r="S195" s="39">
        <v>126474</v>
      </c>
      <c r="T195" s="39">
        <v>0</v>
      </c>
      <c r="U195" s="39">
        <v>126474</v>
      </c>
      <c r="V195" s="29"/>
      <c r="W195" s="29">
        <f>INDEX(SurtaxPayment!$C$6:$U$330,MATCH(PriorYear!$C195,SurtaxPayment!$C$6:$C$330,0),6)+INDEX(SurtaxPayment!$C$6:$U$330,MATCH(PriorYear!$C195,SurtaxPayment!$C$6:$C$330,0),7)</f>
        <v>10</v>
      </c>
      <c r="X195" s="29">
        <f t="shared" si="4"/>
        <v>-2</v>
      </c>
      <c r="Y195" s="29">
        <f>INDEX(SurtaxPayment!$C$6:$U$330,MATCH(PriorYear!C195,SurtaxPayment!$C$6:$C$330,0),9)</f>
        <v>94572.99</v>
      </c>
      <c r="Z195" s="66">
        <f t="shared" si="5"/>
        <v>3.9446386177789561E-2</v>
      </c>
    </row>
    <row r="196" spans="1:26" x14ac:dyDescent="0.25">
      <c r="A196" s="52">
        <v>2023</v>
      </c>
      <c r="B196" s="52" t="s">
        <v>659</v>
      </c>
      <c r="C196" s="57" t="s">
        <v>508</v>
      </c>
      <c r="D196" s="58" t="s">
        <v>693</v>
      </c>
      <c r="E196" s="58" t="s">
        <v>693</v>
      </c>
      <c r="F196" s="58" t="s">
        <v>508</v>
      </c>
      <c r="G196" s="57" t="s">
        <v>170</v>
      </c>
      <c r="H196" s="39">
        <v>0</v>
      </c>
      <c r="I196" s="39">
        <v>5</v>
      </c>
      <c r="J196" s="38"/>
      <c r="K196" s="39">
        <v>126861.75</v>
      </c>
      <c r="L196" s="39">
        <v>0</v>
      </c>
      <c r="M196" s="39">
        <v>126861.75</v>
      </c>
      <c r="N196" s="38"/>
      <c r="O196" s="39">
        <v>68634.25</v>
      </c>
      <c r="P196" s="39">
        <v>0</v>
      </c>
      <c r="Q196" s="39">
        <v>68634.25</v>
      </c>
      <c r="R196" s="38"/>
      <c r="S196" s="39">
        <v>195496</v>
      </c>
      <c r="T196" s="39">
        <v>0</v>
      </c>
      <c r="U196" s="39">
        <v>195496</v>
      </c>
      <c r="V196" s="29"/>
      <c r="W196" s="29">
        <f>INDEX(SurtaxPayment!$C$6:$U$330,MATCH(PriorYear!$C196,SurtaxPayment!$C$6:$C$330,0),6)+INDEX(SurtaxPayment!$C$6:$U$330,MATCH(PriorYear!$C196,SurtaxPayment!$C$6:$C$330,0),7)</f>
        <v>6</v>
      </c>
      <c r="X196" s="29">
        <f t="shared" si="4"/>
        <v>1</v>
      </c>
      <c r="Y196" s="29">
        <f>INDEX(SurtaxPayment!$C$6:$U$330,MATCH(PriorYear!C196,SurtaxPayment!$C$6:$C$330,0),9)</f>
        <v>168899.29</v>
      </c>
      <c r="Z196" s="66">
        <f t="shared" si="5"/>
        <v>0.3313649701348122</v>
      </c>
    </row>
    <row r="197" spans="1:26" x14ac:dyDescent="0.25">
      <c r="A197" s="52">
        <v>2023</v>
      </c>
      <c r="B197" s="52" t="s">
        <v>662</v>
      </c>
      <c r="C197" s="57" t="s">
        <v>509</v>
      </c>
      <c r="D197" s="58" t="s">
        <v>693</v>
      </c>
      <c r="E197" s="58" t="s">
        <v>693</v>
      </c>
      <c r="F197" s="58" t="s">
        <v>509</v>
      </c>
      <c r="G197" s="57" t="s">
        <v>171</v>
      </c>
      <c r="H197" s="39">
        <v>0</v>
      </c>
      <c r="I197" s="39">
        <v>5</v>
      </c>
      <c r="J197" s="38"/>
      <c r="K197" s="39">
        <v>419289.75</v>
      </c>
      <c r="L197" s="39">
        <v>0</v>
      </c>
      <c r="M197" s="39">
        <v>419289.75</v>
      </c>
      <c r="N197" s="38"/>
      <c r="O197" s="39">
        <v>167310.25</v>
      </c>
      <c r="P197" s="39">
        <v>0</v>
      </c>
      <c r="Q197" s="39">
        <v>167310.25</v>
      </c>
      <c r="R197" s="38"/>
      <c r="S197" s="39">
        <v>586600</v>
      </c>
      <c r="T197" s="39">
        <v>0</v>
      </c>
      <c r="U197" s="39">
        <v>586600</v>
      </c>
      <c r="V197" s="29"/>
      <c r="W197" s="29">
        <f>INDEX(SurtaxPayment!$C$6:$U$330,MATCH(PriorYear!$C197,SurtaxPayment!$C$6:$C$330,0),6)+INDEX(SurtaxPayment!$C$6:$U$330,MATCH(PriorYear!$C197,SurtaxPayment!$C$6:$C$330,0),7)</f>
        <v>5</v>
      </c>
      <c r="X197" s="29">
        <f t="shared" si="4"/>
        <v>0</v>
      </c>
      <c r="Y197" s="29">
        <f>INDEX(SurtaxPayment!$C$6:$U$330,MATCH(PriorYear!C197,SurtaxPayment!$C$6:$C$330,0),9)</f>
        <v>475819.68</v>
      </c>
      <c r="Z197" s="66">
        <f t="shared" si="5"/>
        <v>0.13482306686485895</v>
      </c>
    </row>
    <row r="198" spans="1:26" x14ac:dyDescent="0.25">
      <c r="A198" s="52">
        <v>2023</v>
      </c>
      <c r="B198" s="52" t="s">
        <v>663</v>
      </c>
      <c r="C198" s="57" t="s">
        <v>510</v>
      </c>
      <c r="D198" s="58" t="s">
        <v>693</v>
      </c>
      <c r="E198" s="58" t="s">
        <v>693</v>
      </c>
      <c r="F198" s="58" t="s">
        <v>510</v>
      </c>
      <c r="G198" s="57" t="s">
        <v>172</v>
      </c>
      <c r="H198" s="39">
        <v>0</v>
      </c>
      <c r="I198" s="39">
        <v>5</v>
      </c>
      <c r="J198" s="38"/>
      <c r="K198" s="39">
        <v>334659</v>
      </c>
      <c r="L198" s="39">
        <v>0</v>
      </c>
      <c r="M198" s="39">
        <v>334659</v>
      </c>
      <c r="N198" s="38"/>
      <c r="O198" s="39">
        <v>176636</v>
      </c>
      <c r="P198" s="39">
        <v>0</v>
      </c>
      <c r="Q198" s="39">
        <v>176636</v>
      </c>
      <c r="R198" s="38"/>
      <c r="S198" s="39">
        <v>511295</v>
      </c>
      <c r="T198" s="39">
        <v>0</v>
      </c>
      <c r="U198" s="39">
        <v>511295</v>
      </c>
      <c r="V198" s="29"/>
      <c r="W198" s="29">
        <f>INDEX(SurtaxPayment!$C$6:$U$330,MATCH(PriorYear!$C198,SurtaxPayment!$C$6:$C$330,0),6)+INDEX(SurtaxPayment!$C$6:$U$330,MATCH(PriorYear!$C198,SurtaxPayment!$C$6:$C$330,0),7)</f>
        <v>5</v>
      </c>
      <c r="X198" s="29">
        <f t="shared" si="4"/>
        <v>0</v>
      </c>
      <c r="Y198" s="29">
        <f>INDEX(SurtaxPayment!$C$6:$U$330,MATCH(PriorYear!C198,SurtaxPayment!$C$6:$C$330,0),9)</f>
        <v>478369.59</v>
      </c>
      <c r="Z198" s="66">
        <f t="shared" si="5"/>
        <v>0.42942395094708352</v>
      </c>
    </row>
    <row r="199" spans="1:26" x14ac:dyDescent="0.25">
      <c r="A199" s="52">
        <v>2023</v>
      </c>
      <c r="B199" s="52" t="s">
        <v>659</v>
      </c>
      <c r="C199" s="57" t="s">
        <v>511</v>
      </c>
      <c r="D199" s="58" t="s">
        <v>693</v>
      </c>
      <c r="E199" s="58" t="s">
        <v>693</v>
      </c>
      <c r="F199" s="58" t="s">
        <v>511</v>
      </c>
      <c r="G199" s="57" t="s">
        <v>173</v>
      </c>
      <c r="H199" s="39">
        <v>0</v>
      </c>
      <c r="I199" s="39">
        <v>3</v>
      </c>
      <c r="J199" s="38"/>
      <c r="K199" s="39">
        <v>24914.25</v>
      </c>
      <c r="L199" s="39">
        <v>0</v>
      </c>
      <c r="M199" s="39">
        <v>24914.25</v>
      </c>
      <c r="N199" s="38"/>
      <c r="O199" s="39">
        <v>12026.75</v>
      </c>
      <c r="P199" s="39">
        <v>0</v>
      </c>
      <c r="Q199" s="39">
        <v>12026.75</v>
      </c>
      <c r="R199" s="38"/>
      <c r="S199" s="39">
        <v>36941</v>
      </c>
      <c r="T199" s="39">
        <v>0</v>
      </c>
      <c r="U199" s="39">
        <v>36941</v>
      </c>
      <c r="V199" s="29"/>
      <c r="W199" s="29">
        <f>INDEX(SurtaxPayment!$C$6:$U$330,MATCH(PriorYear!$C199,SurtaxPayment!$C$6:$C$330,0),6)+INDEX(SurtaxPayment!$C$6:$U$330,MATCH(PriorYear!$C199,SurtaxPayment!$C$6:$C$330,0),7)</f>
        <v>4</v>
      </c>
      <c r="X199" s="29">
        <f t="shared" ref="X199:X262" si="6">W199-SUM(H199:I199)</f>
        <v>1</v>
      </c>
      <c r="Y199" s="29">
        <f>INDEX(SurtaxPayment!$C$6:$U$330,MATCH(PriorYear!C199,SurtaxPayment!$C$6:$C$330,0),9)</f>
        <v>44699.08</v>
      </c>
      <c r="Z199" s="66">
        <f t="shared" ref="Z199:Z262" si="7">IFERROR((Y199-K199)/K199,0)</f>
        <v>0.79411702138334495</v>
      </c>
    </row>
    <row r="200" spans="1:26" x14ac:dyDescent="0.25">
      <c r="A200" s="52">
        <v>2023</v>
      </c>
      <c r="B200" s="52" t="s">
        <v>666</v>
      </c>
      <c r="C200" s="57" t="s">
        <v>512</v>
      </c>
      <c r="D200" s="58" t="s">
        <v>693</v>
      </c>
      <c r="E200" s="58" t="s">
        <v>693</v>
      </c>
      <c r="F200" s="58" t="s">
        <v>512</v>
      </c>
      <c r="G200" s="57" t="s">
        <v>174</v>
      </c>
      <c r="H200" s="39">
        <v>0</v>
      </c>
      <c r="I200" s="39">
        <v>1</v>
      </c>
      <c r="J200" s="38"/>
      <c r="K200" s="39">
        <v>245737.5</v>
      </c>
      <c r="L200" s="39">
        <v>0</v>
      </c>
      <c r="M200" s="39">
        <v>245737.5</v>
      </c>
      <c r="N200" s="38"/>
      <c r="O200" s="39">
        <v>101006.5</v>
      </c>
      <c r="P200" s="39">
        <v>0</v>
      </c>
      <c r="Q200" s="39">
        <v>101006.5</v>
      </c>
      <c r="R200" s="38"/>
      <c r="S200" s="39">
        <v>346744</v>
      </c>
      <c r="T200" s="39">
        <v>0</v>
      </c>
      <c r="U200" s="39">
        <v>346744</v>
      </c>
      <c r="V200" s="29"/>
      <c r="W200" s="29">
        <f>INDEX(SurtaxPayment!$C$6:$U$330,MATCH(PriorYear!$C200,SurtaxPayment!$C$6:$C$330,0),6)+INDEX(SurtaxPayment!$C$6:$U$330,MATCH(PriorYear!$C200,SurtaxPayment!$C$6:$C$330,0),7)</f>
        <v>1</v>
      </c>
      <c r="X200" s="29">
        <f t="shared" si="6"/>
        <v>0</v>
      </c>
      <c r="Y200" s="29">
        <f>INDEX(SurtaxPayment!$C$6:$U$330,MATCH(PriorYear!C200,SurtaxPayment!$C$6:$C$330,0),9)</f>
        <v>294465.25</v>
      </c>
      <c r="Z200" s="66">
        <f t="shared" si="7"/>
        <v>0.19829187649422655</v>
      </c>
    </row>
    <row r="201" spans="1:26" x14ac:dyDescent="0.25">
      <c r="A201" s="52">
        <v>2023</v>
      </c>
      <c r="B201" s="52" t="s">
        <v>658</v>
      </c>
      <c r="C201" s="57" t="s">
        <v>513</v>
      </c>
      <c r="D201" s="58" t="s">
        <v>693</v>
      </c>
      <c r="E201" s="58" t="s">
        <v>693</v>
      </c>
      <c r="F201" s="58" t="s">
        <v>513</v>
      </c>
      <c r="G201" s="57" t="s">
        <v>175</v>
      </c>
      <c r="H201" s="39">
        <v>0</v>
      </c>
      <c r="I201" s="39">
        <v>3</v>
      </c>
      <c r="J201" s="38"/>
      <c r="K201" s="39">
        <v>91161</v>
      </c>
      <c r="L201" s="39">
        <v>0</v>
      </c>
      <c r="M201" s="39">
        <v>91161</v>
      </c>
      <c r="N201" s="38"/>
      <c r="O201" s="39">
        <v>37501</v>
      </c>
      <c r="P201" s="39">
        <v>0</v>
      </c>
      <c r="Q201" s="39">
        <v>37501</v>
      </c>
      <c r="R201" s="38"/>
      <c r="S201" s="39">
        <v>128662</v>
      </c>
      <c r="T201" s="39">
        <v>0</v>
      </c>
      <c r="U201" s="39">
        <v>128662</v>
      </c>
      <c r="V201" s="29"/>
      <c r="W201" s="29">
        <f>INDEX(SurtaxPayment!$C$6:$U$330,MATCH(PriorYear!$C201,SurtaxPayment!$C$6:$C$330,0),6)+INDEX(SurtaxPayment!$C$6:$U$330,MATCH(PriorYear!$C201,SurtaxPayment!$C$6:$C$330,0),7)</f>
        <v>7</v>
      </c>
      <c r="X201" s="29">
        <f t="shared" si="6"/>
        <v>4</v>
      </c>
      <c r="Y201" s="29">
        <f>INDEX(SurtaxPayment!$C$6:$U$330,MATCH(PriorYear!C201,SurtaxPayment!$C$6:$C$330,0),9)</f>
        <v>291869.84999999998</v>
      </c>
      <c r="Z201" s="66">
        <f t="shared" si="7"/>
        <v>2.2016964491394342</v>
      </c>
    </row>
    <row r="202" spans="1:26" x14ac:dyDescent="0.25">
      <c r="A202" s="52">
        <v>2023</v>
      </c>
      <c r="B202" s="52" t="s">
        <v>657</v>
      </c>
      <c r="C202" s="57" t="s">
        <v>514</v>
      </c>
      <c r="D202" s="58" t="s">
        <v>693</v>
      </c>
      <c r="E202" s="58" t="s">
        <v>693</v>
      </c>
      <c r="F202" s="58" t="s">
        <v>514</v>
      </c>
      <c r="G202" s="57" t="s">
        <v>176</v>
      </c>
      <c r="H202" s="39">
        <v>0</v>
      </c>
      <c r="I202" s="39">
        <v>5</v>
      </c>
      <c r="J202" s="38"/>
      <c r="K202" s="39">
        <v>444904.5</v>
      </c>
      <c r="L202" s="39">
        <v>0</v>
      </c>
      <c r="M202" s="39">
        <v>444904.5</v>
      </c>
      <c r="N202" s="38"/>
      <c r="O202" s="39">
        <v>187825.5</v>
      </c>
      <c r="P202" s="39">
        <v>0</v>
      </c>
      <c r="Q202" s="39">
        <v>187825.5</v>
      </c>
      <c r="R202" s="38"/>
      <c r="S202" s="39">
        <v>632730</v>
      </c>
      <c r="T202" s="39">
        <v>0</v>
      </c>
      <c r="U202" s="39">
        <v>632730</v>
      </c>
      <c r="V202" s="29"/>
      <c r="W202" s="29">
        <f>INDEX(SurtaxPayment!$C$6:$U$330,MATCH(PriorYear!$C202,SurtaxPayment!$C$6:$C$330,0),6)+INDEX(SurtaxPayment!$C$6:$U$330,MATCH(PriorYear!$C202,SurtaxPayment!$C$6:$C$330,0),7)</f>
        <v>5</v>
      </c>
      <c r="X202" s="29">
        <f t="shared" si="6"/>
        <v>0</v>
      </c>
      <c r="Y202" s="29">
        <f>INDEX(SurtaxPayment!$C$6:$U$330,MATCH(PriorYear!C202,SurtaxPayment!$C$6:$C$330,0),9)</f>
        <v>550302.26</v>
      </c>
      <c r="Z202" s="66">
        <f t="shared" si="7"/>
        <v>0.23689973915750462</v>
      </c>
    </row>
    <row r="203" spans="1:26" x14ac:dyDescent="0.25">
      <c r="A203" s="52">
        <v>2023</v>
      </c>
      <c r="B203" s="52" t="s">
        <v>665</v>
      </c>
      <c r="C203" s="57" t="s">
        <v>516</v>
      </c>
      <c r="D203" s="58" t="s">
        <v>693</v>
      </c>
      <c r="E203" s="58" t="s">
        <v>693</v>
      </c>
      <c r="F203" s="58" t="s">
        <v>516</v>
      </c>
      <c r="G203" s="57" t="s">
        <v>177</v>
      </c>
      <c r="H203" s="39">
        <v>0</v>
      </c>
      <c r="I203" s="39">
        <v>7</v>
      </c>
      <c r="J203" s="38"/>
      <c r="K203" s="39">
        <v>416382</v>
      </c>
      <c r="L203" s="39">
        <v>0</v>
      </c>
      <c r="M203" s="39">
        <v>416382</v>
      </c>
      <c r="N203" s="38"/>
      <c r="O203" s="39">
        <v>201174</v>
      </c>
      <c r="P203" s="39">
        <v>0</v>
      </c>
      <c r="Q203" s="39">
        <v>201174</v>
      </c>
      <c r="R203" s="38"/>
      <c r="S203" s="39">
        <v>617556</v>
      </c>
      <c r="T203" s="39">
        <v>0</v>
      </c>
      <c r="U203" s="39">
        <v>617556</v>
      </c>
      <c r="V203" s="29"/>
      <c r="W203" s="29">
        <f>INDEX(SurtaxPayment!$C$6:$U$330,MATCH(PriorYear!$C203,SurtaxPayment!$C$6:$C$330,0),6)+INDEX(SurtaxPayment!$C$6:$U$330,MATCH(PriorYear!$C203,SurtaxPayment!$C$6:$C$330,0),7)</f>
        <v>6</v>
      </c>
      <c r="X203" s="29">
        <f t="shared" si="6"/>
        <v>-1</v>
      </c>
      <c r="Y203" s="29">
        <f>INDEX(SurtaxPayment!$C$6:$U$330,MATCH(PriorYear!C203,SurtaxPayment!$C$6:$C$330,0),9)</f>
        <v>555475.81999999995</v>
      </c>
      <c r="Z203" s="66">
        <f t="shared" si="7"/>
        <v>0.33405339327828759</v>
      </c>
    </row>
    <row r="204" spans="1:26" x14ac:dyDescent="0.25">
      <c r="A204" s="52">
        <v>2023</v>
      </c>
      <c r="B204" s="52" t="s">
        <v>662</v>
      </c>
      <c r="C204" s="57" t="s">
        <v>517</v>
      </c>
      <c r="D204" s="58" t="s">
        <v>693</v>
      </c>
      <c r="E204" s="58" t="s">
        <v>693</v>
      </c>
      <c r="F204" s="58" t="s">
        <v>517</v>
      </c>
      <c r="G204" s="57" t="s">
        <v>178</v>
      </c>
      <c r="H204" s="39">
        <v>2</v>
      </c>
      <c r="I204" s="39">
        <v>7</v>
      </c>
      <c r="J204" s="38"/>
      <c r="K204" s="39">
        <v>207420.75</v>
      </c>
      <c r="L204" s="39">
        <v>46093.5</v>
      </c>
      <c r="M204" s="39">
        <v>161327.25</v>
      </c>
      <c r="N204" s="38"/>
      <c r="O204" s="39">
        <v>74953.25</v>
      </c>
      <c r="P204" s="39">
        <v>16656.28</v>
      </c>
      <c r="Q204" s="39">
        <v>58296.97</v>
      </c>
      <c r="R204" s="38"/>
      <c r="S204" s="39">
        <v>282374</v>
      </c>
      <c r="T204" s="39">
        <v>62749.78</v>
      </c>
      <c r="U204" s="39">
        <v>219624.22</v>
      </c>
      <c r="V204" s="29"/>
      <c r="W204" s="29">
        <f>INDEX(SurtaxPayment!$C$6:$U$330,MATCH(PriorYear!$C204,SurtaxPayment!$C$6:$C$330,0),6)+INDEX(SurtaxPayment!$C$6:$U$330,MATCH(PriorYear!$C204,SurtaxPayment!$C$6:$C$330,0),7)</f>
        <v>9</v>
      </c>
      <c r="X204" s="29">
        <f t="shared" si="6"/>
        <v>0</v>
      </c>
      <c r="Y204" s="29">
        <f>INDEX(SurtaxPayment!$C$6:$U$330,MATCH(PriorYear!C204,SurtaxPayment!$C$6:$C$330,0),9)</f>
        <v>262468.34000000003</v>
      </c>
      <c r="Z204" s="66">
        <f t="shared" si="7"/>
        <v>0.26539095051965644</v>
      </c>
    </row>
    <row r="205" spans="1:26" x14ac:dyDescent="0.25">
      <c r="A205" s="52">
        <v>2023</v>
      </c>
      <c r="B205" s="52" t="s">
        <v>661</v>
      </c>
      <c r="C205" s="57" t="s">
        <v>515</v>
      </c>
      <c r="D205" s="58" t="s">
        <v>693</v>
      </c>
      <c r="E205" s="58" t="s">
        <v>693</v>
      </c>
      <c r="F205" s="58" t="s">
        <v>515</v>
      </c>
      <c r="G205" s="57" t="s">
        <v>179</v>
      </c>
      <c r="H205" s="39">
        <v>0</v>
      </c>
      <c r="I205" s="39">
        <v>11</v>
      </c>
      <c r="J205" s="38"/>
      <c r="K205" s="39">
        <v>217137</v>
      </c>
      <c r="L205" s="39">
        <v>0</v>
      </c>
      <c r="M205" s="39">
        <v>217137</v>
      </c>
      <c r="N205" s="38"/>
      <c r="O205" s="39">
        <v>83112</v>
      </c>
      <c r="P205" s="39">
        <v>0</v>
      </c>
      <c r="Q205" s="39">
        <v>83112</v>
      </c>
      <c r="R205" s="38"/>
      <c r="S205" s="39">
        <v>300249</v>
      </c>
      <c r="T205" s="39">
        <v>0</v>
      </c>
      <c r="U205" s="39">
        <v>300249</v>
      </c>
      <c r="V205" s="29"/>
      <c r="W205" s="29">
        <f>INDEX(SurtaxPayment!$C$6:$U$330,MATCH(PriorYear!$C205,SurtaxPayment!$C$6:$C$330,0),6)+INDEX(SurtaxPayment!$C$6:$U$330,MATCH(PriorYear!$C205,SurtaxPayment!$C$6:$C$330,0),7)</f>
        <v>11</v>
      </c>
      <c r="X205" s="29">
        <f t="shared" si="6"/>
        <v>0</v>
      </c>
      <c r="Y205" s="29">
        <f>INDEX(SurtaxPayment!$C$6:$U$330,MATCH(PriorYear!C205,SurtaxPayment!$C$6:$C$330,0),9)</f>
        <v>266803.59999999998</v>
      </c>
      <c r="Z205" s="66">
        <f t="shared" si="7"/>
        <v>0.22873393295477037</v>
      </c>
    </row>
    <row r="206" spans="1:26" x14ac:dyDescent="0.25">
      <c r="A206" s="52">
        <v>2023</v>
      </c>
      <c r="B206" s="52" t="s">
        <v>657</v>
      </c>
      <c r="C206" s="57" t="s">
        <v>518</v>
      </c>
      <c r="D206" s="58" t="s">
        <v>693</v>
      </c>
      <c r="E206" s="58" t="s">
        <v>693</v>
      </c>
      <c r="F206" s="58" t="s">
        <v>518</v>
      </c>
      <c r="G206" s="57" t="s">
        <v>180</v>
      </c>
      <c r="H206" s="39">
        <v>0</v>
      </c>
      <c r="I206" s="39">
        <v>7</v>
      </c>
      <c r="J206" s="38"/>
      <c r="K206" s="39">
        <v>1014578.25</v>
      </c>
      <c r="L206" s="39">
        <v>0</v>
      </c>
      <c r="M206" s="39">
        <v>1014578.25</v>
      </c>
      <c r="N206" s="38"/>
      <c r="O206" s="39">
        <v>401095.75</v>
      </c>
      <c r="P206" s="39">
        <v>0</v>
      </c>
      <c r="Q206" s="39">
        <v>401095.75</v>
      </c>
      <c r="R206" s="38"/>
      <c r="S206" s="39">
        <v>1415674</v>
      </c>
      <c r="T206" s="39">
        <v>0</v>
      </c>
      <c r="U206" s="39">
        <v>1415674</v>
      </c>
      <c r="V206" s="29"/>
      <c r="W206" s="29">
        <f>INDEX(SurtaxPayment!$C$6:$U$330,MATCH(PriorYear!$C206,SurtaxPayment!$C$6:$C$330,0),6)+INDEX(SurtaxPayment!$C$6:$U$330,MATCH(PriorYear!$C206,SurtaxPayment!$C$6:$C$330,0),7)</f>
        <v>7</v>
      </c>
      <c r="X206" s="29">
        <f t="shared" si="6"/>
        <v>0</v>
      </c>
      <c r="Y206" s="29">
        <f>INDEX(SurtaxPayment!$C$6:$U$330,MATCH(PriorYear!C206,SurtaxPayment!$C$6:$C$330,0),9)</f>
        <v>1222977.83</v>
      </c>
      <c r="Z206" s="66">
        <f t="shared" si="7"/>
        <v>0.20540513262530521</v>
      </c>
    </row>
    <row r="207" spans="1:26" x14ac:dyDescent="0.25">
      <c r="A207" s="52">
        <v>2023</v>
      </c>
      <c r="B207" s="52" t="s">
        <v>659</v>
      </c>
      <c r="C207" s="57" t="s">
        <v>434</v>
      </c>
      <c r="D207" s="58" t="s">
        <v>693</v>
      </c>
      <c r="E207" s="58" t="s">
        <v>693</v>
      </c>
      <c r="F207" s="58" t="s">
        <v>434</v>
      </c>
      <c r="G207" s="57" t="s">
        <v>181</v>
      </c>
      <c r="H207" s="39">
        <v>0</v>
      </c>
      <c r="I207" s="39">
        <v>2</v>
      </c>
      <c r="J207" s="38"/>
      <c r="K207" s="39">
        <v>60929.25</v>
      </c>
      <c r="L207" s="39">
        <v>0</v>
      </c>
      <c r="M207" s="39">
        <v>60929.25</v>
      </c>
      <c r="N207" s="38"/>
      <c r="O207" s="39">
        <v>22071.75</v>
      </c>
      <c r="P207" s="39">
        <v>0</v>
      </c>
      <c r="Q207" s="39">
        <v>22071.75</v>
      </c>
      <c r="R207" s="38"/>
      <c r="S207" s="39">
        <v>83001</v>
      </c>
      <c r="T207" s="39">
        <v>0</v>
      </c>
      <c r="U207" s="39">
        <v>83001</v>
      </c>
      <c r="V207" s="29"/>
      <c r="W207" s="29">
        <f>INDEX(SurtaxPayment!$C$6:$U$330,MATCH(PriorYear!$C207,SurtaxPayment!$C$6:$C$330,0),6)+INDEX(SurtaxPayment!$C$6:$U$330,MATCH(PriorYear!$C207,SurtaxPayment!$C$6:$C$330,0),7)</f>
        <v>9</v>
      </c>
      <c r="X207" s="29">
        <f t="shared" si="6"/>
        <v>7</v>
      </c>
      <c r="Y207" s="29">
        <f>INDEX(SurtaxPayment!$C$6:$U$330,MATCH(PriorYear!C207,SurtaxPayment!$C$6:$C$330,0),9)</f>
        <v>293989.43</v>
      </c>
      <c r="Z207" s="66">
        <f t="shared" si="7"/>
        <v>3.8250951718591644</v>
      </c>
    </row>
    <row r="208" spans="1:26" x14ac:dyDescent="0.25">
      <c r="A208" s="52">
        <v>2023</v>
      </c>
      <c r="B208" s="52" t="s">
        <v>658</v>
      </c>
      <c r="C208" s="57" t="s">
        <v>322</v>
      </c>
      <c r="D208" s="58" t="s">
        <v>693</v>
      </c>
      <c r="E208" s="58" t="s">
        <v>693</v>
      </c>
      <c r="F208" s="58" t="s">
        <v>322</v>
      </c>
      <c r="G208" s="57" t="s">
        <v>182</v>
      </c>
      <c r="H208" s="39">
        <v>0</v>
      </c>
      <c r="I208" s="39">
        <v>1</v>
      </c>
      <c r="J208" s="38"/>
      <c r="K208" s="39">
        <v>28405.5</v>
      </c>
      <c r="L208" s="39">
        <v>0</v>
      </c>
      <c r="M208" s="39">
        <v>28405.5</v>
      </c>
      <c r="N208" s="38"/>
      <c r="O208" s="39">
        <v>10778.5</v>
      </c>
      <c r="P208" s="39">
        <v>0</v>
      </c>
      <c r="Q208" s="39">
        <v>10778.5</v>
      </c>
      <c r="R208" s="38"/>
      <c r="S208" s="39">
        <v>39184</v>
      </c>
      <c r="T208" s="39">
        <v>0</v>
      </c>
      <c r="U208" s="39">
        <v>39184</v>
      </c>
      <c r="V208" s="29"/>
      <c r="W208" s="29">
        <f>INDEX(SurtaxPayment!$C$6:$U$330,MATCH(PriorYear!$C208,SurtaxPayment!$C$6:$C$330,0),6)+INDEX(SurtaxPayment!$C$6:$U$330,MATCH(PriorYear!$C208,SurtaxPayment!$C$6:$C$330,0),7)</f>
        <v>1</v>
      </c>
      <c r="X208" s="29">
        <f t="shared" si="6"/>
        <v>0</v>
      </c>
      <c r="Y208" s="29">
        <f>INDEX(SurtaxPayment!$C$6:$U$330,MATCH(PriorYear!C208,SurtaxPayment!$C$6:$C$330,0),9)</f>
        <v>33875.300000000003</v>
      </c>
      <c r="Z208" s="66">
        <f t="shared" si="7"/>
        <v>0.19256129974828828</v>
      </c>
    </row>
    <row r="209" spans="1:26" x14ac:dyDescent="0.25">
      <c r="A209" s="52">
        <v>2023</v>
      </c>
      <c r="B209" s="52" t="s">
        <v>663</v>
      </c>
      <c r="C209" s="57" t="s">
        <v>476</v>
      </c>
      <c r="D209" s="58" t="s">
        <v>693</v>
      </c>
      <c r="E209" s="58" t="s">
        <v>693</v>
      </c>
      <c r="F209" s="58" t="s">
        <v>476</v>
      </c>
      <c r="G209" s="57" t="s">
        <v>183</v>
      </c>
      <c r="H209" s="39">
        <v>3</v>
      </c>
      <c r="I209" s="39">
        <v>7</v>
      </c>
      <c r="J209" s="38"/>
      <c r="K209" s="39">
        <v>396479.25</v>
      </c>
      <c r="L209" s="39">
        <v>118943.78</v>
      </c>
      <c r="M209" s="39">
        <v>277535.46999999997</v>
      </c>
      <c r="N209" s="38"/>
      <c r="O209" s="39">
        <v>152205.75</v>
      </c>
      <c r="P209" s="39">
        <v>45661.73</v>
      </c>
      <c r="Q209" s="39">
        <v>106544.01999999999</v>
      </c>
      <c r="R209" s="38"/>
      <c r="S209" s="39">
        <v>548685</v>
      </c>
      <c r="T209" s="39">
        <v>164605.51</v>
      </c>
      <c r="U209" s="39">
        <v>384079.49</v>
      </c>
      <c r="V209" s="29"/>
      <c r="W209" s="29">
        <f>INDEX(SurtaxPayment!$C$6:$U$330,MATCH(PriorYear!$C209,SurtaxPayment!$C$6:$C$330,0),6)+INDEX(SurtaxPayment!$C$6:$U$330,MATCH(PriorYear!$C209,SurtaxPayment!$C$6:$C$330,0),7)</f>
        <v>10</v>
      </c>
      <c r="X209" s="29">
        <f t="shared" si="6"/>
        <v>0</v>
      </c>
      <c r="Y209" s="29">
        <f>INDEX(SurtaxPayment!$C$6:$U$330,MATCH(PriorYear!C209,SurtaxPayment!$C$6:$C$330,0),9)</f>
        <v>495584.56</v>
      </c>
      <c r="Z209" s="66">
        <f t="shared" si="7"/>
        <v>0.24996342179319597</v>
      </c>
    </row>
    <row r="210" spans="1:26" x14ac:dyDescent="0.25">
      <c r="A210" s="52">
        <v>2023</v>
      </c>
      <c r="B210" s="52" t="s">
        <v>665</v>
      </c>
      <c r="C210" s="57" t="s">
        <v>521</v>
      </c>
      <c r="D210" s="58" t="s">
        <v>693</v>
      </c>
      <c r="E210" s="58" t="s">
        <v>693</v>
      </c>
      <c r="F210" s="58" t="s">
        <v>521</v>
      </c>
      <c r="G210" s="57" t="s">
        <v>690</v>
      </c>
      <c r="H210" s="39">
        <v>0</v>
      </c>
      <c r="I210" s="39">
        <v>8</v>
      </c>
      <c r="J210" s="38"/>
      <c r="K210" s="39">
        <v>439836.75</v>
      </c>
      <c r="L210" s="39">
        <v>0</v>
      </c>
      <c r="M210" s="39">
        <v>439836.75</v>
      </c>
      <c r="N210" s="38"/>
      <c r="O210" s="39">
        <v>171905.25</v>
      </c>
      <c r="P210" s="39">
        <v>0</v>
      </c>
      <c r="Q210" s="39">
        <v>171905.25</v>
      </c>
      <c r="R210" s="38"/>
      <c r="S210" s="39">
        <v>611742</v>
      </c>
      <c r="T210" s="39">
        <v>0</v>
      </c>
      <c r="U210" s="39">
        <v>611742</v>
      </c>
      <c r="V210" s="29"/>
      <c r="W210" s="29">
        <f>INDEX(SurtaxPayment!$C$6:$U$330,MATCH(PriorYear!$C210,SurtaxPayment!$C$6:$C$330,0),6)+INDEX(SurtaxPayment!$C$6:$U$330,MATCH(PriorYear!$C210,SurtaxPayment!$C$6:$C$330,0),7)</f>
        <v>8</v>
      </c>
      <c r="X210" s="29">
        <f t="shared" si="6"/>
        <v>0</v>
      </c>
      <c r="Y210" s="29">
        <f>INDEX(SurtaxPayment!$C$6:$U$330,MATCH(PriorYear!C210,SurtaxPayment!$C$6:$C$330,0),9)</f>
        <v>534394.35</v>
      </c>
      <c r="Z210" s="66">
        <f t="shared" si="7"/>
        <v>0.21498340009105646</v>
      </c>
    </row>
    <row r="211" spans="1:26" x14ac:dyDescent="0.25">
      <c r="A211" s="52">
        <v>2023</v>
      </c>
      <c r="B211" s="52" t="s">
        <v>658</v>
      </c>
      <c r="C211" s="57" t="s">
        <v>350</v>
      </c>
      <c r="D211" s="58" t="s">
        <v>693</v>
      </c>
      <c r="E211" s="58" t="s">
        <v>693</v>
      </c>
      <c r="F211" s="58" t="s">
        <v>350</v>
      </c>
      <c r="G211" s="57" t="s">
        <v>185</v>
      </c>
      <c r="H211" s="39">
        <v>1</v>
      </c>
      <c r="I211" s="39">
        <v>1</v>
      </c>
      <c r="J211" s="38"/>
      <c r="K211" s="39">
        <v>45676.5</v>
      </c>
      <c r="L211" s="39">
        <v>22838.25</v>
      </c>
      <c r="M211" s="39">
        <v>22838.25</v>
      </c>
      <c r="N211" s="38"/>
      <c r="O211" s="39">
        <v>17908.5</v>
      </c>
      <c r="P211" s="39">
        <v>8954.25</v>
      </c>
      <c r="Q211" s="39">
        <v>8954.25</v>
      </c>
      <c r="R211" s="38"/>
      <c r="S211" s="39">
        <v>63585</v>
      </c>
      <c r="T211" s="39">
        <v>31792.5</v>
      </c>
      <c r="U211" s="39">
        <v>31792.5</v>
      </c>
      <c r="V211" s="29"/>
      <c r="W211" s="29">
        <f>INDEX(SurtaxPayment!$C$6:$U$330,MATCH(PriorYear!$C211,SurtaxPayment!$C$6:$C$330,0),6)+INDEX(SurtaxPayment!$C$6:$U$330,MATCH(PriorYear!$C211,SurtaxPayment!$C$6:$C$330,0),7)</f>
        <v>2</v>
      </c>
      <c r="X211" s="29">
        <f t="shared" si="6"/>
        <v>0</v>
      </c>
      <c r="Y211" s="29">
        <f>INDEX(SurtaxPayment!$C$6:$U$330,MATCH(PriorYear!C211,SurtaxPayment!$C$6:$C$330,0),9)</f>
        <v>69130.320000000007</v>
      </c>
      <c r="Z211" s="66">
        <f t="shared" si="7"/>
        <v>0.5134767331122132</v>
      </c>
    </row>
    <row r="212" spans="1:26" x14ac:dyDescent="0.25">
      <c r="A212" s="52">
        <v>2023</v>
      </c>
      <c r="B212" s="52" t="s">
        <v>661</v>
      </c>
      <c r="C212" s="57" t="s">
        <v>525</v>
      </c>
      <c r="D212" s="58" t="s">
        <v>693</v>
      </c>
      <c r="E212" s="58" t="s">
        <v>693</v>
      </c>
      <c r="F212" s="58" t="s">
        <v>525</v>
      </c>
      <c r="G212" s="57" t="s">
        <v>186</v>
      </c>
      <c r="H212" s="39">
        <v>0</v>
      </c>
      <c r="I212" s="39">
        <v>5</v>
      </c>
      <c r="J212" s="38"/>
      <c r="K212" s="39">
        <v>71951.25</v>
      </c>
      <c r="L212" s="39">
        <v>0</v>
      </c>
      <c r="M212" s="39">
        <v>71951.25</v>
      </c>
      <c r="N212" s="38"/>
      <c r="O212" s="39">
        <v>27856.75</v>
      </c>
      <c r="P212" s="39">
        <v>0</v>
      </c>
      <c r="Q212" s="39">
        <v>27856.75</v>
      </c>
      <c r="R212" s="38"/>
      <c r="S212" s="39">
        <v>99808</v>
      </c>
      <c r="T212" s="39">
        <v>0</v>
      </c>
      <c r="U212" s="39">
        <v>99808</v>
      </c>
      <c r="V212" s="29"/>
      <c r="W212" s="29">
        <f>INDEX(SurtaxPayment!$C$6:$U$330,MATCH(PriorYear!$C212,SurtaxPayment!$C$6:$C$330,0),6)+INDEX(SurtaxPayment!$C$6:$U$330,MATCH(PriorYear!$C212,SurtaxPayment!$C$6:$C$330,0),7)</f>
        <v>5</v>
      </c>
      <c r="X212" s="29">
        <f t="shared" si="6"/>
        <v>0</v>
      </c>
      <c r="Y212" s="29">
        <f>INDEX(SurtaxPayment!$C$6:$U$330,MATCH(PriorYear!C212,SurtaxPayment!$C$6:$C$330,0),9)</f>
        <v>79843.929999999993</v>
      </c>
      <c r="Z212" s="66">
        <f t="shared" si="7"/>
        <v>0.10969482809541173</v>
      </c>
    </row>
    <row r="213" spans="1:26" x14ac:dyDescent="0.25">
      <c r="A213" s="52">
        <v>2023</v>
      </c>
      <c r="B213" s="52" t="s">
        <v>663</v>
      </c>
      <c r="C213" s="57" t="s">
        <v>524</v>
      </c>
      <c r="D213" s="58" t="s">
        <v>693</v>
      </c>
      <c r="E213" s="58" t="s">
        <v>693</v>
      </c>
      <c r="F213" s="58" t="s">
        <v>524</v>
      </c>
      <c r="G213" s="57" t="s">
        <v>187</v>
      </c>
      <c r="H213" s="39">
        <v>0</v>
      </c>
      <c r="I213" s="39">
        <v>1</v>
      </c>
      <c r="J213" s="38"/>
      <c r="K213" s="39">
        <v>29541.75</v>
      </c>
      <c r="L213" s="39">
        <v>0</v>
      </c>
      <c r="M213" s="39">
        <v>29541.75</v>
      </c>
      <c r="N213" s="38"/>
      <c r="O213" s="39">
        <v>11862.25</v>
      </c>
      <c r="P213" s="39">
        <v>0</v>
      </c>
      <c r="Q213" s="39">
        <v>11862.25</v>
      </c>
      <c r="R213" s="38"/>
      <c r="S213" s="39">
        <v>41404</v>
      </c>
      <c r="T213" s="39">
        <v>0</v>
      </c>
      <c r="U213" s="39">
        <v>41404</v>
      </c>
      <c r="V213" s="29"/>
      <c r="W213" s="29">
        <f>INDEX(SurtaxPayment!$C$6:$U$330,MATCH(PriorYear!$C213,SurtaxPayment!$C$6:$C$330,0),6)+INDEX(SurtaxPayment!$C$6:$U$330,MATCH(PriorYear!$C213,SurtaxPayment!$C$6:$C$330,0),7)</f>
        <v>1</v>
      </c>
      <c r="X213" s="29">
        <f t="shared" si="6"/>
        <v>0</v>
      </c>
      <c r="Y213" s="29">
        <f>INDEX(SurtaxPayment!$C$6:$U$330,MATCH(PriorYear!C213,SurtaxPayment!$C$6:$C$330,0),9)</f>
        <v>41134.910000000003</v>
      </c>
      <c r="Z213" s="66">
        <f t="shared" si="7"/>
        <v>0.39243308199412708</v>
      </c>
    </row>
    <row r="214" spans="1:26" x14ac:dyDescent="0.25">
      <c r="A214" s="52">
        <v>2023</v>
      </c>
      <c r="B214" s="52" t="s">
        <v>662</v>
      </c>
      <c r="C214" s="57" t="s">
        <v>523</v>
      </c>
      <c r="D214" s="58" t="s">
        <v>693</v>
      </c>
      <c r="E214" s="58" t="s">
        <v>693</v>
      </c>
      <c r="F214" s="58" t="s">
        <v>523</v>
      </c>
      <c r="G214" s="57" t="s">
        <v>188</v>
      </c>
      <c r="H214" s="39">
        <v>0</v>
      </c>
      <c r="I214" s="39">
        <v>2</v>
      </c>
      <c r="J214" s="38"/>
      <c r="K214" s="39">
        <v>46770</v>
      </c>
      <c r="L214" s="39">
        <v>0</v>
      </c>
      <c r="M214" s="39">
        <v>46770</v>
      </c>
      <c r="N214" s="38"/>
      <c r="O214" s="39">
        <v>17080</v>
      </c>
      <c r="P214" s="39">
        <v>0</v>
      </c>
      <c r="Q214" s="39">
        <v>17080</v>
      </c>
      <c r="R214" s="38"/>
      <c r="S214" s="39">
        <v>63850</v>
      </c>
      <c r="T214" s="39">
        <v>0</v>
      </c>
      <c r="U214" s="39">
        <v>63850</v>
      </c>
      <c r="V214" s="29"/>
      <c r="W214" s="29">
        <f>INDEX(SurtaxPayment!$C$6:$U$330,MATCH(PriorYear!$C214,SurtaxPayment!$C$6:$C$330,0),6)+INDEX(SurtaxPayment!$C$6:$U$330,MATCH(PriorYear!$C214,SurtaxPayment!$C$6:$C$330,0),7)</f>
        <v>2</v>
      </c>
      <c r="X214" s="29">
        <f t="shared" si="6"/>
        <v>0</v>
      </c>
      <c r="Y214" s="29">
        <f>INDEX(SurtaxPayment!$C$6:$U$330,MATCH(PriorYear!C214,SurtaxPayment!$C$6:$C$330,0),9)</f>
        <v>65150.33</v>
      </c>
      <c r="Z214" s="66">
        <f t="shared" si="7"/>
        <v>0.39299401325636096</v>
      </c>
    </row>
    <row r="215" spans="1:26" x14ac:dyDescent="0.25">
      <c r="A215" s="52">
        <v>2023</v>
      </c>
      <c r="B215" s="52" t="s">
        <v>657</v>
      </c>
      <c r="C215" s="57" t="s">
        <v>526</v>
      </c>
      <c r="D215" s="58" t="s">
        <v>693</v>
      </c>
      <c r="E215" s="58" t="s">
        <v>693</v>
      </c>
      <c r="F215" s="58" t="s">
        <v>526</v>
      </c>
      <c r="G215" s="57" t="s">
        <v>189</v>
      </c>
      <c r="H215" s="39">
        <v>0</v>
      </c>
      <c r="I215" s="39">
        <v>2</v>
      </c>
      <c r="J215" s="38"/>
      <c r="K215" s="39">
        <v>271605</v>
      </c>
      <c r="L215" s="39">
        <v>0</v>
      </c>
      <c r="M215" s="39">
        <v>271605</v>
      </c>
      <c r="N215" s="38"/>
      <c r="O215" s="39">
        <v>120745</v>
      </c>
      <c r="P215" s="39">
        <v>0</v>
      </c>
      <c r="Q215" s="39">
        <v>120745</v>
      </c>
      <c r="R215" s="38"/>
      <c r="S215" s="39">
        <v>392350</v>
      </c>
      <c r="T215" s="39">
        <v>0</v>
      </c>
      <c r="U215" s="39">
        <v>392350</v>
      </c>
      <c r="V215" s="29"/>
      <c r="W215" s="29">
        <f>INDEX(SurtaxPayment!$C$6:$U$330,MATCH(PriorYear!$C215,SurtaxPayment!$C$6:$C$330,0),6)+INDEX(SurtaxPayment!$C$6:$U$330,MATCH(PriorYear!$C215,SurtaxPayment!$C$6:$C$330,0),7)</f>
        <v>4</v>
      </c>
      <c r="X215" s="29">
        <f t="shared" si="6"/>
        <v>2</v>
      </c>
      <c r="Y215" s="29">
        <f>INDEX(SurtaxPayment!$C$6:$U$330,MATCH(PriorYear!C215,SurtaxPayment!$C$6:$C$330,0),9)</f>
        <v>833275.48</v>
      </c>
      <c r="Z215" s="66">
        <f t="shared" si="7"/>
        <v>2.0679681154617917</v>
      </c>
    </row>
    <row r="216" spans="1:26" x14ac:dyDescent="0.25">
      <c r="A216" s="52">
        <v>2023</v>
      </c>
      <c r="B216" s="52" t="s">
        <v>666</v>
      </c>
      <c r="C216" s="57" t="s">
        <v>527</v>
      </c>
      <c r="D216" s="58" t="s">
        <v>693</v>
      </c>
      <c r="E216" s="58" t="s">
        <v>693</v>
      </c>
      <c r="F216" s="58" t="s">
        <v>527</v>
      </c>
      <c r="G216" s="57" t="s">
        <v>190</v>
      </c>
      <c r="H216" s="39">
        <v>0</v>
      </c>
      <c r="I216" s="39">
        <v>1</v>
      </c>
      <c r="J216" s="38"/>
      <c r="K216" s="39">
        <v>188805.75</v>
      </c>
      <c r="L216" s="39">
        <v>0</v>
      </c>
      <c r="M216" s="39">
        <v>188805.75</v>
      </c>
      <c r="N216" s="38"/>
      <c r="O216" s="39">
        <v>75507.25</v>
      </c>
      <c r="P216" s="39">
        <v>0</v>
      </c>
      <c r="Q216" s="39">
        <v>75507.25</v>
      </c>
      <c r="R216" s="38"/>
      <c r="S216" s="39">
        <v>264313</v>
      </c>
      <c r="T216" s="39">
        <v>0</v>
      </c>
      <c r="U216" s="39">
        <v>264313</v>
      </c>
      <c r="V216" s="29"/>
      <c r="W216" s="29">
        <f>INDEX(SurtaxPayment!$C$6:$U$330,MATCH(PriorYear!$C216,SurtaxPayment!$C$6:$C$330,0),6)+INDEX(SurtaxPayment!$C$6:$U$330,MATCH(PriorYear!$C216,SurtaxPayment!$C$6:$C$330,0),7)</f>
        <v>1</v>
      </c>
      <c r="X216" s="29">
        <f t="shared" si="6"/>
        <v>0</v>
      </c>
      <c r="Y216" s="29">
        <f>INDEX(SurtaxPayment!$C$6:$U$330,MATCH(PriorYear!C216,SurtaxPayment!$C$6:$C$330,0),9)</f>
        <v>243016.21</v>
      </c>
      <c r="Z216" s="66">
        <f t="shared" si="7"/>
        <v>0.2871229292540084</v>
      </c>
    </row>
    <row r="217" spans="1:26" x14ac:dyDescent="0.25">
      <c r="A217" s="52">
        <v>2023</v>
      </c>
      <c r="B217" s="52" t="s">
        <v>658</v>
      </c>
      <c r="C217" s="57" t="s">
        <v>528</v>
      </c>
      <c r="D217" s="58" t="s">
        <v>693</v>
      </c>
      <c r="E217" s="58" t="s">
        <v>693</v>
      </c>
      <c r="F217" s="58" t="s">
        <v>528</v>
      </c>
      <c r="G217" s="57" t="s">
        <v>191</v>
      </c>
      <c r="H217" s="39">
        <v>0</v>
      </c>
      <c r="I217" s="39">
        <v>7</v>
      </c>
      <c r="J217" s="38"/>
      <c r="K217" s="39">
        <v>166708.5</v>
      </c>
      <c r="L217" s="39">
        <v>0</v>
      </c>
      <c r="M217" s="39">
        <v>166708.5</v>
      </c>
      <c r="N217" s="38"/>
      <c r="O217" s="39">
        <v>93163.5</v>
      </c>
      <c r="P217" s="39">
        <v>0</v>
      </c>
      <c r="Q217" s="39">
        <v>93163.5</v>
      </c>
      <c r="R217" s="38"/>
      <c r="S217" s="39">
        <v>259872</v>
      </c>
      <c r="T217" s="39">
        <v>0</v>
      </c>
      <c r="U217" s="39">
        <v>259872</v>
      </c>
      <c r="V217" s="29"/>
      <c r="W217" s="29">
        <f>INDEX(SurtaxPayment!$C$6:$U$330,MATCH(PriorYear!$C217,SurtaxPayment!$C$6:$C$330,0),6)+INDEX(SurtaxPayment!$C$6:$U$330,MATCH(PriorYear!$C217,SurtaxPayment!$C$6:$C$330,0),7)</f>
        <v>4</v>
      </c>
      <c r="X217" s="29">
        <f t="shared" si="6"/>
        <v>-3</v>
      </c>
      <c r="Y217" s="29">
        <f>INDEX(SurtaxPayment!$C$6:$U$330,MATCH(PriorYear!C217,SurtaxPayment!$C$6:$C$330,0),9)</f>
        <v>131232.42000000001</v>
      </c>
      <c r="Z217" s="66">
        <f t="shared" si="7"/>
        <v>-0.2128030664303259</v>
      </c>
    </row>
    <row r="218" spans="1:26" x14ac:dyDescent="0.25">
      <c r="A218" s="52">
        <v>2023</v>
      </c>
      <c r="B218" s="52" t="s">
        <v>661</v>
      </c>
      <c r="C218" s="57" t="s">
        <v>329</v>
      </c>
      <c r="D218" s="58" t="s">
        <v>693</v>
      </c>
      <c r="E218" s="58" t="s">
        <v>693</v>
      </c>
      <c r="F218" s="58" t="s">
        <v>329</v>
      </c>
      <c r="G218" s="57" t="s">
        <v>192</v>
      </c>
      <c r="H218" s="39">
        <v>3</v>
      </c>
      <c r="I218" s="39">
        <v>3</v>
      </c>
      <c r="J218" s="38"/>
      <c r="K218" s="39">
        <v>128625.75</v>
      </c>
      <c r="L218" s="39">
        <v>64312.88</v>
      </c>
      <c r="M218" s="39">
        <v>64312.87</v>
      </c>
      <c r="N218" s="38"/>
      <c r="O218" s="39">
        <v>50878.25</v>
      </c>
      <c r="P218" s="39">
        <v>25439.13</v>
      </c>
      <c r="Q218" s="39">
        <v>25439.119999999999</v>
      </c>
      <c r="R218" s="38"/>
      <c r="S218" s="39">
        <v>179504</v>
      </c>
      <c r="T218" s="39">
        <v>89752.01</v>
      </c>
      <c r="U218" s="39">
        <v>89751.99</v>
      </c>
      <c r="V218" s="29"/>
      <c r="W218" s="29">
        <f>INDEX(SurtaxPayment!$C$6:$U$330,MATCH(PriorYear!$C218,SurtaxPayment!$C$6:$C$330,0),6)+INDEX(SurtaxPayment!$C$6:$U$330,MATCH(PriorYear!$C218,SurtaxPayment!$C$6:$C$330,0),7)</f>
        <v>6</v>
      </c>
      <c r="X218" s="29">
        <f t="shared" si="6"/>
        <v>0</v>
      </c>
      <c r="Y218" s="29">
        <f>INDEX(SurtaxPayment!$C$6:$U$330,MATCH(PriorYear!C218,SurtaxPayment!$C$6:$C$330,0),9)</f>
        <v>199662.05</v>
      </c>
      <c r="Z218" s="66">
        <f t="shared" si="7"/>
        <v>0.55227122096469783</v>
      </c>
    </row>
    <row r="219" spans="1:26" x14ac:dyDescent="0.25">
      <c r="A219" s="52">
        <v>2023</v>
      </c>
      <c r="B219" s="52" t="s">
        <v>666</v>
      </c>
      <c r="C219" s="57" t="s">
        <v>520</v>
      </c>
      <c r="D219" s="58" t="s">
        <v>693</v>
      </c>
      <c r="E219" s="58" t="s">
        <v>693</v>
      </c>
      <c r="F219" s="58" t="s">
        <v>520</v>
      </c>
      <c r="G219" s="57" t="s">
        <v>194</v>
      </c>
      <c r="H219" s="39">
        <v>0</v>
      </c>
      <c r="I219" s="39">
        <v>9</v>
      </c>
      <c r="J219" s="38"/>
      <c r="K219" s="39">
        <v>241310.25</v>
      </c>
      <c r="L219" s="39">
        <v>0</v>
      </c>
      <c r="M219" s="39">
        <v>241310.25</v>
      </c>
      <c r="N219" s="38"/>
      <c r="O219" s="39">
        <v>87156.75</v>
      </c>
      <c r="P219" s="39">
        <v>0</v>
      </c>
      <c r="Q219" s="39">
        <v>87156.75</v>
      </c>
      <c r="R219" s="38"/>
      <c r="S219" s="39">
        <v>328467</v>
      </c>
      <c r="T219" s="39">
        <v>0</v>
      </c>
      <c r="U219" s="39">
        <v>328467</v>
      </c>
      <c r="V219" s="29"/>
      <c r="W219" s="29">
        <f>INDEX(SurtaxPayment!$C$6:$U$330,MATCH(PriorYear!$C219,SurtaxPayment!$C$6:$C$330,0),6)+INDEX(SurtaxPayment!$C$6:$U$330,MATCH(PriorYear!$C219,SurtaxPayment!$C$6:$C$330,0),7)</f>
        <v>9</v>
      </c>
      <c r="X219" s="29">
        <f t="shared" si="6"/>
        <v>0</v>
      </c>
      <c r="Y219" s="29">
        <f>INDEX(SurtaxPayment!$C$6:$U$330,MATCH(PriorYear!C219,SurtaxPayment!$C$6:$C$330,0),9)</f>
        <v>258394.79</v>
      </c>
      <c r="Z219" s="66">
        <f t="shared" si="7"/>
        <v>7.0799064689543889E-2</v>
      </c>
    </row>
    <row r="220" spans="1:26" x14ac:dyDescent="0.25">
      <c r="A220" s="52">
        <v>2023</v>
      </c>
      <c r="B220" s="52" t="s">
        <v>658</v>
      </c>
      <c r="C220" s="57" t="s">
        <v>529</v>
      </c>
      <c r="D220" s="58" t="s">
        <v>693</v>
      </c>
      <c r="E220" s="58" t="s">
        <v>693</v>
      </c>
      <c r="F220" s="58" t="s">
        <v>529</v>
      </c>
      <c r="G220" s="57" t="s">
        <v>196</v>
      </c>
      <c r="H220" s="39">
        <v>0</v>
      </c>
      <c r="I220" s="39">
        <v>5</v>
      </c>
      <c r="J220" s="38"/>
      <c r="K220" s="39">
        <v>122367.75</v>
      </c>
      <c r="L220" s="39">
        <v>0</v>
      </c>
      <c r="M220" s="39">
        <v>122367.75</v>
      </c>
      <c r="N220" s="38"/>
      <c r="O220" s="39">
        <v>49573.25</v>
      </c>
      <c r="P220" s="39">
        <v>0</v>
      </c>
      <c r="Q220" s="39">
        <v>49573.25</v>
      </c>
      <c r="R220" s="38"/>
      <c r="S220" s="39">
        <v>171941</v>
      </c>
      <c r="T220" s="39">
        <v>0</v>
      </c>
      <c r="U220" s="39">
        <v>171941</v>
      </c>
      <c r="V220" s="29"/>
      <c r="W220" s="29">
        <f>INDEX(SurtaxPayment!$C$6:$U$330,MATCH(PriorYear!$C220,SurtaxPayment!$C$6:$C$330,0),6)+INDEX(SurtaxPayment!$C$6:$U$330,MATCH(PriorYear!$C220,SurtaxPayment!$C$6:$C$330,0),7)</f>
        <v>5</v>
      </c>
      <c r="X220" s="29">
        <f t="shared" si="6"/>
        <v>0</v>
      </c>
      <c r="Y220" s="29">
        <f>INDEX(SurtaxPayment!$C$6:$U$330,MATCH(PriorYear!C220,SurtaxPayment!$C$6:$C$330,0),9)</f>
        <v>142188.54</v>
      </c>
      <c r="Z220" s="66">
        <f t="shared" si="7"/>
        <v>0.16197723664936234</v>
      </c>
    </row>
    <row r="221" spans="1:26" x14ac:dyDescent="0.25">
      <c r="A221" s="52">
        <v>2023</v>
      </c>
      <c r="B221" s="52" t="s">
        <v>657</v>
      </c>
      <c r="C221" s="57" t="s">
        <v>530</v>
      </c>
      <c r="D221" s="58" t="s">
        <v>693</v>
      </c>
      <c r="E221" s="58" t="s">
        <v>693</v>
      </c>
      <c r="F221" s="58" t="s">
        <v>530</v>
      </c>
      <c r="G221" s="57" t="s">
        <v>723</v>
      </c>
      <c r="H221" s="39">
        <v>0</v>
      </c>
      <c r="I221" s="39">
        <v>0</v>
      </c>
      <c r="J221" s="38"/>
      <c r="K221" s="39">
        <v>0</v>
      </c>
      <c r="L221" s="39">
        <v>0</v>
      </c>
      <c r="M221" s="39">
        <v>0</v>
      </c>
      <c r="N221" s="38"/>
      <c r="O221" s="39">
        <v>0</v>
      </c>
      <c r="P221" s="39">
        <v>0</v>
      </c>
      <c r="Q221" s="39">
        <v>0</v>
      </c>
      <c r="R221" s="38"/>
      <c r="S221" s="39">
        <v>0</v>
      </c>
      <c r="T221" s="39">
        <v>0</v>
      </c>
      <c r="U221" s="39">
        <v>0</v>
      </c>
      <c r="V221" s="29"/>
      <c r="W221" s="29">
        <f>INDEX(SurtaxPayment!$C$6:$U$330,MATCH(PriorYear!$C221,SurtaxPayment!$C$6:$C$330,0),6)+INDEX(SurtaxPayment!$C$6:$U$330,MATCH(PriorYear!$C221,SurtaxPayment!$C$6:$C$330,0),7)</f>
        <v>0</v>
      </c>
      <c r="X221" s="29">
        <f t="shared" si="6"/>
        <v>0</v>
      </c>
      <c r="Y221" s="29">
        <f>INDEX(SurtaxPayment!$C$6:$U$330,MATCH(PriorYear!C221,SurtaxPayment!$C$6:$C$330,0),9)</f>
        <v>0</v>
      </c>
      <c r="Z221" s="66">
        <f t="shared" si="7"/>
        <v>0</v>
      </c>
    </row>
    <row r="222" spans="1:26" x14ac:dyDescent="0.25">
      <c r="A222" s="52">
        <v>2023</v>
      </c>
      <c r="B222" s="52" t="s">
        <v>660</v>
      </c>
      <c r="C222" s="57" t="s">
        <v>532</v>
      </c>
      <c r="D222" s="58" t="s">
        <v>693</v>
      </c>
      <c r="E222" s="58" t="s">
        <v>693</v>
      </c>
      <c r="F222" s="58" t="s">
        <v>532</v>
      </c>
      <c r="G222" s="57" t="s">
        <v>724</v>
      </c>
      <c r="H222" s="39">
        <v>0</v>
      </c>
      <c r="I222" s="39">
        <v>2</v>
      </c>
      <c r="J222" s="38"/>
      <c r="K222" s="39">
        <v>109856.25</v>
      </c>
      <c r="L222" s="39">
        <v>0</v>
      </c>
      <c r="M222" s="39">
        <v>109856.25</v>
      </c>
      <c r="N222" s="38"/>
      <c r="O222" s="39">
        <v>39352.75</v>
      </c>
      <c r="P222" s="39">
        <v>0</v>
      </c>
      <c r="Q222" s="39">
        <v>39352.75</v>
      </c>
      <c r="R222" s="38"/>
      <c r="S222" s="39">
        <v>149209</v>
      </c>
      <c r="T222" s="39">
        <v>0</v>
      </c>
      <c r="U222" s="39">
        <v>149209</v>
      </c>
      <c r="V222" s="29"/>
      <c r="W222" s="29">
        <f>INDEX(SurtaxPayment!$C$6:$U$330,MATCH(PriorYear!$C222,SurtaxPayment!$C$6:$C$330,0),6)+INDEX(SurtaxPayment!$C$6:$U$330,MATCH(PriorYear!$C222,SurtaxPayment!$C$6:$C$330,0),7)</f>
        <v>2</v>
      </c>
      <c r="X222" s="29">
        <f t="shared" si="6"/>
        <v>0</v>
      </c>
      <c r="Y222" s="29">
        <f>INDEX(SurtaxPayment!$C$6:$U$330,MATCH(PriorYear!C222,SurtaxPayment!$C$6:$C$330,0),9)</f>
        <v>140868.14000000001</v>
      </c>
      <c r="Z222" s="66">
        <f t="shared" si="7"/>
        <v>0.28229518120270819</v>
      </c>
    </row>
    <row r="223" spans="1:26" x14ac:dyDescent="0.25">
      <c r="A223" s="52">
        <v>2023</v>
      </c>
      <c r="B223" s="52" t="s">
        <v>665</v>
      </c>
      <c r="C223" s="57" t="s">
        <v>533</v>
      </c>
      <c r="D223" s="58" t="s">
        <v>693</v>
      </c>
      <c r="E223" s="58" t="s">
        <v>693</v>
      </c>
      <c r="F223" s="58" t="s">
        <v>533</v>
      </c>
      <c r="G223" s="57" t="s">
        <v>198</v>
      </c>
      <c r="H223" s="39">
        <v>3</v>
      </c>
      <c r="I223" s="39">
        <v>5</v>
      </c>
      <c r="J223" s="38"/>
      <c r="K223" s="39">
        <v>367342.5</v>
      </c>
      <c r="L223" s="39">
        <v>137753.44</v>
      </c>
      <c r="M223" s="39">
        <v>229589.06</v>
      </c>
      <c r="N223" s="38"/>
      <c r="O223" s="39">
        <v>136135.5</v>
      </c>
      <c r="P223" s="39">
        <v>51050.81</v>
      </c>
      <c r="Q223" s="39">
        <v>85084.69</v>
      </c>
      <c r="R223" s="38"/>
      <c r="S223" s="39">
        <v>503478</v>
      </c>
      <c r="T223" s="39">
        <v>188804.25</v>
      </c>
      <c r="U223" s="39">
        <v>314673.75</v>
      </c>
      <c r="V223" s="29"/>
      <c r="W223" s="29">
        <f>INDEX(SurtaxPayment!$C$6:$U$330,MATCH(PriorYear!$C223,SurtaxPayment!$C$6:$C$330,0),6)+INDEX(SurtaxPayment!$C$6:$U$330,MATCH(PriorYear!$C223,SurtaxPayment!$C$6:$C$330,0),7)</f>
        <v>9</v>
      </c>
      <c r="X223" s="29">
        <f t="shared" si="6"/>
        <v>1</v>
      </c>
      <c r="Y223" s="29">
        <f>INDEX(SurtaxPayment!$C$6:$U$330,MATCH(PriorYear!C223,SurtaxPayment!$C$6:$C$330,0),9)</f>
        <v>505271.77</v>
      </c>
      <c r="Z223" s="66">
        <f t="shared" si="7"/>
        <v>0.37547866092270843</v>
      </c>
    </row>
    <row r="224" spans="1:26" x14ac:dyDescent="0.25">
      <c r="A224" s="52">
        <v>2023</v>
      </c>
      <c r="B224" s="52" t="s">
        <v>657</v>
      </c>
      <c r="C224" s="57" t="s">
        <v>534</v>
      </c>
      <c r="D224" s="58" t="s">
        <v>693</v>
      </c>
      <c r="E224" s="58" t="s">
        <v>693</v>
      </c>
      <c r="F224" s="58" t="s">
        <v>534</v>
      </c>
      <c r="G224" s="57" t="s">
        <v>199</v>
      </c>
      <c r="H224" s="39">
        <v>0</v>
      </c>
      <c r="I224" s="39">
        <v>4</v>
      </c>
      <c r="J224" s="38"/>
      <c r="K224" s="39">
        <v>143033.25</v>
      </c>
      <c r="L224" s="39">
        <v>0</v>
      </c>
      <c r="M224" s="39">
        <v>143033.25</v>
      </c>
      <c r="N224" s="38"/>
      <c r="O224" s="39">
        <v>53152.75</v>
      </c>
      <c r="P224" s="39">
        <v>0</v>
      </c>
      <c r="Q224" s="39">
        <v>53152.75</v>
      </c>
      <c r="R224" s="38"/>
      <c r="S224" s="39">
        <v>196186</v>
      </c>
      <c r="T224" s="39">
        <v>0</v>
      </c>
      <c r="U224" s="39">
        <v>196186</v>
      </c>
      <c r="V224" s="29"/>
      <c r="W224" s="29">
        <f>INDEX(SurtaxPayment!$C$6:$U$330,MATCH(PriorYear!$C224,SurtaxPayment!$C$6:$C$330,0),6)+INDEX(SurtaxPayment!$C$6:$U$330,MATCH(PriorYear!$C224,SurtaxPayment!$C$6:$C$330,0),7)</f>
        <v>4</v>
      </c>
      <c r="X224" s="29">
        <f t="shared" si="6"/>
        <v>0</v>
      </c>
      <c r="Y224" s="29">
        <f>INDEX(SurtaxPayment!$C$6:$U$330,MATCH(PriorYear!C224,SurtaxPayment!$C$6:$C$330,0),9)</f>
        <v>163147.01</v>
      </c>
      <c r="Z224" s="66">
        <f t="shared" si="7"/>
        <v>0.14062296703738472</v>
      </c>
    </row>
    <row r="225" spans="1:26" x14ac:dyDescent="0.25">
      <c r="A225" s="52">
        <v>2023</v>
      </c>
      <c r="B225" s="52" t="s">
        <v>661</v>
      </c>
      <c r="C225" s="57" t="s">
        <v>535</v>
      </c>
      <c r="D225" s="58" t="s">
        <v>693</v>
      </c>
      <c r="E225" s="58" t="s">
        <v>693</v>
      </c>
      <c r="F225" s="58" t="s">
        <v>535</v>
      </c>
      <c r="G225" s="57" t="s">
        <v>200</v>
      </c>
      <c r="H225" s="39">
        <v>0</v>
      </c>
      <c r="I225" s="39">
        <v>2</v>
      </c>
      <c r="J225" s="38"/>
      <c r="K225" s="39">
        <v>162561.75</v>
      </c>
      <c r="L225" s="39">
        <v>0</v>
      </c>
      <c r="M225" s="39">
        <v>162561.75</v>
      </c>
      <c r="N225" s="38"/>
      <c r="O225" s="39">
        <v>79124.25</v>
      </c>
      <c r="P225" s="39">
        <v>0</v>
      </c>
      <c r="Q225" s="39">
        <v>79124.25</v>
      </c>
      <c r="R225" s="38"/>
      <c r="S225" s="39">
        <v>241686</v>
      </c>
      <c r="T225" s="39">
        <v>0</v>
      </c>
      <c r="U225" s="39">
        <v>241686</v>
      </c>
      <c r="V225" s="29"/>
      <c r="W225" s="29">
        <f>INDEX(SurtaxPayment!$C$6:$U$330,MATCH(PriorYear!$C225,SurtaxPayment!$C$6:$C$330,0),6)+INDEX(SurtaxPayment!$C$6:$U$330,MATCH(PriorYear!$C225,SurtaxPayment!$C$6:$C$330,0),7)</f>
        <v>2</v>
      </c>
      <c r="X225" s="29">
        <f t="shared" si="6"/>
        <v>0</v>
      </c>
      <c r="Y225" s="29">
        <f>INDEX(SurtaxPayment!$C$6:$U$330,MATCH(PriorYear!C225,SurtaxPayment!$C$6:$C$330,0),9)</f>
        <v>192239.17</v>
      </c>
      <c r="Z225" s="66">
        <f t="shared" si="7"/>
        <v>0.18256090377964074</v>
      </c>
    </row>
    <row r="226" spans="1:26" x14ac:dyDescent="0.25">
      <c r="A226" s="52">
        <v>2023</v>
      </c>
      <c r="B226" s="52" t="s">
        <v>663</v>
      </c>
      <c r="C226" s="57" t="s">
        <v>536</v>
      </c>
      <c r="D226" s="58" t="s">
        <v>693</v>
      </c>
      <c r="E226" s="58" t="s">
        <v>693</v>
      </c>
      <c r="F226" s="58" t="s">
        <v>536</v>
      </c>
      <c r="G226" s="57" t="s">
        <v>201</v>
      </c>
      <c r="H226" s="39">
        <v>0</v>
      </c>
      <c r="I226" s="39">
        <v>1</v>
      </c>
      <c r="J226" s="38"/>
      <c r="K226" s="39">
        <v>8441.25</v>
      </c>
      <c r="L226" s="39">
        <v>0</v>
      </c>
      <c r="M226" s="39">
        <v>8441.25</v>
      </c>
      <c r="N226" s="38"/>
      <c r="O226" s="39">
        <v>3404.75</v>
      </c>
      <c r="P226" s="39">
        <v>0</v>
      </c>
      <c r="Q226" s="39">
        <v>3404.75</v>
      </c>
      <c r="R226" s="38"/>
      <c r="S226" s="39">
        <v>11846</v>
      </c>
      <c r="T226" s="39">
        <v>0</v>
      </c>
      <c r="U226" s="39">
        <v>11846</v>
      </c>
      <c r="V226" s="29"/>
      <c r="W226" s="29">
        <f>INDEX(SurtaxPayment!$C$6:$U$330,MATCH(PriorYear!$C226,SurtaxPayment!$C$6:$C$330,0),6)+INDEX(SurtaxPayment!$C$6:$U$330,MATCH(PriorYear!$C226,SurtaxPayment!$C$6:$C$330,0),7)</f>
        <v>1</v>
      </c>
      <c r="X226" s="29">
        <f t="shared" si="6"/>
        <v>0</v>
      </c>
      <c r="Y226" s="29">
        <f>INDEX(SurtaxPayment!$C$6:$U$330,MATCH(PriorYear!C226,SurtaxPayment!$C$6:$C$330,0),9)</f>
        <v>11299.71</v>
      </c>
      <c r="Z226" s="66">
        <f t="shared" si="7"/>
        <v>0.33862994224788973</v>
      </c>
    </row>
    <row r="227" spans="1:26" x14ac:dyDescent="0.25">
      <c r="A227" s="52">
        <v>2023</v>
      </c>
      <c r="B227" s="52" t="s">
        <v>659</v>
      </c>
      <c r="C227" s="57" t="s">
        <v>537</v>
      </c>
      <c r="D227" s="58" t="s">
        <v>693</v>
      </c>
      <c r="E227" s="58" t="s">
        <v>693</v>
      </c>
      <c r="F227" s="58" t="s">
        <v>537</v>
      </c>
      <c r="G227" s="57" t="s">
        <v>202</v>
      </c>
      <c r="H227" s="39">
        <v>3</v>
      </c>
      <c r="I227" s="39">
        <v>10</v>
      </c>
      <c r="J227" s="38"/>
      <c r="K227" s="39">
        <v>104349</v>
      </c>
      <c r="L227" s="39">
        <v>24080.54</v>
      </c>
      <c r="M227" s="39">
        <v>80268.459999999992</v>
      </c>
      <c r="N227" s="38"/>
      <c r="O227" s="39">
        <v>37499</v>
      </c>
      <c r="P227" s="39">
        <v>8653.6200000000008</v>
      </c>
      <c r="Q227" s="39">
        <v>28845.379999999997</v>
      </c>
      <c r="R227" s="38"/>
      <c r="S227" s="39">
        <v>141848</v>
      </c>
      <c r="T227" s="39">
        <v>32734.160000000003</v>
      </c>
      <c r="U227" s="39">
        <v>109113.84</v>
      </c>
      <c r="V227" s="29"/>
      <c r="W227" s="29">
        <f>INDEX(SurtaxPayment!$C$6:$U$330,MATCH(PriorYear!$C227,SurtaxPayment!$C$6:$C$330,0),6)+INDEX(SurtaxPayment!$C$6:$U$330,MATCH(PriorYear!$C227,SurtaxPayment!$C$6:$C$330,0),7)</f>
        <v>10</v>
      </c>
      <c r="X227" s="29">
        <f t="shared" si="6"/>
        <v>-3</v>
      </c>
      <c r="Y227" s="29">
        <f>INDEX(SurtaxPayment!$C$6:$U$330,MATCH(PriorYear!C227,SurtaxPayment!$C$6:$C$330,0),9)</f>
        <v>104774.8</v>
      </c>
      <c r="Z227" s="66">
        <f t="shared" si="7"/>
        <v>4.080537427287304E-3</v>
      </c>
    </row>
    <row r="228" spans="1:26" x14ac:dyDescent="0.25">
      <c r="A228" s="52">
        <v>2023</v>
      </c>
      <c r="B228" s="52" t="s">
        <v>658</v>
      </c>
      <c r="C228" s="57" t="s">
        <v>538</v>
      </c>
      <c r="D228" s="58" t="s">
        <v>693</v>
      </c>
      <c r="E228" s="58" t="s">
        <v>693</v>
      </c>
      <c r="F228" s="58" t="s">
        <v>538</v>
      </c>
      <c r="G228" s="57" t="s">
        <v>203</v>
      </c>
      <c r="H228" s="39">
        <v>1</v>
      </c>
      <c r="I228" s="39">
        <v>1</v>
      </c>
      <c r="J228" s="38"/>
      <c r="K228" s="39">
        <v>103530.75</v>
      </c>
      <c r="L228" s="39">
        <v>51765.38</v>
      </c>
      <c r="M228" s="39">
        <v>51765.37</v>
      </c>
      <c r="N228" s="38"/>
      <c r="O228" s="39">
        <v>43069.25</v>
      </c>
      <c r="P228" s="39">
        <v>21534.63</v>
      </c>
      <c r="Q228" s="39">
        <v>21534.62</v>
      </c>
      <c r="R228" s="38"/>
      <c r="S228" s="39">
        <v>146600</v>
      </c>
      <c r="T228" s="39">
        <v>73300.009999999995</v>
      </c>
      <c r="U228" s="39">
        <v>73299.990000000005</v>
      </c>
      <c r="V228" s="29"/>
      <c r="W228" s="29">
        <f>INDEX(SurtaxPayment!$C$6:$U$330,MATCH(PriorYear!$C228,SurtaxPayment!$C$6:$C$330,0),6)+INDEX(SurtaxPayment!$C$6:$U$330,MATCH(PriorYear!$C228,SurtaxPayment!$C$6:$C$330,0),7)</f>
        <v>2</v>
      </c>
      <c r="X228" s="29">
        <f t="shared" si="6"/>
        <v>0</v>
      </c>
      <c r="Y228" s="29">
        <f>INDEX(SurtaxPayment!$C$6:$U$330,MATCH(PriorYear!C228,SurtaxPayment!$C$6:$C$330,0),9)</f>
        <v>135212.37</v>
      </c>
      <c r="Z228" s="66">
        <f t="shared" si="7"/>
        <v>0.30601169217841073</v>
      </c>
    </row>
    <row r="229" spans="1:26" x14ac:dyDescent="0.25">
      <c r="A229" s="52">
        <v>2023</v>
      </c>
      <c r="B229" s="52" t="s">
        <v>662</v>
      </c>
      <c r="C229" s="57" t="s">
        <v>539</v>
      </c>
      <c r="D229" s="58" t="s">
        <v>693</v>
      </c>
      <c r="E229" s="58" t="s">
        <v>693</v>
      </c>
      <c r="F229" s="58" t="s">
        <v>539</v>
      </c>
      <c r="G229" s="57" t="s">
        <v>204</v>
      </c>
      <c r="H229" s="39">
        <v>0</v>
      </c>
      <c r="I229" s="39">
        <v>4</v>
      </c>
      <c r="J229" s="38"/>
      <c r="K229" s="39">
        <v>480017.25</v>
      </c>
      <c r="L229" s="39">
        <v>0</v>
      </c>
      <c r="M229" s="39">
        <v>480017.25</v>
      </c>
      <c r="N229" s="38"/>
      <c r="O229" s="39">
        <v>181917.75</v>
      </c>
      <c r="P229" s="39">
        <v>0</v>
      </c>
      <c r="Q229" s="39">
        <v>181917.75</v>
      </c>
      <c r="R229" s="38"/>
      <c r="S229" s="39">
        <v>661935</v>
      </c>
      <c r="T229" s="39">
        <v>0</v>
      </c>
      <c r="U229" s="39">
        <v>661935</v>
      </c>
      <c r="V229" s="29"/>
      <c r="W229" s="29">
        <f>INDEX(SurtaxPayment!$C$6:$U$330,MATCH(PriorYear!$C229,SurtaxPayment!$C$6:$C$330,0),6)+INDEX(SurtaxPayment!$C$6:$U$330,MATCH(PriorYear!$C229,SurtaxPayment!$C$6:$C$330,0),7)</f>
        <v>4</v>
      </c>
      <c r="X229" s="29">
        <f t="shared" si="6"/>
        <v>0</v>
      </c>
      <c r="Y229" s="29">
        <f>INDEX(SurtaxPayment!$C$6:$U$330,MATCH(PriorYear!C229,SurtaxPayment!$C$6:$C$330,0),9)</f>
        <v>622103.26</v>
      </c>
      <c r="Z229" s="66">
        <f t="shared" si="7"/>
        <v>0.29600188326565352</v>
      </c>
    </row>
    <row r="230" spans="1:26" x14ac:dyDescent="0.25">
      <c r="A230" s="52">
        <v>2023</v>
      </c>
      <c r="B230" s="52" t="s">
        <v>662</v>
      </c>
      <c r="C230" s="57" t="s">
        <v>540</v>
      </c>
      <c r="D230" s="58" t="s">
        <v>693</v>
      </c>
      <c r="E230" s="58" t="s">
        <v>693</v>
      </c>
      <c r="F230" s="58" t="s">
        <v>540</v>
      </c>
      <c r="G230" s="57" t="s">
        <v>725</v>
      </c>
      <c r="H230" s="39">
        <v>0</v>
      </c>
      <c r="I230" s="39">
        <v>3</v>
      </c>
      <c r="J230" s="38"/>
      <c r="K230" s="39">
        <v>562164.75</v>
      </c>
      <c r="L230" s="39">
        <v>0</v>
      </c>
      <c r="M230" s="39">
        <v>562164.75</v>
      </c>
      <c r="N230" s="38"/>
      <c r="O230" s="39">
        <v>212322.25</v>
      </c>
      <c r="P230" s="39">
        <v>0</v>
      </c>
      <c r="Q230" s="39">
        <v>212322.25</v>
      </c>
      <c r="R230" s="38"/>
      <c r="S230" s="39">
        <v>774487</v>
      </c>
      <c r="T230" s="39">
        <v>0</v>
      </c>
      <c r="U230" s="39">
        <v>774487</v>
      </c>
      <c r="V230" s="29"/>
      <c r="W230" s="29">
        <f>INDEX(SurtaxPayment!$C$6:$U$330,MATCH(PriorYear!$C230,SurtaxPayment!$C$6:$C$330,0),6)+INDEX(SurtaxPayment!$C$6:$U$330,MATCH(PriorYear!$C230,SurtaxPayment!$C$6:$C$330,0),7)</f>
        <v>3</v>
      </c>
      <c r="X230" s="29">
        <f t="shared" si="6"/>
        <v>0</v>
      </c>
      <c r="Y230" s="29">
        <f>INDEX(SurtaxPayment!$C$6:$U$330,MATCH(PriorYear!C230,SurtaxPayment!$C$6:$C$330,0),9)</f>
        <v>663825.78</v>
      </c>
      <c r="Z230" s="66">
        <f t="shared" si="7"/>
        <v>0.18083849974584856</v>
      </c>
    </row>
    <row r="231" spans="1:26" x14ac:dyDescent="0.25">
      <c r="A231" s="52">
        <v>2023</v>
      </c>
      <c r="B231" s="52" t="s">
        <v>657</v>
      </c>
      <c r="C231" s="57" t="s">
        <v>541</v>
      </c>
      <c r="D231" s="58" t="s">
        <v>693</v>
      </c>
      <c r="E231" s="58" t="s">
        <v>693</v>
      </c>
      <c r="F231" s="58" t="s">
        <v>541</v>
      </c>
      <c r="G231" s="57" t="s">
        <v>205</v>
      </c>
      <c r="H231" s="39">
        <v>0</v>
      </c>
      <c r="I231" s="39">
        <v>4</v>
      </c>
      <c r="J231" s="38"/>
      <c r="K231" s="39">
        <v>217962</v>
      </c>
      <c r="L231" s="39">
        <v>0</v>
      </c>
      <c r="M231" s="39">
        <v>217962</v>
      </c>
      <c r="N231" s="38"/>
      <c r="O231" s="39">
        <v>96074</v>
      </c>
      <c r="P231" s="39">
        <v>0</v>
      </c>
      <c r="Q231" s="39">
        <v>96074</v>
      </c>
      <c r="R231" s="38"/>
      <c r="S231" s="39">
        <v>314036</v>
      </c>
      <c r="T231" s="39">
        <v>0</v>
      </c>
      <c r="U231" s="39">
        <v>314036</v>
      </c>
      <c r="V231" s="29"/>
      <c r="W231" s="29">
        <f>INDEX(SurtaxPayment!$C$6:$U$330,MATCH(PriorYear!$C231,SurtaxPayment!$C$6:$C$330,0),6)+INDEX(SurtaxPayment!$C$6:$U$330,MATCH(PriorYear!$C231,SurtaxPayment!$C$6:$C$330,0),7)</f>
        <v>4</v>
      </c>
      <c r="X231" s="29">
        <f t="shared" si="6"/>
        <v>0</v>
      </c>
      <c r="Y231" s="29">
        <f>INDEX(SurtaxPayment!$C$6:$U$330,MATCH(PriorYear!C231,SurtaxPayment!$C$6:$C$330,0),9)</f>
        <v>238018.23</v>
      </c>
      <c r="Z231" s="66">
        <f t="shared" si="7"/>
        <v>9.2017094722933401E-2</v>
      </c>
    </row>
    <row r="232" spans="1:26" x14ac:dyDescent="0.25">
      <c r="A232" s="52">
        <v>2023</v>
      </c>
      <c r="B232" s="52" t="s">
        <v>661</v>
      </c>
      <c r="C232" s="57" t="s">
        <v>542</v>
      </c>
      <c r="D232" s="58" t="s">
        <v>693</v>
      </c>
      <c r="E232" s="58" t="s">
        <v>693</v>
      </c>
      <c r="F232" s="58" t="s">
        <v>542</v>
      </c>
      <c r="G232" s="57" t="s">
        <v>206</v>
      </c>
      <c r="H232" s="39">
        <v>0</v>
      </c>
      <c r="I232" s="39">
        <v>2</v>
      </c>
      <c r="J232" s="38"/>
      <c r="K232" s="39">
        <v>17131.5</v>
      </c>
      <c r="L232" s="39">
        <v>0</v>
      </c>
      <c r="M232" s="39">
        <v>17131.5</v>
      </c>
      <c r="N232" s="38"/>
      <c r="O232" s="39">
        <v>6364.5</v>
      </c>
      <c r="P232" s="39">
        <v>0</v>
      </c>
      <c r="Q232" s="39">
        <v>6364.5</v>
      </c>
      <c r="R232" s="38"/>
      <c r="S232" s="39">
        <v>23496</v>
      </c>
      <c r="T232" s="39">
        <v>0</v>
      </c>
      <c r="U232" s="39">
        <v>23496</v>
      </c>
      <c r="V232" s="29"/>
      <c r="W232" s="29">
        <f>INDEX(SurtaxPayment!$C$6:$U$330,MATCH(PriorYear!$C232,SurtaxPayment!$C$6:$C$330,0),6)+INDEX(SurtaxPayment!$C$6:$U$330,MATCH(PriorYear!$C232,SurtaxPayment!$C$6:$C$330,0),7)</f>
        <v>1</v>
      </c>
      <c r="X232" s="29">
        <f t="shared" si="6"/>
        <v>-1</v>
      </c>
      <c r="Y232" s="29">
        <f>INDEX(SurtaxPayment!$C$6:$U$330,MATCH(PriorYear!C232,SurtaxPayment!$C$6:$C$330,0),9)</f>
        <v>11614.85</v>
      </c>
      <c r="Z232" s="66">
        <f t="shared" si="7"/>
        <v>-0.32201792020546943</v>
      </c>
    </row>
    <row r="233" spans="1:26" x14ac:dyDescent="0.25">
      <c r="A233" s="52">
        <v>2023</v>
      </c>
      <c r="B233" s="52" t="s">
        <v>657</v>
      </c>
      <c r="C233" s="57" t="s">
        <v>551</v>
      </c>
      <c r="D233" s="58" t="s">
        <v>693</v>
      </c>
      <c r="E233" s="58" t="s">
        <v>693</v>
      </c>
      <c r="F233" s="58" t="s">
        <v>671</v>
      </c>
      <c r="G233" s="57" t="s">
        <v>6</v>
      </c>
      <c r="H233" s="39">
        <v>0</v>
      </c>
      <c r="I233" s="39">
        <v>5</v>
      </c>
      <c r="J233" s="38"/>
      <c r="K233" s="39">
        <v>277914.75</v>
      </c>
      <c r="L233" s="39">
        <v>0</v>
      </c>
      <c r="M233" s="39">
        <v>277914.75</v>
      </c>
      <c r="N233" s="38"/>
      <c r="O233" s="39">
        <v>113495.25</v>
      </c>
      <c r="P233" s="39">
        <v>0</v>
      </c>
      <c r="Q233" s="39">
        <v>113495.25</v>
      </c>
      <c r="R233" s="38"/>
      <c r="S233" s="39">
        <v>391410</v>
      </c>
      <c r="T233" s="39">
        <v>0</v>
      </c>
      <c r="U233" s="39">
        <v>391410</v>
      </c>
      <c r="V233" s="29"/>
      <c r="W233" s="29">
        <f>INDEX(SurtaxPayment!$C$6:$U$330,MATCH(PriorYear!$C233,SurtaxPayment!$C$6:$C$330,0),6)+INDEX(SurtaxPayment!$C$6:$U$330,MATCH(PriorYear!$C233,SurtaxPayment!$C$6:$C$330,0),7)</f>
        <v>5</v>
      </c>
      <c r="X233" s="29">
        <f t="shared" si="6"/>
        <v>0</v>
      </c>
      <c r="Y233" s="29">
        <f>INDEX(SurtaxPayment!$C$6:$U$330,MATCH(PriorYear!C233,SurtaxPayment!$C$6:$C$330,0),9)</f>
        <v>379663.53</v>
      </c>
      <c r="Z233" s="66">
        <f t="shared" si="7"/>
        <v>0.3661150766557012</v>
      </c>
    </row>
    <row r="234" spans="1:26" x14ac:dyDescent="0.25">
      <c r="A234" s="52">
        <v>2023</v>
      </c>
      <c r="B234" s="52" t="s">
        <v>662</v>
      </c>
      <c r="C234" s="57" t="s">
        <v>544</v>
      </c>
      <c r="D234" s="58" t="s">
        <v>693</v>
      </c>
      <c r="E234" s="58" t="s">
        <v>693</v>
      </c>
      <c r="F234" s="58" t="s">
        <v>544</v>
      </c>
      <c r="G234" s="57" t="s">
        <v>207</v>
      </c>
      <c r="H234" s="39">
        <v>3</v>
      </c>
      <c r="I234" s="39">
        <v>3</v>
      </c>
      <c r="J234" s="38"/>
      <c r="K234" s="39">
        <v>149175.75</v>
      </c>
      <c r="L234" s="39">
        <v>74587.88</v>
      </c>
      <c r="M234" s="39">
        <v>74587.87</v>
      </c>
      <c r="N234" s="38"/>
      <c r="O234" s="39">
        <v>58128.25</v>
      </c>
      <c r="P234" s="39">
        <v>29064.13</v>
      </c>
      <c r="Q234" s="39">
        <v>29064.12</v>
      </c>
      <c r="R234" s="38"/>
      <c r="S234" s="39">
        <v>207304</v>
      </c>
      <c r="T234" s="39">
        <v>103652.01000000001</v>
      </c>
      <c r="U234" s="39">
        <v>103651.98999999999</v>
      </c>
      <c r="V234" s="29"/>
      <c r="W234" s="29">
        <f>INDEX(SurtaxPayment!$C$6:$U$330,MATCH(PriorYear!$C234,SurtaxPayment!$C$6:$C$330,0),6)+INDEX(SurtaxPayment!$C$6:$U$330,MATCH(PriorYear!$C234,SurtaxPayment!$C$6:$C$330,0),7)</f>
        <v>7</v>
      </c>
      <c r="X234" s="29">
        <f t="shared" si="6"/>
        <v>1</v>
      </c>
      <c r="Y234" s="29">
        <f>INDEX(SurtaxPayment!$C$6:$U$330,MATCH(PriorYear!C234,SurtaxPayment!$C$6:$C$330,0),9)</f>
        <v>222080.76</v>
      </c>
      <c r="Z234" s="66">
        <f t="shared" si="7"/>
        <v>0.48871891041271792</v>
      </c>
    </row>
    <row r="235" spans="1:26" x14ac:dyDescent="0.25">
      <c r="A235" s="52">
        <v>2023</v>
      </c>
      <c r="B235" s="52" t="s">
        <v>657</v>
      </c>
      <c r="C235" s="57" t="s">
        <v>545</v>
      </c>
      <c r="D235" s="58" t="s">
        <v>693</v>
      </c>
      <c r="E235" s="58" t="s">
        <v>693</v>
      </c>
      <c r="F235" s="58" t="s">
        <v>545</v>
      </c>
      <c r="G235" s="57" t="s">
        <v>208</v>
      </c>
      <c r="H235" s="39">
        <v>0</v>
      </c>
      <c r="I235" s="39">
        <v>4</v>
      </c>
      <c r="J235" s="38"/>
      <c r="K235" s="39">
        <v>729017.25</v>
      </c>
      <c r="L235" s="39">
        <v>0</v>
      </c>
      <c r="M235" s="39">
        <v>729017.25</v>
      </c>
      <c r="N235" s="38"/>
      <c r="O235" s="39">
        <v>287508.75</v>
      </c>
      <c r="P235" s="39">
        <v>0</v>
      </c>
      <c r="Q235" s="39">
        <v>287508.75</v>
      </c>
      <c r="R235" s="38"/>
      <c r="S235" s="39">
        <v>1016526</v>
      </c>
      <c r="T235" s="39">
        <v>0</v>
      </c>
      <c r="U235" s="39">
        <v>1016526</v>
      </c>
      <c r="V235" s="29"/>
      <c r="W235" s="29">
        <f>INDEX(SurtaxPayment!$C$6:$U$330,MATCH(PriorYear!$C235,SurtaxPayment!$C$6:$C$330,0),6)+INDEX(SurtaxPayment!$C$6:$U$330,MATCH(PriorYear!$C235,SurtaxPayment!$C$6:$C$330,0),7)</f>
        <v>4</v>
      </c>
      <c r="X235" s="29">
        <f t="shared" si="6"/>
        <v>0</v>
      </c>
      <c r="Y235" s="29">
        <f>INDEX(SurtaxPayment!$C$6:$U$330,MATCH(PriorYear!C235,SurtaxPayment!$C$6:$C$330,0),9)</f>
        <v>1083614.8999999999</v>
      </c>
      <c r="Z235" s="66">
        <f t="shared" si="7"/>
        <v>0.48640501990865087</v>
      </c>
    </row>
    <row r="236" spans="1:26" x14ac:dyDescent="0.25">
      <c r="A236" s="52">
        <v>2023</v>
      </c>
      <c r="B236" s="52" t="s">
        <v>657</v>
      </c>
      <c r="C236" s="57" t="s">
        <v>546</v>
      </c>
      <c r="D236" s="58" t="s">
        <v>693</v>
      </c>
      <c r="E236" s="58" t="s">
        <v>693</v>
      </c>
      <c r="F236" s="58" t="s">
        <v>546</v>
      </c>
      <c r="G236" s="57" t="s">
        <v>209</v>
      </c>
      <c r="H236" s="39">
        <v>3</v>
      </c>
      <c r="I236" s="39">
        <v>0</v>
      </c>
      <c r="J236" s="38"/>
      <c r="K236" s="39">
        <v>191361</v>
      </c>
      <c r="L236" s="39">
        <v>191361</v>
      </c>
      <c r="M236" s="39">
        <v>0</v>
      </c>
      <c r="N236" s="38"/>
      <c r="O236" s="39">
        <v>72146</v>
      </c>
      <c r="P236" s="39">
        <v>72146</v>
      </c>
      <c r="Q236" s="39">
        <v>0</v>
      </c>
      <c r="R236" s="38"/>
      <c r="S236" s="39">
        <v>263507</v>
      </c>
      <c r="T236" s="39">
        <v>263507</v>
      </c>
      <c r="U236" s="39">
        <v>0</v>
      </c>
      <c r="V236" s="29"/>
      <c r="W236" s="29">
        <f>INDEX(SurtaxPayment!$C$6:$U$330,MATCH(PriorYear!$C236,SurtaxPayment!$C$6:$C$330,0),6)+INDEX(SurtaxPayment!$C$6:$U$330,MATCH(PriorYear!$C236,SurtaxPayment!$C$6:$C$330,0),7)</f>
        <v>3</v>
      </c>
      <c r="X236" s="29">
        <f t="shared" si="6"/>
        <v>0</v>
      </c>
      <c r="Y236" s="29">
        <f>INDEX(SurtaxPayment!$C$6:$U$330,MATCH(PriorYear!C236,SurtaxPayment!$C$6:$C$330,0),9)</f>
        <v>232062.78</v>
      </c>
      <c r="Z236" s="66">
        <f t="shared" si="7"/>
        <v>0.21269631743145154</v>
      </c>
    </row>
    <row r="237" spans="1:26" x14ac:dyDescent="0.25">
      <c r="A237" s="52">
        <v>2023</v>
      </c>
      <c r="B237" s="52" t="s">
        <v>666</v>
      </c>
      <c r="C237" s="57" t="s">
        <v>547</v>
      </c>
      <c r="D237" s="58" t="s">
        <v>693</v>
      </c>
      <c r="E237" s="58" t="s">
        <v>693</v>
      </c>
      <c r="F237" s="58" t="s">
        <v>547</v>
      </c>
      <c r="G237" s="57" t="s">
        <v>726</v>
      </c>
      <c r="H237" s="39">
        <v>0</v>
      </c>
      <c r="I237" s="39">
        <v>0</v>
      </c>
      <c r="J237" s="38"/>
      <c r="K237" s="39">
        <v>0</v>
      </c>
      <c r="L237" s="39">
        <v>0</v>
      </c>
      <c r="M237" s="39">
        <v>0</v>
      </c>
      <c r="N237" s="38"/>
      <c r="O237" s="39">
        <v>0</v>
      </c>
      <c r="P237" s="39">
        <v>0</v>
      </c>
      <c r="Q237" s="39">
        <v>0</v>
      </c>
      <c r="R237" s="38"/>
      <c r="S237" s="39">
        <v>0</v>
      </c>
      <c r="T237" s="39">
        <v>0</v>
      </c>
      <c r="U237" s="39">
        <v>0</v>
      </c>
      <c r="V237" s="29"/>
      <c r="W237" s="29">
        <f>INDEX(SurtaxPayment!$C$6:$U$330,MATCH(PriorYear!$C237,SurtaxPayment!$C$6:$C$330,0),6)+INDEX(SurtaxPayment!$C$6:$U$330,MATCH(PriorYear!$C237,SurtaxPayment!$C$6:$C$330,0),7)</f>
        <v>0</v>
      </c>
      <c r="X237" s="29">
        <f t="shared" si="6"/>
        <v>0</v>
      </c>
      <c r="Y237" s="29">
        <f>INDEX(SurtaxPayment!$C$6:$U$330,MATCH(PriorYear!C237,SurtaxPayment!$C$6:$C$330,0),9)</f>
        <v>0</v>
      </c>
      <c r="Z237" s="66">
        <f t="shared" si="7"/>
        <v>0</v>
      </c>
    </row>
    <row r="238" spans="1:26" x14ac:dyDescent="0.25">
      <c r="A238" s="52">
        <v>2023</v>
      </c>
      <c r="B238" s="52" t="s">
        <v>657</v>
      </c>
      <c r="C238" s="57" t="s">
        <v>548</v>
      </c>
      <c r="D238" s="58" t="s">
        <v>693</v>
      </c>
      <c r="E238" s="58" t="s">
        <v>693</v>
      </c>
      <c r="F238" s="58" t="s">
        <v>548</v>
      </c>
      <c r="G238" s="57" t="s">
        <v>210</v>
      </c>
      <c r="H238" s="39">
        <v>0</v>
      </c>
      <c r="I238" s="39">
        <v>8</v>
      </c>
      <c r="J238" s="38"/>
      <c r="K238" s="39">
        <v>258280.5</v>
      </c>
      <c r="L238" s="39">
        <v>0</v>
      </c>
      <c r="M238" s="39">
        <v>258280.5</v>
      </c>
      <c r="N238" s="38"/>
      <c r="O238" s="39">
        <v>97451.5</v>
      </c>
      <c r="P238" s="39">
        <v>0</v>
      </c>
      <c r="Q238" s="39">
        <v>97451.5</v>
      </c>
      <c r="R238" s="38"/>
      <c r="S238" s="39">
        <v>355732</v>
      </c>
      <c r="T238" s="39">
        <v>0</v>
      </c>
      <c r="U238" s="39">
        <v>355732</v>
      </c>
      <c r="V238" s="29"/>
      <c r="W238" s="29">
        <f>INDEX(SurtaxPayment!$C$6:$U$330,MATCH(PriorYear!$C238,SurtaxPayment!$C$6:$C$330,0),6)+INDEX(SurtaxPayment!$C$6:$U$330,MATCH(PriorYear!$C238,SurtaxPayment!$C$6:$C$330,0),7)</f>
        <v>8</v>
      </c>
      <c r="X238" s="29">
        <f t="shared" si="6"/>
        <v>0</v>
      </c>
      <c r="Y238" s="29">
        <f>INDEX(SurtaxPayment!$C$6:$U$330,MATCH(PriorYear!C238,SurtaxPayment!$C$6:$C$330,0),9)</f>
        <v>330737.03999999998</v>
      </c>
      <c r="Z238" s="66">
        <f t="shared" si="7"/>
        <v>0.28053430282193187</v>
      </c>
    </row>
    <row r="239" spans="1:26" x14ac:dyDescent="0.25">
      <c r="A239" s="52">
        <v>2023</v>
      </c>
      <c r="B239" s="52" t="s">
        <v>661</v>
      </c>
      <c r="C239" s="57" t="s">
        <v>549</v>
      </c>
      <c r="D239" s="58" t="s">
        <v>693</v>
      </c>
      <c r="E239" s="58" t="s">
        <v>693</v>
      </c>
      <c r="F239" s="58" t="s">
        <v>549</v>
      </c>
      <c r="G239" s="57" t="s">
        <v>211</v>
      </c>
      <c r="H239" s="39">
        <v>0</v>
      </c>
      <c r="I239" s="39">
        <v>9</v>
      </c>
      <c r="J239" s="38"/>
      <c r="K239" s="39">
        <v>333204.75</v>
      </c>
      <c r="L239" s="39">
        <v>0</v>
      </c>
      <c r="M239" s="39">
        <v>333204.75</v>
      </c>
      <c r="N239" s="38"/>
      <c r="O239" s="39">
        <v>136626.25</v>
      </c>
      <c r="P239" s="39">
        <v>0</v>
      </c>
      <c r="Q239" s="39">
        <v>136626.25</v>
      </c>
      <c r="R239" s="38"/>
      <c r="S239" s="39">
        <v>469831</v>
      </c>
      <c r="T239" s="39">
        <v>0</v>
      </c>
      <c r="U239" s="39">
        <v>469831</v>
      </c>
      <c r="V239" s="29"/>
      <c r="W239" s="29">
        <f>INDEX(SurtaxPayment!$C$6:$U$330,MATCH(PriorYear!$C239,SurtaxPayment!$C$6:$C$330,0),6)+INDEX(SurtaxPayment!$C$6:$U$330,MATCH(PriorYear!$C239,SurtaxPayment!$C$6:$C$330,0),7)</f>
        <v>9</v>
      </c>
      <c r="X239" s="29">
        <f t="shared" si="6"/>
        <v>0</v>
      </c>
      <c r="Y239" s="29">
        <f>INDEX(SurtaxPayment!$C$6:$U$330,MATCH(PriorYear!C239,SurtaxPayment!$C$6:$C$330,0),9)</f>
        <v>399534.92</v>
      </c>
      <c r="Z239" s="66">
        <f t="shared" si="7"/>
        <v>0.19906730021105637</v>
      </c>
    </row>
    <row r="240" spans="1:26" x14ac:dyDescent="0.25">
      <c r="A240" s="52">
        <v>2023</v>
      </c>
      <c r="B240" s="52" t="s">
        <v>665</v>
      </c>
      <c r="C240" s="57" t="s">
        <v>550</v>
      </c>
      <c r="D240" s="58" t="s">
        <v>693</v>
      </c>
      <c r="E240" s="58" t="s">
        <v>693</v>
      </c>
      <c r="F240" s="58" t="s">
        <v>550</v>
      </c>
      <c r="G240" s="57" t="s">
        <v>212</v>
      </c>
      <c r="H240" s="39">
        <v>2</v>
      </c>
      <c r="I240" s="39">
        <v>13</v>
      </c>
      <c r="J240" s="38"/>
      <c r="K240" s="39">
        <v>273363.75</v>
      </c>
      <c r="L240" s="39">
        <v>36448.5</v>
      </c>
      <c r="M240" s="39">
        <v>236915.25</v>
      </c>
      <c r="N240" s="38"/>
      <c r="O240" s="39">
        <v>101355.25</v>
      </c>
      <c r="P240" s="39">
        <v>13514.03</v>
      </c>
      <c r="Q240" s="39">
        <v>87841.22</v>
      </c>
      <c r="R240" s="38"/>
      <c r="S240" s="39">
        <v>374719</v>
      </c>
      <c r="T240" s="39">
        <v>49962.53</v>
      </c>
      <c r="U240" s="39">
        <v>324756.46999999997</v>
      </c>
      <c r="V240" s="29"/>
      <c r="W240" s="29">
        <f>INDEX(SurtaxPayment!$C$6:$U$330,MATCH(PriorYear!$C240,SurtaxPayment!$C$6:$C$330,0),6)+INDEX(SurtaxPayment!$C$6:$U$330,MATCH(PriorYear!$C240,SurtaxPayment!$C$6:$C$330,0),7)</f>
        <v>15</v>
      </c>
      <c r="X240" s="29">
        <f t="shared" si="6"/>
        <v>0</v>
      </c>
      <c r="Y240" s="29">
        <f>INDEX(SurtaxPayment!$C$6:$U$330,MATCH(PriorYear!C240,SurtaxPayment!$C$6:$C$330,0),9)</f>
        <v>309053.01</v>
      </c>
      <c r="Z240" s="66">
        <f t="shared" si="7"/>
        <v>0.13055593508649194</v>
      </c>
    </row>
    <row r="241" spans="1:26" x14ac:dyDescent="0.25">
      <c r="A241" s="52">
        <v>2023</v>
      </c>
      <c r="B241" s="52" t="s">
        <v>661</v>
      </c>
      <c r="C241" s="57" t="s">
        <v>552</v>
      </c>
      <c r="D241" s="58" t="s">
        <v>693</v>
      </c>
      <c r="E241" s="58" t="s">
        <v>693</v>
      </c>
      <c r="F241" s="58" t="s">
        <v>672</v>
      </c>
      <c r="G241" s="57" t="s">
        <v>213</v>
      </c>
      <c r="H241" s="39">
        <v>1</v>
      </c>
      <c r="I241" s="39">
        <v>5</v>
      </c>
      <c r="J241" s="38"/>
      <c r="K241" s="39">
        <v>175467.75</v>
      </c>
      <c r="L241" s="39">
        <v>29244.63</v>
      </c>
      <c r="M241" s="39">
        <v>146223.12</v>
      </c>
      <c r="N241" s="38"/>
      <c r="O241" s="39">
        <v>72376.25</v>
      </c>
      <c r="P241" s="39">
        <v>12062.71</v>
      </c>
      <c r="Q241" s="39">
        <v>60313.54</v>
      </c>
      <c r="R241" s="38"/>
      <c r="S241" s="39">
        <v>247844</v>
      </c>
      <c r="T241" s="39">
        <v>41307.339999999997</v>
      </c>
      <c r="U241" s="39">
        <v>206536.66</v>
      </c>
      <c r="V241" s="29"/>
      <c r="W241" s="29" t="e">
        <f>INDEX(SurtaxPayment!$C$6:$U$330,MATCH(PriorYear!$C241,SurtaxPayment!$C$6:$C$330,0),6)+INDEX(SurtaxPayment!$C$6:$U$330,MATCH(PriorYear!$C241,SurtaxPayment!$C$6:$C$330,0),7)</f>
        <v>#N/A</v>
      </c>
      <c r="X241" s="29" t="e">
        <f t="shared" si="6"/>
        <v>#N/A</v>
      </c>
      <c r="Y241" s="29" t="e">
        <f>INDEX(SurtaxPayment!$C$6:$U$330,MATCH(PriorYear!C241,SurtaxPayment!$C$6:$C$330,0),9)</f>
        <v>#N/A</v>
      </c>
      <c r="Z241" s="66">
        <f t="shared" si="7"/>
        <v>0</v>
      </c>
    </row>
    <row r="242" spans="1:26" x14ac:dyDescent="0.25">
      <c r="A242" s="52">
        <v>2023</v>
      </c>
      <c r="B242" s="52" t="s">
        <v>659</v>
      </c>
      <c r="C242" s="57" t="s">
        <v>553</v>
      </c>
      <c r="D242" s="58" t="s">
        <v>693</v>
      </c>
      <c r="E242" s="58" t="s">
        <v>693</v>
      </c>
      <c r="F242" s="58" t="s">
        <v>553</v>
      </c>
      <c r="G242" s="57" t="s">
        <v>214</v>
      </c>
      <c r="H242" s="39">
        <v>1</v>
      </c>
      <c r="I242" s="39">
        <v>5</v>
      </c>
      <c r="J242" s="38"/>
      <c r="K242" s="39">
        <v>274778.25</v>
      </c>
      <c r="L242" s="39">
        <v>45796.38</v>
      </c>
      <c r="M242" s="39">
        <v>228981.87</v>
      </c>
      <c r="N242" s="38"/>
      <c r="O242" s="39">
        <v>109860.75</v>
      </c>
      <c r="P242" s="39">
        <v>18310.13</v>
      </c>
      <c r="Q242" s="39">
        <v>91550.62</v>
      </c>
      <c r="R242" s="38"/>
      <c r="S242" s="39">
        <v>384639</v>
      </c>
      <c r="T242" s="39">
        <v>64106.509999999995</v>
      </c>
      <c r="U242" s="39">
        <v>320532.49</v>
      </c>
      <c r="V242" s="29"/>
      <c r="W242" s="29">
        <f>INDEX(SurtaxPayment!$C$6:$U$330,MATCH(PriorYear!$C242,SurtaxPayment!$C$6:$C$330,0),6)+INDEX(SurtaxPayment!$C$6:$U$330,MATCH(PriorYear!$C242,SurtaxPayment!$C$6:$C$330,0),7)</f>
        <v>6</v>
      </c>
      <c r="X242" s="29">
        <f t="shared" si="6"/>
        <v>0</v>
      </c>
      <c r="Y242" s="29">
        <f>INDEX(SurtaxPayment!$C$6:$U$330,MATCH(PriorYear!C242,SurtaxPayment!$C$6:$C$330,0),9)</f>
        <v>359672.08</v>
      </c>
      <c r="Z242" s="66">
        <f t="shared" si="7"/>
        <v>0.3089539656068121</v>
      </c>
    </row>
    <row r="243" spans="1:26" x14ac:dyDescent="0.25">
      <c r="A243" s="52">
        <v>2023</v>
      </c>
      <c r="B243" s="52" t="s">
        <v>660</v>
      </c>
      <c r="C243" s="57" t="s">
        <v>554</v>
      </c>
      <c r="D243" s="58" t="s">
        <v>693</v>
      </c>
      <c r="E243" s="58" t="s">
        <v>693</v>
      </c>
      <c r="F243" s="58" t="s">
        <v>554</v>
      </c>
      <c r="G243" s="57" t="s">
        <v>215</v>
      </c>
      <c r="H243" s="39">
        <v>0</v>
      </c>
      <c r="I243" s="39">
        <v>1</v>
      </c>
      <c r="J243" s="38"/>
      <c r="K243" s="39">
        <v>26933.25</v>
      </c>
      <c r="L243" s="39">
        <v>0</v>
      </c>
      <c r="M243" s="39">
        <v>26933.25</v>
      </c>
      <c r="N243" s="38"/>
      <c r="O243" s="39">
        <v>9951.75</v>
      </c>
      <c r="P243" s="39">
        <v>0</v>
      </c>
      <c r="Q243" s="39">
        <v>9951.75</v>
      </c>
      <c r="R243" s="38"/>
      <c r="S243" s="39">
        <v>36885</v>
      </c>
      <c r="T243" s="39">
        <v>0</v>
      </c>
      <c r="U243" s="39">
        <v>36885</v>
      </c>
      <c r="V243" s="29"/>
      <c r="W243" s="29">
        <f>INDEX(SurtaxPayment!$C$6:$U$330,MATCH(PriorYear!$C243,SurtaxPayment!$C$6:$C$330,0),6)+INDEX(SurtaxPayment!$C$6:$U$330,MATCH(PriorYear!$C243,SurtaxPayment!$C$6:$C$330,0),7)</f>
        <v>1</v>
      </c>
      <c r="X243" s="29">
        <f t="shared" si="6"/>
        <v>0</v>
      </c>
      <c r="Y243" s="29">
        <f>INDEX(SurtaxPayment!$C$6:$U$330,MATCH(PriorYear!C243,SurtaxPayment!$C$6:$C$330,0),9)</f>
        <v>33741.51</v>
      </c>
      <c r="Z243" s="66">
        <f t="shared" si="7"/>
        <v>0.25278271281779963</v>
      </c>
    </row>
    <row r="244" spans="1:26" x14ac:dyDescent="0.25">
      <c r="A244" s="52">
        <v>2023</v>
      </c>
      <c r="B244" s="52" t="s">
        <v>665</v>
      </c>
      <c r="C244" s="57" t="s">
        <v>555</v>
      </c>
      <c r="D244" s="58" t="s">
        <v>693</v>
      </c>
      <c r="E244" s="58" t="s">
        <v>693</v>
      </c>
      <c r="F244" s="58" t="s">
        <v>555</v>
      </c>
      <c r="G244" s="57" t="s">
        <v>216</v>
      </c>
      <c r="H244" s="39">
        <v>4</v>
      </c>
      <c r="I244" s="39">
        <v>5</v>
      </c>
      <c r="J244" s="38"/>
      <c r="K244" s="39">
        <v>154336.5</v>
      </c>
      <c r="L244" s="39">
        <v>68594</v>
      </c>
      <c r="M244" s="39">
        <v>85742.5</v>
      </c>
      <c r="N244" s="38"/>
      <c r="O244" s="39">
        <v>62583.5</v>
      </c>
      <c r="P244" s="39">
        <v>27814.89</v>
      </c>
      <c r="Q244" s="39">
        <v>34768.61</v>
      </c>
      <c r="R244" s="38"/>
      <c r="S244" s="39">
        <v>216920</v>
      </c>
      <c r="T244" s="39">
        <v>96408.89</v>
      </c>
      <c r="U244" s="39">
        <v>120511.11</v>
      </c>
      <c r="V244" s="29"/>
      <c r="W244" s="29">
        <f>INDEX(SurtaxPayment!$C$6:$U$330,MATCH(PriorYear!$C244,SurtaxPayment!$C$6:$C$330,0),6)+INDEX(SurtaxPayment!$C$6:$U$330,MATCH(PriorYear!$C244,SurtaxPayment!$C$6:$C$330,0),7)</f>
        <v>9</v>
      </c>
      <c r="X244" s="29">
        <f t="shared" si="6"/>
        <v>0</v>
      </c>
      <c r="Y244" s="29">
        <f>INDEX(SurtaxPayment!$C$6:$U$330,MATCH(PriorYear!C244,SurtaxPayment!$C$6:$C$330,0),9)</f>
        <v>195858.05</v>
      </c>
      <c r="Z244" s="66">
        <f t="shared" si="7"/>
        <v>0.26903260084296321</v>
      </c>
    </row>
    <row r="245" spans="1:26" x14ac:dyDescent="0.25">
      <c r="A245" s="52">
        <v>2023</v>
      </c>
      <c r="B245" s="52" t="s">
        <v>660</v>
      </c>
      <c r="C245" s="57" t="s">
        <v>412</v>
      </c>
      <c r="D245" s="58" t="s">
        <v>693</v>
      </c>
      <c r="E245" s="58" t="s">
        <v>693</v>
      </c>
      <c r="F245" s="58" t="s">
        <v>412</v>
      </c>
      <c r="G245" s="57" t="s">
        <v>217</v>
      </c>
      <c r="H245" s="39">
        <v>1</v>
      </c>
      <c r="I245" s="39">
        <v>1</v>
      </c>
      <c r="J245" s="38"/>
      <c r="K245" s="39">
        <v>32550.75</v>
      </c>
      <c r="L245" s="39">
        <v>16275.38</v>
      </c>
      <c r="M245" s="39">
        <v>16275.37</v>
      </c>
      <c r="N245" s="38"/>
      <c r="O245" s="39">
        <v>15067.25</v>
      </c>
      <c r="P245" s="39">
        <v>7533.63</v>
      </c>
      <c r="Q245" s="39">
        <v>7533.62</v>
      </c>
      <c r="R245" s="38"/>
      <c r="S245" s="39">
        <v>47618</v>
      </c>
      <c r="T245" s="39">
        <v>23809.01</v>
      </c>
      <c r="U245" s="39">
        <v>23808.99</v>
      </c>
      <c r="V245" s="29"/>
      <c r="W245" s="29">
        <f>INDEX(SurtaxPayment!$C$6:$U$330,MATCH(PriorYear!$C245,SurtaxPayment!$C$6:$C$330,0),6)+INDEX(SurtaxPayment!$C$6:$U$330,MATCH(PriorYear!$C245,SurtaxPayment!$C$6:$C$330,0),7)</f>
        <v>2</v>
      </c>
      <c r="X245" s="29">
        <f t="shared" si="6"/>
        <v>0</v>
      </c>
      <c r="Y245" s="29">
        <f>INDEX(SurtaxPayment!$C$6:$U$330,MATCH(PriorYear!C245,SurtaxPayment!$C$6:$C$330,0),9)</f>
        <v>43149.21</v>
      </c>
      <c r="Z245" s="66">
        <f t="shared" si="7"/>
        <v>0.32559802769521434</v>
      </c>
    </row>
    <row r="246" spans="1:26" x14ac:dyDescent="0.25">
      <c r="A246" s="52">
        <v>2023</v>
      </c>
      <c r="B246" s="52" t="s">
        <v>659</v>
      </c>
      <c r="C246" s="57" t="s">
        <v>531</v>
      </c>
      <c r="D246" s="58" t="s">
        <v>693</v>
      </c>
      <c r="E246" s="58" t="s">
        <v>693</v>
      </c>
      <c r="F246" s="58" t="s">
        <v>673</v>
      </c>
      <c r="G246" s="57" t="s">
        <v>218</v>
      </c>
      <c r="H246" s="39">
        <v>0</v>
      </c>
      <c r="I246" s="39">
        <v>9</v>
      </c>
      <c r="J246" s="38"/>
      <c r="K246" s="39">
        <v>266169</v>
      </c>
      <c r="L246" s="39">
        <v>0</v>
      </c>
      <c r="M246" s="39">
        <v>266169</v>
      </c>
      <c r="N246" s="38"/>
      <c r="O246" s="39">
        <v>113262</v>
      </c>
      <c r="P246" s="39">
        <v>0</v>
      </c>
      <c r="Q246" s="39">
        <v>113262</v>
      </c>
      <c r="R246" s="38"/>
      <c r="S246" s="39">
        <v>379431</v>
      </c>
      <c r="T246" s="39">
        <v>0</v>
      </c>
      <c r="U246" s="39">
        <v>379431</v>
      </c>
      <c r="V246" s="29"/>
      <c r="W246" s="29">
        <f>INDEX(SurtaxPayment!$C$6:$U$330,MATCH(PriorYear!$C246,SurtaxPayment!$C$6:$C$330,0),6)+INDEX(SurtaxPayment!$C$6:$U$330,MATCH(PriorYear!$C246,SurtaxPayment!$C$6:$C$330,0),7)</f>
        <v>9</v>
      </c>
      <c r="X246" s="29">
        <f t="shared" si="6"/>
        <v>0</v>
      </c>
      <c r="Y246" s="29">
        <f>INDEX(SurtaxPayment!$C$6:$U$330,MATCH(PriorYear!C246,SurtaxPayment!$C$6:$C$330,0),9)</f>
        <v>349166.96</v>
      </c>
      <c r="Z246" s="66">
        <f t="shared" si="7"/>
        <v>0.31182429208510393</v>
      </c>
    </row>
    <row r="247" spans="1:26" x14ac:dyDescent="0.25">
      <c r="A247" s="52">
        <v>2023</v>
      </c>
      <c r="B247" s="52" t="s">
        <v>660</v>
      </c>
      <c r="C247" s="57" t="s">
        <v>556</v>
      </c>
      <c r="D247" s="58" t="s">
        <v>693</v>
      </c>
      <c r="E247" s="58" t="s">
        <v>693</v>
      </c>
      <c r="F247" s="58" t="s">
        <v>556</v>
      </c>
      <c r="G247" s="57" t="s">
        <v>727</v>
      </c>
      <c r="H247" s="39">
        <v>0</v>
      </c>
      <c r="I247" s="39">
        <v>0</v>
      </c>
      <c r="J247" s="38"/>
      <c r="K247" s="39">
        <v>0</v>
      </c>
      <c r="L247" s="39">
        <v>0</v>
      </c>
      <c r="M247" s="39">
        <v>0</v>
      </c>
      <c r="N247" s="38"/>
      <c r="O247" s="39">
        <v>0</v>
      </c>
      <c r="P247" s="39">
        <v>0</v>
      </c>
      <c r="Q247" s="39">
        <v>0</v>
      </c>
      <c r="R247" s="38"/>
      <c r="S247" s="39">
        <v>0</v>
      </c>
      <c r="T247" s="39">
        <v>0</v>
      </c>
      <c r="U247" s="39">
        <v>0</v>
      </c>
      <c r="V247" s="29"/>
      <c r="W247" s="29">
        <f>INDEX(SurtaxPayment!$C$6:$U$330,MATCH(PriorYear!$C247,SurtaxPayment!$C$6:$C$330,0),6)+INDEX(SurtaxPayment!$C$6:$U$330,MATCH(PriorYear!$C247,SurtaxPayment!$C$6:$C$330,0),7)</f>
        <v>0</v>
      </c>
      <c r="X247" s="29">
        <f t="shared" si="6"/>
        <v>0</v>
      </c>
      <c r="Y247" s="29">
        <f>INDEX(SurtaxPayment!$C$6:$U$330,MATCH(PriorYear!C247,SurtaxPayment!$C$6:$C$330,0),9)</f>
        <v>0</v>
      </c>
      <c r="Z247" s="66">
        <f t="shared" si="7"/>
        <v>0</v>
      </c>
    </row>
    <row r="248" spans="1:26" x14ac:dyDescent="0.25">
      <c r="A248" s="52">
        <v>2023</v>
      </c>
      <c r="B248" s="52" t="s">
        <v>657</v>
      </c>
      <c r="C248" s="57" t="s">
        <v>557</v>
      </c>
      <c r="D248" s="58" t="s">
        <v>693</v>
      </c>
      <c r="E248" s="58" t="s">
        <v>693</v>
      </c>
      <c r="F248" s="58" t="s">
        <v>557</v>
      </c>
      <c r="G248" s="57" t="s">
        <v>219</v>
      </c>
      <c r="H248" s="39">
        <v>3</v>
      </c>
      <c r="I248" s="39">
        <v>6</v>
      </c>
      <c r="J248" s="38"/>
      <c r="K248" s="39">
        <v>565851.75</v>
      </c>
      <c r="L248" s="39">
        <v>188617.25</v>
      </c>
      <c r="M248" s="39">
        <v>377234.5</v>
      </c>
      <c r="N248" s="38"/>
      <c r="O248" s="39">
        <v>231840.25</v>
      </c>
      <c r="P248" s="39">
        <v>77280.08</v>
      </c>
      <c r="Q248" s="39">
        <v>154560.16999999998</v>
      </c>
      <c r="R248" s="38"/>
      <c r="S248" s="39">
        <v>797692</v>
      </c>
      <c r="T248" s="39">
        <v>265897.33</v>
      </c>
      <c r="U248" s="39">
        <v>531794.66999999993</v>
      </c>
      <c r="V248" s="29"/>
      <c r="W248" s="29">
        <f>INDEX(SurtaxPayment!$C$6:$U$330,MATCH(PriorYear!$C248,SurtaxPayment!$C$6:$C$330,0),6)+INDEX(SurtaxPayment!$C$6:$U$330,MATCH(PriorYear!$C248,SurtaxPayment!$C$6:$C$330,0),7)</f>
        <v>9</v>
      </c>
      <c r="X248" s="29">
        <f t="shared" si="6"/>
        <v>0</v>
      </c>
      <c r="Y248" s="29">
        <f>INDEX(SurtaxPayment!$C$6:$U$330,MATCH(PriorYear!C248,SurtaxPayment!$C$6:$C$330,0),9)</f>
        <v>725120.94</v>
      </c>
      <c r="Z248" s="66">
        <f t="shared" si="7"/>
        <v>0.28146805236530581</v>
      </c>
    </row>
    <row r="249" spans="1:26" x14ac:dyDescent="0.25">
      <c r="A249" s="52">
        <v>2023</v>
      </c>
      <c r="B249" s="52" t="s">
        <v>658</v>
      </c>
      <c r="C249" s="57" t="s">
        <v>558</v>
      </c>
      <c r="D249" s="58" t="s">
        <v>693</v>
      </c>
      <c r="E249" s="58" t="s">
        <v>693</v>
      </c>
      <c r="F249" s="58" t="s">
        <v>558</v>
      </c>
      <c r="G249" s="57" t="s">
        <v>220</v>
      </c>
      <c r="H249" s="39">
        <v>0</v>
      </c>
      <c r="I249" s="39">
        <v>5</v>
      </c>
      <c r="J249" s="38"/>
      <c r="K249" s="39">
        <v>116095.5</v>
      </c>
      <c r="L249" s="39">
        <v>0</v>
      </c>
      <c r="M249" s="39">
        <v>116095.5</v>
      </c>
      <c r="N249" s="38"/>
      <c r="O249" s="39">
        <v>50029.5</v>
      </c>
      <c r="P249" s="39">
        <v>0</v>
      </c>
      <c r="Q249" s="39">
        <v>50029.5</v>
      </c>
      <c r="R249" s="38"/>
      <c r="S249" s="39">
        <v>166125</v>
      </c>
      <c r="T249" s="39">
        <v>0</v>
      </c>
      <c r="U249" s="39">
        <v>166125</v>
      </c>
      <c r="V249" s="29"/>
      <c r="W249" s="29">
        <f>INDEX(SurtaxPayment!$C$6:$U$330,MATCH(PriorYear!$C249,SurtaxPayment!$C$6:$C$330,0),6)+INDEX(SurtaxPayment!$C$6:$U$330,MATCH(PriorYear!$C249,SurtaxPayment!$C$6:$C$330,0),7)</f>
        <v>3</v>
      </c>
      <c r="X249" s="29">
        <f t="shared" si="6"/>
        <v>-2</v>
      </c>
      <c r="Y249" s="29">
        <f>INDEX(SurtaxPayment!$C$6:$U$330,MATCH(PriorYear!C249,SurtaxPayment!$C$6:$C$330,0),9)</f>
        <v>87730.4</v>
      </c>
      <c r="Z249" s="66">
        <f t="shared" si="7"/>
        <v>-0.24432557678807537</v>
      </c>
    </row>
    <row r="250" spans="1:26" x14ac:dyDescent="0.25">
      <c r="A250" s="52">
        <v>2023</v>
      </c>
      <c r="B250" s="52" t="s">
        <v>661</v>
      </c>
      <c r="C250" s="57" t="s">
        <v>559</v>
      </c>
      <c r="D250" s="58" t="s">
        <v>693</v>
      </c>
      <c r="E250" s="58" t="s">
        <v>693</v>
      </c>
      <c r="F250" s="58" t="s">
        <v>559</v>
      </c>
      <c r="G250" s="57" t="s">
        <v>221</v>
      </c>
      <c r="H250" s="39">
        <v>0</v>
      </c>
      <c r="I250" s="39">
        <v>10</v>
      </c>
      <c r="J250" s="38"/>
      <c r="K250" s="39">
        <v>99552</v>
      </c>
      <c r="L250" s="39">
        <v>0</v>
      </c>
      <c r="M250" s="39">
        <v>99552</v>
      </c>
      <c r="N250" s="38"/>
      <c r="O250" s="39">
        <v>38666</v>
      </c>
      <c r="P250" s="39">
        <v>0</v>
      </c>
      <c r="Q250" s="39">
        <v>38666</v>
      </c>
      <c r="R250" s="38"/>
      <c r="S250" s="39">
        <v>138218</v>
      </c>
      <c r="T250" s="39">
        <v>0</v>
      </c>
      <c r="U250" s="39">
        <v>138218</v>
      </c>
      <c r="V250" s="29"/>
      <c r="W250" s="29">
        <f>INDEX(SurtaxPayment!$C$6:$U$330,MATCH(PriorYear!$C250,SurtaxPayment!$C$6:$C$330,0),6)+INDEX(SurtaxPayment!$C$6:$U$330,MATCH(PriorYear!$C250,SurtaxPayment!$C$6:$C$330,0),7)</f>
        <v>9</v>
      </c>
      <c r="X250" s="29">
        <f t="shared" si="6"/>
        <v>-1</v>
      </c>
      <c r="Y250" s="29">
        <f>INDEX(SurtaxPayment!$C$6:$U$330,MATCH(PriorYear!C250,SurtaxPayment!$C$6:$C$330,0),9)</f>
        <v>159939.84</v>
      </c>
      <c r="Z250" s="66">
        <f t="shared" si="7"/>
        <v>0.60659594985535192</v>
      </c>
    </row>
    <row r="251" spans="1:26" x14ac:dyDescent="0.25">
      <c r="A251" s="52">
        <v>2023</v>
      </c>
      <c r="B251" s="52" t="s">
        <v>657</v>
      </c>
      <c r="C251" s="57" t="s">
        <v>561</v>
      </c>
      <c r="D251" s="58" t="s">
        <v>693</v>
      </c>
      <c r="E251" s="58" t="s">
        <v>693</v>
      </c>
      <c r="F251" s="58" t="s">
        <v>561</v>
      </c>
      <c r="G251" s="57" t="s">
        <v>728</v>
      </c>
      <c r="H251" s="39">
        <v>0</v>
      </c>
      <c r="I251" s="39">
        <v>0</v>
      </c>
      <c r="J251" s="38"/>
      <c r="K251" s="39">
        <v>0</v>
      </c>
      <c r="L251" s="39">
        <v>0</v>
      </c>
      <c r="M251" s="39">
        <v>0</v>
      </c>
      <c r="N251" s="38"/>
      <c r="O251" s="39">
        <v>0</v>
      </c>
      <c r="P251" s="39">
        <v>0</v>
      </c>
      <c r="Q251" s="39">
        <v>0</v>
      </c>
      <c r="R251" s="38"/>
      <c r="S251" s="39">
        <v>0</v>
      </c>
      <c r="T251" s="39">
        <v>0</v>
      </c>
      <c r="U251" s="39">
        <v>0</v>
      </c>
      <c r="V251" s="29"/>
      <c r="W251" s="29">
        <f>INDEX(SurtaxPayment!$C$6:$U$330,MATCH(PriorYear!$C251,SurtaxPayment!$C$6:$C$330,0),6)+INDEX(SurtaxPayment!$C$6:$U$330,MATCH(PriorYear!$C251,SurtaxPayment!$C$6:$C$330,0),7)</f>
        <v>0</v>
      </c>
      <c r="X251" s="29">
        <f t="shared" si="6"/>
        <v>0</v>
      </c>
      <c r="Y251" s="29">
        <f>INDEX(SurtaxPayment!$C$6:$U$330,MATCH(PriorYear!C251,SurtaxPayment!$C$6:$C$330,0),9)</f>
        <v>0</v>
      </c>
      <c r="Z251" s="66">
        <f t="shared" si="7"/>
        <v>0</v>
      </c>
    </row>
    <row r="252" spans="1:26" x14ac:dyDescent="0.25">
      <c r="A252" s="52">
        <v>2023</v>
      </c>
      <c r="B252" s="52" t="s">
        <v>661</v>
      </c>
      <c r="C252" s="57" t="s">
        <v>562</v>
      </c>
      <c r="D252" s="58" t="s">
        <v>693</v>
      </c>
      <c r="E252" s="58" t="s">
        <v>693</v>
      </c>
      <c r="F252" s="58" t="s">
        <v>562</v>
      </c>
      <c r="G252" s="57" t="s">
        <v>222</v>
      </c>
      <c r="H252" s="39">
        <v>1</v>
      </c>
      <c r="I252" s="39">
        <v>1</v>
      </c>
      <c r="J252" s="38"/>
      <c r="K252" s="39">
        <v>32449.5</v>
      </c>
      <c r="L252" s="39">
        <v>16224.75</v>
      </c>
      <c r="M252" s="39">
        <v>16224.75</v>
      </c>
      <c r="N252" s="38"/>
      <c r="O252" s="39">
        <v>13965.5</v>
      </c>
      <c r="P252" s="39">
        <v>6982.75</v>
      </c>
      <c r="Q252" s="39">
        <v>6982.75</v>
      </c>
      <c r="R252" s="38"/>
      <c r="S252" s="39">
        <v>46415</v>
      </c>
      <c r="T252" s="39">
        <v>23207.5</v>
      </c>
      <c r="U252" s="39">
        <v>23207.5</v>
      </c>
      <c r="V252" s="29"/>
      <c r="W252" s="29">
        <f>INDEX(SurtaxPayment!$C$6:$U$330,MATCH(PriorYear!$C252,SurtaxPayment!$C$6:$C$330,0),6)+INDEX(SurtaxPayment!$C$6:$U$330,MATCH(PriorYear!$C252,SurtaxPayment!$C$6:$C$330,0),7)</f>
        <v>2</v>
      </c>
      <c r="X252" s="29">
        <f t="shared" si="6"/>
        <v>0</v>
      </c>
      <c r="Y252" s="29">
        <f>INDEX(SurtaxPayment!$C$6:$U$330,MATCH(PriorYear!C252,SurtaxPayment!$C$6:$C$330,0),9)</f>
        <v>43444.54</v>
      </c>
      <c r="Z252" s="66">
        <f t="shared" si="7"/>
        <v>0.33883542119293059</v>
      </c>
    </row>
    <row r="253" spans="1:26" x14ac:dyDescent="0.25">
      <c r="A253" s="52">
        <v>2023</v>
      </c>
      <c r="B253" s="52" t="s">
        <v>660</v>
      </c>
      <c r="C253" s="57" t="s">
        <v>563</v>
      </c>
      <c r="D253" s="58" t="s">
        <v>693</v>
      </c>
      <c r="E253" s="58" t="s">
        <v>693</v>
      </c>
      <c r="F253" s="58" t="s">
        <v>563</v>
      </c>
      <c r="G253" s="57" t="s">
        <v>223</v>
      </c>
      <c r="H253" s="39">
        <v>0</v>
      </c>
      <c r="I253" s="39">
        <v>1</v>
      </c>
      <c r="J253" s="38"/>
      <c r="K253" s="39">
        <v>10913.25</v>
      </c>
      <c r="L253" s="39">
        <v>0</v>
      </c>
      <c r="M253" s="39">
        <v>10913.25</v>
      </c>
      <c r="N253" s="38"/>
      <c r="O253" s="39">
        <v>3973.75</v>
      </c>
      <c r="P253" s="39">
        <v>0</v>
      </c>
      <c r="Q253" s="39">
        <v>3973.75</v>
      </c>
      <c r="R253" s="38"/>
      <c r="S253" s="39">
        <v>14887</v>
      </c>
      <c r="T253" s="39">
        <v>0</v>
      </c>
      <c r="U253" s="39">
        <v>14887</v>
      </c>
      <c r="V253" s="29"/>
      <c r="W253" s="29">
        <f>INDEX(SurtaxPayment!$C$6:$U$330,MATCH(PriorYear!$C253,SurtaxPayment!$C$6:$C$330,0),6)+INDEX(SurtaxPayment!$C$6:$U$330,MATCH(PriorYear!$C253,SurtaxPayment!$C$6:$C$330,0),7)</f>
        <v>5</v>
      </c>
      <c r="X253" s="29">
        <f t="shared" si="6"/>
        <v>4</v>
      </c>
      <c r="Y253" s="29">
        <f>INDEX(SurtaxPayment!$C$6:$U$330,MATCH(PriorYear!C253,SurtaxPayment!$C$6:$C$330,0),9)</f>
        <v>63013.78</v>
      </c>
      <c r="Z253" s="66">
        <f t="shared" si="7"/>
        <v>4.7740618056032806</v>
      </c>
    </row>
    <row r="254" spans="1:26" x14ac:dyDescent="0.25">
      <c r="A254" s="52">
        <v>2023</v>
      </c>
      <c r="B254" s="52" t="s">
        <v>660</v>
      </c>
      <c r="C254" s="57" t="s">
        <v>564</v>
      </c>
      <c r="D254" s="58" t="s">
        <v>693</v>
      </c>
      <c r="E254" s="58" t="s">
        <v>693</v>
      </c>
      <c r="F254" s="58" t="s">
        <v>564</v>
      </c>
      <c r="G254" s="57" t="s">
        <v>729</v>
      </c>
      <c r="H254" s="39">
        <v>0</v>
      </c>
      <c r="I254" s="39">
        <v>0</v>
      </c>
      <c r="J254" s="38"/>
      <c r="K254" s="39">
        <v>0</v>
      </c>
      <c r="L254" s="39">
        <v>0</v>
      </c>
      <c r="M254" s="39">
        <v>0</v>
      </c>
      <c r="N254" s="38"/>
      <c r="O254" s="39">
        <v>0</v>
      </c>
      <c r="P254" s="39">
        <v>0</v>
      </c>
      <c r="Q254" s="39">
        <v>0</v>
      </c>
      <c r="R254" s="38"/>
      <c r="S254" s="39">
        <v>0</v>
      </c>
      <c r="T254" s="39">
        <v>0</v>
      </c>
      <c r="U254" s="39">
        <v>0</v>
      </c>
      <c r="V254" s="29"/>
      <c r="W254" s="29">
        <f>INDEX(SurtaxPayment!$C$6:$U$330,MATCH(PriorYear!$C254,SurtaxPayment!$C$6:$C$330,0),6)+INDEX(SurtaxPayment!$C$6:$U$330,MATCH(PriorYear!$C254,SurtaxPayment!$C$6:$C$330,0),7)</f>
        <v>0</v>
      </c>
      <c r="X254" s="29">
        <f t="shared" si="6"/>
        <v>0</v>
      </c>
      <c r="Y254" s="29">
        <f>INDEX(SurtaxPayment!$C$6:$U$330,MATCH(PriorYear!C254,SurtaxPayment!$C$6:$C$330,0),9)</f>
        <v>0</v>
      </c>
      <c r="Z254" s="66">
        <f t="shared" si="7"/>
        <v>0</v>
      </c>
    </row>
    <row r="255" spans="1:26" x14ac:dyDescent="0.25">
      <c r="A255" s="52">
        <v>2023</v>
      </c>
      <c r="B255" s="52" t="s">
        <v>662</v>
      </c>
      <c r="C255" s="57" t="s">
        <v>565</v>
      </c>
      <c r="D255" s="58" t="s">
        <v>693</v>
      </c>
      <c r="E255" s="58" t="s">
        <v>693</v>
      </c>
      <c r="F255" s="58" t="s">
        <v>565</v>
      </c>
      <c r="G255" s="57" t="s">
        <v>224</v>
      </c>
      <c r="H255" s="39">
        <v>0</v>
      </c>
      <c r="I255" s="39">
        <v>10</v>
      </c>
      <c r="J255" s="38"/>
      <c r="K255" s="39">
        <v>109030.5</v>
      </c>
      <c r="L255" s="39">
        <v>0</v>
      </c>
      <c r="M255" s="39">
        <v>109030.5</v>
      </c>
      <c r="N255" s="38"/>
      <c r="O255" s="39">
        <v>47482.5</v>
      </c>
      <c r="P255" s="39">
        <v>0</v>
      </c>
      <c r="Q255" s="39">
        <v>47482.5</v>
      </c>
      <c r="R255" s="38"/>
      <c r="S255" s="39">
        <v>156513</v>
      </c>
      <c r="T255" s="39">
        <v>0</v>
      </c>
      <c r="U255" s="39">
        <v>156513</v>
      </c>
      <c r="V255" s="29"/>
      <c r="W255" s="29">
        <f>INDEX(SurtaxPayment!$C$6:$U$330,MATCH(PriorYear!$C255,SurtaxPayment!$C$6:$C$330,0),6)+INDEX(SurtaxPayment!$C$6:$U$330,MATCH(PriorYear!$C255,SurtaxPayment!$C$6:$C$330,0),7)</f>
        <v>10</v>
      </c>
      <c r="X255" s="29">
        <f t="shared" si="6"/>
        <v>0</v>
      </c>
      <c r="Y255" s="29">
        <f>INDEX(SurtaxPayment!$C$6:$U$330,MATCH(PriorYear!C255,SurtaxPayment!$C$6:$C$330,0),9)</f>
        <v>152645.04</v>
      </c>
      <c r="Z255" s="66">
        <f t="shared" si="7"/>
        <v>0.40002146188451865</v>
      </c>
    </row>
    <row r="256" spans="1:26" x14ac:dyDescent="0.25">
      <c r="A256" s="52">
        <v>2023</v>
      </c>
      <c r="B256" s="52" t="s">
        <v>660</v>
      </c>
      <c r="C256" s="57" t="s">
        <v>567</v>
      </c>
      <c r="D256" s="58" t="s">
        <v>693</v>
      </c>
      <c r="E256" s="58" t="s">
        <v>693</v>
      </c>
      <c r="F256" s="58" t="s">
        <v>567</v>
      </c>
      <c r="G256" s="57" t="s">
        <v>225</v>
      </c>
      <c r="H256" s="39">
        <v>0</v>
      </c>
      <c r="I256" s="39">
        <v>6</v>
      </c>
      <c r="J256" s="38"/>
      <c r="K256" s="39">
        <v>362916.75</v>
      </c>
      <c r="L256" s="39">
        <v>0</v>
      </c>
      <c r="M256" s="39">
        <v>362916.75</v>
      </c>
      <c r="N256" s="38"/>
      <c r="O256" s="39">
        <v>137582.25</v>
      </c>
      <c r="P256" s="39">
        <v>0</v>
      </c>
      <c r="Q256" s="39">
        <v>137582.25</v>
      </c>
      <c r="R256" s="38"/>
      <c r="S256" s="39">
        <v>500499</v>
      </c>
      <c r="T256" s="39">
        <v>0</v>
      </c>
      <c r="U256" s="39">
        <v>500499</v>
      </c>
      <c r="V256" s="29"/>
      <c r="W256" s="29">
        <f>INDEX(SurtaxPayment!$C$6:$U$330,MATCH(PriorYear!$C256,SurtaxPayment!$C$6:$C$330,0),6)+INDEX(SurtaxPayment!$C$6:$U$330,MATCH(PriorYear!$C256,SurtaxPayment!$C$6:$C$330,0),7)</f>
        <v>7</v>
      </c>
      <c r="X256" s="29">
        <f t="shared" si="6"/>
        <v>1</v>
      </c>
      <c r="Y256" s="29">
        <f>INDEX(SurtaxPayment!$C$6:$U$330,MATCH(PriorYear!C256,SurtaxPayment!$C$6:$C$330,0),9)</f>
        <v>554428.74</v>
      </c>
      <c r="Z256" s="66">
        <f t="shared" si="7"/>
        <v>0.52770226229569173</v>
      </c>
    </row>
    <row r="257" spans="1:26" x14ac:dyDescent="0.25">
      <c r="A257" s="52">
        <v>2023</v>
      </c>
      <c r="B257" s="52" t="s">
        <v>659</v>
      </c>
      <c r="C257" s="57" t="s">
        <v>568</v>
      </c>
      <c r="D257" s="58" t="s">
        <v>693</v>
      </c>
      <c r="E257" s="58" t="s">
        <v>693</v>
      </c>
      <c r="F257" s="58" t="s">
        <v>568</v>
      </c>
      <c r="G257" s="57" t="s">
        <v>226</v>
      </c>
      <c r="H257" s="39">
        <v>4</v>
      </c>
      <c r="I257" s="39">
        <v>4</v>
      </c>
      <c r="J257" s="38"/>
      <c r="K257" s="39">
        <v>342214.5</v>
      </c>
      <c r="L257" s="39">
        <v>171107.25</v>
      </c>
      <c r="M257" s="39">
        <v>171107.25</v>
      </c>
      <c r="N257" s="38"/>
      <c r="O257" s="39">
        <v>132796.5</v>
      </c>
      <c r="P257" s="39">
        <v>66398.25</v>
      </c>
      <c r="Q257" s="39">
        <v>66398.25</v>
      </c>
      <c r="R257" s="38"/>
      <c r="S257" s="39">
        <v>475011</v>
      </c>
      <c r="T257" s="39">
        <v>237505.5</v>
      </c>
      <c r="U257" s="39">
        <v>237505.5</v>
      </c>
      <c r="V257" s="29"/>
      <c r="W257" s="29">
        <f>INDEX(SurtaxPayment!$C$6:$U$330,MATCH(PriorYear!$C257,SurtaxPayment!$C$6:$C$330,0),6)+INDEX(SurtaxPayment!$C$6:$U$330,MATCH(PriorYear!$C257,SurtaxPayment!$C$6:$C$330,0),7)</f>
        <v>8</v>
      </c>
      <c r="X257" s="29">
        <f t="shared" si="6"/>
        <v>0</v>
      </c>
      <c r="Y257" s="29">
        <f>INDEX(SurtaxPayment!$C$6:$U$330,MATCH(PriorYear!C257,SurtaxPayment!$C$6:$C$330,0),9)</f>
        <v>429061.56</v>
      </c>
      <c r="Z257" s="66">
        <f t="shared" si="7"/>
        <v>0.25377960314364234</v>
      </c>
    </row>
    <row r="258" spans="1:26" x14ac:dyDescent="0.25">
      <c r="A258" s="52">
        <v>2023</v>
      </c>
      <c r="B258" s="52" t="s">
        <v>660</v>
      </c>
      <c r="C258" s="57" t="s">
        <v>569</v>
      </c>
      <c r="D258" s="58" t="s">
        <v>693</v>
      </c>
      <c r="E258" s="58" t="s">
        <v>693</v>
      </c>
      <c r="F258" s="58" t="s">
        <v>569</v>
      </c>
      <c r="G258" s="57" t="s">
        <v>227</v>
      </c>
      <c r="H258" s="39">
        <v>4</v>
      </c>
      <c r="I258" s="39">
        <v>4</v>
      </c>
      <c r="J258" s="38"/>
      <c r="K258" s="39">
        <v>270133.5</v>
      </c>
      <c r="L258" s="39">
        <v>135066.75</v>
      </c>
      <c r="M258" s="39">
        <v>135066.75</v>
      </c>
      <c r="N258" s="38"/>
      <c r="O258" s="39">
        <v>111774.5</v>
      </c>
      <c r="P258" s="39">
        <v>55887.25</v>
      </c>
      <c r="Q258" s="39">
        <v>55887.25</v>
      </c>
      <c r="R258" s="38"/>
      <c r="S258" s="39">
        <v>381908</v>
      </c>
      <c r="T258" s="39">
        <v>190954</v>
      </c>
      <c r="U258" s="39">
        <v>190954</v>
      </c>
      <c r="V258" s="29"/>
      <c r="W258" s="29">
        <f>INDEX(SurtaxPayment!$C$6:$U$330,MATCH(PriorYear!$C258,SurtaxPayment!$C$6:$C$330,0),6)+INDEX(SurtaxPayment!$C$6:$U$330,MATCH(PriorYear!$C258,SurtaxPayment!$C$6:$C$330,0),7)</f>
        <v>9</v>
      </c>
      <c r="X258" s="29">
        <f t="shared" si="6"/>
        <v>1</v>
      </c>
      <c r="Y258" s="29">
        <f>INDEX(SurtaxPayment!$C$6:$U$330,MATCH(PriorYear!C258,SurtaxPayment!$C$6:$C$330,0),9)</f>
        <v>358893.39</v>
      </c>
      <c r="Z258" s="66">
        <f t="shared" si="7"/>
        <v>0.32857786983102805</v>
      </c>
    </row>
    <row r="259" spans="1:26" x14ac:dyDescent="0.25">
      <c r="A259" s="52">
        <v>2023</v>
      </c>
      <c r="B259" s="52" t="s">
        <v>659</v>
      </c>
      <c r="C259" s="57" t="s">
        <v>570</v>
      </c>
      <c r="D259" s="58" t="s">
        <v>693</v>
      </c>
      <c r="E259" s="58" t="s">
        <v>693</v>
      </c>
      <c r="F259" s="58" t="s">
        <v>570</v>
      </c>
      <c r="G259" s="57" t="s">
        <v>228</v>
      </c>
      <c r="H259" s="39">
        <v>9</v>
      </c>
      <c r="I259" s="39">
        <v>9</v>
      </c>
      <c r="J259" s="38"/>
      <c r="K259" s="39">
        <v>260835</v>
      </c>
      <c r="L259" s="39">
        <v>130417.5</v>
      </c>
      <c r="M259" s="39">
        <v>130417.5</v>
      </c>
      <c r="N259" s="38"/>
      <c r="O259" s="39">
        <v>120921</v>
      </c>
      <c r="P259" s="39">
        <v>60460.5</v>
      </c>
      <c r="Q259" s="39">
        <v>60460.5</v>
      </c>
      <c r="R259" s="38"/>
      <c r="S259" s="39">
        <v>381756</v>
      </c>
      <c r="T259" s="39">
        <v>190878</v>
      </c>
      <c r="U259" s="39">
        <v>190878</v>
      </c>
      <c r="V259" s="29"/>
      <c r="W259" s="29">
        <f>INDEX(SurtaxPayment!$C$6:$U$330,MATCH(PriorYear!$C259,SurtaxPayment!$C$6:$C$330,0),6)+INDEX(SurtaxPayment!$C$6:$U$330,MATCH(PriorYear!$C259,SurtaxPayment!$C$6:$C$330,0),7)</f>
        <v>20</v>
      </c>
      <c r="X259" s="29">
        <f t="shared" si="6"/>
        <v>2</v>
      </c>
      <c r="Y259" s="29">
        <f>INDEX(SurtaxPayment!$C$6:$U$330,MATCH(PriorYear!C259,SurtaxPayment!$C$6:$C$330,0),9)</f>
        <v>356022.18</v>
      </c>
      <c r="Z259" s="66">
        <f t="shared" si="7"/>
        <v>0.36493254356202193</v>
      </c>
    </row>
    <row r="260" spans="1:26" x14ac:dyDescent="0.25">
      <c r="A260" s="52">
        <v>2023</v>
      </c>
      <c r="B260" s="52" t="s">
        <v>662</v>
      </c>
      <c r="C260" s="57" t="s">
        <v>571</v>
      </c>
      <c r="D260" s="58" t="s">
        <v>693</v>
      </c>
      <c r="E260" s="58" t="s">
        <v>693</v>
      </c>
      <c r="F260" s="58" t="s">
        <v>571</v>
      </c>
      <c r="G260" s="57" t="s">
        <v>229</v>
      </c>
      <c r="H260" s="39">
        <v>0</v>
      </c>
      <c r="I260" s="39">
        <v>1</v>
      </c>
      <c r="J260" s="38"/>
      <c r="K260" s="39">
        <v>23601</v>
      </c>
      <c r="L260" s="39">
        <v>0</v>
      </c>
      <c r="M260" s="39">
        <v>23601</v>
      </c>
      <c r="N260" s="38"/>
      <c r="O260" s="39">
        <v>8504</v>
      </c>
      <c r="P260" s="39">
        <v>0</v>
      </c>
      <c r="Q260" s="39">
        <v>8504</v>
      </c>
      <c r="R260" s="38"/>
      <c r="S260" s="39">
        <v>32105</v>
      </c>
      <c r="T260" s="39">
        <v>0</v>
      </c>
      <c r="U260" s="39">
        <v>32105</v>
      </c>
      <c r="V260" s="29"/>
      <c r="W260" s="29">
        <f>INDEX(SurtaxPayment!$C$6:$U$330,MATCH(PriorYear!$C260,SurtaxPayment!$C$6:$C$330,0),6)+INDEX(SurtaxPayment!$C$6:$U$330,MATCH(PriorYear!$C260,SurtaxPayment!$C$6:$C$330,0),7)</f>
        <v>1</v>
      </c>
      <c r="X260" s="29">
        <f t="shared" si="6"/>
        <v>0</v>
      </c>
      <c r="Y260" s="29">
        <f>INDEX(SurtaxPayment!$C$6:$U$330,MATCH(PriorYear!C260,SurtaxPayment!$C$6:$C$330,0),9)</f>
        <v>27813.58</v>
      </c>
      <c r="Z260" s="66">
        <f t="shared" si="7"/>
        <v>0.17849158933943485</v>
      </c>
    </row>
    <row r="261" spans="1:26" x14ac:dyDescent="0.25">
      <c r="A261" s="52">
        <v>2023</v>
      </c>
      <c r="B261" s="52" t="s">
        <v>660</v>
      </c>
      <c r="C261" s="57" t="s">
        <v>572</v>
      </c>
      <c r="D261" s="58" t="s">
        <v>693</v>
      </c>
      <c r="E261" s="58" t="s">
        <v>693</v>
      </c>
      <c r="F261" s="58" t="s">
        <v>572</v>
      </c>
      <c r="G261" s="57" t="s">
        <v>230</v>
      </c>
      <c r="H261" s="39">
        <v>0</v>
      </c>
      <c r="I261" s="39">
        <v>6</v>
      </c>
      <c r="J261" s="38"/>
      <c r="K261" s="39">
        <v>520738.5</v>
      </c>
      <c r="L261" s="39">
        <v>0</v>
      </c>
      <c r="M261" s="39">
        <v>520738.5</v>
      </c>
      <c r="N261" s="38"/>
      <c r="O261" s="39">
        <v>219799.5</v>
      </c>
      <c r="P261" s="39">
        <v>0</v>
      </c>
      <c r="Q261" s="39">
        <v>219799.5</v>
      </c>
      <c r="R261" s="38"/>
      <c r="S261" s="39">
        <v>740538</v>
      </c>
      <c r="T261" s="39">
        <v>0</v>
      </c>
      <c r="U261" s="39">
        <v>740538</v>
      </c>
      <c r="V261" s="29"/>
      <c r="W261" s="29">
        <f>INDEX(SurtaxPayment!$C$6:$U$330,MATCH(PriorYear!$C261,SurtaxPayment!$C$6:$C$330,0),6)+INDEX(SurtaxPayment!$C$6:$U$330,MATCH(PriorYear!$C261,SurtaxPayment!$C$6:$C$330,0),7)</f>
        <v>6</v>
      </c>
      <c r="X261" s="29">
        <f t="shared" si="6"/>
        <v>0</v>
      </c>
      <c r="Y261" s="29">
        <f>INDEX(SurtaxPayment!$C$6:$U$330,MATCH(PriorYear!C261,SurtaxPayment!$C$6:$C$330,0),9)</f>
        <v>703444.59</v>
      </c>
      <c r="Z261" s="66">
        <f t="shared" si="7"/>
        <v>0.35085957731183687</v>
      </c>
    </row>
    <row r="262" spans="1:26" x14ac:dyDescent="0.25">
      <c r="A262" s="52">
        <v>2023</v>
      </c>
      <c r="B262" s="52" t="s">
        <v>661</v>
      </c>
      <c r="C262" s="57" t="s">
        <v>574</v>
      </c>
      <c r="D262" s="58" t="s">
        <v>693</v>
      </c>
      <c r="E262" s="58" t="s">
        <v>693</v>
      </c>
      <c r="F262" s="58" t="s">
        <v>674</v>
      </c>
      <c r="G262" s="57" t="s">
        <v>692</v>
      </c>
      <c r="H262" s="39">
        <v>0</v>
      </c>
      <c r="I262" s="39">
        <v>5</v>
      </c>
      <c r="J262" s="38"/>
      <c r="K262" s="39">
        <v>111987.75</v>
      </c>
      <c r="L262" s="39">
        <v>0</v>
      </c>
      <c r="M262" s="39">
        <v>111987.75</v>
      </c>
      <c r="N262" s="38"/>
      <c r="O262" s="39">
        <v>48661.25</v>
      </c>
      <c r="P262" s="39">
        <v>0</v>
      </c>
      <c r="Q262" s="39">
        <v>48661.25</v>
      </c>
      <c r="R262" s="38"/>
      <c r="S262" s="39">
        <v>160649</v>
      </c>
      <c r="T262" s="39">
        <v>0</v>
      </c>
      <c r="U262" s="39">
        <v>160649</v>
      </c>
      <c r="V262" s="29"/>
      <c r="W262" s="29">
        <f>INDEX(SurtaxPayment!$C$6:$U$330,MATCH(PriorYear!$C262,SurtaxPayment!$C$6:$C$330,0),6)+INDEX(SurtaxPayment!$C$6:$U$330,MATCH(PriorYear!$C262,SurtaxPayment!$C$6:$C$330,0),7)</f>
        <v>5</v>
      </c>
      <c r="X262" s="29">
        <f t="shared" si="6"/>
        <v>0</v>
      </c>
      <c r="Y262" s="29">
        <f>INDEX(SurtaxPayment!$C$6:$U$330,MATCH(PriorYear!C262,SurtaxPayment!$C$6:$C$330,0),9)</f>
        <v>146308.45000000001</v>
      </c>
      <c r="Z262" s="66">
        <f t="shared" si="7"/>
        <v>0.3064683414034125</v>
      </c>
    </row>
    <row r="263" spans="1:26" x14ac:dyDescent="0.25">
      <c r="A263" s="52">
        <v>2023</v>
      </c>
      <c r="B263" s="52" t="s">
        <v>660</v>
      </c>
      <c r="C263" s="57" t="s">
        <v>573</v>
      </c>
      <c r="D263" s="58" t="s">
        <v>693</v>
      </c>
      <c r="E263" s="58" t="s">
        <v>693</v>
      </c>
      <c r="F263" s="58" t="s">
        <v>573</v>
      </c>
      <c r="G263" s="57" t="s">
        <v>231</v>
      </c>
      <c r="H263" s="39">
        <v>0</v>
      </c>
      <c r="I263" s="39">
        <v>3</v>
      </c>
      <c r="J263" s="38"/>
      <c r="K263" s="39">
        <v>1613313.75</v>
      </c>
      <c r="L263" s="39">
        <v>0</v>
      </c>
      <c r="M263" s="39">
        <v>1613313.75</v>
      </c>
      <c r="N263" s="38"/>
      <c r="O263" s="39">
        <v>684370.25</v>
      </c>
      <c r="P263" s="39">
        <v>0</v>
      </c>
      <c r="Q263" s="39">
        <v>684370.25</v>
      </c>
      <c r="R263" s="38"/>
      <c r="S263" s="39">
        <v>2297684</v>
      </c>
      <c r="T263" s="39">
        <v>0</v>
      </c>
      <c r="U263" s="39">
        <v>2297684</v>
      </c>
      <c r="V263" s="29"/>
      <c r="W263" s="29">
        <f>INDEX(SurtaxPayment!$C$6:$U$330,MATCH(PriorYear!$C263,SurtaxPayment!$C$6:$C$330,0),6)+INDEX(SurtaxPayment!$C$6:$U$330,MATCH(PriorYear!$C263,SurtaxPayment!$C$6:$C$330,0),7)</f>
        <v>3</v>
      </c>
      <c r="X263" s="29">
        <f t="shared" ref="X263:X326" si="8">W263-SUM(H263:I263)</f>
        <v>0</v>
      </c>
      <c r="Y263" s="29">
        <f>INDEX(SurtaxPayment!$C$6:$U$330,MATCH(PriorYear!C263,SurtaxPayment!$C$6:$C$330,0),9)</f>
        <v>2086372.09</v>
      </c>
      <c r="Z263" s="66">
        <f t="shared" ref="Z263:Z326" si="9">IFERROR((Y263-K263)/K263,0)</f>
        <v>0.29322153858789096</v>
      </c>
    </row>
    <row r="264" spans="1:26" x14ac:dyDescent="0.25">
      <c r="A264" s="52">
        <v>2023</v>
      </c>
      <c r="B264" s="52" t="s">
        <v>663</v>
      </c>
      <c r="C264" s="57" t="s">
        <v>575</v>
      </c>
      <c r="D264" s="58" t="s">
        <v>693</v>
      </c>
      <c r="E264" s="58" t="s">
        <v>693</v>
      </c>
      <c r="F264" s="58" t="s">
        <v>575</v>
      </c>
      <c r="G264" s="57" t="s">
        <v>232</v>
      </c>
      <c r="H264" s="39">
        <v>0</v>
      </c>
      <c r="I264" s="39">
        <v>5</v>
      </c>
      <c r="J264" s="38"/>
      <c r="K264" s="39">
        <v>789088.5</v>
      </c>
      <c r="L264" s="39">
        <v>0</v>
      </c>
      <c r="M264" s="39">
        <v>789088.5</v>
      </c>
      <c r="N264" s="38"/>
      <c r="O264" s="39">
        <v>324854.5</v>
      </c>
      <c r="P264" s="39">
        <v>0</v>
      </c>
      <c r="Q264" s="39">
        <v>324854.5</v>
      </c>
      <c r="R264" s="38"/>
      <c r="S264" s="39">
        <v>1113943</v>
      </c>
      <c r="T264" s="39">
        <v>0</v>
      </c>
      <c r="U264" s="39">
        <v>1113943</v>
      </c>
      <c r="V264" s="29"/>
      <c r="W264" s="29">
        <f>INDEX(SurtaxPayment!$C$6:$U$330,MATCH(PriorYear!$C264,SurtaxPayment!$C$6:$C$330,0),6)+INDEX(SurtaxPayment!$C$6:$U$330,MATCH(PriorYear!$C264,SurtaxPayment!$C$6:$C$330,0),7)</f>
        <v>1</v>
      </c>
      <c r="X264" s="29">
        <f t="shared" si="8"/>
        <v>-4</v>
      </c>
      <c r="Y264" s="29">
        <f>INDEX(SurtaxPayment!$C$6:$U$330,MATCH(PriorYear!C264,SurtaxPayment!$C$6:$C$330,0),9)</f>
        <v>157387.04</v>
      </c>
      <c r="Z264" s="66">
        <f t="shared" si="9"/>
        <v>-0.80054576894733598</v>
      </c>
    </row>
    <row r="265" spans="1:26" x14ac:dyDescent="0.25">
      <c r="A265" s="52">
        <v>2023</v>
      </c>
      <c r="B265" s="52" t="s">
        <v>661</v>
      </c>
      <c r="C265" s="57" t="s">
        <v>651</v>
      </c>
      <c r="D265" s="58" t="s">
        <v>693</v>
      </c>
      <c r="E265" s="58" t="s">
        <v>693</v>
      </c>
      <c r="F265" s="58" t="s">
        <v>651</v>
      </c>
      <c r="G265" s="57" t="s">
        <v>730</v>
      </c>
      <c r="H265" s="39">
        <v>0</v>
      </c>
      <c r="I265" s="39">
        <v>1</v>
      </c>
      <c r="J265" s="38"/>
      <c r="K265" s="39">
        <v>45589.5</v>
      </c>
      <c r="L265" s="39">
        <v>0</v>
      </c>
      <c r="M265" s="39">
        <v>45589.5</v>
      </c>
      <c r="N265" s="38"/>
      <c r="O265" s="39">
        <v>16241.5</v>
      </c>
      <c r="P265" s="39">
        <v>0</v>
      </c>
      <c r="Q265" s="39">
        <v>16241.5</v>
      </c>
      <c r="R265" s="38"/>
      <c r="S265" s="39">
        <v>61831</v>
      </c>
      <c r="T265" s="39">
        <v>0</v>
      </c>
      <c r="U265" s="39">
        <v>61831</v>
      </c>
      <c r="V265" s="29"/>
      <c r="W265" s="29">
        <f>INDEX(SurtaxPayment!$C$6:$U$330,MATCH(PriorYear!$C265,SurtaxPayment!$C$6:$C$330,0),6)+INDEX(SurtaxPayment!$C$6:$U$330,MATCH(PriorYear!$C265,SurtaxPayment!$C$6:$C$330,0),7)</f>
        <v>1</v>
      </c>
      <c r="X265" s="29">
        <f t="shared" si="8"/>
        <v>0</v>
      </c>
      <c r="Y265" s="29">
        <f>INDEX(SurtaxPayment!$C$6:$U$330,MATCH(PriorYear!C265,SurtaxPayment!$C$6:$C$330,0),9)</f>
        <v>54219.06</v>
      </c>
      <c r="Z265" s="66">
        <f t="shared" si="9"/>
        <v>0.18928832296910467</v>
      </c>
    </row>
    <row r="266" spans="1:26" x14ac:dyDescent="0.25">
      <c r="A266" s="52">
        <v>2023</v>
      </c>
      <c r="B266" s="52" t="s">
        <v>661</v>
      </c>
      <c r="C266" s="57" t="s">
        <v>577</v>
      </c>
      <c r="D266" s="58" t="s">
        <v>693</v>
      </c>
      <c r="E266" s="58" t="s">
        <v>693</v>
      </c>
      <c r="F266" s="58" t="s">
        <v>577</v>
      </c>
      <c r="G266" s="57" t="s">
        <v>233</v>
      </c>
      <c r="H266" s="39">
        <v>0</v>
      </c>
      <c r="I266" s="39">
        <v>7</v>
      </c>
      <c r="J266" s="38"/>
      <c r="K266" s="39">
        <v>231072</v>
      </c>
      <c r="L266" s="39">
        <v>0</v>
      </c>
      <c r="M266" s="39">
        <v>231072</v>
      </c>
      <c r="N266" s="38"/>
      <c r="O266" s="39">
        <v>104609</v>
      </c>
      <c r="P266" s="39">
        <v>0</v>
      </c>
      <c r="Q266" s="39">
        <v>104609</v>
      </c>
      <c r="R266" s="38"/>
      <c r="S266" s="39">
        <v>335681</v>
      </c>
      <c r="T266" s="39">
        <v>0</v>
      </c>
      <c r="U266" s="39">
        <v>335681</v>
      </c>
      <c r="V266" s="29"/>
      <c r="W266" s="29">
        <f>INDEX(SurtaxPayment!$C$6:$U$330,MATCH(PriorYear!$C266,SurtaxPayment!$C$6:$C$330,0),6)+INDEX(SurtaxPayment!$C$6:$U$330,MATCH(PriorYear!$C266,SurtaxPayment!$C$6:$C$330,0),7)</f>
        <v>7</v>
      </c>
      <c r="X266" s="29">
        <f t="shared" si="8"/>
        <v>0</v>
      </c>
      <c r="Y266" s="29">
        <f>INDEX(SurtaxPayment!$C$6:$U$330,MATCH(PriorYear!C266,SurtaxPayment!$C$6:$C$330,0),9)</f>
        <v>318648.90999999997</v>
      </c>
      <c r="Z266" s="66">
        <f t="shared" si="9"/>
        <v>0.37900269180168938</v>
      </c>
    </row>
    <row r="267" spans="1:26" x14ac:dyDescent="0.25">
      <c r="A267" s="52">
        <v>2023</v>
      </c>
      <c r="B267" s="52" t="s">
        <v>660</v>
      </c>
      <c r="C267" s="57" t="s">
        <v>543</v>
      </c>
      <c r="D267" s="58" t="s">
        <v>693</v>
      </c>
      <c r="E267" s="58" t="s">
        <v>693</v>
      </c>
      <c r="F267" s="58" t="s">
        <v>675</v>
      </c>
      <c r="G267" s="57" t="s">
        <v>234</v>
      </c>
      <c r="H267" s="39">
        <v>4</v>
      </c>
      <c r="I267" s="39">
        <v>6</v>
      </c>
      <c r="J267" s="38"/>
      <c r="K267" s="39">
        <v>342364.5</v>
      </c>
      <c r="L267" s="39">
        <v>136945.79999999999</v>
      </c>
      <c r="M267" s="39">
        <v>205418.7</v>
      </c>
      <c r="N267" s="38"/>
      <c r="O267" s="39">
        <v>150291.5</v>
      </c>
      <c r="P267" s="39">
        <v>60116.6</v>
      </c>
      <c r="Q267" s="39">
        <v>90174.9</v>
      </c>
      <c r="R267" s="38"/>
      <c r="S267" s="39">
        <v>492656</v>
      </c>
      <c r="T267" s="39">
        <v>197062.39999999999</v>
      </c>
      <c r="U267" s="39">
        <v>295593.59999999998</v>
      </c>
      <c r="V267" s="29"/>
      <c r="W267" s="29">
        <f>INDEX(SurtaxPayment!$C$6:$U$330,MATCH(PriorYear!$C267,SurtaxPayment!$C$6:$C$330,0),6)+INDEX(SurtaxPayment!$C$6:$U$330,MATCH(PriorYear!$C267,SurtaxPayment!$C$6:$C$330,0),7)</f>
        <v>10</v>
      </c>
      <c r="X267" s="29">
        <f t="shared" si="8"/>
        <v>0</v>
      </c>
      <c r="Y267" s="29">
        <f>INDEX(SurtaxPayment!$C$6:$U$330,MATCH(PriorYear!C267,SurtaxPayment!$C$6:$C$330,0),9)</f>
        <v>429307.42</v>
      </c>
      <c r="Z267" s="66">
        <f t="shared" si="9"/>
        <v>0.25394840878654179</v>
      </c>
    </row>
    <row r="268" spans="1:26" x14ac:dyDescent="0.25">
      <c r="A268" s="52">
        <v>2023</v>
      </c>
      <c r="B268" s="52" t="s">
        <v>659</v>
      </c>
      <c r="C268" s="57" t="s">
        <v>579</v>
      </c>
      <c r="D268" s="58" t="s">
        <v>693</v>
      </c>
      <c r="E268" s="58" t="s">
        <v>693</v>
      </c>
      <c r="F268" s="58" t="s">
        <v>579</v>
      </c>
      <c r="G268" s="57" t="s">
        <v>235</v>
      </c>
      <c r="H268" s="39">
        <v>0</v>
      </c>
      <c r="I268" s="39">
        <v>12</v>
      </c>
      <c r="J268" s="38"/>
      <c r="K268" s="39">
        <v>86007.75</v>
      </c>
      <c r="L268" s="39">
        <v>0</v>
      </c>
      <c r="M268" s="39">
        <v>86007.75</v>
      </c>
      <c r="N268" s="38"/>
      <c r="O268" s="39">
        <v>36325.25</v>
      </c>
      <c r="P268" s="39">
        <v>0</v>
      </c>
      <c r="Q268" s="39">
        <v>36325.25</v>
      </c>
      <c r="R268" s="38"/>
      <c r="S268" s="39">
        <v>122333</v>
      </c>
      <c r="T268" s="39">
        <v>0</v>
      </c>
      <c r="U268" s="39">
        <v>122333</v>
      </c>
      <c r="V268" s="29"/>
      <c r="W268" s="29">
        <f>INDEX(SurtaxPayment!$C$6:$U$330,MATCH(PriorYear!$C268,SurtaxPayment!$C$6:$C$330,0),6)+INDEX(SurtaxPayment!$C$6:$U$330,MATCH(PriorYear!$C268,SurtaxPayment!$C$6:$C$330,0),7)</f>
        <v>5</v>
      </c>
      <c r="X268" s="29">
        <f t="shared" si="8"/>
        <v>-7</v>
      </c>
      <c r="Y268" s="29">
        <f>INDEX(SurtaxPayment!$C$6:$U$330,MATCH(PriorYear!C268,SurtaxPayment!$C$6:$C$330,0),9)</f>
        <v>46206.68</v>
      </c>
      <c r="Z268" s="66">
        <f t="shared" si="9"/>
        <v>-0.46276143719606661</v>
      </c>
    </row>
    <row r="269" spans="1:26" x14ac:dyDescent="0.25">
      <c r="A269" s="52">
        <v>2023</v>
      </c>
      <c r="B269" s="52" t="s">
        <v>658</v>
      </c>
      <c r="C269" s="57" t="s">
        <v>580</v>
      </c>
      <c r="D269" s="58" t="s">
        <v>693</v>
      </c>
      <c r="E269" s="58" t="s">
        <v>693</v>
      </c>
      <c r="F269" s="58" t="s">
        <v>580</v>
      </c>
      <c r="G269" s="57" t="s">
        <v>236</v>
      </c>
      <c r="H269" s="39">
        <v>0</v>
      </c>
      <c r="I269" s="39">
        <v>3</v>
      </c>
      <c r="J269" s="38"/>
      <c r="K269" s="39">
        <v>156158.25</v>
      </c>
      <c r="L269" s="39">
        <v>0</v>
      </c>
      <c r="M269" s="39">
        <v>156158.25</v>
      </c>
      <c r="N269" s="38"/>
      <c r="O269" s="39">
        <v>60386.75</v>
      </c>
      <c r="P269" s="39">
        <v>0</v>
      </c>
      <c r="Q269" s="39">
        <v>60386.75</v>
      </c>
      <c r="R269" s="38"/>
      <c r="S269" s="39">
        <v>216545</v>
      </c>
      <c r="T269" s="39">
        <v>0</v>
      </c>
      <c r="U269" s="39">
        <v>216545</v>
      </c>
      <c r="V269" s="29"/>
      <c r="W269" s="29">
        <f>INDEX(SurtaxPayment!$C$6:$U$330,MATCH(PriorYear!$C269,SurtaxPayment!$C$6:$C$330,0),6)+INDEX(SurtaxPayment!$C$6:$U$330,MATCH(PriorYear!$C269,SurtaxPayment!$C$6:$C$330,0),7)</f>
        <v>4</v>
      </c>
      <c r="X269" s="29">
        <f t="shared" si="8"/>
        <v>1</v>
      </c>
      <c r="Y269" s="29">
        <f>INDEX(SurtaxPayment!$C$6:$U$330,MATCH(PriorYear!C269,SurtaxPayment!$C$6:$C$330,0),9)</f>
        <v>255359.09</v>
      </c>
      <c r="Z269" s="66">
        <f t="shared" si="9"/>
        <v>0.63525839973232279</v>
      </c>
    </row>
    <row r="270" spans="1:26" x14ac:dyDescent="0.25">
      <c r="A270" s="52">
        <v>2023</v>
      </c>
      <c r="B270" s="52" t="s">
        <v>665</v>
      </c>
      <c r="C270" s="57" t="s">
        <v>581</v>
      </c>
      <c r="D270" s="58" t="s">
        <v>693</v>
      </c>
      <c r="E270" s="58" t="s">
        <v>693</v>
      </c>
      <c r="F270" s="58" t="s">
        <v>581</v>
      </c>
      <c r="G270" s="57" t="s">
        <v>237</v>
      </c>
      <c r="H270" s="39">
        <v>3</v>
      </c>
      <c r="I270" s="39">
        <v>3</v>
      </c>
      <c r="J270" s="38"/>
      <c r="K270" s="39">
        <v>197412.75</v>
      </c>
      <c r="L270" s="39">
        <v>98706.38</v>
      </c>
      <c r="M270" s="39">
        <v>98706.37</v>
      </c>
      <c r="N270" s="38"/>
      <c r="O270" s="39">
        <v>71742.25</v>
      </c>
      <c r="P270" s="39">
        <v>35871.129999999997</v>
      </c>
      <c r="Q270" s="39">
        <v>35871.120000000003</v>
      </c>
      <c r="R270" s="38"/>
      <c r="S270" s="39">
        <v>269155</v>
      </c>
      <c r="T270" s="39">
        <v>134577.51</v>
      </c>
      <c r="U270" s="39">
        <v>134577.49</v>
      </c>
      <c r="V270" s="29"/>
      <c r="W270" s="29">
        <f>INDEX(SurtaxPayment!$C$6:$U$330,MATCH(PriorYear!$C270,SurtaxPayment!$C$6:$C$330,0),6)+INDEX(SurtaxPayment!$C$6:$U$330,MATCH(PriorYear!$C270,SurtaxPayment!$C$6:$C$330,0),7)</f>
        <v>6</v>
      </c>
      <c r="X270" s="29">
        <f t="shared" si="8"/>
        <v>0</v>
      </c>
      <c r="Y270" s="29">
        <f>INDEX(SurtaxPayment!$C$6:$U$330,MATCH(PriorYear!C270,SurtaxPayment!$C$6:$C$330,0),9)</f>
        <v>244609.36</v>
      </c>
      <c r="Z270" s="66">
        <f t="shared" si="9"/>
        <v>0.23907579424327954</v>
      </c>
    </row>
    <row r="271" spans="1:26" x14ac:dyDescent="0.25">
      <c r="A271" s="52">
        <v>2023</v>
      </c>
      <c r="B271" s="52" t="s">
        <v>657</v>
      </c>
      <c r="C271" s="57" t="s">
        <v>582</v>
      </c>
      <c r="D271" s="58" t="s">
        <v>693</v>
      </c>
      <c r="E271" s="58" t="s">
        <v>693</v>
      </c>
      <c r="F271" s="58" t="s">
        <v>582</v>
      </c>
      <c r="G271" s="57" t="s">
        <v>238</v>
      </c>
      <c r="H271" s="39">
        <v>0</v>
      </c>
      <c r="I271" s="39">
        <v>5</v>
      </c>
      <c r="J271" s="38"/>
      <c r="K271" s="39">
        <v>2145281.25</v>
      </c>
      <c r="L271" s="39">
        <v>0</v>
      </c>
      <c r="M271" s="39">
        <v>2145281.25</v>
      </c>
      <c r="N271" s="38"/>
      <c r="O271" s="39">
        <v>852971.75</v>
      </c>
      <c r="P271" s="39">
        <v>0</v>
      </c>
      <c r="Q271" s="39">
        <v>852971.75</v>
      </c>
      <c r="R271" s="38"/>
      <c r="S271" s="39">
        <v>2998253</v>
      </c>
      <c r="T271" s="39">
        <v>0</v>
      </c>
      <c r="U271" s="39">
        <v>2998253</v>
      </c>
      <c r="V271" s="29"/>
      <c r="W271" s="29">
        <f>INDEX(SurtaxPayment!$C$6:$U$330,MATCH(PriorYear!$C271,SurtaxPayment!$C$6:$C$330,0),6)+INDEX(SurtaxPayment!$C$6:$U$330,MATCH(PriorYear!$C271,SurtaxPayment!$C$6:$C$330,0),7)</f>
        <v>5</v>
      </c>
      <c r="X271" s="29">
        <f t="shared" si="8"/>
        <v>0</v>
      </c>
      <c r="Y271" s="29">
        <f>INDEX(SurtaxPayment!$C$6:$U$330,MATCH(PriorYear!C271,SurtaxPayment!$C$6:$C$330,0),9)</f>
        <v>2861507.22</v>
      </c>
      <c r="Z271" s="66">
        <f t="shared" si="9"/>
        <v>0.33386110562426263</v>
      </c>
    </row>
    <row r="272" spans="1:26" x14ac:dyDescent="0.25">
      <c r="A272" s="52">
        <v>2023</v>
      </c>
      <c r="B272" s="52" t="s">
        <v>657</v>
      </c>
      <c r="C272" s="57" t="s">
        <v>576</v>
      </c>
      <c r="D272" s="58" t="s">
        <v>693</v>
      </c>
      <c r="E272" s="58" t="s">
        <v>693</v>
      </c>
      <c r="F272" s="58" t="s">
        <v>576</v>
      </c>
      <c r="G272" s="57" t="s">
        <v>239</v>
      </c>
      <c r="H272" s="39">
        <v>0</v>
      </c>
      <c r="I272" s="39">
        <v>5</v>
      </c>
      <c r="J272" s="38"/>
      <c r="K272" s="39">
        <v>128289.75</v>
      </c>
      <c r="L272" s="39">
        <v>0</v>
      </c>
      <c r="M272" s="39">
        <v>128289.75</v>
      </c>
      <c r="N272" s="38"/>
      <c r="O272" s="39">
        <v>46825.25</v>
      </c>
      <c r="P272" s="39">
        <v>0</v>
      </c>
      <c r="Q272" s="39">
        <v>46825.25</v>
      </c>
      <c r="R272" s="38"/>
      <c r="S272" s="39">
        <v>175115</v>
      </c>
      <c r="T272" s="39">
        <v>0</v>
      </c>
      <c r="U272" s="39">
        <v>175115</v>
      </c>
      <c r="V272" s="29"/>
      <c r="W272" s="29">
        <f>INDEX(SurtaxPayment!$C$6:$U$330,MATCH(PriorYear!$C272,SurtaxPayment!$C$6:$C$330,0),6)+INDEX(SurtaxPayment!$C$6:$U$330,MATCH(PriorYear!$C272,SurtaxPayment!$C$6:$C$330,0),7)</f>
        <v>5</v>
      </c>
      <c r="X272" s="29">
        <f t="shared" si="8"/>
        <v>0</v>
      </c>
      <c r="Y272" s="29">
        <f>INDEX(SurtaxPayment!$C$6:$U$330,MATCH(PriorYear!C272,SurtaxPayment!$C$6:$C$330,0),9)</f>
        <v>162289.54</v>
      </c>
      <c r="Z272" s="66">
        <f t="shared" si="9"/>
        <v>0.26502343328286171</v>
      </c>
    </row>
    <row r="273" spans="1:26" x14ac:dyDescent="0.25">
      <c r="A273" s="52">
        <v>2023</v>
      </c>
      <c r="B273" s="52" t="s">
        <v>661</v>
      </c>
      <c r="C273" s="57" t="s">
        <v>578</v>
      </c>
      <c r="D273" s="58" t="s">
        <v>693</v>
      </c>
      <c r="E273" s="58" t="s">
        <v>693</v>
      </c>
      <c r="F273" s="58" t="s">
        <v>578</v>
      </c>
      <c r="G273" s="57" t="s">
        <v>240</v>
      </c>
      <c r="H273" s="39">
        <v>1</v>
      </c>
      <c r="I273" s="39">
        <v>5</v>
      </c>
      <c r="J273" s="38"/>
      <c r="K273" s="39">
        <v>130190.25</v>
      </c>
      <c r="L273" s="39">
        <v>21698.38</v>
      </c>
      <c r="M273" s="39">
        <v>108491.87</v>
      </c>
      <c r="N273" s="38"/>
      <c r="O273" s="39">
        <v>49504.75</v>
      </c>
      <c r="P273" s="39">
        <v>8250.7900000000009</v>
      </c>
      <c r="Q273" s="39">
        <v>41253.96</v>
      </c>
      <c r="R273" s="38"/>
      <c r="S273" s="39">
        <v>179695</v>
      </c>
      <c r="T273" s="39">
        <v>29949.170000000002</v>
      </c>
      <c r="U273" s="39">
        <v>149745.82999999999</v>
      </c>
      <c r="V273" s="29"/>
      <c r="W273" s="29">
        <f>INDEX(SurtaxPayment!$C$6:$U$330,MATCH(PriorYear!$C273,SurtaxPayment!$C$6:$C$330,0),6)+INDEX(SurtaxPayment!$C$6:$U$330,MATCH(PriorYear!$C273,SurtaxPayment!$C$6:$C$330,0),7)</f>
        <v>6</v>
      </c>
      <c r="X273" s="29">
        <f t="shared" si="8"/>
        <v>0</v>
      </c>
      <c r="Y273" s="29">
        <f>INDEX(SurtaxPayment!$C$6:$U$330,MATCH(PriorYear!C273,SurtaxPayment!$C$6:$C$330,0),9)</f>
        <v>360508.47</v>
      </c>
      <c r="Z273" s="66">
        <f t="shared" si="9"/>
        <v>1.7690896207665319</v>
      </c>
    </row>
    <row r="274" spans="1:26" x14ac:dyDescent="0.25">
      <c r="A274" s="52">
        <v>2023</v>
      </c>
      <c r="B274" s="52" t="s">
        <v>661</v>
      </c>
      <c r="C274" s="57" t="s">
        <v>583</v>
      </c>
      <c r="D274" s="58" t="s">
        <v>693</v>
      </c>
      <c r="E274" s="58" t="s">
        <v>693</v>
      </c>
      <c r="F274" s="58" t="s">
        <v>583</v>
      </c>
      <c r="G274" s="57" t="s">
        <v>241</v>
      </c>
      <c r="H274" s="39">
        <v>0</v>
      </c>
      <c r="I274" s="39">
        <v>4</v>
      </c>
      <c r="J274" s="38"/>
      <c r="K274" s="39">
        <v>451605.75</v>
      </c>
      <c r="L274" s="39">
        <v>0</v>
      </c>
      <c r="M274" s="39">
        <v>451605.75</v>
      </c>
      <c r="N274" s="38"/>
      <c r="O274" s="39">
        <v>173288.25</v>
      </c>
      <c r="P274" s="39">
        <v>0</v>
      </c>
      <c r="Q274" s="39">
        <v>173288.25</v>
      </c>
      <c r="R274" s="38"/>
      <c r="S274" s="39">
        <v>624894</v>
      </c>
      <c r="T274" s="39">
        <v>0</v>
      </c>
      <c r="U274" s="39">
        <v>624894</v>
      </c>
      <c r="V274" s="29"/>
      <c r="W274" s="29">
        <f>INDEX(SurtaxPayment!$C$6:$U$330,MATCH(PriorYear!$C274,SurtaxPayment!$C$6:$C$330,0),6)+INDEX(SurtaxPayment!$C$6:$U$330,MATCH(PriorYear!$C274,SurtaxPayment!$C$6:$C$330,0),7)</f>
        <v>4</v>
      </c>
      <c r="X274" s="29">
        <f t="shared" si="8"/>
        <v>0</v>
      </c>
      <c r="Y274" s="29">
        <f>INDEX(SurtaxPayment!$C$6:$U$330,MATCH(PriorYear!C274,SurtaxPayment!$C$6:$C$330,0),9)</f>
        <v>549811.74</v>
      </c>
      <c r="Z274" s="66">
        <f t="shared" si="9"/>
        <v>0.21745956511846892</v>
      </c>
    </row>
    <row r="275" spans="1:26" x14ac:dyDescent="0.25">
      <c r="A275" s="52">
        <v>2023</v>
      </c>
      <c r="B275" s="52" t="s">
        <v>661</v>
      </c>
      <c r="C275" s="57" t="s">
        <v>584</v>
      </c>
      <c r="D275" s="58" t="s">
        <v>693</v>
      </c>
      <c r="E275" s="58" t="s">
        <v>693</v>
      </c>
      <c r="F275" s="58" t="s">
        <v>584</v>
      </c>
      <c r="G275" s="57" t="s">
        <v>242</v>
      </c>
      <c r="H275" s="39">
        <v>0</v>
      </c>
      <c r="I275" s="39">
        <v>2</v>
      </c>
      <c r="J275" s="38"/>
      <c r="K275" s="39">
        <v>204687</v>
      </c>
      <c r="L275" s="39">
        <v>0</v>
      </c>
      <c r="M275" s="39">
        <v>204687</v>
      </c>
      <c r="N275" s="38"/>
      <c r="O275" s="39">
        <v>94075</v>
      </c>
      <c r="P275" s="39">
        <v>0</v>
      </c>
      <c r="Q275" s="39">
        <v>94075</v>
      </c>
      <c r="R275" s="38"/>
      <c r="S275" s="39">
        <v>298762</v>
      </c>
      <c r="T275" s="39">
        <v>0</v>
      </c>
      <c r="U275" s="39">
        <v>298762</v>
      </c>
      <c r="V275" s="29"/>
      <c r="W275" s="29">
        <f>INDEX(SurtaxPayment!$C$6:$U$330,MATCH(PriorYear!$C275,SurtaxPayment!$C$6:$C$330,0),6)+INDEX(SurtaxPayment!$C$6:$U$330,MATCH(PriorYear!$C275,SurtaxPayment!$C$6:$C$330,0),7)</f>
        <v>1</v>
      </c>
      <c r="X275" s="29">
        <f t="shared" si="8"/>
        <v>-1</v>
      </c>
      <c r="Y275" s="29">
        <f>INDEX(SurtaxPayment!$C$6:$U$330,MATCH(PriorYear!C275,SurtaxPayment!$C$6:$C$330,0),9)</f>
        <v>126351.47</v>
      </c>
      <c r="Z275" s="66">
        <f t="shared" si="9"/>
        <v>-0.38270886768578366</v>
      </c>
    </row>
    <row r="276" spans="1:26" x14ac:dyDescent="0.25">
      <c r="A276" s="52">
        <v>2023</v>
      </c>
      <c r="B276" s="52" t="s">
        <v>663</v>
      </c>
      <c r="C276" s="57" t="s">
        <v>585</v>
      </c>
      <c r="D276" s="58" t="s">
        <v>693</v>
      </c>
      <c r="E276" s="58" t="s">
        <v>693</v>
      </c>
      <c r="F276" s="58" t="s">
        <v>585</v>
      </c>
      <c r="G276" s="57" t="s">
        <v>243</v>
      </c>
      <c r="H276" s="39">
        <v>0</v>
      </c>
      <c r="I276" s="39">
        <v>1</v>
      </c>
      <c r="J276" s="38"/>
      <c r="K276" s="39">
        <v>29258.25</v>
      </c>
      <c r="L276" s="39">
        <v>0</v>
      </c>
      <c r="M276" s="39">
        <v>29258.25</v>
      </c>
      <c r="N276" s="38"/>
      <c r="O276" s="39">
        <v>11162.75</v>
      </c>
      <c r="P276" s="39">
        <v>0</v>
      </c>
      <c r="Q276" s="39">
        <v>11162.75</v>
      </c>
      <c r="R276" s="38"/>
      <c r="S276" s="39">
        <v>40421</v>
      </c>
      <c r="T276" s="39">
        <v>0</v>
      </c>
      <c r="U276" s="39">
        <v>40421</v>
      </c>
      <c r="V276" s="29"/>
      <c r="W276" s="29">
        <f>INDEX(SurtaxPayment!$C$6:$U$330,MATCH(PriorYear!$C276,SurtaxPayment!$C$6:$C$330,0),6)+INDEX(SurtaxPayment!$C$6:$U$330,MATCH(PriorYear!$C276,SurtaxPayment!$C$6:$C$330,0),7)</f>
        <v>1</v>
      </c>
      <c r="X276" s="29">
        <f t="shared" si="8"/>
        <v>0</v>
      </c>
      <c r="Y276" s="29">
        <f>INDEX(SurtaxPayment!$C$6:$U$330,MATCH(PriorYear!C276,SurtaxPayment!$C$6:$C$330,0),9)</f>
        <v>34611.56</v>
      </c>
      <c r="Z276" s="66">
        <f t="shared" si="9"/>
        <v>0.18296753907017671</v>
      </c>
    </row>
    <row r="277" spans="1:26" x14ac:dyDescent="0.25">
      <c r="A277" s="52">
        <v>2023</v>
      </c>
      <c r="B277" s="52" t="s">
        <v>658</v>
      </c>
      <c r="C277" s="57" t="s">
        <v>560</v>
      </c>
      <c r="D277" s="58" t="s">
        <v>693</v>
      </c>
      <c r="E277" s="58" t="s">
        <v>693</v>
      </c>
      <c r="F277" s="58" t="s">
        <v>560</v>
      </c>
      <c r="G277" s="57" t="s">
        <v>244</v>
      </c>
      <c r="H277" s="39">
        <v>0</v>
      </c>
      <c r="I277" s="39">
        <v>7</v>
      </c>
      <c r="J277" s="38"/>
      <c r="K277" s="39">
        <v>242670.75</v>
      </c>
      <c r="L277" s="39">
        <v>0</v>
      </c>
      <c r="M277" s="39">
        <v>242670.75</v>
      </c>
      <c r="N277" s="38"/>
      <c r="O277" s="39">
        <v>121935.25</v>
      </c>
      <c r="P277" s="39">
        <v>0</v>
      </c>
      <c r="Q277" s="39">
        <v>121935.25</v>
      </c>
      <c r="R277" s="38"/>
      <c r="S277" s="39">
        <v>364606</v>
      </c>
      <c r="T277" s="39">
        <v>0</v>
      </c>
      <c r="U277" s="39">
        <v>364606</v>
      </c>
      <c r="V277" s="29"/>
      <c r="W277" s="29">
        <f>INDEX(SurtaxPayment!$C$6:$U$330,MATCH(PriorYear!$C277,SurtaxPayment!$C$6:$C$330,0),6)+INDEX(SurtaxPayment!$C$6:$U$330,MATCH(PriorYear!$C277,SurtaxPayment!$C$6:$C$330,0),7)</f>
        <v>7</v>
      </c>
      <c r="X277" s="29">
        <f t="shared" si="8"/>
        <v>0</v>
      </c>
      <c r="Y277" s="29">
        <f>INDEX(SurtaxPayment!$C$6:$U$330,MATCH(PriorYear!C277,SurtaxPayment!$C$6:$C$330,0),9)</f>
        <v>288449.05</v>
      </c>
      <c r="Z277" s="66">
        <f t="shared" si="9"/>
        <v>0.18864366636687771</v>
      </c>
    </row>
    <row r="278" spans="1:26" x14ac:dyDescent="0.25">
      <c r="A278" s="52">
        <v>2023</v>
      </c>
      <c r="B278" s="52" t="s">
        <v>659</v>
      </c>
      <c r="C278" s="57" t="s">
        <v>586</v>
      </c>
      <c r="D278" s="58" t="s">
        <v>693</v>
      </c>
      <c r="E278" s="58" t="s">
        <v>693</v>
      </c>
      <c r="F278" s="58" t="s">
        <v>586</v>
      </c>
      <c r="G278" s="57" t="s">
        <v>245</v>
      </c>
      <c r="H278" s="39">
        <v>2</v>
      </c>
      <c r="I278" s="39">
        <v>1</v>
      </c>
      <c r="J278" s="38"/>
      <c r="K278" s="39">
        <v>25278</v>
      </c>
      <c r="L278" s="39">
        <v>16852</v>
      </c>
      <c r="M278" s="39">
        <v>8426</v>
      </c>
      <c r="N278" s="38"/>
      <c r="O278" s="39">
        <v>9342</v>
      </c>
      <c r="P278" s="39">
        <v>6228</v>
      </c>
      <c r="Q278" s="39">
        <v>3114</v>
      </c>
      <c r="R278" s="38"/>
      <c r="S278" s="39">
        <v>34620</v>
      </c>
      <c r="T278" s="39">
        <v>23080</v>
      </c>
      <c r="U278" s="39">
        <v>11540</v>
      </c>
      <c r="V278" s="29"/>
      <c r="W278" s="29">
        <f>INDEX(SurtaxPayment!$C$6:$U$330,MATCH(PriorYear!$C278,SurtaxPayment!$C$6:$C$330,0),6)+INDEX(SurtaxPayment!$C$6:$U$330,MATCH(PriorYear!$C278,SurtaxPayment!$C$6:$C$330,0),7)</f>
        <v>2</v>
      </c>
      <c r="X278" s="29">
        <f t="shared" si="8"/>
        <v>-1</v>
      </c>
      <c r="Y278" s="29">
        <f>INDEX(SurtaxPayment!$C$6:$U$330,MATCH(PriorYear!C278,SurtaxPayment!$C$6:$C$330,0),9)</f>
        <v>23250.12</v>
      </c>
      <c r="Z278" s="66">
        <f t="shared" si="9"/>
        <v>-8.0223118917635935E-2</v>
      </c>
    </row>
    <row r="279" spans="1:26" x14ac:dyDescent="0.25">
      <c r="A279" s="52">
        <v>2023</v>
      </c>
      <c r="B279" s="52" t="s">
        <v>665</v>
      </c>
      <c r="C279" s="57" t="s">
        <v>587</v>
      </c>
      <c r="D279" s="58" t="s">
        <v>693</v>
      </c>
      <c r="E279" s="58" t="s">
        <v>693</v>
      </c>
      <c r="F279" s="58" t="s">
        <v>587</v>
      </c>
      <c r="G279" s="57" t="s">
        <v>641</v>
      </c>
      <c r="H279" s="39">
        <v>1</v>
      </c>
      <c r="I279" s="39">
        <v>1</v>
      </c>
      <c r="J279" s="38"/>
      <c r="K279" s="39">
        <v>45891</v>
      </c>
      <c r="L279" s="39">
        <v>22945.5</v>
      </c>
      <c r="M279" s="39">
        <v>22945.5</v>
      </c>
      <c r="N279" s="38"/>
      <c r="O279" s="39">
        <v>17934</v>
      </c>
      <c r="P279" s="39">
        <v>8967</v>
      </c>
      <c r="Q279" s="39">
        <v>8967</v>
      </c>
      <c r="R279" s="38"/>
      <c r="S279" s="39">
        <v>63825</v>
      </c>
      <c r="T279" s="39">
        <v>31912.5</v>
      </c>
      <c r="U279" s="39">
        <v>31912.5</v>
      </c>
      <c r="V279" s="29"/>
      <c r="W279" s="29">
        <f>INDEX(SurtaxPayment!$C$6:$U$330,MATCH(PriorYear!$C279,SurtaxPayment!$C$6:$C$330,0),6)+INDEX(SurtaxPayment!$C$6:$U$330,MATCH(PriorYear!$C279,SurtaxPayment!$C$6:$C$330,0),7)</f>
        <v>2</v>
      </c>
      <c r="X279" s="29">
        <f t="shared" si="8"/>
        <v>0</v>
      </c>
      <c r="Y279" s="29">
        <f>INDEX(SurtaxPayment!$C$6:$U$330,MATCH(PriorYear!C279,SurtaxPayment!$C$6:$C$330,0),9)</f>
        <v>62022.82</v>
      </c>
      <c r="Z279" s="66">
        <f t="shared" si="9"/>
        <v>0.35152469983221113</v>
      </c>
    </row>
    <row r="280" spans="1:26" x14ac:dyDescent="0.25">
      <c r="A280" s="52">
        <v>2023</v>
      </c>
      <c r="B280" s="52" t="s">
        <v>661</v>
      </c>
      <c r="C280" s="57" t="s">
        <v>588</v>
      </c>
      <c r="D280" s="58" t="s">
        <v>693</v>
      </c>
      <c r="E280" s="58" t="s">
        <v>693</v>
      </c>
      <c r="F280" s="58" t="s">
        <v>588</v>
      </c>
      <c r="G280" s="57" t="s">
        <v>246</v>
      </c>
      <c r="H280" s="39">
        <v>0</v>
      </c>
      <c r="I280" s="39">
        <v>5</v>
      </c>
      <c r="J280" s="38"/>
      <c r="K280" s="39">
        <v>486056.25</v>
      </c>
      <c r="L280" s="39">
        <v>0</v>
      </c>
      <c r="M280" s="39">
        <v>486056.25</v>
      </c>
      <c r="N280" s="38"/>
      <c r="O280" s="39">
        <v>179339.75</v>
      </c>
      <c r="P280" s="39">
        <v>0</v>
      </c>
      <c r="Q280" s="39">
        <v>179339.75</v>
      </c>
      <c r="R280" s="38"/>
      <c r="S280" s="39">
        <v>665396</v>
      </c>
      <c r="T280" s="39">
        <v>0</v>
      </c>
      <c r="U280" s="39">
        <v>665396</v>
      </c>
      <c r="V280" s="29"/>
      <c r="W280" s="29">
        <f>INDEX(SurtaxPayment!$C$6:$U$330,MATCH(PriorYear!$C280,SurtaxPayment!$C$6:$C$330,0),6)+INDEX(SurtaxPayment!$C$6:$U$330,MATCH(PriorYear!$C280,SurtaxPayment!$C$6:$C$330,0),7)</f>
        <v>5</v>
      </c>
      <c r="X280" s="29">
        <f t="shared" si="8"/>
        <v>0</v>
      </c>
      <c r="Y280" s="29">
        <f>INDEX(SurtaxPayment!$C$6:$U$330,MATCH(PriorYear!C280,SurtaxPayment!$C$6:$C$330,0),9)</f>
        <v>561275.47</v>
      </c>
      <c r="Z280" s="66">
        <f t="shared" si="9"/>
        <v>0.15475414625364856</v>
      </c>
    </row>
    <row r="281" spans="1:26" x14ac:dyDescent="0.25">
      <c r="A281" s="52">
        <v>2023</v>
      </c>
      <c r="B281" s="52" t="s">
        <v>661</v>
      </c>
      <c r="C281" s="57" t="s">
        <v>589</v>
      </c>
      <c r="D281" s="58" t="s">
        <v>693</v>
      </c>
      <c r="E281" s="58" t="s">
        <v>693</v>
      </c>
      <c r="F281" s="58" t="s">
        <v>589</v>
      </c>
      <c r="G281" s="57" t="s">
        <v>247</v>
      </c>
      <c r="H281" s="39">
        <v>0</v>
      </c>
      <c r="I281" s="39">
        <v>5</v>
      </c>
      <c r="J281" s="38"/>
      <c r="K281" s="39">
        <v>42625.5</v>
      </c>
      <c r="L281" s="39">
        <v>0</v>
      </c>
      <c r="M281" s="39">
        <v>42625.5</v>
      </c>
      <c r="N281" s="38"/>
      <c r="O281" s="39">
        <v>16261.5</v>
      </c>
      <c r="P281" s="39">
        <v>0</v>
      </c>
      <c r="Q281" s="39">
        <v>16261.5</v>
      </c>
      <c r="R281" s="38"/>
      <c r="S281" s="39">
        <v>58887</v>
      </c>
      <c r="T281" s="39">
        <v>0</v>
      </c>
      <c r="U281" s="39">
        <v>58887</v>
      </c>
      <c r="V281" s="29"/>
      <c r="W281" s="29">
        <f>INDEX(SurtaxPayment!$C$6:$U$330,MATCH(PriorYear!$C281,SurtaxPayment!$C$6:$C$330,0),6)+INDEX(SurtaxPayment!$C$6:$U$330,MATCH(PriorYear!$C281,SurtaxPayment!$C$6:$C$330,0),7)</f>
        <v>4</v>
      </c>
      <c r="X281" s="29">
        <f t="shared" si="8"/>
        <v>-1</v>
      </c>
      <c r="Y281" s="29">
        <f>INDEX(SurtaxPayment!$C$6:$U$330,MATCH(PriorYear!C281,SurtaxPayment!$C$6:$C$330,0),9)</f>
        <v>46745.58</v>
      </c>
      <c r="Z281" s="66">
        <f t="shared" si="9"/>
        <v>9.6657634514551186E-2</v>
      </c>
    </row>
    <row r="282" spans="1:26" x14ac:dyDescent="0.25">
      <c r="A282" s="52">
        <v>2023</v>
      </c>
      <c r="B282" s="52" t="s">
        <v>658</v>
      </c>
      <c r="C282" s="57" t="s">
        <v>591</v>
      </c>
      <c r="D282" s="58" t="s">
        <v>693</v>
      </c>
      <c r="E282" s="58" t="s">
        <v>693</v>
      </c>
      <c r="F282" s="58" t="s">
        <v>591</v>
      </c>
      <c r="G282" s="57" t="s">
        <v>248</v>
      </c>
      <c r="H282" s="39">
        <v>3</v>
      </c>
      <c r="I282" s="39">
        <v>7</v>
      </c>
      <c r="J282" s="38"/>
      <c r="K282" s="39">
        <v>403431</v>
      </c>
      <c r="L282" s="39">
        <v>121029.3</v>
      </c>
      <c r="M282" s="39">
        <v>282401.7</v>
      </c>
      <c r="N282" s="38"/>
      <c r="O282" s="39">
        <v>162679</v>
      </c>
      <c r="P282" s="39">
        <v>48803.7</v>
      </c>
      <c r="Q282" s="39">
        <v>113875.3</v>
      </c>
      <c r="R282" s="38"/>
      <c r="S282" s="39">
        <v>566110</v>
      </c>
      <c r="T282" s="39">
        <v>169833</v>
      </c>
      <c r="U282" s="39">
        <v>396277</v>
      </c>
      <c r="V282" s="29"/>
      <c r="W282" s="29">
        <f>INDEX(SurtaxPayment!$C$6:$U$330,MATCH(PriorYear!$C282,SurtaxPayment!$C$6:$C$330,0),6)+INDEX(SurtaxPayment!$C$6:$U$330,MATCH(PriorYear!$C282,SurtaxPayment!$C$6:$C$330,0),7)</f>
        <v>10</v>
      </c>
      <c r="X282" s="29">
        <f t="shared" si="8"/>
        <v>0</v>
      </c>
      <c r="Y282" s="29">
        <f>INDEX(SurtaxPayment!$C$6:$U$330,MATCH(PriorYear!C282,SurtaxPayment!$C$6:$C$330,0),9)</f>
        <v>478658.63</v>
      </c>
      <c r="Z282" s="66">
        <f t="shared" si="9"/>
        <v>0.18646963173380332</v>
      </c>
    </row>
    <row r="283" spans="1:26" x14ac:dyDescent="0.25">
      <c r="A283" s="52">
        <v>2023</v>
      </c>
      <c r="B283" s="52" t="s">
        <v>663</v>
      </c>
      <c r="C283" s="57" t="s">
        <v>592</v>
      </c>
      <c r="D283" s="58" t="s">
        <v>693</v>
      </c>
      <c r="E283" s="58" t="s">
        <v>693</v>
      </c>
      <c r="F283" s="58" t="s">
        <v>592</v>
      </c>
      <c r="G283" s="57" t="s">
        <v>249</v>
      </c>
      <c r="H283" s="39">
        <v>5</v>
      </c>
      <c r="I283" s="39">
        <v>5</v>
      </c>
      <c r="J283" s="38"/>
      <c r="K283" s="39">
        <v>478755</v>
      </c>
      <c r="L283" s="39">
        <v>239377.5</v>
      </c>
      <c r="M283" s="39">
        <v>239377.5</v>
      </c>
      <c r="N283" s="38"/>
      <c r="O283" s="39">
        <v>206757</v>
      </c>
      <c r="P283" s="39">
        <v>103378.5</v>
      </c>
      <c r="Q283" s="39">
        <v>103378.5</v>
      </c>
      <c r="R283" s="38"/>
      <c r="S283" s="39">
        <v>685512</v>
      </c>
      <c r="T283" s="39">
        <v>342756</v>
      </c>
      <c r="U283" s="39">
        <v>342756</v>
      </c>
      <c r="V283" s="29"/>
      <c r="W283" s="29">
        <f>INDEX(SurtaxPayment!$C$6:$U$330,MATCH(PriorYear!$C283,SurtaxPayment!$C$6:$C$330,0),6)+INDEX(SurtaxPayment!$C$6:$U$330,MATCH(PriorYear!$C283,SurtaxPayment!$C$6:$C$330,0),7)</f>
        <v>10</v>
      </c>
      <c r="X283" s="29">
        <f t="shared" si="8"/>
        <v>0</v>
      </c>
      <c r="Y283" s="29">
        <f>INDEX(SurtaxPayment!$C$6:$U$330,MATCH(PriorYear!C283,SurtaxPayment!$C$6:$C$330,0),9)</f>
        <v>582405.23</v>
      </c>
      <c r="Z283" s="66">
        <f t="shared" si="9"/>
        <v>0.21649952480914034</v>
      </c>
    </row>
    <row r="284" spans="1:26" x14ac:dyDescent="0.25">
      <c r="A284" s="52">
        <v>2023</v>
      </c>
      <c r="B284" s="52" t="s">
        <v>659</v>
      </c>
      <c r="C284" s="57" t="s">
        <v>593</v>
      </c>
      <c r="D284" s="58" t="s">
        <v>693</v>
      </c>
      <c r="E284" s="58" t="s">
        <v>693</v>
      </c>
      <c r="F284" s="58" t="s">
        <v>593</v>
      </c>
      <c r="G284" s="57" t="s">
        <v>250</v>
      </c>
      <c r="H284" s="39">
        <v>0</v>
      </c>
      <c r="I284" s="39">
        <v>5</v>
      </c>
      <c r="J284" s="38"/>
      <c r="K284" s="39">
        <v>176814</v>
      </c>
      <c r="L284" s="39">
        <v>0</v>
      </c>
      <c r="M284" s="39">
        <v>176814</v>
      </c>
      <c r="N284" s="38"/>
      <c r="O284" s="39">
        <v>102726</v>
      </c>
      <c r="P284" s="39">
        <v>0</v>
      </c>
      <c r="Q284" s="39">
        <v>102726</v>
      </c>
      <c r="R284" s="38"/>
      <c r="S284" s="39">
        <v>279540</v>
      </c>
      <c r="T284" s="39">
        <v>0</v>
      </c>
      <c r="U284" s="39">
        <v>279540</v>
      </c>
      <c r="V284" s="29"/>
      <c r="W284" s="29">
        <f>INDEX(SurtaxPayment!$C$6:$U$330,MATCH(PriorYear!$C284,SurtaxPayment!$C$6:$C$330,0),6)+INDEX(SurtaxPayment!$C$6:$U$330,MATCH(PriorYear!$C284,SurtaxPayment!$C$6:$C$330,0),7)</f>
        <v>4</v>
      </c>
      <c r="X284" s="29">
        <f t="shared" si="8"/>
        <v>-1</v>
      </c>
      <c r="Y284" s="29">
        <f>INDEX(SurtaxPayment!$C$6:$U$330,MATCH(PriorYear!C284,SurtaxPayment!$C$6:$C$330,0),9)</f>
        <v>178238.93</v>
      </c>
      <c r="Z284" s="66">
        <f t="shared" si="9"/>
        <v>8.05892067370227E-3</v>
      </c>
    </row>
    <row r="285" spans="1:26" x14ac:dyDescent="0.25">
      <c r="A285" s="52">
        <v>2023</v>
      </c>
      <c r="B285" s="52" t="s">
        <v>659</v>
      </c>
      <c r="C285" s="57" t="s">
        <v>594</v>
      </c>
      <c r="D285" s="58" t="s">
        <v>693</v>
      </c>
      <c r="E285" s="58" t="s">
        <v>693</v>
      </c>
      <c r="F285" s="58" t="s">
        <v>594</v>
      </c>
      <c r="G285" s="57" t="s">
        <v>251</v>
      </c>
      <c r="H285" s="39">
        <v>0</v>
      </c>
      <c r="I285" s="39">
        <v>2</v>
      </c>
      <c r="J285" s="38"/>
      <c r="K285" s="39">
        <v>53326.5</v>
      </c>
      <c r="L285" s="39">
        <v>0</v>
      </c>
      <c r="M285" s="39">
        <v>53326.5</v>
      </c>
      <c r="N285" s="38"/>
      <c r="O285" s="39">
        <v>22460.5</v>
      </c>
      <c r="P285" s="39">
        <v>0</v>
      </c>
      <c r="Q285" s="39">
        <v>22460.5</v>
      </c>
      <c r="R285" s="38"/>
      <c r="S285" s="39">
        <v>75787</v>
      </c>
      <c r="T285" s="39">
        <v>0</v>
      </c>
      <c r="U285" s="39">
        <v>75787</v>
      </c>
      <c r="V285" s="29"/>
      <c r="W285" s="29">
        <f>INDEX(SurtaxPayment!$C$6:$U$330,MATCH(PriorYear!$C285,SurtaxPayment!$C$6:$C$330,0),6)+INDEX(SurtaxPayment!$C$6:$U$330,MATCH(PriorYear!$C285,SurtaxPayment!$C$6:$C$330,0),7)</f>
        <v>2</v>
      </c>
      <c r="X285" s="29">
        <f t="shared" si="8"/>
        <v>0</v>
      </c>
      <c r="Y285" s="29">
        <f>INDEX(SurtaxPayment!$C$6:$U$330,MATCH(PriorYear!C285,SurtaxPayment!$C$6:$C$330,0),9)</f>
        <v>62618.52</v>
      </c>
      <c r="Z285" s="66">
        <f t="shared" si="9"/>
        <v>0.1742477004866248</v>
      </c>
    </row>
    <row r="286" spans="1:26" x14ac:dyDescent="0.25">
      <c r="A286" s="52">
        <v>2023</v>
      </c>
      <c r="B286" s="52" t="s">
        <v>662</v>
      </c>
      <c r="C286" s="57" t="s">
        <v>595</v>
      </c>
      <c r="D286" s="58" t="s">
        <v>693</v>
      </c>
      <c r="E286" s="58" t="s">
        <v>693</v>
      </c>
      <c r="F286" s="58" t="s">
        <v>595</v>
      </c>
      <c r="G286" s="57" t="s">
        <v>252</v>
      </c>
      <c r="H286" s="39">
        <v>1</v>
      </c>
      <c r="I286" s="39">
        <v>1</v>
      </c>
      <c r="J286" s="38"/>
      <c r="K286" s="39">
        <v>19841.25</v>
      </c>
      <c r="L286" s="39">
        <v>9920.6299999999992</v>
      </c>
      <c r="M286" s="39">
        <v>9920.6200000000008</v>
      </c>
      <c r="N286" s="38"/>
      <c r="O286" s="39">
        <v>8123.75</v>
      </c>
      <c r="P286" s="39">
        <v>4061.88</v>
      </c>
      <c r="Q286" s="39">
        <v>4061.87</v>
      </c>
      <c r="R286" s="38"/>
      <c r="S286" s="39">
        <v>27965</v>
      </c>
      <c r="T286" s="39">
        <v>13982.509999999998</v>
      </c>
      <c r="U286" s="39">
        <v>13982.490000000002</v>
      </c>
      <c r="V286" s="29"/>
      <c r="W286" s="29">
        <f>INDEX(SurtaxPayment!$C$6:$U$330,MATCH(PriorYear!$C286,SurtaxPayment!$C$6:$C$330,0),6)+INDEX(SurtaxPayment!$C$6:$U$330,MATCH(PriorYear!$C286,SurtaxPayment!$C$6:$C$330,0),7)</f>
        <v>2</v>
      </c>
      <c r="X286" s="29">
        <f t="shared" si="8"/>
        <v>0</v>
      </c>
      <c r="Y286" s="29">
        <f>INDEX(SurtaxPayment!$C$6:$U$330,MATCH(PriorYear!C286,SurtaxPayment!$C$6:$C$330,0),9)</f>
        <v>27016.16</v>
      </c>
      <c r="Z286" s="66">
        <f t="shared" si="9"/>
        <v>0.36161582561582561</v>
      </c>
    </row>
    <row r="287" spans="1:26" x14ac:dyDescent="0.25">
      <c r="A287" s="52">
        <v>2023</v>
      </c>
      <c r="B287" s="52" t="s">
        <v>658</v>
      </c>
      <c r="C287" s="57" t="s">
        <v>596</v>
      </c>
      <c r="D287" s="58" t="s">
        <v>693</v>
      </c>
      <c r="E287" s="58" t="s">
        <v>693</v>
      </c>
      <c r="F287" s="58" t="s">
        <v>596</v>
      </c>
      <c r="G287" s="57" t="s">
        <v>642</v>
      </c>
      <c r="H287" s="39">
        <v>0</v>
      </c>
      <c r="I287" s="39">
        <v>2</v>
      </c>
      <c r="J287" s="38"/>
      <c r="K287" s="39">
        <v>40481.25</v>
      </c>
      <c r="L287" s="39">
        <v>0</v>
      </c>
      <c r="M287" s="39">
        <v>40481.25</v>
      </c>
      <c r="N287" s="38"/>
      <c r="O287" s="39">
        <v>15056.75</v>
      </c>
      <c r="P287" s="39">
        <v>0</v>
      </c>
      <c r="Q287" s="39">
        <v>15056.75</v>
      </c>
      <c r="R287" s="38"/>
      <c r="S287" s="39">
        <v>55538</v>
      </c>
      <c r="T287" s="39">
        <v>0</v>
      </c>
      <c r="U287" s="39">
        <v>55538</v>
      </c>
      <c r="V287" s="29"/>
      <c r="W287" s="29">
        <f>INDEX(SurtaxPayment!$C$6:$U$330,MATCH(PriorYear!$C287,SurtaxPayment!$C$6:$C$330,0),6)+INDEX(SurtaxPayment!$C$6:$U$330,MATCH(PriorYear!$C287,SurtaxPayment!$C$6:$C$330,0),7)</f>
        <v>7</v>
      </c>
      <c r="X287" s="29">
        <f t="shared" si="8"/>
        <v>5</v>
      </c>
      <c r="Y287" s="29">
        <f>INDEX(SurtaxPayment!$C$6:$U$330,MATCH(PriorYear!C287,SurtaxPayment!$C$6:$C$330,0),9)</f>
        <v>163890.46</v>
      </c>
      <c r="Z287" s="66">
        <f t="shared" si="9"/>
        <v>3.0485523544851008</v>
      </c>
    </row>
    <row r="288" spans="1:26" x14ac:dyDescent="0.25">
      <c r="A288" s="52">
        <v>2023</v>
      </c>
      <c r="B288" s="52" t="s">
        <v>665</v>
      </c>
      <c r="C288" s="57" t="s">
        <v>597</v>
      </c>
      <c r="D288" s="58" t="s">
        <v>693</v>
      </c>
      <c r="E288" s="58" t="s">
        <v>693</v>
      </c>
      <c r="F288" s="58" t="s">
        <v>597</v>
      </c>
      <c r="G288" s="57" t="s">
        <v>731</v>
      </c>
      <c r="H288" s="39">
        <v>0</v>
      </c>
      <c r="I288" s="39">
        <v>0</v>
      </c>
      <c r="J288" s="38"/>
      <c r="K288" s="39">
        <v>0</v>
      </c>
      <c r="L288" s="39">
        <v>0</v>
      </c>
      <c r="M288" s="39">
        <v>0</v>
      </c>
      <c r="N288" s="38"/>
      <c r="O288" s="39">
        <v>0</v>
      </c>
      <c r="P288" s="39">
        <v>0</v>
      </c>
      <c r="Q288" s="39">
        <v>0</v>
      </c>
      <c r="R288" s="38"/>
      <c r="S288" s="39">
        <v>0</v>
      </c>
      <c r="T288" s="39">
        <v>0</v>
      </c>
      <c r="U288" s="39">
        <v>0</v>
      </c>
      <c r="W288" s="29">
        <f>INDEX(SurtaxPayment!$C$6:$U$330,MATCH(PriorYear!$C288,SurtaxPayment!$C$6:$C$330,0),6)+INDEX(SurtaxPayment!$C$6:$U$330,MATCH(PriorYear!$C288,SurtaxPayment!$C$6:$C$330,0),7)</f>
        <v>0</v>
      </c>
      <c r="X288" s="29">
        <f t="shared" si="8"/>
        <v>0</v>
      </c>
      <c r="Y288" s="29">
        <f>INDEX(SurtaxPayment!$C$6:$U$330,MATCH(PriorYear!C288,SurtaxPayment!$C$6:$C$330,0),9)</f>
        <v>0</v>
      </c>
      <c r="Z288" s="66">
        <f t="shared" si="9"/>
        <v>0</v>
      </c>
    </row>
    <row r="289" spans="1:26" x14ac:dyDescent="0.25">
      <c r="A289" s="52">
        <v>2023</v>
      </c>
      <c r="B289" s="52" t="s">
        <v>657</v>
      </c>
      <c r="C289" s="57" t="s">
        <v>598</v>
      </c>
      <c r="D289" s="58" t="s">
        <v>693</v>
      </c>
      <c r="E289" s="58" t="s">
        <v>693</v>
      </c>
      <c r="F289" s="58" t="s">
        <v>598</v>
      </c>
      <c r="G289" s="57" t="s">
        <v>253</v>
      </c>
      <c r="H289" s="39">
        <v>0</v>
      </c>
      <c r="I289" s="39">
        <v>5</v>
      </c>
      <c r="J289" s="38"/>
      <c r="K289" s="39">
        <v>74123.25</v>
      </c>
      <c r="L289" s="39">
        <v>0</v>
      </c>
      <c r="M289" s="39">
        <v>74123.25</v>
      </c>
      <c r="N289" s="38"/>
      <c r="O289" s="39">
        <v>23788.75</v>
      </c>
      <c r="P289" s="39">
        <v>0</v>
      </c>
      <c r="Q289" s="39">
        <v>23788.75</v>
      </c>
      <c r="R289" s="38"/>
      <c r="S289" s="39">
        <v>97912</v>
      </c>
      <c r="T289" s="39">
        <v>0</v>
      </c>
      <c r="U289" s="39">
        <v>97912</v>
      </c>
      <c r="W289" s="29">
        <f>INDEX(SurtaxPayment!$C$6:$U$330,MATCH(PriorYear!$C289,SurtaxPayment!$C$6:$C$330,0),6)+INDEX(SurtaxPayment!$C$6:$U$330,MATCH(PriorYear!$C289,SurtaxPayment!$C$6:$C$330,0),7)</f>
        <v>1</v>
      </c>
      <c r="X289" s="29">
        <f t="shared" si="8"/>
        <v>-4</v>
      </c>
      <c r="Y289" s="29">
        <f>INDEX(SurtaxPayment!$C$6:$U$330,MATCH(PriorYear!C289,SurtaxPayment!$C$6:$C$330,0),9)</f>
        <v>17676.830000000002</v>
      </c>
      <c r="Z289" s="66">
        <f t="shared" si="9"/>
        <v>-0.7615211151696667</v>
      </c>
    </row>
    <row r="290" spans="1:26" x14ac:dyDescent="0.25">
      <c r="A290" s="52">
        <v>2023</v>
      </c>
      <c r="B290" s="52" t="s">
        <v>661</v>
      </c>
      <c r="C290" s="57" t="s">
        <v>599</v>
      </c>
      <c r="D290" s="58" t="s">
        <v>693</v>
      </c>
      <c r="E290" s="58" t="s">
        <v>693</v>
      </c>
      <c r="F290" s="58" t="s">
        <v>599</v>
      </c>
      <c r="G290" s="57" t="s">
        <v>254</v>
      </c>
      <c r="H290" s="39">
        <v>0</v>
      </c>
      <c r="I290" s="39">
        <v>15</v>
      </c>
      <c r="J290" s="38"/>
      <c r="K290" s="39">
        <v>112707.75</v>
      </c>
      <c r="L290" s="39">
        <v>0</v>
      </c>
      <c r="M290" s="39">
        <v>112707.75</v>
      </c>
      <c r="N290" s="38"/>
      <c r="O290" s="39">
        <v>47742.25</v>
      </c>
      <c r="P290" s="39">
        <v>0</v>
      </c>
      <c r="Q290" s="39">
        <v>47742.25</v>
      </c>
      <c r="R290" s="38"/>
      <c r="S290" s="39">
        <v>160450</v>
      </c>
      <c r="T290" s="39">
        <v>0</v>
      </c>
      <c r="U290" s="39">
        <v>160450</v>
      </c>
      <c r="W290" s="29">
        <f>INDEX(SurtaxPayment!$C$6:$U$330,MATCH(PriorYear!$C290,SurtaxPayment!$C$6:$C$330,0),6)+INDEX(SurtaxPayment!$C$6:$U$330,MATCH(PriorYear!$C290,SurtaxPayment!$C$6:$C$330,0),7)</f>
        <v>6</v>
      </c>
      <c r="X290" s="29">
        <f t="shared" si="8"/>
        <v>-9</v>
      </c>
      <c r="Y290" s="29">
        <f>INDEX(SurtaxPayment!$C$6:$U$330,MATCH(PriorYear!C290,SurtaxPayment!$C$6:$C$330,0),9)</f>
        <v>59755.48</v>
      </c>
      <c r="Z290" s="66">
        <f t="shared" si="9"/>
        <v>-0.46981924490551891</v>
      </c>
    </row>
    <row r="291" spans="1:26" x14ac:dyDescent="0.25">
      <c r="A291" s="52">
        <v>2023</v>
      </c>
      <c r="B291" s="52" t="s">
        <v>659</v>
      </c>
      <c r="C291" s="57" t="s">
        <v>600</v>
      </c>
      <c r="D291" s="58" t="s">
        <v>693</v>
      </c>
      <c r="E291" s="58" t="s">
        <v>693</v>
      </c>
      <c r="F291" s="58" t="s">
        <v>600</v>
      </c>
      <c r="G291" s="57" t="s">
        <v>732</v>
      </c>
      <c r="H291" s="39">
        <v>0</v>
      </c>
      <c r="I291" s="39">
        <v>0</v>
      </c>
      <c r="J291" s="38"/>
      <c r="K291" s="39">
        <v>0</v>
      </c>
      <c r="L291" s="39">
        <v>0</v>
      </c>
      <c r="M291" s="39">
        <v>0</v>
      </c>
      <c r="N291" s="38"/>
      <c r="O291" s="39">
        <v>0</v>
      </c>
      <c r="P291" s="39">
        <v>0</v>
      </c>
      <c r="Q291" s="39">
        <v>0</v>
      </c>
      <c r="R291" s="38"/>
      <c r="S291" s="39">
        <v>0</v>
      </c>
      <c r="T291" s="39">
        <v>0</v>
      </c>
      <c r="U291" s="39">
        <v>0</v>
      </c>
      <c r="W291" s="29">
        <f>INDEX(SurtaxPayment!$C$6:$U$330,MATCH(PriorYear!$C291,SurtaxPayment!$C$6:$C$330,0),6)+INDEX(SurtaxPayment!$C$6:$U$330,MATCH(PriorYear!$C291,SurtaxPayment!$C$6:$C$330,0),7)</f>
        <v>0</v>
      </c>
      <c r="X291" s="29">
        <f t="shared" si="8"/>
        <v>0</v>
      </c>
      <c r="Y291" s="29">
        <f>INDEX(SurtaxPayment!$C$6:$U$330,MATCH(PriorYear!C291,SurtaxPayment!$C$6:$C$330,0),9)</f>
        <v>0</v>
      </c>
      <c r="Z291" s="66">
        <f t="shared" si="9"/>
        <v>0</v>
      </c>
    </row>
    <row r="292" spans="1:26" x14ac:dyDescent="0.25">
      <c r="A292" s="52">
        <v>2023</v>
      </c>
      <c r="B292" s="52" t="s">
        <v>658</v>
      </c>
      <c r="C292" s="57" t="s">
        <v>405</v>
      </c>
      <c r="D292" s="58" t="s">
        <v>693</v>
      </c>
      <c r="E292" s="58" t="s">
        <v>693</v>
      </c>
      <c r="F292" s="58" t="s">
        <v>676</v>
      </c>
      <c r="G292" s="57" t="s">
        <v>255</v>
      </c>
      <c r="H292" s="39">
        <v>1</v>
      </c>
      <c r="I292" s="39">
        <v>6</v>
      </c>
      <c r="J292" s="38"/>
      <c r="K292" s="39">
        <v>400376.25</v>
      </c>
      <c r="L292" s="39">
        <v>57196.61</v>
      </c>
      <c r="M292" s="39">
        <v>343179.64</v>
      </c>
      <c r="N292" s="38"/>
      <c r="O292" s="39">
        <v>161560.75</v>
      </c>
      <c r="P292" s="39">
        <v>23080.11</v>
      </c>
      <c r="Q292" s="39">
        <v>138480.64000000001</v>
      </c>
      <c r="R292" s="38"/>
      <c r="S292" s="39">
        <v>561937</v>
      </c>
      <c r="T292" s="39">
        <v>80276.72</v>
      </c>
      <c r="U292" s="39">
        <v>481660.28</v>
      </c>
      <c r="W292" s="29">
        <f>INDEX(SurtaxPayment!$C$6:$U$330,MATCH(PriorYear!$C292,SurtaxPayment!$C$6:$C$330,0),6)+INDEX(SurtaxPayment!$C$6:$U$330,MATCH(PriorYear!$C292,SurtaxPayment!$C$6:$C$330,0),7)</f>
        <v>7</v>
      </c>
      <c r="X292" s="29">
        <f t="shared" si="8"/>
        <v>0</v>
      </c>
      <c r="Y292" s="29">
        <f>INDEX(SurtaxPayment!$C$6:$U$330,MATCH(PriorYear!C292,SurtaxPayment!$C$6:$C$330,0),9)</f>
        <v>506731.82</v>
      </c>
      <c r="Z292" s="66">
        <f t="shared" si="9"/>
        <v>0.26563905826082346</v>
      </c>
    </row>
    <row r="293" spans="1:26" x14ac:dyDescent="0.25">
      <c r="A293" s="52">
        <v>2023</v>
      </c>
      <c r="B293" s="52" t="s">
        <v>657</v>
      </c>
      <c r="C293" s="57" t="s">
        <v>601</v>
      </c>
      <c r="D293" s="58" t="s">
        <v>693</v>
      </c>
      <c r="E293" s="58" t="s">
        <v>693</v>
      </c>
      <c r="F293" s="58" t="s">
        <v>601</v>
      </c>
      <c r="G293" s="57" t="s">
        <v>256</v>
      </c>
      <c r="H293" s="39">
        <v>0</v>
      </c>
      <c r="I293" s="39">
        <v>7</v>
      </c>
      <c r="J293" s="38"/>
      <c r="K293" s="39">
        <v>181793.25</v>
      </c>
      <c r="L293" s="39">
        <v>0</v>
      </c>
      <c r="M293" s="39">
        <v>181793.25</v>
      </c>
      <c r="N293" s="38"/>
      <c r="O293" s="39">
        <v>83067.75</v>
      </c>
      <c r="P293" s="39">
        <v>0</v>
      </c>
      <c r="Q293" s="39">
        <v>83067.75</v>
      </c>
      <c r="R293" s="38"/>
      <c r="S293" s="39">
        <v>264861</v>
      </c>
      <c r="T293" s="39">
        <v>0</v>
      </c>
      <c r="U293" s="39">
        <v>264861</v>
      </c>
      <c r="W293" s="29">
        <f>INDEX(SurtaxPayment!$C$6:$U$330,MATCH(PriorYear!$C293,SurtaxPayment!$C$6:$C$330,0),6)+INDEX(SurtaxPayment!$C$6:$U$330,MATCH(PriorYear!$C293,SurtaxPayment!$C$6:$C$330,0),7)</f>
        <v>1</v>
      </c>
      <c r="X293" s="29">
        <f t="shared" si="8"/>
        <v>-6</v>
      </c>
      <c r="Y293" s="29">
        <f>INDEX(SurtaxPayment!$C$6:$U$330,MATCH(PriorYear!C293,SurtaxPayment!$C$6:$C$330,0),9)</f>
        <v>32995.49</v>
      </c>
      <c r="Z293" s="66">
        <f t="shared" si="9"/>
        <v>-0.81849991680109135</v>
      </c>
    </row>
    <row r="294" spans="1:26" x14ac:dyDescent="0.25">
      <c r="A294" s="52">
        <v>2023</v>
      </c>
      <c r="B294" s="52" t="s">
        <v>657</v>
      </c>
      <c r="C294" s="57" t="s">
        <v>602</v>
      </c>
      <c r="D294" s="58" t="s">
        <v>693</v>
      </c>
      <c r="E294" s="58" t="s">
        <v>693</v>
      </c>
      <c r="F294" s="58" t="s">
        <v>602</v>
      </c>
      <c r="G294" s="57" t="s">
        <v>733</v>
      </c>
      <c r="H294" s="39">
        <v>0</v>
      </c>
      <c r="I294" s="39">
        <v>0</v>
      </c>
      <c r="J294" s="38"/>
      <c r="K294" s="39">
        <v>0</v>
      </c>
      <c r="L294" s="39">
        <v>0</v>
      </c>
      <c r="M294" s="39">
        <v>0</v>
      </c>
      <c r="N294" s="38"/>
      <c r="O294" s="39">
        <v>0</v>
      </c>
      <c r="P294" s="39">
        <v>0</v>
      </c>
      <c r="Q294" s="39">
        <v>0</v>
      </c>
      <c r="R294" s="38"/>
      <c r="S294" s="39">
        <v>0</v>
      </c>
      <c r="T294" s="39">
        <v>0</v>
      </c>
      <c r="U294" s="39">
        <v>0</v>
      </c>
      <c r="W294" s="29">
        <f>INDEX(SurtaxPayment!$C$6:$U$330,MATCH(PriorYear!$C294,SurtaxPayment!$C$6:$C$330,0),6)+INDEX(SurtaxPayment!$C$6:$U$330,MATCH(PriorYear!$C294,SurtaxPayment!$C$6:$C$330,0),7)</f>
        <v>0</v>
      </c>
      <c r="X294" s="29">
        <f t="shared" si="8"/>
        <v>0</v>
      </c>
      <c r="Y294" s="29">
        <f>INDEX(SurtaxPayment!$C$6:$U$330,MATCH(PriorYear!C294,SurtaxPayment!$C$6:$C$330,0),9)</f>
        <v>0</v>
      </c>
      <c r="Z294" s="66">
        <f t="shared" si="9"/>
        <v>0</v>
      </c>
    </row>
    <row r="295" spans="1:26" x14ac:dyDescent="0.25">
      <c r="A295" s="52">
        <v>2023</v>
      </c>
      <c r="B295" s="52" t="s">
        <v>662</v>
      </c>
      <c r="C295" s="57" t="s">
        <v>603</v>
      </c>
      <c r="D295" s="58" t="s">
        <v>693</v>
      </c>
      <c r="E295" s="58" t="s">
        <v>693</v>
      </c>
      <c r="F295" s="58" t="s">
        <v>603</v>
      </c>
      <c r="G295" s="57" t="s">
        <v>734</v>
      </c>
      <c r="H295" s="39">
        <v>0</v>
      </c>
      <c r="I295" s="39">
        <v>9</v>
      </c>
      <c r="J295" s="38"/>
      <c r="K295" s="39">
        <v>374607</v>
      </c>
      <c r="L295" s="39">
        <v>0</v>
      </c>
      <c r="M295" s="39">
        <v>374607</v>
      </c>
      <c r="N295" s="38"/>
      <c r="O295" s="39">
        <v>145722</v>
      </c>
      <c r="P295" s="39">
        <v>0</v>
      </c>
      <c r="Q295" s="39">
        <v>145722</v>
      </c>
      <c r="R295" s="38"/>
      <c r="S295" s="39">
        <v>520329</v>
      </c>
      <c r="T295" s="39">
        <v>0</v>
      </c>
      <c r="U295" s="39">
        <v>520329</v>
      </c>
      <c r="W295" s="29">
        <f>INDEX(SurtaxPayment!$C$6:$U$330,MATCH(PriorYear!$C295,SurtaxPayment!$C$6:$C$330,0),6)+INDEX(SurtaxPayment!$C$6:$U$330,MATCH(PriorYear!$C295,SurtaxPayment!$C$6:$C$330,0),7)</f>
        <v>9</v>
      </c>
      <c r="X295" s="29">
        <f t="shared" si="8"/>
        <v>0</v>
      </c>
      <c r="Y295" s="29">
        <f>INDEX(SurtaxPayment!$C$6:$U$330,MATCH(PriorYear!C295,SurtaxPayment!$C$6:$C$330,0),9)</f>
        <v>498404.82</v>
      </c>
      <c r="Z295" s="66">
        <f t="shared" si="9"/>
        <v>0.33047385660171863</v>
      </c>
    </row>
    <row r="296" spans="1:26" x14ac:dyDescent="0.25">
      <c r="A296" s="52">
        <v>2023</v>
      </c>
      <c r="B296" s="52" t="s">
        <v>657</v>
      </c>
      <c r="C296" s="57" t="s">
        <v>604</v>
      </c>
      <c r="D296" s="58" t="s">
        <v>693</v>
      </c>
      <c r="E296" s="58" t="s">
        <v>693</v>
      </c>
      <c r="F296" s="58" t="s">
        <v>604</v>
      </c>
      <c r="G296" s="57" t="s">
        <v>259</v>
      </c>
      <c r="H296" s="39">
        <v>0</v>
      </c>
      <c r="I296" s="39">
        <v>4</v>
      </c>
      <c r="J296" s="38"/>
      <c r="K296" s="39">
        <v>352703.25</v>
      </c>
      <c r="L296" s="39">
        <v>0</v>
      </c>
      <c r="M296" s="39">
        <v>352703.25</v>
      </c>
      <c r="N296" s="38"/>
      <c r="O296" s="39">
        <v>177211.75</v>
      </c>
      <c r="P296" s="39">
        <v>0</v>
      </c>
      <c r="Q296" s="39">
        <v>177211.75</v>
      </c>
      <c r="R296" s="38"/>
      <c r="S296" s="39">
        <v>529915</v>
      </c>
      <c r="T296" s="39">
        <v>0</v>
      </c>
      <c r="U296" s="39">
        <v>529915</v>
      </c>
      <c r="W296" s="29">
        <f>INDEX(SurtaxPayment!$C$6:$U$330,MATCH(PriorYear!$C296,SurtaxPayment!$C$6:$C$330,0),6)+INDEX(SurtaxPayment!$C$6:$U$330,MATCH(PriorYear!$C296,SurtaxPayment!$C$6:$C$330,0),7)</f>
        <v>3</v>
      </c>
      <c r="X296" s="29">
        <f t="shared" si="8"/>
        <v>-1</v>
      </c>
      <c r="Y296" s="29">
        <f>INDEX(SurtaxPayment!$C$6:$U$330,MATCH(PriorYear!C296,SurtaxPayment!$C$6:$C$330,0),9)</f>
        <v>390341.62</v>
      </c>
      <c r="Z296" s="66">
        <f t="shared" si="9"/>
        <v>0.10671398689975212</v>
      </c>
    </row>
    <row r="297" spans="1:26" x14ac:dyDescent="0.25">
      <c r="A297" s="52">
        <v>2023</v>
      </c>
      <c r="B297" s="52" t="s">
        <v>659</v>
      </c>
      <c r="C297" s="57" t="s">
        <v>605</v>
      </c>
      <c r="D297" s="58" t="s">
        <v>693</v>
      </c>
      <c r="E297" s="58" t="s">
        <v>693</v>
      </c>
      <c r="F297" s="58" t="s">
        <v>605</v>
      </c>
      <c r="G297" s="57" t="s">
        <v>260</v>
      </c>
      <c r="H297" s="39">
        <v>5</v>
      </c>
      <c r="I297" s="39">
        <v>0</v>
      </c>
      <c r="J297" s="38"/>
      <c r="K297" s="39">
        <v>57279.75</v>
      </c>
      <c r="L297" s="39">
        <v>57279.75</v>
      </c>
      <c r="M297" s="39">
        <v>0</v>
      </c>
      <c r="N297" s="38"/>
      <c r="O297" s="39">
        <v>22029.25</v>
      </c>
      <c r="P297" s="39">
        <v>22029.25</v>
      </c>
      <c r="Q297" s="39">
        <v>0</v>
      </c>
      <c r="R297" s="38"/>
      <c r="S297" s="39">
        <v>79309</v>
      </c>
      <c r="T297" s="39">
        <v>79309</v>
      </c>
      <c r="U297" s="39">
        <v>0</v>
      </c>
      <c r="W297" s="29">
        <f>INDEX(SurtaxPayment!$C$6:$U$330,MATCH(PriorYear!$C297,SurtaxPayment!$C$6:$C$330,0),6)+INDEX(SurtaxPayment!$C$6:$U$330,MATCH(PriorYear!$C297,SurtaxPayment!$C$6:$C$330,0),7)</f>
        <v>5</v>
      </c>
      <c r="X297" s="29">
        <f t="shared" si="8"/>
        <v>0</v>
      </c>
      <c r="Y297" s="29">
        <f>INDEX(SurtaxPayment!$C$6:$U$330,MATCH(PriorYear!C297,SurtaxPayment!$C$6:$C$330,0),9)</f>
        <v>67215.58</v>
      </c>
      <c r="Z297" s="66">
        <f t="shared" si="9"/>
        <v>0.17346147635071735</v>
      </c>
    </row>
    <row r="298" spans="1:26" x14ac:dyDescent="0.25">
      <c r="A298" s="52">
        <v>2023</v>
      </c>
      <c r="B298" s="52" t="s">
        <v>663</v>
      </c>
      <c r="C298" s="57" t="s">
        <v>606</v>
      </c>
      <c r="D298" s="58" t="s">
        <v>693</v>
      </c>
      <c r="E298" s="58" t="s">
        <v>693</v>
      </c>
      <c r="F298" s="58" t="s">
        <v>606</v>
      </c>
      <c r="G298" s="57" t="s">
        <v>261</v>
      </c>
      <c r="H298" s="39">
        <v>5</v>
      </c>
      <c r="I298" s="39">
        <v>2</v>
      </c>
      <c r="J298" s="38"/>
      <c r="K298" s="39">
        <v>569678.25</v>
      </c>
      <c r="L298" s="39">
        <v>406913.04</v>
      </c>
      <c r="M298" s="39">
        <v>162765.21000000002</v>
      </c>
      <c r="N298" s="38"/>
      <c r="O298" s="39">
        <v>212165.75</v>
      </c>
      <c r="P298" s="39">
        <v>151546.96</v>
      </c>
      <c r="Q298" s="39">
        <v>60618.790000000008</v>
      </c>
      <c r="R298" s="38"/>
      <c r="S298" s="39">
        <v>781844</v>
      </c>
      <c r="T298" s="39">
        <v>558460</v>
      </c>
      <c r="U298" s="39">
        <v>223384.00000000003</v>
      </c>
      <c r="W298" s="29">
        <f>INDEX(SurtaxPayment!$C$6:$U$330,MATCH(PriorYear!$C298,SurtaxPayment!$C$6:$C$330,0),6)+INDEX(SurtaxPayment!$C$6:$U$330,MATCH(PriorYear!$C298,SurtaxPayment!$C$6:$C$330,0),7)</f>
        <v>7</v>
      </c>
      <c r="X298" s="29">
        <f t="shared" si="8"/>
        <v>0</v>
      </c>
      <c r="Y298" s="29">
        <f>INDEX(SurtaxPayment!$C$6:$U$330,MATCH(PriorYear!C298,SurtaxPayment!$C$6:$C$330,0),9)</f>
        <v>664416.27</v>
      </c>
      <c r="Z298" s="66">
        <f t="shared" si="9"/>
        <v>0.1663009251274733</v>
      </c>
    </row>
    <row r="299" spans="1:26" x14ac:dyDescent="0.25">
      <c r="A299" s="52">
        <v>2023</v>
      </c>
      <c r="B299" s="52" t="s">
        <v>662</v>
      </c>
      <c r="C299" s="57" t="s">
        <v>607</v>
      </c>
      <c r="D299" s="58" t="s">
        <v>693</v>
      </c>
      <c r="E299" s="58" t="s">
        <v>693</v>
      </c>
      <c r="F299" s="58" t="s">
        <v>607</v>
      </c>
      <c r="G299" s="57" t="s">
        <v>735</v>
      </c>
      <c r="H299" s="39">
        <v>0</v>
      </c>
      <c r="I299" s="39">
        <v>0</v>
      </c>
      <c r="J299" s="38"/>
      <c r="K299" s="39">
        <v>0</v>
      </c>
      <c r="L299" s="39">
        <v>0</v>
      </c>
      <c r="M299" s="39">
        <v>0</v>
      </c>
      <c r="N299" s="38"/>
      <c r="O299" s="39">
        <v>0</v>
      </c>
      <c r="P299" s="39">
        <v>0</v>
      </c>
      <c r="Q299" s="39">
        <v>0</v>
      </c>
      <c r="R299" s="38"/>
      <c r="S299" s="39">
        <v>0</v>
      </c>
      <c r="T299" s="39">
        <v>0</v>
      </c>
      <c r="U299" s="39">
        <v>0</v>
      </c>
      <c r="W299" s="29">
        <f>INDEX(SurtaxPayment!$C$6:$U$330,MATCH(PriorYear!$C299,SurtaxPayment!$C$6:$C$330,0),6)+INDEX(SurtaxPayment!$C$6:$U$330,MATCH(PriorYear!$C299,SurtaxPayment!$C$6:$C$330,0),7)</f>
        <v>0</v>
      </c>
      <c r="X299" s="29">
        <f t="shared" si="8"/>
        <v>0</v>
      </c>
      <c r="Y299" s="29">
        <f>INDEX(SurtaxPayment!$C$6:$U$330,MATCH(PriorYear!C299,SurtaxPayment!$C$6:$C$330,0),9)</f>
        <v>0</v>
      </c>
      <c r="Z299" s="66">
        <f t="shared" si="9"/>
        <v>0</v>
      </c>
    </row>
    <row r="300" spans="1:26" x14ac:dyDescent="0.25">
      <c r="A300" s="52">
        <v>2023</v>
      </c>
      <c r="B300" s="52" t="s">
        <v>662</v>
      </c>
      <c r="C300" s="57" t="s">
        <v>609</v>
      </c>
      <c r="D300" s="58" t="s">
        <v>693</v>
      </c>
      <c r="E300" s="58" t="s">
        <v>693</v>
      </c>
      <c r="F300" s="58" t="s">
        <v>609</v>
      </c>
      <c r="G300" s="57" t="s">
        <v>263</v>
      </c>
      <c r="H300" s="39">
        <v>1</v>
      </c>
      <c r="I300" s="39">
        <v>1</v>
      </c>
      <c r="J300" s="38"/>
      <c r="K300" s="39">
        <v>49406.25</v>
      </c>
      <c r="L300" s="39">
        <v>24703.13</v>
      </c>
      <c r="M300" s="39">
        <v>24703.119999999999</v>
      </c>
      <c r="N300" s="38"/>
      <c r="O300" s="39">
        <v>18325.75</v>
      </c>
      <c r="P300" s="39">
        <v>9162.8799999999992</v>
      </c>
      <c r="Q300" s="39">
        <v>9162.8700000000008</v>
      </c>
      <c r="R300" s="38"/>
      <c r="S300" s="39">
        <v>67732</v>
      </c>
      <c r="T300" s="39">
        <v>33866.01</v>
      </c>
      <c r="U300" s="39">
        <v>33865.99</v>
      </c>
      <c r="W300" s="29">
        <f>INDEX(SurtaxPayment!$C$6:$U$330,MATCH(PriorYear!$C300,SurtaxPayment!$C$6:$C$330,0),6)+INDEX(SurtaxPayment!$C$6:$U$330,MATCH(PriorYear!$C300,SurtaxPayment!$C$6:$C$330,0),7)</f>
        <v>4</v>
      </c>
      <c r="X300" s="29">
        <f t="shared" si="8"/>
        <v>2</v>
      </c>
      <c r="Y300" s="29">
        <f>INDEX(SurtaxPayment!$C$6:$U$330,MATCH(PriorYear!C300,SurtaxPayment!$C$6:$C$330,0),9)</f>
        <v>126876.48</v>
      </c>
      <c r="Z300" s="66">
        <f t="shared" si="9"/>
        <v>1.5680248956356735</v>
      </c>
    </row>
    <row r="301" spans="1:26" x14ac:dyDescent="0.25">
      <c r="A301" s="52">
        <v>2023</v>
      </c>
      <c r="B301" s="52" t="s">
        <v>658</v>
      </c>
      <c r="C301" s="57" t="s">
        <v>610</v>
      </c>
      <c r="D301" s="58" t="s">
        <v>693</v>
      </c>
      <c r="E301" s="58" t="s">
        <v>693</v>
      </c>
      <c r="F301" s="58" t="s">
        <v>610</v>
      </c>
      <c r="G301" s="57" t="s">
        <v>264</v>
      </c>
      <c r="H301" s="39">
        <v>2</v>
      </c>
      <c r="I301" s="39">
        <v>9</v>
      </c>
      <c r="J301" s="38"/>
      <c r="K301" s="39">
        <v>348761.25</v>
      </c>
      <c r="L301" s="39">
        <v>63411.14</v>
      </c>
      <c r="M301" s="39">
        <v>285350.11</v>
      </c>
      <c r="N301" s="38"/>
      <c r="O301" s="39">
        <v>131327.75</v>
      </c>
      <c r="P301" s="39">
        <v>23877.77</v>
      </c>
      <c r="Q301" s="39">
        <v>107449.98</v>
      </c>
      <c r="R301" s="38"/>
      <c r="S301" s="39">
        <v>480089</v>
      </c>
      <c r="T301" s="39">
        <v>87288.91</v>
      </c>
      <c r="U301" s="39">
        <v>392800.08999999997</v>
      </c>
      <c r="W301" s="29">
        <f>INDEX(SurtaxPayment!$C$6:$U$330,MATCH(PriorYear!$C301,SurtaxPayment!$C$6:$C$330,0),6)+INDEX(SurtaxPayment!$C$6:$U$330,MATCH(PriorYear!$C301,SurtaxPayment!$C$6:$C$330,0),7)</f>
        <v>10</v>
      </c>
      <c r="X301" s="29">
        <f t="shared" si="8"/>
        <v>-1</v>
      </c>
      <c r="Y301" s="29">
        <f>INDEX(SurtaxPayment!$C$6:$U$330,MATCH(PriorYear!C301,SurtaxPayment!$C$6:$C$330,0),9)</f>
        <v>408913.11</v>
      </c>
      <c r="Z301" s="66">
        <f t="shared" si="9"/>
        <v>0.17247288797135571</v>
      </c>
    </row>
    <row r="302" spans="1:26" x14ac:dyDescent="0.25">
      <c r="A302" s="52">
        <v>2023</v>
      </c>
      <c r="B302" s="52" t="s">
        <v>663</v>
      </c>
      <c r="C302" s="57" t="s">
        <v>611</v>
      </c>
      <c r="D302" s="58" t="s">
        <v>693</v>
      </c>
      <c r="E302" s="58" t="s">
        <v>693</v>
      </c>
      <c r="F302" s="58" t="s">
        <v>611</v>
      </c>
      <c r="G302" s="57" t="s">
        <v>265</v>
      </c>
      <c r="H302" s="39">
        <v>0</v>
      </c>
      <c r="I302" s="39">
        <v>8</v>
      </c>
      <c r="J302" s="38"/>
      <c r="K302" s="39">
        <v>602758.5</v>
      </c>
      <c r="L302" s="39">
        <v>0</v>
      </c>
      <c r="M302" s="39">
        <v>602758.5</v>
      </c>
      <c r="N302" s="38"/>
      <c r="O302" s="39">
        <v>231144.5</v>
      </c>
      <c r="P302" s="39">
        <v>0</v>
      </c>
      <c r="Q302" s="39">
        <v>231144.5</v>
      </c>
      <c r="R302" s="38"/>
      <c r="S302" s="39">
        <v>833903</v>
      </c>
      <c r="T302" s="39">
        <v>0</v>
      </c>
      <c r="U302" s="39">
        <v>833903</v>
      </c>
      <c r="W302" s="29">
        <f>INDEX(SurtaxPayment!$C$6:$U$330,MATCH(PriorYear!$C302,SurtaxPayment!$C$6:$C$330,0),6)+INDEX(SurtaxPayment!$C$6:$U$330,MATCH(PriorYear!$C302,SurtaxPayment!$C$6:$C$330,0),7)</f>
        <v>8</v>
      </c>
      <c r="X302" s="29">
        <f t="shared" si="8"/>
        <v>0</v>
      </c>
      <c r="Y302" s="29">
        <f>INDEX(SurtaxPayment!$C$6:$U$330,MATCH(PriorYear!C302,SurtaxPayment!$C$6:$C$330,0),9)</f>
        <v>786550.44</v>
      </c>
      <c r="Z302" s="66">
        <f t="shared" si="9"/>
        <v>0.30491803931425265</v>
      </c>
    </row>
    <row r="303" spans="1:26" x14ac:dyDescent="0.25">
      <c r="A303" s="52">
        <v>2023</v>
      </c>
      <c r="B303" s="52" t="s">
        <v>658</v>
      </c>
      <c r="C303" s="57" t="s">
        <v>612</v>
      </c>
      <c r="D303" s="58" t="s">
        <v>693</v>
      </c>
      <c r="E303" s="58" t="s">
        <v>693</v>
      </c>
      <c r="F303" s="58" t="s">
        <v>612</v>
      </c>
      <c r="G303" s="57" t="s">
        <v>736</v>
      </c>
      <c r="H303" s="39">
        <v>0</v>
      </c>
      <c r="I303" s="39">
        <v>0</v>
      </c>
      <c r="J303" s="38"/>
      <c r="K303" s="39">
        <v>0</v>
      </c>
      <c r="L303" s="39">
        <v>0</v>
      </c>
      <c r="M303" s="39">
        <v>0</v>
      </c>
      <c r="N303" s="38"/>
      <c r="O303" s="39">
        <v>0</v>
      </c>
      <c r="P303" s="39">
        <v>0</v>
      </c>
      <c r="Q303" s="39">
        <v>0</v>
      </c>
      <c r="R303" s="38"/>
      <c r="S303" s="39">
        <v>0</v>
      </c>
      <c r="T303" s="39">
        <v>0</v>
      </c>
      <c r="U303" s="39">
        <v>0</v>
      </c>
      <c r="W303" s="29">
        <f>INDEX(SurtaxPayment!$C$6:$U$330,MATCH(PriorYear!$C303,SurtaxPayment!$C$6:$C$330,0),6)+INDEX(SurtaxPayment!$C$6:$U$330,MATCH(PriorYear!$C303,SurtaxPayment!$C$6:$C$330,0),7)</f>
        <v>0</v>
      </c>
      <c r="X303" s="29">
        <f t="shared" si="8"/>
        <v>0</v>
      </c>
      <c r="Y303" s="29">
        <f>INDEX(SurtaxPayment!$C$6:$U$330,MATCH(PriorYear!C303,SurtaxPayment!$C$6:$C$330,0),9)</f>
        <v>0</v>
      </c>
      <c r="Z303" s="66">
        <f t="shared" si="9"/>
        <v>0</v>
      </c>
    </row>
    <row r="304" spans="1:26" x14ac:dyDescent="0.25">
      <c r="A304" s="52">
        <v>2023</v>
      </c>
      <c r="B304" s="52" t="s">
        <v>657</v>
      </c>
      <c r="C304" s="57" t="s">
        <v>613</v>
      </c>
      <c r="D304" s="58" t="s">
        <v>693</v>
      </c>
      <c r="E304" s="58" t="s">
        <v>693</v>
      </c>
      <c r="F304" s="58" t="s">
        <v>613</v>
      </c>
      <c r="G304" s="57" t="s">
        <v>737</v>
      </c>
      <c r="H304" s="39">
        <v>0</v>
      </c>
      <c r="I304" s="39">
        <v>0</v>
      </c>
      <c r="J304" s="38"/>
      <c r="K304" s="39">
        <v>0</v>
      </c>
      <c r="L304" s="39">
        <v>0</v>
      </c>
      <c r="M304" s="39">
        <v>0</v>
      </c>
      <c r="N304" s="38"/>
      <c r="O304" s="39">
        <v>0</v>
      </c>
      <c r="P304" s="39">
        <v>0</v>
      </c>
      <c r="Q304" s="39">
        <v>0</v>
      </c>
      <c r="R304" s="38"/>
      <c r="S304" s="39">
        <v>0</v>
      </c>
      <c r="T304" s="39">
        <v>0</v>
      </c>
      <c r="U304" s="39">
        <v>0</v>
      </c>
      <c r="W304" s="29">
        <f>INDEX(SurtaxPayment!$C$6:$U$330,MATCH(PriorYear!$C304,SurtaxPayment!$C$6:$C$330,0),6)+INDEX(SurtaxPayment!$C$6:$U$330,MATCH(PriorYear!$C304,SurtaxPayment!$C$6:$C$330,0),7)</f>
        <v>0</v>
      </c>
      <c r="X304" s="29">
        <f t="shared" si="8"/>
        <v>0</v>
      </c>
      <c r="Y304" s="29">
        <f>INDEX(SurtaxPayment!$C$6:$U$330,MATCH(PriorYear!C304,SurtaxPayment!$C$6:$C$330,0),9)</f>
        <v>0</v>
      </c>
      <c r="Z304" s="66">
        <f t="shared" si="9"/>
        <v>0</v>
      </c>
    </row>
    <row r="305" spans="1:26" x14ac:dyDescent="0.25">
      <c r="A305" s="52">
        <v>2023</v>
      </c>
      <c r="B305" s="52" t="s">
        <v>658</v>
      </c>
      <c r="C305" s="57" t="s">
        <v>614</v>
      </c>
      <c r="D305" s="58" t="s">
        <v>693</v>
      </c>
      <c r="E305" s="58" t="s">
        <v>693</v>
      </c>
      <c r="F305" s="58" t="s">
        <v>614</v>
      </c>
      <c r="G305" s="57" t="s">
        <v>266</v>
      </c>
      <c r="H305" s="39">
        <v>0</v>
      </c>
      <c r="I305" s="39">
        <v>6</v>
      </c>
      <c r="J305" s="38"/>
      <c r="K305" s="39">
        <v>836780.25</v>
      </c>
      <c r="L305" s="39">
        <v>0</v>
      </c>
      <c r="M305" s="39">
        <v>836780.25</v>
      </c>
      <c r="N305" s="38"/>
      <c r="O305" s="39">
        <v>319506.75</v>
      </c>
      <c r="P305" s="39">
        <v>0</v>
      </c>
      <c r="Q305" s="39">
        <v>319506.75</v>
      </c>
      <c r="R305" s="38"/>
      <c r="S305" s="39">
        <v>1156287</v>
      </c>
      <c r="T305" s="39">
        <v>0</v>
      </c>
      <c r="U305" s="39">
        <v>1156287</v>
      </c>
      <c r="W305" s="29">
        <f>INDEX(SurtaxPayment!$C$6:$U$330,MATCH(PriorYear!$C305,SurtaxPayment!$C$6:$C$330,0),6)+INDEX(SurtaxPayment!$C$6:$U$330,MATCH(PriorYear!$C305,SurtaxPayment!$C$6:$C$330,0),7)</f>
        <v>6</v>
      </c>
      <c r="X305" s="29">
        <f t="shared" si="8"/>
        <v>0</v>
      </c>
      <c r="Y305" s="29">
        <f>INDEX(SurtaxPayment!$C$6:$U$330,MATCH(PriorYear!C305,SurtaxPayment!$C$6:$C$330,0),9)</f>
        <v>1023255.1</v>
      </c>
      <c r="Z305" s="66">
        <f t="shared" si="9"/>
        <v>0.2228480535959112</v>
      </c>
    </row>
    <row r="306" spans="1:26" x14ac:dyDescent="0.25">
      <c r="A306" s="52">
        <v>2023</v>
      </c>
      <c r="B306" s="52" t="s">
        <v>662</v>
      </c>
      <c r="C306" s="57" t="s">
        <v>615</v>
      </c>
      <c r="D306" s="58" t="s">
        <v>693</v>
      </c>
      <c r="E306" s="58" t="s">
        <v>693</v>
      </c>
      <c r="F306" s="58" t="s">
        <v>615</v>
      </c>
      <c r="G306" s="57" t="s">
        <v>267</v>
      </c>
      <c r="H306" s="39">
        <v>0</v>
      </c>
      <c r="I306" s="39">
        <v>3</v>
      </c>
      <c r="J306" s="38"/>
      <c r="K306" s="39">
        <v>68956.5</v>
      </c>
      <c r="L306" s="39">
        <v>0</v>
      </c>
      <c r="M306" s="39">
        <v>68956.5</v>
      </c>
      <c r="N306" s="38"/>
      <c r="O306" s="39">
        <v>40222.5</v>
      </c>
      <c r="P306" s="39">
        <v>0</v>
      </c>
      <c r="Q306" s="39">
        <v>40222.5</v>
      </c>
      <c r="R306" s="38"/>
      <c r="S306" s="39">
        <v>109179</v>
      </c>
      <c r="T306" s="39">
        <v>0</v>
      </c>
      <c r="U306" s="39">
        <v>109179</v>
      </c>
      <c r="W306" s="29">
        <f>INDEX(SurtaxPayment!$C$6:$U$330,MATCH(PriorYear!$C306,SurtaxPayment!$C$6:$C$330,0),6)+INDEX(SurtaxPayment!$C$6:$U$330,MATCH(PriorYear!$C306,SurtaxPayment!$C$6:$C$330,0),7)</f>
        <v>3</v>
      </c>
      <c r="X306" s="29">
        <f t="shared" si="8"/>
        <v>0</v>
      </c>
      <c r="Y306" s="29">
        <f>INDEX(SurtaxPayment!$C$6:$U$330,MATCH(PriorYear!C306,SurtaxPayment!$C$6:$C$330,0),9)</f>
        <v>79008</v>
      </c>
      <c r="Z306" s="66">
        <f t="shared" si="9"/>
        <v>0.14576580887951099</v>
      </c>
    </row>
    <row r="307" spans="1:26" x14ac:dyDescent="0.25">
      <c r="A307" s="52">
        <v>2023</v>
      </c>
      <c r="B307" s="52" t="s">
        <v>661</v>
      </c>
      <c r="C307" s="57" t="s">
        <v>616</v>
      </c>
      <c r="D307" s="58" t="s">
        <v>522</v>
      </c>
      <c r="E307" s="58" t="s">
        <v>693</v>
      </c>
      <c r="F307" s="58" t="s">
        <v>616</v>
      </c>
      <c r="G307" s="57" t="s">
        <v>268</v>
      </c>
      <c r="H307" s="39">
        <v>0</v>
      </c>
      <c r="I307" s="39">
        <v>7</v>
      </c>
      <c r="J307" s="38"/>
      <c r="K307" s="39">
        <v>684270</v>
      </c>
      <c r="L307" s="39">
        <v>0</v>
      </c>
      <c r="M307" s="39">
        <v>684270</v>
      </c>
      <c r="N307" s="38"/>
      <c r="O307" s="39">
        <v>261399</v>
      </c>
      <c r="P307" s="39">
        <v>0</v>
      </c>
      <c r="Q307" s="39">
        <v>261399</v>
      </c>
      <c r="R307" s="38"/>
      <c r="S307" s="39">
        <v>945669</v>
      </c>
      <c r="T307" s="39">
        <v>0</v>
      </c>
      <c r="U307" s="39">
        <v>945669</v>
      </c>
      <c r="W307" s="29">
        <f>INDEX(SurtaxPayment!$C$6:$U$330,MATCH(PriorYear!$C307,SurtaxPayment!$C$6:$C$330,0),6)+INDEX(SurtaxPayment!$C$6:$U$330,MATCH(PriorYear!$C307,SurtaxPayment!$C$6:$C$330,0),7)</f>
        <v>5</v>
      </c>
      <c r="X307" s="29">
        <f t="shared" si="8"/>
        <v>-2</v>
      </c>
      <c r="Y307" s="29">
        <f>INDEX(SurtaxPayment!$C$6:$U$330,MATCH(PriorYear!C307,SurtaxPayment!$C$6:$C$330,0),9)</f>
        <v>731786.32</v>
      </c>
      <c r="Z307" s="66">
        <f t="shared" si="9"/>
        <v>6.9440893214666649E-2</v>
      </c>
    </row>
    <row r="308" spans="1:26" x14ac:dyDescent="0.25">
      <c r="A308" s="52">
        <v>2023</v>
      </c>
      <c r="B308" s="52" t="s">
        <v>661</v>
      </c>
      <c r="C308" s="57" t="s">
        <v>617</v>
      </c>
      <c r="D308" s="58" t="s">
        <v>693</v>
      </c>
      <c r="E308" s="58" t="s">
        <v>693</v>
      </c>
      <c r="F308" s="58" t="s">
        <v>617</v>
      </c>
      <c r="G308" s="57" t="s">
        <v>738</v>
      </c>
      <c r="H308" s="39">
        <v>0</v>
      </c>
      <c r="I308" s="39">
        <v>0</v>
      </c>
      <c r="J308" s="38"/>
      <c r="K308" s="39">
        <v>0</v>
      </c>
      <c r="L308" s="39">
        <v>0</v>
      </c>
      <c r="M308" s="39">
        <v>0</v>
      </c>
      <c r="N308" s="38"/>
      <c r="O308" s="39">
        <v>0</v>
      </c>
      <c r="P308" s="39">
        <v>0</v>
      </c>
      <c r="Q308" s="39">
        <v>0</v>
      </c>
      <c r="R308" s="38"/>
      <c r="S308" s="39">
        <v>0</v>
      </c>
      <c r="T308" s="39">
        <v>0</v>
      </c>
      <c r="U308" s="39">
        <v>0</v>
      </c>
      <c r="W308" s="29">
        <f>INDEX(SurtaxPayment!$C$6:$U$330,MATCH(PriorYear!$C308,SurtaxPayment!$C$6:$C$330,0),6)+INDEX(SurtaxPayment!$C$6:$U$330,MATCH(PriorYear!$C308,SurtaxPayment!$C$6:$C$330,0),7)</f>
        <v>0</v>
      </c>
      <c r="X308" s="29">
        <f t="shared" si="8"/>
        <v>0</v>
      </c>
      <c r="Y308" s="29">
        <f>INDEX(SurtaxPayment!$C$6:$U$330,MATCH(PriorYear!C308,SurtaxPayment!$C$6:$C$330,0),9)</f>
        <v>0</v>
      </c>
      <c r="Z308" s="66">
        <f t="shared" si="9"/>
        <v>0</v>
      </c>
    </row>
    <row r="309" spans="1:26" x14ac:dyDescent="0.25">
      <c r="A309" s="52">
        <v>2023</v>
      </c>
      <c r="B309" s="52" t="s">
        <v>663</v>
      </c>
      <c r="C309" s="57" t="s">
        <v>618</v>
      </c>
      <c r="D309" s="58" t="s">
        <v>693</v>
      </c>
      <c r="E309" s="58" t="s">
        <v>693</v>
      </c>
      <c r="F309" s="58" t="s">
        <v>618</v>
      </c>
      <c r="G309" s="57" t="s">
        <v>269</v>
      </c>
      <c r="H309" s="39">
        <v>1</v>
      </c>
      <c r="I309" s="39">
        <v>1</v>
      </c>
      <c r="J309" s="38"/>
      <c r="K309" s="39">
        <v>83337.75</v>
      </c>
      <c r="L309" s="39">
        <v>41668.879999999997</v>
      </c>
      <c r="M309" s="39">
        <v>41668.870000000003</v>
      </c>
      <c r="N309" s="38"/>
      <c r="O309" s="39">
        <v>39661.25</v>
      </c>
      <c r="P309" s="39">
        <v>19830.63</v>
      </c>
      <c r="Q309" s="39">
        <v>19830.62</v>
      </c>
      <c r="R309" s="38"/>
      <c r="S309" s="39">
        <v>122999</v>
      </c>
      <c r="T309" s="39">
        <v>61499.509999999995</v>
      </c>
      <c r="U309" s="39">
        <v>61499.490000000005</v>
      </c>
      <c r="W309" s="29">
        <f>INDEX(SurtaxPayment!$C$6:$U$330,MATCH(PriorYear!$C309,SurtaxPayment!$C$6:$C$330,0),6)+INDEX(SurtaxPayment!$C$6:$U$330,MATCH(PriorYear!$C309,SurtaxPayment!$C$6:$C$330,0),7)</f>
        <v>2</v>
      </c>
      <c r="X309" s="29">
        <f t="shared" si="8"/>
        <v>0</v>
      </c>
      <c r="Y309" s="29">
        <f>INDEX(SurtaxPayment!$C$6:$U$330,MATCH(PriorYear!C309,SurtaxPayment!$C$6:$C$330,0),9)</f>
        <v>119636.02</v>
      </c>
      <c r="Z309" s="66">
        <f t="shared" si="9"/>
        <v>0.43555615552375732</v>
      </c>
    </row>
    <row r="310" spans="1:26" x14ac:dyDescent="0.25">
      <c r="A310" s="52">
        <v>2023</v>
      </c>
      <c r="B310" s="52" t="s">
        <v>662</v>
      </c>
      <c r="C310" s="57" t="s">
        <v>619</v>
      </c>
      <c r="D310" s="58" t="s">
        <v>693</v>
      </c>
      <c r="E310" s="58" t="s">
        <v>693</v>
      </c>
      <c r="F310" s="58" t="s">
        <v>619</v>
      </c>
      <c r="G310" s="57" t="s">
        <v>739</v>
      </c>
      <c r="H310" s="39">
        <v>0</v>
      </c>
      <c r="I310" s="39">
        <v>0</v>
      </c>
      <c r="J310" s="38"/>
      <c r="K310" s="39">
        <v>0</v>
      </c>
      <c r="L310" s="39">
        <v>0</v>
      </c>
      <c r="M310" s="39">
        <v>0</v>
      </c>
      <c r="N310" s="38"/>
      <c r="O310" s="39">
        <v>0</v>
      </c>
      <c r="P310" s="39">
        <v>0</v>
      </c>
      <c r="Q310" s="39">
        <v>0</v>
      </c>
      <c r="R310" s="38"/>
      <c r="S310" s="39">
        <v>0</v>
      </c>
      <c r="T310" s="39">
        <v>0</v>
      </c>
      <c r="U310" s="39">
        <v>0</v>
      </c>
      <c r="W310" s="29">
        <f>INDEX(SurtaxPayment!$C$6:$U$330,MATCH(PriorYear!$C310,SurtaxPayment!$C$6:$C$330,0),6)+INDEX(SurtaxPayment!$C$6:$U$330,MATCH(PriorYear!$C310,SurtaxPayment!$C$6:$C$330,0),7)</f>
        <v>0</v>
      </c>
      <c r="X310" s="29">
        <f t="shared" si="8"/>
        <v>0</v>
      </c>
      <c r="Y310" s="29">
        <f>INDEX(SurtaxPayment!$C$6:$U$330,MATCH(PriorYear!C310,SurtaxPayment!$C$6:$C$330,0),9)</f>
        <v>0</v>
      </c>
      <c r="Z310" s="66">
        <f t="shared" si="9"/>
        <v>0</v>
      </c>
    </row>
    <row r="311" spans="1:26" x14ac:dyDescent="0.25">
      <c r="A311" s="52">
        <v>2023</v>
      </c>
      <c r="B311" s="52" t="s">
        <v>665</v>
      </c>
      <c r="C311" s="57" t="s">
        <v>620</v>
      </c>
      <c r="D311" s="58" t="s">
        <v>693</v>
      </c>
      <c r="E311" s="58" t="s">
        <v>693</v>
      </c>
      <c r="F311" s="58" t="s">
        <v>620</v>
      </c>
      <c r="G311" s="57" t="s">
        <v>270</v>
      </c>
      <c r="H311" s="39">
        <v>3</v>
      </c>
      <c r="I311" s="39">
        <v>10</v>
      </c>
      <c r="J311" s="38"/>
      <c r="K311" s="39">
        <v>167139.75</v>
      </c>
      <c r="L311" s="39">
        <v>38570.71</v>
      </c>
      <c r="M311" s="39">
        <v>128569.04000000001</v>
      </c>
      <c r="N311" s="38"/>
      <c r="O311" s="39">
        <v>59874.25</v>
      </c>
      <c r="P311" s="39">
        <v>13817.13</v>
      </c>
      <c r="Q311" s="39">
        <v>46057.120000000003</v>
      </c>
      <c r="R311" s="38"/>
      <c r="S311" s="39">
        <v>227014</v>
      </c>
      <c r="T311" s="39">
        <v>52387.839999999997</v>
      </c>
      <c r="U311" s="39">
        <v>174626.16</v>
      </c>
      <c r="W311" s="29">
        <f>INDEX(SurtaxPayment!$C$6:$U$330,MATCH(PriorYear!$C311,SurtaxPayment!$C$6:$C$330,0),6)+INDEX(SurtaxPayment!$C$6:$U$330,MATCH(PriorYear!$C311,SurtaxPayment!$C$6:$C$330,0),7)</f>
        <v>5</v>
      </c>
      <c r="X311" s="29">
        <f t="shared" si="8"/>
        <v>-8</v>
      </c>
      <c r="Y311" s="29">
        <f>INDEX(SurtaxPayment!$C$6:$U$330,MATCH(PriorYear!C311,SurtaxPayment!$C$6:$C$330,0),9)</f>
        <v>81967.95</v>
      </c>
      <c r="Z311" s="66">
        <f t="shared" si="9"/>
        <v>-0.50958434483717974</v>
      </c>
    </row>
    <row r="312" spans="1:26" x14ac:dyDescent="0.25">
      <c r="A312" s="52">
        <v>2023</v>
      </c>
      <c r="B312" s="52" t="s">
        <v>657</v>
      </c>
      <c r="C312" s="57" t="s">
        <v>590</v>
      </c>
      <c r="D312" s="58" t="s">
        <v>693</v>
      </c>
      <c r="E312" s="58" t="s">
        <v>693</v>
      </c>
      <c r="F312" s="58" t="s">
        <v>590</v>
      </c>
      <c r="G312" s="57" t="s">
        <v>271</v>
      </c>
      <c r="H312" s="39">
        <v>0</v>
      </c>
      <c r="I312" s="39">
        <v>5</v>
      </c>
      <c r="J312" s="38"/>
      <c r="K312" s="39">
        <v>233844.75</v>
      </c>
      <c r="L312" s="39">
        <v>0</v>
      </c>
      <c r="M312" s="39">
        <v>233844.75</v>
      </c>
      <c r="N312" s="38"/>
      <c r="O312" s="39">
        <v>88345.25</v>
      </c>
      <c r="P312" s="39">
        <v>0</v>
      </c>
      <c r="Q312" s="39">
        <v>88345.25</v>
      </c>
      <c r="R312" s="38"/>
      <c r="S312" s="39">
        <v>322190</v>
      </c>
      <c r="T312" s="39">
        <v>0</v>
      </c>
      <c r="U312" s="39">
        <v>322190</v>
      </c>
      <c r="W312" s="29">
        <f>INDEX(SurtaxPayment!$C$6:$U$330,MATCH(PriorYear!$C312,SurtaxPayment!$C$6:$C$330,0),6)+INDEX(SurtaxPayment!$C$6:$U$330,MATCH(PriorYear!$C312,SurtaxPayment!$C$6:$C$330,0),7)</f>
        <v>5</v>
      </c>
      <c r="X312" s="29">
        <f t="shared" si="8"/>
        <v>0</v>
      </c>
      <c r="Y312" s="29">
        <f>INDEX(SurtaxPayment!$C$6:$U$330,MATCH(PriorYear!C312,SurtaxPayment!$C$6:$C$330,0),9)</f>
        <v>297873.64</v>
      </c>
      <c r="Z312" s="66">
        <f t="shared" si="9"/>
        <v>0.27380939704654483</v>
      </c>
    </row>
    <row r="313" spans="1:26" x14ac:dyDescent="0.25">
      <c r="A313" s="52">
        <v>2023</v>
      </c>
      <c r="B313" s="52" t="s">
        <v>665</v>
      </c>
      <c r="C313" s="57" t="s">
        <v>621</v>
      </c>
      <c r="D313" s="58" t="s">
        <v>693</v>
      </c>
      <c r="E313" s="58" t="s">
        <v>693</v>
      </c>
      <c r="F313" s="58" t="s">
        <v>621</v>
      </c>
      <c r="G313" s="57" t="s">
        <v>643</v>
      </c>
      <c r="H313" s="39">
        <v>0</v>
      </c>
      <c r="I313" s="39">
        <v>8</v>
      </c>
      <c r="J313" s="38"/>
      <c r="K313" s="39">
        <v>602742</v>
      </c>
      <c r="L313" s="39">
        <v>0</v>
      </c>
      <c r="M313" s="39">
        <v>602742</v>
      </c>
      <c r="N313" s="38"/>
      <c r="O313" s="39">
        <v>264924</v>
      </c>
      <c r="P313" s="39">
        <v>0</v>
      </c>
      <c r="Q313" s="39">
        <v>264924</v>
      </c>
      <c r="R313" s="38"/>
      <c r="S313" s="39">
        <v>867666</v>
      </c>
      <c r="T313" s="39">
        <v>0</v>
      </c>
      <c r="U313" s="39">
        <v>867666</v>
      </c>
      <c r="W313" s="29">
        <f>INDEX(SurtaxPayment!$C$6:$U$330,MATCH(PriorYear!$C313,SurtaxPayment!$C$6:$C$330,0),6)+INDEX(SurtaxPayment!$C$6:$U$330,MATCH(PriorYear!$C313,SurtaxPayment!$C$6:$C$330,0),7)</f>
        <v>7</v>
      </c>
      <c r="X313" s="29">
        <f t="shared" si="8"/>
        <v>-1</v>
      </c>
      <c r="Y313" s="29">
        <f>INDEX(SurtaxPayment!$C$6:$U$330,MATCH(PriorYear!C313,SurtaxPayment!$C$6:$C$330,0),9)</f>
        <v>695317.82</v>
      </c>
      <c r="Z313" s="66">
        <f t="shared" si="9"/>
        <v>0.15359112190622182</v>
      </c>
    </row>
    <row r="314" spans="1:26" x14ac:dyDescent="0.25">
      <c r="A314" s="52">
        <v>2023</v>
      </c>
      <c r="B314" s="52" t="s">
        <v>657</v>
      </c>
      <c r="C314" s="57" t="s">
        <v>622</v>
      </c>
      <c r="D314" s="58" t="s">
        <v>693</v>
      </c>
      <c r="E314" s="58" t="s">
        <v>693</v>
      </c>
      <c r="F314" s="58" t="s">
        <v>622</v>
      </c>
      <c r="G314" s="57" t="s">
        <v>740</v>
      </c>
      <c r="H314" s="39">
        <v>0</v>
      </c>
      <c r="I314" s="39">
        <v>0</v>
      </c>
      <c r="J314" s="38"/>
      <c r="K314" s="39">
        <v>0</v>
      </c>
      <c r="L314" s="39">
        <v>0</v>
      </c>
      <c r="M314" s="39">
        <v>0</v>
      </c>
      <c r="N314" s="38"/>
      <c r="O314" s="39">
        <v>0</v>
      </c>
      <c r="P314" s="39">
        <v>0</v>
      </c>
      <c r="Q314" s="39">
        <v>0</v>
      </c>
      <c r="R314" s="38"/>
      <c r="S314" s="39">
        <v>0</v>
      </c>
      <c r="T314" s="39">
        <v>0</v>
      </c>
      <c r="U314" s="39">
        <v>0</v>
      </c>
      <c r="W314" s="29">
        <f>INDEX(SurtaxPayment!$C$6:$U$330,MATCH(PriorYear!$C314,SurtaxPayment!$C$6:$C$330,0),6)+INDEX(SurtaxPayment!$C$6:$U$330,MATCH(PriorYear!$C314,SurtaxPayment!$C$6:$C$330,0),7)</f>
        <v>0</v>
      </c>
      <c r="X314" s="29">
        <f t="shared" si="8"/>
        <v>0</v>
      </c>
      <c r="Y314" s="29">
        <f>INDEX(SurtaxPayment!$C$6:$U$330,MATCH(PriorYear!C314,SurtaxPayment!$C$6:$C$330,0),9)</f>
        <v>0</v>
      </c>
      <c r="Z314" s="66">
        <f t="shared" si="9"/>
        <v>0</v>
      </c>
    </row>
    <row r="315" spans="1:26" x14ac:dyDescent="0.25">
      <c r="A315" s="52">
        <v>2023</v>
      </c>
      <c r="B315" s="52" t="s">
        <v>658</v>
      </c>
      <c r="C315" s="57" t="s">
        <v>566</v>
      </c>
      <c r="D315" s="58" t="s">
        <v>693</v>
      </c>
      <c r="E315" s="58" t="s">
        <v>693</v>
      </c>
      <c r="F315" s="58" t="s">
        <v>566</v>
      </c>
      <c r="G315" s="57" t="s">
        <v>273</v>
      </c>
      <c r="H315" s="39">
        <v>0</v>
      </c>
      <c r="I315" s="39">
        <v>5</v>
      </c>
      <c r="J315" s="38"/>
      <c r="K315" s="39">
        <v>197109.75</v>
      </c>
      <c r="L315" s="39">
        <v>0</v>
      </c>
      <c r="M315" s="39">
        <v>197109.75</v>
      </c>
      <c r="N315" s="38"/>
      <c r="O315" s="39">
        <v>87022.25</v>
      </c>
      <c r="P315" s="39">
        <v>0</v>
      </c>
      <c r="Q315" s="39">
        <v>87022.25</v>
      </c>
      <c r="R315" s="38"/>
      <c r="S315" s="39">
        <v>284132</v>
      </c>
      <c r="T315" s="39">
        <v>0</v>
      </c>
      <c r="U315" s="39">
        <v>284132</v>
      </c>
      <c r="W315" s="29">
        <f>INDEX(SurtaxPayment!$C$6:$U$330,MATCH(PriorYear!$C315,SurtaxPayment!$C$6:$C$330,0),6)+INDEX(SurtaxPayment!$C$6:$U$330,MATCH(PriorYear!$C315,SurtaxPayment!$C$6:$C$330,0),7)</f>
        <v>1</v>
      </c>
      <c r="X315" s="29">
        <f t="shared" si="8"/>
        <v>-4</v>
      </c>
      <c r="Y315" s="29">
        <f>INDEX(SurtaxPayment!$C$6:$U$330,MATCH(PriorYear!C315,SurtaxPayment!$C$6:$C$330,0),9)</f>
        <v>52409.74</v>
      </c>
      <c r="Z315" s="66">
        <f t="shared" si="9"/>
        <v>-0.73410884037953483</v>
      </c>
    </row>
    <row r="316" spans="1:26" x14ac:dyDescent="0.25">
      <c r="A316" s="52">
        <v>2023</v>
      </c>
      <c r="B316" s="52" t="s">
        <v>658</v>
      </c>
      <c r="C316" s="57" t="s">
        <v>348</v>
      </c>
      <c r="D316" s="58" t="s">
        <v>693</v>
      </c>
      <c r="E316" s="58" t="s">
        <v>693</v>
      </c>
      <c r="F316" s="58" t="s">
        <v>348</v>
      </c>
      <c r="G316" s="57" t="s">
        <v>274</v>
      </c>
      <c r="H316" s="39">
        <v>2</v>
      </c>
      <c r="I316" s="39">
        <v>9</v>
      </c>
      <c r="J316" s="38"/>
      <c r="K316" s="39">
        <v>337815.75</v>
      </c>
      <c r="L316" s="39">
        <v>61421.05</v>
      </c>
      <c r="M316" s="39">
        <v>276394.7</v>
      </c>
      <c r="N316" s="38"/>
      <c r="O316" s="39">
        <v>117848.25</v>
      </c>
      <c r="P316" s="39">
        <v>21426.95</v>
      </c>
      <c r="Q316" s="39">
        <v>96421.3</v>
      </c>
      <c r="R316" s="38"/>
      <c r="S316" s="39">
        <v>455664</v>
      </c>
      <c r="T316" s="39">
        <v>82848</v>
      </c>
      <c r="U316" s="39">
        <v>372816</v>
      </c>
      <c r="W316" s="29">
        <f>INDEX(SurtaxPayment!$C$6:$U$330,MATCH(PriorYear!$C316,SurtaxPayment!$C$6:$C$330,0),6)+INDEX(SurtaxPayment!$C$6:$U$330,MATCH(PriorYear!$C316,SurtaxPayment!$C$6:$C$330,0),7)</f>
        <v>2</v>
      </c>
      <c r="X316" s="29">
        <f t="shared" si="8"/>
        <v>-9</v>
      </c>
      <c r="Y316" s="29">
        <f>INDEX(SurtaxPayment!$C$6:$U$330,MATCH(PriorYear!C316,SurtaxPayment!$C$6:$C$330,0),9)</f>
        <v>76203.009999999995</v>
      </c>
      <c r="Z316" s="66">
        <f t="shared" si="9"/>
        <v>-0.77442434226349721</v>
      </c>
    </row>
    <row r="317" spans="1:26" x14ac:dyDescent="0.25">
      <c r="A317" s="52">
        <v>2023</v>
      </c>
      <c r="B317" s="52" t="s">
        <v>659</v>
      </c>
      <c r="C317" s="57" t="s">
        <v>624</v>
      </c>
      <c r="D317" s="58" t="s">
        <v>693</v>
      </c>
      <c r="E317" s="58" t="s">
        <v>693</v>
      </c>
      <c r="F317" s="58" t="s">
        <v>624</v>
      </c>
      <c r="G317" s="57" t="s">
        <v>275</v>
      </c>
      <c r="H317" s="39">
        <v>0</v>
      </c>
      <c r="I317" s="39">
        <v>2</v>
      </c>
      <c r="J317" s="38"/>
      <c r="K317" s="39">
        <v>24167.25</v>
      </c>
      <c r="L317" s="39">
        <v>0</v>
      </c>
      <c r="M317" s="39">
        <v>24167.25</v>
      </c>
      <c r="N317" s="38"/>
      <c r="O317" s="39">
        <v>8687.75</v>
      </c>
      <c r="P317" s="39">
        <v>0</v>
      </c>
      <c r="Q317" s="39">
        <v>8687.75</v>
      </c>
      <c r="R317" s="38"/>
      <c r="S317" s="39">
        <v>32855</v>
      </c>
      <c r="T317" s="39">
        <v>0</v>
      </c>
      <c r="U317" s="39">
        <v>32855</v>
      </c>
      <c r="W317" s="29">
        <f>INDEX(SurtaxPayment!$C$6:$U$330,MATCH(PriorYear!$C317,SurtaxPayment!$C$6:$C$330,0),6)+INDEX(SurtaxPayment!$C$6:$U$330,MATCH(PriorYear!$C317,SurtaxPayment!$C$6:$C$330,0),7)</f>
        <v>4</v>
      </c>
      <c r="X317" s="29">
        <f t="shared" si="8"/>
        <v>2</v>
      </c>
      <c r="Y317" s="29">
        <f>INDEX(SurtaxPayment!$C$6:$U$330,MATCH(PriorYear!C317,SurtaxPayment!$C$6:$C$330,0),9)</f>
        <v>60592.97</v>
      </c>
      <c r="Z317" s="66">
        <f t="shared" si="9"/>
        <v>1.507234790884358</v>
      </c>
    </row>
    <row r="318" spans="1:26" x14ac:dyDescent="0.25">
      <c r="A318" s="52">
        <v>2023</v>
      </c>
      <c r="B318" s="52" t="s">
        <v>666</v>
      </c>
      <c r="C318" s="57" t="s">
        <v>625</v>
      </c>
      <c r="D318" s="58" t="s">
        <v>693</v>
      </c>
      <c r="E318" s="58" t="s">
        <v>693</v>
      </c>
      <c r="F318" s="58" t="s">
        <v>625</v>
      </c>
      <c r="G318" s="57" t="s">
        <v>276</v>
      </c>
      <c r="H318" s="39">
        <v>2</v>
      </c>
      <c r="I318" s="39">
        <v>2</v>
      </c>
      <c r="J318" s="38"/>
      <c r="K318" s="39">
        <v>189015</v>
      </c>
      <c r="L318" s="39">
        <v>94507.5</v>
      </c>
      <c r="M318" s="39">
        <v>94507.5</v>
      </c>
      <c r="N318" s="38"/>
      <c r="O318" s="39">
        <v>74441</v>
      </c>
      <c r="P318" s="39">
        <v>37220.5</v>
      </c>
      <c r="Q318" s="39">
        <v>37220.5</v>
      </c>
      <c r="R318" s="38"/>
      <c r="S318" s="39">
        <v>263456</v>
      </c>
      <c r="T318" s="39">
        <v>131728</v>
      </c>
      <c r="U318" s="39">
        <v>131728</v>
      </c>
      <c r="W318" s="29">
        <f>INDEX(SurtaxPayment!$C$6:$U$330,MATCH(PriorYear!$C318,SurtaxPayment!$C$6:$C$330,0),6)+INDEX(SurtaxPayment!$C$6:$U$330,MATCH(PriorYear!$C318,SurtaxPayment!$C$6:$C$330,0),7)</f>
        <v>2</v>
      </c>
      <c r="X318" s="29">
        <f t="shared" si="8"/>
        <v>-2</v>
      </c>
      <c r="Y318" s="29">
        <f>INDEX(SurtaxPayment!$C$6:$U$330,MATCH(PriorYear!C318,SurtaxPayment!$C$6:$C$330,0),9)</f>
        <v>126613.88</v>
      </c>
      <c r="Z318" s="66">
        <f t="shared" si="9"/>
        <v>-0.33013845462000369</v>
      </c>
    </row>
    <row r="319" spans="1:26" x14ac:dyDescent="0.25">
      <c r="A319" s="52">
        <v>2023</v>
      </c>
      <c r="B319" s="52" t="s">
        <v>660</v>
      </c>
      <c r="C319" s="57" t="s">
        <v>626</v>
      </c>
      <c r="D319" s="58" t="s">
        <v>693</v>
      </c>
      <c r="E319" s="58" t="s">
        <v>693</v>
      </c>
      <c r="F319" s="58" t="s">
        <v>626</v>
      </c>
      <c r="G319" s="57" t="s">
        <v>277</v>
      </c>
      <c r="H319" s="39">
        <v>0</v>
      </c>
      <c r="I319" s="39">
        <v>10</v>
      </c>
      <c r="J319" s="38"/>
      <c r="K319" s="39">
        <v>419753.25</v>
      </c>
      <c r="L319" s="39">
        <v>0</v>
      </c>
      <c r="M319" s="39">
        <v>419753.25</v>
      </c>
      <c r="N319" s="38"/>
      <c r="O319" s="39">
        <v>184258.75</v>
      </c>
      <c r="P319" s="39">
        <v>0</v>
      </c>
      <c r="Q319" s="39">
        <v>184258.75</v>
      </c>
      <c r="R319" s="38"/>
      <c r="S319" s="39">
        <v>604012</v>
      </c>
      <c r="T319" s="39">
        <v>0</v>
      </c>
      <c r="U319" s="39">
        <v>604012</v>
      </c>
      <c r="W319" s="29">
        <f>INDEX(SurtaxPayment!$C$6:$U$330,MATCH(PriorYear!$C319,SurtaxPayment!$C$6:$C$330,0),6)+INDEX(SurtaxPayment!$C$6:$U$330,MATCH(PriorYear!$C319,SurtaxPayment!$C$6:$C$330,0),7)</f>
        <v>7</v>
      </c>
      <c r="X319" s="29">
        <f t="shared" si="8"/>
        <v>-3</v>
      </c>
      <c r="Y319" s="29">
        <f>INDEX(SurtaxPayment!$C$6:$U$330,MATCH(PriorYear!C319,SurtaxPayment!$C$6:$C$330,0),9)</f>
        <v>402446.14</v>
      </c>
      <c r="Z319" s="66">
        <f t="shared" si="9"/>
        <v>-4.1231628343556571E-2</v>
      </c>
    </row>
    <row r="320" spans="1:26" x14ac:dyDescent="0.25">
      <c r="A320" s="52">
        <v>2023</v>
      </c>
      <c r="B320" s="52" t="s">
        <v>658</v>
      </c>
      <c r="C320" s="57" t="s">
        <v>627</v>
      </c>
      <c r="D320" s="58" t="s">
        <v>693</v>
      </c>
      <c r="E320" s="58" t="s">
        <v>693</v>
      </c>
      <c r="F320" s="58" t="s">
        <v>627</v>
      </c>
      <c r="G320" s="57" t="s">
        <v>278</v>
      </c>
      <c r="H320" s="39">
        <v>0</v>
      </c>
      <c r="I320" s="39">
        <v>4</v>
      </c>
      <c r="J320" s="38"/>
      <c r="K320" s="39">
        <v>157746.75</v>
      </c>
      <c r="L320" s="39">
        <v>0</v>
      </c>
      <c r="M320" s="39">
        <v>157746.75</v>
      </c>
      <c r="N320" s="38"/>
      <c r="O320" s="39">
        <v>59783.25</v>
      </c>
      <c r="P320" s="39">
        <v>0</v>
      </c>
      <c r="Q320" s="39">
        <v>59783.25</v>
      </c>
      <c r="R320" s="38"/>
      <c r="S320" s="39">
        <v>217530</v>
      </c>
      <c r="T320" s="39">
        <v>0</v>
      </c>
      <c r="U320" s="39">
        <v>217530</v>
      </c>
      <c r="W320" s="29">
        <f>INDEX(SurtaxPayment!$C$6:$U$330,MATCH(PriorYear!$C320,SurtaxPayment!$C$6:$C$330,0),6)+INDEX(SurtaxPayment!$C$6:$U$330,MATCH(PriorYear!$C320,SurtaxPayment!$C$6:$C$330,0),7)</f>
        <v>6</v>
      </c>
      <c r="X320" s="29">
        <f t="shared" si="8"/>
        <v>2</v>
      </c>
      <c r="Y320" s="29">
        <f>INDEX(SurtaxPayment!$C$6:$U$330,MATCH(PriorYear!C320,SurtaxPayment!$C$6:$C$330,0),9)</f>
        <v>296709.45</v>
      </c>
      <c r="Z320" s="66">
        <f t="shared" si="9"/>
        <v>0.8809227448426038</v>
      </c>
    </row>
    <row r="321" spans="1:26" x14ac:dyDescent="0.25">
      <c r="A321" s="52">
        <v>2023</v>
      </c>
      <c r="B321" s="52" t="s">
        <v>660</v>
      </c>
      <c r="C321" s="57" t="s">
        <v>628</v>
      </c>
      <c r="D321" s="58" t="s">
        <v>693</v>
      </c>
      <c r="E321" s="58" t="s">
        <v>693</v>
      </c>
      <c r="F321" s="58" t="s">
        <v>628</v>
      </c>
      <c r="G321" s="57" t="s">
        <v>279</v>
      </c>
      <c r="H321" s="39">
        <v>2</v>
      </c>
      <c r="I321" s="39">
        <v>2</v>
      </c>
      <c r="J321" s="38"/>
      <c r="K321" s="39">
        <v>107726.25</v>
      </c>
      <c r="L321" s="39">
        <v>53863.13</v>
      </c>
      <c r="M321" s="39">
        <v>53863.12</v>
      </c>
      <c r="N321" s="38"/>
      <c r="O321" s="39">
        <v>39458.75</v>
      </c>
      <c r="P321" s="39">
        <v>19729.38</v>
      </c>
      <c r="Q321" s="39">
        <v>19729.37</v>
      </c>
      <c r="R321" s="38"/>
      <c r="S321" s="39">
        <v>147185</v>
      </c>
      <c r="T321" s="39">
        <v>73592.509999999995</v>
      </c>
      <c r="U321" s="39">
        <v>73592.490000000005</v>
      </c>
      <c r="W321" s="29">
        <f>INDEX(SurtaxPayment!$C$6:$U$330,MATCH(PriorYear!$C321,SurtaxPayment!$C$6:$C$330,0),6)+INDEX(SurtaxPayment!$C$6:$U$330,MATCH(PriorYear!$C321,SurtaxPayment!$C$6:$C$330,0),7)</f>
        <v>4</v>
      </c>
      <c r="X321" s="29">
        <f t="shared" si="8"/>
        <v>0</v>
      </c>
      <c r="Y321" s="29">
        <f>INDEX(SurtaxPayment!$C$6:$U$330,MATCH(PriorYear!C321,SurtaxPayment!$C$6:$C$330,0),9)</f>
        <v>130108.37</v>
      </c>
      <c r="Z321" s="66">
        <f t="shared" si="9"/>
        <v>0.20776848725357092</v>
      </c>
    </row>
    <row r="322" spans="1:26" x14ac:dyDescent="0.25">
      <c r="A322" s="52">
        <v>2023</v>
      </c>
      <c r="B322" s="52" t="s">
        <v>660</v>
      </c>
      <c r="C322" s="57" t="s">
        <v>629</v>
      </c>
      <c r="D322" s="58" t="s">
        <v>693</v>
      </c>
      <c r="E322" s="58" t="s">
        <v>693</v>
      </c>
      <c r="F322" s="58" t="s">
        <v>629</v>
      </c>
      <c r="G322" s="57" t="s">
        <v>280</v>
      </c>
      <c r="H322" s="39">
        <v>0</v>
      </c>
      <c r="I322" s="39">
        <v>7</v>
      </c>
      <c r="J322" s="38"/>
      <c r="K322" s="39">
        <v>225165</v>
      </c>
      <c r="L322" s="39">
        <v>0</v>
      </c>
      <c r="M322" s="39">
        <v>225165</v>
      </c>
      <c r="N322" s="38"/>
      <c r="O322" s="39">
        <v>80426</v>
      </c>
      <c r="P322" s="39">
        <v>0</v>
      </c>
      <c r="Q322" s="39">
        <v>80426</v>
      </c>
      <c r="R322" s="38"/>
      <c r="S322" s="39">
        <v>305591</v>
      </c>
      <c r="T322" s="39">
        <v>0</v>
      </c>
      <c r="U322" s="39">
        <v>305591</v>
      </c>
      <c r="W322" s="29">
        <f>INDEX(SurtaxPayment!$C$6:$U$330,MATCH(PriorYear!$C322,SurtaxPayment!$C$6:$C$330,0),6)+INDEX(SurtaxPayment!$C$6:$U$330,MATCH(PriorYear!$C322,SurtaxPayment!$C$6:$C$330,0),7)</f>
        <v>1</v>
      </c>
      <c r="X322" s="29">
        <f t="shared" si="8"/>
        <v>-6</v>
      </c>
      <c r="Y322" s="29">
        <f>INDEX(SurtaxPayment!$C$6:$U$330,MATCH(PriorYear!C322,SurtaxPayment!$C$6:$C$330,0),9)</f>
        <v>43724.83</v>
      </c>
      <c r="Z322" s="66">
        <f t="shared" si="9"/>
        <v>-0.80580982834810022</v>
      </c>
    </row>
    <row r="323" spans="1:26" x14ac:dyDescent="0.25">
      <c r="A323" s="52">
        <v>2023</v>
      </c>
      <c r="B323" s="52" t="s">
        <v>665</v>
      </c>
      <c r="C323" s="57" t="s">
        <v>623</v>
      </c>
      <c r="D323" s="58" t="s">
        <v>693</v>
      </c>
      <c r="E323" s="58" t="s">
        <v>693</v>
      </c>
      <c r="F323" s="58" t="s">
        <v>623</v>
      </c>
      <c r="G323" s="57" t="s">
        <v>644</v>
      </c>
      <c r="H323" s="39">
        <v>0</v>
      </c>
      <c r="I323" s="39">
        <v>6</v>
      </c>
      <c r="J323" s="38"/>
      <c r="K323" s="39">
        <v>1389714</v>
      </c>
      <c r="L323" s="39">
        <v>0</v>
      </c>
      <c r="M323" s="39">
        <v>1389714</v>
      </c>
      <c r="N323" s="38"/>
      <c r="O323" s="39">
        <v>561079</v>
      </c>
      <c r="P323" s="39">
        <v>0</v>
      </c>
      <c r="Q323" s="39">
        <v>561079</v>
      </c>
      <c r="R323" s="38"/>
      <c r="S323" s="39">
        <v>1950793</v>
      </c>
      <c r="T323" s="39">
        <v>0</v>
      </c>
      <c r="U323" s="39">
        <v>1950793</v>
      </c>
      <c r="W323" s="29">
        <f>INDEX(SurtaxPayment!$C$6:$U$330,MATCH(PriorYear!$C323,SurtaxPayment!$C$6:$C$330,0),6)+INDEX(SurtaxPayment!$C$6:$U$330,MATCH(PriorYear!$C323,SurtaxPayment!$C$6:$C$330,0),7)</f>
        <v>6</v>
      </c>
      <c r="X323" s="29">
        <f t="shared" si="8"/>
        <v>0</v>
      </c>
      <c r="Y323" s="29">
        <f>INDEX(SurtaxPayment!$C$6:$U$330,MATCH(PriorYear!C323,SurtaxPayment!$C$6:$C$330,0),9)</f>
        <v>1897285.09</v>
      </c>
      <c r="Z323" s="66">
        <f t="shared" si="9"/>
        <v>0.36523420646262472</v>
      </c>
    </row>
    <row r="324" spans="1:26" x14ac:dyDescent="0.25">
      <c r="A324" s="52">
        <v>2023</v>
      </c>
      <c r="B324" s="52" t="s">
        <v>660</v>
      </c>
      <c r="C324" s="57" t="s">
        <v>630</v>
      </c>
      <c r="D324" s="58" t="s">
        <v>693</v>
      </c>
      <c r="E324" s="58" t="s">
        <v>693</v>
      </c>
      <c r="F324" s="58" t="s">
        <v>630</v>
      </c>
      <c r="G324" s="57" t="s">
        <v>282</v>
      </c>
      <c r="H324" s="39">
        <v>1</v>
      </c>
      <c r="I324" s="39">
        <v>3</v>
      </c>
      <c r="J324" s="38"/>
      <c r="K324" s="39">
        <v>109673.25</v>
      </c>
      <c r="L324" s="39">
        <v>27418.31</v>
      </c>
      <c r="M324" s="39">
        <v>82254.94</v>
      </c>
      <c r="N324" s="38"/>
      <c r="O324" s="39">
        <v>47066.75</v>
      </c>
      <c r="P324" s="39">
        <v>11766.69</v>
      </c>
      <c r="Q324" s="39">
        <v>35300.06</v>
      </c>
      <c r="R324" s="38"/>
      <c r="S324" s="39">
        <v>156740</v>
      </c>
      <c r="T324" s="39">
        <v>39185</v>
      </c>
      <c r="U324" s="39">
        <v>117555</v>
      </c>
      <c r="W324" s="29">
        <f>INDEX(SurtaxPayment!$C$6:$U$330,MATCH(PriorYear!$C324,SurtaxPayment!$C$6:$C$330,0),6)+INDEX(SurtaxPayment!$C$6:$U$330,MATCH(PriorYear!$C324,SurtaxPayment!$C$6:$C$330,0),7)</f>
        <v>4</v>
      </c>
      <c r="X324" s="29">
        <f t="shared" si="8"/>
        <v>0</v>
      </c>
      <c r="Y324" s="29">
        <f>INDEX(SurtaxPayment!$C$6:$U$330,MATCH(PriorYear!C324,SurtaxPayment!$C$6:$C$330,0),9)</f>
        <v>131554.12</v>
      </c>
      <c r="Z324" s="66">
        <f t="shared" si="9"/>
        <v>0.19950963430006857</v>
      </c>
    </row>
    <row r="325" spans="1:26" x14ac:dyDescent="0.25">
      <c r="A325" s="52">
        <v>2023</v>
      </c>
      <c r="B325" s="52" t="s">
        <v>660</v>
      </c>
      <c r="C325" s="57" t="s">
        <v>631</v>
      </c>
      <c r="D325" s="58" t="s">
        <v>693</v>
      </c>
      <c r="E325" s="58" t="s">
        <v>693</v>
      </c>
      <c r="F325" s="58" t="s">
        <v>631</v>
      </c>
      <c r="G325" s="57" t="s">
        <v>283</v>
      </c>
      <c r="H325" s="39">
        <v>0</v>
      </c>
      <c r="I325" s="39">
        <v>5</v>
      </c>
      <c r="J325" s="38"/>
      <c r="K325" s="39">
        <v>41866.5</v>
      </c>
      <c r="L325" s="39">
        <v>0</v>
      </c>
      <c r="M325" s="39">
        <v>41866.5</v>
      </c>
      <c r="N325" s="38"/>
      <c r="O325" s="39">
        <v>15754.5</v>
      </c>
      <c r="P325" s="39">
        <v>0</v>
      </c>
      <c r="Q325" s="39">
        <v>15754.5</v>
      </c>
      <c r="R325" s="38"/>
      <c r="S325" s="39">
        <v>57621</v>
      </c>
      <c r="T325" s="39">
        <v>0</v>
      </c>
      <c r="U325" s="39">
        <v>57621</v>
      </c>
      <c r="W325" s="29">
        <f>INDEX(SurtaxPayment!$C$6:$U$330,MATCH(PriorYear!$C325,SurtaxPayment!$C$6:$C$330,0),6)+INDEX(SurtaxPayment!$C$6:$U$330,MATCH(PriorYear!$C325,SurtaxPayment!$C$6:$C$330,0),7)</f>
        <v>5</v>
      </c>
      <c r="X325" s="29">
        <f t="shared" si="8"/>
        <v>0</v>
      </c>
      <c r="Y325" s="29">
        <f>INDEX(SurtaxPayment!$C$6:$U$330,MATCH(PriorYear!C325,SurtaxPayment!$C$6:$C$330,0),9)</f>
        <v>54014.36</v>
      </c>
      <c r="Z325" s="66">
        <f t="shared" si="9"/>
        <v>0.29015704680353027</v>
      </c>
    </row>
    <row r="326" spans="1:26" x14ac:dyDescent="0.25">
      <c r="A326" s="52">
        <v>2023</v>
      </c>
      <c r="B326" s="52" t="s">
        <v>663</v>
      </c>
      <c r="C326" s="57" t="s">
        <v>632</v>
      </c>
      <c r="D326" s="58" t="s">
        <v>693</v>
      </c>
      <c r="E326" s="58" t="s">
        <v>693</v>
      </c>
      <c r="F326" s="58" t="s">
        <v>632</v>
      </c>
      <c r="G326" s="57" t="s">
        <v>284</v>
      </c>
      <c r="H326" s="39">
        <v>0</v>
      </c>
      <c r="I326" s="39">
        <v>7</v>
      </c>
      <c r="J326" s="38"/>
      <c r="K326" s="39">
        <v>453495.75</v>
      </c>
      <c r="L326" s="39">
        <v>0</v>
      </c>
      <c r="M326" s="39">
        <v>453495.75</v>
      </c>
      <c r="N326" s="38"/>
      <c r="O326" s="39">
        <v>205765.25</v>
      </c>
      <c r="P326" s="39">
        <v>0</v>
      </c>
      <c r="Q326" s="39">
        <v>205765.25</v>
      </c>
      <c r="R326" s="38"/>
      <c r="S326" s="39">
        <v>659261</v>
      </c>
      <c r="T326" s="39">
        <v>0</v>
      </c>
      <c r="U326" s="39">
        <v>659261</v>
      </c>
      <c r="W326" s="29">
        <f>INDEX(SurtaxPayment!$C$6:$U$330,MATCH(PriorYear!$C326,SurtaxPayment!$C$6:$C$330,0),6)+INDEX(SurtaxPayment!$C$6:$U$330,MATCH(PriorYear!$C326,SurtaxPayment!$C$6:$C$330,0),7)</f>
        <v>7</v>
      </c>
      <c r="X326" s="29">
        <f t="shared" si="8"/>
        <v>0</v>
      </c>
      <c r="Y326" s="29">
        <f>INDEX(SurtaxPayment!$C$6:$U$330,MATCH(PriorYear!C326,SurtaxPayment!$C$6:$C$330,0),9)</f>
        <v>630071.73</v>
      </c>
      <c r="Z326" s="66">
        <f t="shared" si="9"/>
        <v>0.38936633915532831</v>
      </c>
    </row>
    <row r="327" spans="1:26" x14ac:dyDescent="0.25">
      <c r="A327" s="52">
        <v>2023</v>
      </c>
      <c r="B327" s="52" t="s">
        <v>666</v>
      </c>
      <c r="C327" s="57" t="s">
        <v>633</v>
      </c>
      <c r="D327" s="58" t="s">
        <v>693</v>
      </c>
      <c r="E327" s="58" t="s">
        <v>693</v>
      </c>
      <c r="F327" s="58" t="s">
        <v>633</v>
      </c>
      <c r="G327" s="57" t="s">
        <v>285</v>
      </c>
      <c r="H327" s="39">
        <v>0</v>
      </c>
      <c r="I327" s="39">
        <v>2</v>
      </c>
      <c r="J327" s="38"/>
      <c r="K327" s="39">
        <v>81621</v>
      </c>
      <c r="L327" s="39">
        <v>0</v>
      </c>
      <c r="M327" s="39">
        <v>81621</v>
      </c>
      <c r="N327" s="38"/>
      <c r="O327" s="39">
        <v>30172</v>
      </c>
      <c r="P327" s="39">
        <v>0</v>
      </c>
      <c r="Q327" s="39">
        <v>30172</v>
      </c>
      <c r="R327" s="38"/>
      <c r="S327" s="39">
        <v>111793</v>
      </c>
      <c r="T327" s="39">
        <v>0</v>
      </c>
      <c r="U327" s="39">
        <v>111793</v>
      </c>
      <c r="W327" s="29">
        <f>INDEX(SurtaxPayment!$C$6:$U$330,MATCH(PriorYear!$C327,SurtaxPayment!$C$6:$C$330,0),6)+INDEX(SurtaxPayment!$C$6:$U$330,MATCH(PriorYear!$C327,SurtaxPayment!$C$6:$C$330,0),7)</f>
        <v>4</v>
      </c>
      <c r="X327" s="29">
        <f t="shared" ref="X327:X332" si="10">W327-SUM(H327:I327)</f>
        <v>2</v>
      </c>
      <c r="Y327" s="29">
        <f>INDEX(SurtaxPayment!$C$6:$U$330,MATCH(PriorYear!C327,SurtaxPayment!$C$6:$C$330,0),9)</f>
        <v>200816.66</v>
      </c>
      <c r="Z327" s="66">
        <f t="shared" ref="Z327:Z332" si="11">IFERROR((Y327-K327)/K327,0)</f>
        <v>1.4603553007191776</v>
      </c>
    </row>
    <row r="328" spans="1:26" x14ac:dyDescent="0.25">
      <c r="A328" s="52">
        <v>2023</v>
      </c>
      <c r="B328" s="52" t="s">
        <v>662</v>
      </c>
      <c r="C328" s="57" t="s">
        <v>634</v>
      </c>
      <c r="D328" s="58" t="s">
        <v>693</v>
      </c>
      <c r="E328" s="58" t="s">
        <v>693</v>
      </c>
      <c r="F328" s="58" t="s">
        <v>634</v>
      </c>
      <c r="G328" s="57" t="s">
        <v>286</v>
      </c>
      <c r="H328" s="39">
        <v>0</v>
      </c>
      <c r="I328" s="39">
        <v>3</v>
      </c>
      <c r="J328" s="38"/>
      <c r="K328" s="39">
        <v>34644.75</v>
      </c>
      <c r="L328" s="39">
        <v>0</v>
      </c>
      <c r="M328" s="39">
        <v>34644.75</v>
      </c>
      <c r="N328" s="38"/>
      <c r="O328" s="39">
        <v>13563.25</v>
      </c>
      <c r="P328" s="39">
        <v>0</v>
      </c>
      <c r="Q328" s="39">
        <v>13563.25</v>
      </c>
      <c r="R328" s="38"/>
      <c r="S328" s="39">
        <v>48208</v>
      </c>
      <c r="T328" s="39">
        <v>0</v>
      </c>
      <c r="U328" s="39">
        <v>48208</v>
      </c>
      <c r="W328" s="29">
        <f>INDEX(SurtaxPayment!$C$6:$U$330,MATCH(PriorYear!$C328,SurtaxPayment!$C$6:$C$330,0),6)+INDEX(SurtaxPayment!$C$6:$U$330,MATCH(PriorYear!$C328,SurtaxPayment!$C$6:$C$330,0),7)</f>
        <v>6</v>
      </c>
      <c r="X328" s="29">
        <f t="shared" si="10"/>
        <v>3</v>
      </c>
      <c r="Y328" s="29">
        <f>INDEX(SurtaxPayment!$C$6:$U$330,MATCH(PriorYear!C328,SurtaxPayment!$C$6:$C$330,0),9)</f>
        <v>86228.800000000003</v>
      </c>
      <c r="Z328" s="66">
        <f t="shared" si="11"/>
        <v>1.4889427691064303</v>
      </c>
    </row>
    <row r="329" spans="1:26" x14ac:dyDescent="0.25">
      <c r="A329" s="52">
        <v>2023</v>
      </c>
      <c r="B329" s="52" t="s">
        <v>657</v>
      </c>
      <c r="C329" s="57" t="s">
        <v>635</v>
      </c>
      <c r="D329" s="58" t="s">
        <v>693</v>
      </c>
      <c r="E329" s="58" t="s">
        <v>693</v>
      </c>
      <c r="F329" s="58" t="s">
        <v>635</v>
      </c>
      <c r="G329" s="57" t="s">
        <v>287</v>
      </c>
      <c r="H329" s="39">
        <v>0</v>
      </c>
      <c r="I329" s="39">
        <v>4</v>
      </c>
      <c r="J329" s="38"/>
      <c r="K329" s="39">
        <v>379731</v>
      </c>
      <c r="L329" s="39">
        <v>0</v>
      </c>
      <c r="M329" s="39">
        <v>379731</v>
      </c>
      <c r="N329" s="38"/>
      <c r="O329" s="39">
        <v>161540</v>
      </c>
      <c r="P329" s="39">
        <v>0</v>
      </c>
      <c r="Q329" s="39">
        <v>161540</v>
      </c>
      <c r="R329" s="38"/>
      <c r="S329" s="39">
        <v>541271</v>
      </c>
      <c r="T329" s="39">
        <v>0</v>
      </c>
      <c r="U329" s="39">
        <v>541271</v>
      </c>
      <c r="W329" s="29">
        <f>INDEX(SurtaxPayment!$C$6:$U$330,MATCH(PriorYear!$C329,SurtaxPayment!$C$6:$C$330,0),6)+INDEX(SurtaxPayment!$C$6:$U$330,MATCH(PriorYear!$C329,SurtaxPayment!$C$6:$C$330,0),7)</f>
        <v>4</v>
      </c>
      <c r="X329" s="29">
        <f t="shared" si="10"/>
        <v>0</v>
      </c>
      <c r="Y329" s="29">
        <f>INDEX(SurtaxPayment!$C$6:$U$330,MATCH(PriorYear!C329,SurtaxPayment!$C$6:$C$330,0),9)</f>
        <v>525305.92000000004</v>
      </c>
      <c r="Z329" s="66">
        <f t="shared" si="11"/>
        <v>0.38336327558192523</v>
      </c>
    </row>
    <row r="330" spans="1:26" x14ac:dyDescent="0.25">
      <c r="A330" s="52">
        <v>2023</v>
      </c>
      <c r="B330" s="52" t="s">
        <v>659</v>
      </c>
      <c r="C330" s="57" t="s">
        <v>636</v>
      </c>
      <c r="D330" s="58" t="s">
        <v>693</v>
      </c>
      <c r="E330" s="58" t="s">
        <v>693</v>
      </c>
      <c r="F330" s="58" t="s">
        <v>636</v>
      </c>
      <c r="G330" s="57" t="s">
        <v>288</v>
      </c>
      <c r="H330" s="39">
        <v>5</v>
      </c>
      <c r="I330" s="39">
        <v>9</v>
      </c>
      <c r="J330" s="38"/>
      <c r="K330" s="39">
        <v>238833.75</v>
      </c>
      <c r="L330" s="39">
        <v>85297.77</v>
      </c>
      <c r="M330" s="39">
        <v>153535.97999999998</v>
      </c>
      <c r="N330" s="38"/>
      <c r="O330" s="39">
        <v>100583.25</v>
      </c>
      <c r="P330" s="39">
        <v>35922.589999999997</v>
      </c>
      <c r="Q330" s="39">
        <v>64660.66</v>
      </c>
      <c r="R330" s="38"/>
      <c r="S330" s="39">
        <v>339417</v>
      </c>
      <c r="T330" s="39">
        <v>121220.36</v>
      </c>
      <c r="U330" s="39">
        <v>218196.63999999998</v>
      </c>
      <c r="W330" s="29">
        <f>INDEX(SurtaxPayment!$C$6:$U$330,MATCH(PriorYear!$C330,SurtaxPayment!$C$6:$C$330,0),6)+INDEX(SurtaxPayment!$C$6:$U$330,MATCH(PriorYear!$C330,SurtaxPayment!$C$6:$C$330,0),7)</f>
        <v>14</v>
      </c>
      <c r="X330" s="29">
        <f t="shared" si="10"/>
        <v>0</v>
      </c>
      <c r="Y330" s="29">
        <f>INDEX(SurtaxPayment!$C$6:$U$330,MATCH(PriorYear!C330,SurtaxPayment!$C$6:$C$330,0),9)</f>
        <v>268720.71999999997</v>
      </c>
      <c r="Z330" s="66">
        <f t="shared" si="11"/>
        <v>0.12513712990730988</v>
      </c>
    </row>
    <row r="331" spans="1:26" x14ac:dyDescent="0.25">
      <c r="A331" s="52">
        <v>2023</v>
      </c>
      <c r="B331" s="52" t="s">
        <v>660</v>
      </c>
      <c r="C331" s="57" t="s">
        <v>637</v>
      </c>
      <c r="D331" s="58" t="s">
        <v>693</v>
      </c>
      <c r="E331" s="58" t="s">
        <v>693</v>
      </c>
      <c r="F331" s="58" t="s">
        <v>637</v>
      </c>
      <c r="G331" s="57" t="s">
        <v>289</v>
      </c>
      <c r="H331" s="39">
        <v>3</v>
      </c>
      <c r="I331" s="39">
        <v>3</v>
      </c>
      <c r="J331" s="38"/>
      <c r="K331" s="39">
        <v>179180.25</v>
      </c>
      <c r="L331" s="39">
        <v>89590.13</v>
      </c>
      <c r="M331" s="39">
        <v>89590.12</v>
      </c>
      <c r="N331" s="38"/>
      <c r="O331" s="39">
        <v>67834.75</v>
      </c>
      <c r="P331" s="39">
        <v>33917.379999999997</v>
      </c>
      <c r="Q331" s="39">
        <v>33917.370000000003</v>
      </c>
      <c r="R331" s="38"/>
      <c r="S331" s="39">
        <v>247015</v>
      </c>
      <c r="T331" s="39">
        <v>123507.51000000001</v>
      </c>
      <c r="U331" s="39">
        <v>123507.48999999999</v>
      </c>
      <c r="W331" s="29">
        <f>INDEX(SurtaxPayment!$C$6:$U$330,MATCH(PriorYear!$C331,SurtaxPayment!$C$6:$C$330,0),6)+INDEX(SurtaxPayment!$C$6:$U$330,MATCH(PriorYear!$C331,SurtaxPayment!$C$6:$C$330,0),7)</f>
        <v>4</v>
      </c>
      <c r="X331" s="29">
        <f t="shared" si="10"/>
        <v>-2</v>
      </c>
      <c r="Y331" s="29">
        <f>INDEX(SurtaxPayment!$C$6:$U$330,MATCH(PriorYear!C331,SurtaxPayment!$C$6:$C$330,0),9)</f>
        <v>167745.54</v>
      </c>
      <c r="Z331" s="66">
        <f t="shared" si="11"/>
        <v>-6.3816799005470701E-2</v>
      </c>
    </row>
    <row r="332" spans="1:26" x14ac:dyDescent="0.25">
      <c r="A332" s="52">
        <v>2023</v>
      </c>
      <c r="B332" s="52" t="s">
        <v>657</v>
      </c>
      <c r="C332" s="57" t="s">
        <v>638</v>
      </c>
      <c r="D332" s="58" t="s">
        <v>693</v>
      </c>
      <c r="E332" s="58" t="s">
        <v>693</v>
      </c>
      <c r="F332" s="58" t="s">
        <v>638</v>
      </c>
      <c r="G332" s="57" t="s">
        <v>290</v>
      </c>
      <c r="H332" s="39">
        <v>0</v>
      </c>
      <c r="I332" s="39">
        <v>1</v>
      </c>
      <c r="J332" s="38"/>
      <c r="K332" s="39">
        <v>66767.25</v>
      </c>
      <c r="L332" s="39">
        <v>0</v>
      </c>
      <c r="M332" s="39">
        <v>66767.25</v>
      </c>
      <c r="N332" s="38"/>
      <c r="O332" s="39">
        <v>27262.75</v>
      </c>
      <c r="P332" s="39">
        <v>0</v>
      </c>
      <c r="Q332" s="39">
        <v>27262.75</v>
      </c>
      <c r="R332" s="38"/>
      <c r="S332" s="39">
        <v>94030</v>
      </c>
      <c r="T332" s="39">
        <v>0</v>
      </c>
      <c r="U332" s="39">
        <v>94030</v>
      </c>
      <c r="W332" s="29">
        <f>INDEX(SurtaxPayment!$C$6:$U$330,MATCH(PriorYear!$C332,SurtaxPayment!$C$6:$C$330,0),6)+INDEX(SurtaxPayment!$C$6:$U$330,MATCH(PriorYear!$C332,SurtaxPayment!$C$6:$C$330,0),7)</f>
        <v>1</v>
      </c>
      <c r="X332" s="29">
        <f t="shared" si="10"/>
        <v>0</v>
      </c>
      <c r="Y332" s="29">
        <f>INDEX(SurtaxPayment!$C$6:$U$330,MATCH(PriorYear!C332,SurtaxPayment!$C$6:$C$330,0),9)</f>
        <v>96351.15</v>
      </c>
      <c r="Z332" s="66">
        <f t="shared" si="11"/>
        <v>0.44308998798063415</v>
      </c>
    </row>
    <row r="333" spans="1:26" ht="15.75" thickBot="1" x14ac:dyDescent="0.3">
      <c r="K333" s="43">
        <v>85798620</v>
      </c>
      <c r="L333" s="43">
        <v>9605460.6200000048</v>
      </c>
      <c r="M333" s="43">
        <v>76193159.379999995</v>
      </c>
      <c r="O333" s="43">
        <v>35633008</v>
      </c>
      <c r="P333" s="43">
        <v>3834930.5999999978</v>
      </c>
      <c r="Q333" s="43">
        <v>31798077.400000021</v>
      </c>
      <c r="S333" s="43">
        <v>121431628</v>
      </c>
      <c r="T333" s="43">
        <v>13440391.219999997</v>
      </c>
      <c r="U333" s="43">
        <v>107991236.77999994</v>
      </c>
    </row>
    <row r="334" spans="1:26" ht="15.75" hidden="1" thickBot="1" x14ac:dyDescent="0.3">
      <c r="O334" s="29"/>
      <c r="S334" s="43">
        <v>106682929</v>
      </c>
    </row>
    <row r="335" spans="1:26" ht="15.75" thickTop="1" x14ac:dyDescent="0.25"/>
    <row r="336" spans="1:26" hidden="1" x14ac:dyDescent="0.25">
      <c r="S336" s="29">
        <v>106759818.75</v>
      </c>
    </row>
    <row r="337" spans="19:19" hidden="1" x14ac:dyDescent="0.25">
      <c r="S337" s="29">
        <v>-76889.75</v>
      </c>
    </row>
    <row r="338" spans="19:19" hidden="1" x14ac:dyDescent="0.25">
      <c r="S338" s="29">
        <v>-76889.75</v>
      </c>
    </row>
  </sheetData>
  <mergeCells count="2">
    <mergeCell ref="G1:U1"/>
    <mergeCell ref="G2:U2"/>
  </mergeCells>
  <conditionalFormatting sqref="Z6:Z332">
    <cfRule type="top10" dxfId="1" priority="3" bottom="1" rank="10"/>
    <cfRule type="top10" dxfId="0" priority="4" rank="10"/>
  </conditionalFormatting>
  <printOptions horizontalCentered="1"/>
  <pageMargins left="0.25" right="0.25" top="0.25" bottom="0.75" header="0.05" footer="0.3"/>
  <pageSetup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87"/>
  <sheetViews>
    <sheetView topLeftCell="A274" workbookViewId="0">
      <selection activeCell="B3" sqref="B3:B287"/>
    </sheetView>
  </sheetViews>
  <sheetFormatPr defaultRowHeight="15" x14ac:dyDescent="0.25"/>
  <cols>
    <col min="1" max="1" width="58.42578125" bestFit="1" customWidth="1"/>
    <col min="2" max="2" width="31.85546875" style="33" bestFit="1" customWidth="1"/>
    <col min="3" max="3" width="12.140625" bestFit="1" customWidth="1"/>
    <col min="4" max="4" width="38.28515625" bestFit="1" customWidth="1"/>
    <col min="5" max="5" width="32.28515625" bestFit="1" customWidth="1"/>
    <col min="6" max="6" width="18" bestFit="1" customWidth="1"/>
    <col min="7" max="7" width="14.28515625" bestFit="1" customWidth="1"/>
    <col min="11" max="11" width="15.28515625" bestFit="1" customWidth="1"/>
    <col min="12" max="12" width="10.5703125" bestFit="1" customWidth="1"/>
  </cols>
  <sheetData>
    <row r="1" spans="1:12" x14ac:dyDescent="0.25">
      <c r="B1" s="1">
        <f>SUM(B3:B323)</f>
        <v>102235960.10000004</v>
      </c>
      <c r="K1" s="92"/>
      <c r="L1" s="42"/>
    </row>
    <row r="2" spans="1:12" x14ac:dyDescent="0.25">
      <c r="A2" s="3" t="s">
        <v>2084</v>
      </c>
      <c r="B2" s="33" t="s">
        <v>2096</v>
      </c>
      <c r="E2" s="95" t="s">
        <v>2085</v>
      </c>
      <c r="F2" t="s">
        <v>2086</v>
      </c>
      <c r="K2" s="93"/>
      <c r="L2" s="64"/>
    </row>
    <row r="3" spans="1:12" x14ac:dyDescent="0.25">
      <c r="A3" s="3" t="s">
        <v>1890</v>
      </c>
      <c r="B3" s="33">
        <v>189597.3</v>
      </c>
      <c r="D3" s="1"/>
      <c r="E3" s="97" t="str">
        <f>SUBSTITUTE(A3," - SCHOOL SURTAX PENDING","")</f>
        <v>ADAIR-CASEY</v>
      </c>
      <c r="F3" t="str">
        <f>INDEX(DistrictsMatchNametoNum!$C$2:$H$326,MATCH(E3,DistrictsMatchNametoNum!$H$2:$H$326,0),1)</f>
        <v>0018</v>
      </c>
      <c r="K3" s="4"/>
    </row>
    <row r="4" spans="1:12" x14ac:dyDescent="0.25">
      <c r="A4" s="3" t="s">
        <v>2043</v>
      </c>
      <c r="B4" s="33">
        <v>591650.63</v>
      </c>
      <c r="D4" s="1"/>
      <c r="E4" s="97" t="str">
        <f t="shared" ref="E4:E67" si="0">SUBSTITUTE(A4," - SCHOOL SURTAX PENDING","")</f>
        <v>AGWSR</v>
      </c>
      <c r="F4" t="str">
        <f>INDEX(DistrictsMatchNametoNum!$C$2:$H$326,MATCH('Dec100%_DOR PDF'!E4,DistrictsMatchNametoNum!$H$2:$H$326,0),1)</f>
        <v>0009</v>
      </c>
      <c r="K4" s="4"/>
    </row>
    <row r="5" spans="1:12" x14ac:dyDescent="0.25">
      <c r="A5" s="3" t="s">
        <v>2059</v>
      </c>
      <c r="B5" s="33">
        <v>140896.35</v>
      </c>
      <c r="D5" s="1"/>
      <c r="E5" s="97" t="str">
        <f t="shared" si="0"/>
        <v>AHSTW</v>
      </c>
      <c r="F5" t="str">
        <f>INDEX(DistrictsMatchNametoNum!$C$2:$H$326,MATCH('Dec100%_DOR PDF'!E5,DistrictsMatchNametoNum!$H$2:$H$326,0),1)</f>
        <v>0441</v>
      </c>
      <c r="K5" s="4"/>
    </row>
    <row r="6" spans="1:12" x14ac:dyDescent="0.25">
      <c r="A6" s="3" t="s">
        <v>2046</v>
      </c>
      <c r="B6" s="33">
        <v>107116.8</v>
      </c>
      <c r="C6" s="1"/>
      <c r="D6" s="1"/>
      <c r="E6" s="97" t="str">
        <f t="shared" si="0"/>
        <v>AKRON-WESTFIELD</v>
      </c>
      <c r="F6" t="str">
        <f>INDEX(DistrictsMatchNametoNum!$C$2:$H$326,MATCH('Dec100%_DOR PDF'!E6,DistrictsMatchNametoNum!$H$2:$H$326,0),1)</f>
        <v>0063</v>
      </c>
      <c r="J6" s="62"/>
      <c r="K6" s="4"/>
    </row>
    <row r="7" spans="1:12" x14ac:dyDescent="0.25">
      <c r="A7" s="3" t="s">
        <v>2040</v>
      </c>
      <c r="B7" s="33">
        <v>133163.45000000001</v>
      </c>
      <c r="C7" s="1"/>
      <c r="D7" s="1"/>
      <c r="E7" s="97" t="str">
        <f t="shared" si="0"/>
        <v>ALBIA</v>
      </c>
      <c r="F7" t="str">
        <f>INDEX(DistrictsMatchNametoNum!$C$2:$H$326,MATCH('Dec100%_DOR PDF'!E7,DistrictsMatchNametoNum!$H$2:$H$326,0),1)</f>
        <v>0081</v>
      </c>
      <c r="J7" s="62"/>
      <c r="K7" s="4"/>
    </row>
    <row r="8" spans="1:12" x14ac:dyDescent="0.25">
      <c r="A8" s="3" t="s">
        <v>2060</v>
      </c>
      <c r="B8" s="33">
        <v>149795.53</v>
      </c>
      <c r="D8" s="1"/>
      <c r="E8" s="97" t="str">
        <f t="shared" si="0"/>
        <v>ALBURNETT</v>
      </c>
      <c r="F8" t="str">
        <f>INDEX(DistrictsMatchNametoNum!$C$2:$H$326,MATCH('Dec100%_DOR PDF'!E8,DistrictsMatchNametoNum!$H$2:$H$326,0),1)</f>
        <v>0099</v>
      </c>
      <c r="K8" s="4"/>
    </row>
    <row r="9" spans="1:12" x14ac:dyDescent="0.25">
      <c r="A9" s="3" t="s">
        <v>2051</v>
      </c>
      <c r="B9" s="33">
        <v>162290.76</v>
      </c>
      <c r="D9" s="1"/>
      <c r="E9" s="97" t="str">
        <f t="shared" si="0"/>
        <v>ALDEN</v>
      </c>
      <c r="F9" t="str">
        <f>INDEX(DistrictsMatchNametoNum!$C$2:$H$326,MATCH('Dec100%_DOR PDF'!E9,DistrictsMatchNametoNum!$H$2:$H$326,0),1)</f>
        <v>0108</v>
      </c>
      <c r="K9" s="4"/>
    </row>
    <row r="10" spans="1:12" x14ac:dyDescent="0.25">
      <c r="A10" s="3" t="s">
        <v>2052</v>
      </c>
      <c r="B10" s="33">
        <v>755659.33</v>
      </c>
      <c r="D10" s="1"/>
      <c r="E10" s="97" t="str">
        <f t="shared" si="0"/>
        <v>ALGONA</v>
      </c>
      <c r="F10" t="str">
        <f>INDEX(DistrictsMatchNametoNum!$C$2:$H$326,MATCH('Dec100%_DOR PDF'!E10,DistrictsMatchNametoNum!$H$2:$H$326,0),1)</f>
        <v>0126</v>
      </c>
      <c r="K10" s="4"/>
    </row>
    <row r="11" spans="1:12" x14ac:dyDescent="0.25">
      <c r="A11" s="3" t="s">
        <v>2041</v>
      </c>
      <c r="B11" s="33">
        <v>519685.31</v>
      </c>
      <c r="C11" s="1"/>
      <c r="D11" s="1"/>
      <c r="E11" s="97" t="str">
        <f t="shared" si="0"/>
        <v>ALLAMAKEE</v>
      </c>
      <c r="F11" t="str">
        <f>INDEX(DistrictsMatchNametoNum!$C$2:$H$326,MATCH('Dec100%_DOR PDF'!E11,DistrictsMatchNametoNum!$H$2:$H$326,0),1)</f>
        <v>0135</v>
      </c>
      <c r="K11" s="4"/>
    </row>
    <row r="12" spans="1:12" x14ac:dyDescent="0.25">
      <c r="A12" s="3" t="s">
        <v>2047</v>
      </c>
      <c r="B12" s="33">
        <v>430039.02</v>
      </c>
      <c r="C12" s="1"/>
      <c r="D12" s="1"/>
      <c r="E12" s="97" t="str">
        <f t="shared" si="0"/>
        <v>ALTA-AURELIA</v>
      </c>
      <c r="F12" t="str">
        <f>INDEX(DistrictsMatchNametoNum!$C$2:$H$326,MATCH('Dec100%_DOR PDF'!E12,DistrictsMatchNametoNum!$H$2:$H$326,0),1)</f>
        <v>0171</v>
      </c>
      <c r="K12" s="4"/>
    </row>
    <row r="13" spans="1:12" x14ac:dyDescent="0.25">
      <c r="A13" s="3" t="s">
        <v>2055</v>
      </c>
      <c r="B13" s="33">
        <v>1650796.16</v>
      </c>
      <c r="C13" s="1"/>
      <c r="D13" s="1"/>
      <c r="E13" s="97" t="str">
        <f t="shared" si="0"/>
        <v>AMES</v>
      </c>
      <c r="F13" t="str">
        <f>INDEX(DistrictsMatchNametoNum!$C$2:$H$326,MATCH('Dec100%_DOR PDF'!E13,DistrictsMatchNametoNum!$H$2:$H$326,0),1)</f>
        <v>0225</v>
      </c>
      <c r="K13" s="4"/>
    </row>
    <row r="14" spans="1:12" x14ac:dyDescent="0.25">
      <c r="A14" s="3" t="s">
        <v>2039</v>
      </c>
      <c r="B14" s="33">
        <v>588603.62</v>
      </c>
      <c r="C14" s="1"/>
      <c r="D14" s="1"/>
      <c r="E14" s="97" t="str">
        <f t="shared" si="0"/>
        <v>ANAMOSA</v>
      </c>
      <c r="F14" t="str">
        <f>INDEX(DistrictsMatchNametoNum!$C$2:$H$326,MATCH('Dec100%_DOR PDF'!E14,DistrictsMatchNametoNum!$H$2:$H$326,0),1)</f>
        <v>0234</v>
      </c>
      <c r="K14" s="4"/>
    </row>
    <row r="15" spans="1:12" x14ac:dyDescent="0.25">
      <c r="A15" s="3" t="s">
        <v>2058</v>
      </c>
      <c r="B15" s="33">
        <v>29922.82</v>
      </c>
      <c r="C15" s="1"/>
      <c r="D15" s="1"/>
      <c r="E15" s="97" t="str">
        <f t="shared" si="0"/>
        <v>ANDREW</v>
      </c>
      <c r="F15" t="str">
        <f>INDEX(DistrictsMatchNametoNum!$C$2:$H$326,MATCH('Dec100%_DOR PDF'!E15,DistrictsMatchNametoNum!$H$2:$H$326,0),1)</f>
        <v>0243</v>
      </c>
      <c r="K15" s="4"/>
    </row>
    <row r="16" spans="1:12" x14ac:dyDescent="0.25">
      <c r="A16" s="3" t="s">
        <v>2053</v>
      </c>
      <c r="B16" s="33">
        <v>207601.65</v>
      </c>
      <c r="C16" s="1"/>
      <c r="D16" s="1"/>
      <c r="E16" s="97" t="str">
        <f t="shared" si="0"/>
        <v>APLINGTON-PARKERSBURG</v>
      </c>
      <c r="F16" t="str">
        <f>INDEX(DistrictsMatchNametoNum!$C$2:$H$326,MATCH('Dec100%_DOR PDF'!E16,DistrictsMatchNametoNum!$H$2:$H$326,0),1)</f>
        <v>0279</v>
      </c>
      <c r="K16" s="4"/>
    </row>
    <row r="17" spans="1:11" x14ac:dyDescent="0.25">
      <c r="A17" s="3" t="s">
        <v>2063</v>
      </c>
      <c r="B17" s="33">
        <v>91488.92</v>
      </c>
      <c r="D17" s="1"/>
      <c r="E17" s="97" t="str">
        <f t="shared" si="0"/>
        <v>AR-WE-VA</v>
      </c>
      <c r="F17" t="str">
        <f>INDEX(DistrictsMatchNametoNum!$C$2:$H$326,MATCH('Dec100%_DOR PDF'!E17,DistrictsMatchNametoNum!$H$2:$H$326,0),1)</f>
        <v>0355</v>
      </c>
      <c r="K17" s="4"/>
    </row>
    <row r="18" spans="1:11" x14ac:dyDescent="0.25">
      <c r="A18" s="3" t="s">
        <v>2045</v>
      </c>
      <c r="B18" s="33">
        <v>956280.21</v>
      </c>
      <c r="C18" s="1"/>
      <c r="D18" s="1"/>
      <c r="E18" s="97" t="str">
        <f t="shared" si="0"/>
        <v>ATLANTIC</v>
      </c>
      <c r="F18" t="str">
        <f>INDEX(DistrictsMatchNametoNum!$C$2:$H$326,MATCH('Dec100%_DOR PDF'!E18,DistrictsMatchNametoNum!$H$2:$H$326,0),1)</f>
        <v>0387</v>
      </c>
      <c r="K18" s="4"/>
    </row>
    <row r="19" spans="1:11" x14ac:dyDescent="0.25">
      <c r="A19" s="3" t="s">
        <v>2054</v>
      </c>
      <c r="B19" s="33">
        <v>281595.51</v>
      </c>
      <c r="C19" s="1"/>
      <c r="D19" s="1"/>
      <c r="E19" s="97" t="str">
        <f t="shared" si="0"/>
        <v>AUDUBON</v>
      </c>
      <c r="F19" t="str">
        <f>INDEX(DistrictsMatchNametoNum!$C$2:$H$326,MATCH('Dec100%_DOR PDF'!E19,DistrictsMatchNametoNum!$H$2:$H$326,0),1)</f>
        <v>0414</v>
      </c>
      <c r="K19" s="4"/>
    </row>
    <row r="20" spans="1:11" x14ac:dyDescent="0.25">
      <c r="A20" s="3" t="s">
        <v>2050</v>
      </c>
      <c r="B20" s="33">
        <v>269020.03000000003</v>
      </c>
      <c r="C20" s="1"/>
      <c r="D20" s="1"/>
      <c r="E20" s="97" t="str">
        <f t="shared" si="0"/>
        <v>BALLARD</v>
      </c>
      <c r="F20" t="str">
        <f>INDEX(DistrictsMatchNametoNum!$C$2:$H$326,MATCH('Dec100%_DOR PDF'!E20,DistrictsMatchNametoNum!$H$2:$H$326,0),1)</f>
        <v>0472</v>
      </c>
      <c r="K20" s="4"/>
    </row>
    <row r="21" spans="1:11" x14ac:dyDescent="0.25">
      <c r="A21" s="3" t="s">
        <v>2042</v>
      </c>
      <c r="B21" s="33">
        <v>206210.86</v>
      </c>
      <c r="C21" s="1"/>
      <c r="D21" s="1"/>
      <c r="E21" s="97" t="str">
        <f t="shared" si="0"/>
        <v>BAXTER</v>
      </c>
      <c r="F21" t="str">
        <f>INDEX(DistrictsMatchNametoNum!$C$2:$H$326,MATCH('Dec100%_DOR PDF'!E21,DistrictsMatchNametoNum!$H$2:$H$326,0),1)</f>
        <v>0513</v>
      </c>
      <c r="K21" s="4"/>
    </row>
    <row r="22" spans="1:11" x14ac:dyDescent="0.25">
      <c r="A22" s="3" t="s">
        <v>2062</v>
      </c>
      <c r="B22" s="33">
        <v>182826.04</v>
      </c>
      <c r="C22" s="1"/>
      <c r="D22" s="1"/>
      <c r="E22" s="97" t="str">
        <f t="shared" si="0"/>
        <v>BCLUW</v>
      </c>
      <c r="F22" t="str">
        <f>INDEX(DistrictsMatchNametoNum!$C$2:$H$326,MATCH('Dec100%_DOR PDF'!E22,DistrictsMatchNametoNum!$H$2:$H$326,0),1)</f>
        <v>0540</v>
      </c>
      <c r="K22" s="4"/>
    </row>
    <row r="23" spans="1:11" x14ac:dyDescent="0.25">
      <c r="A23" s="3" t="s">
        <v>2048</v>
      </c>
      <c r="B23" s="33">
        <v>181226.62</v>
      </c>
      <c r="C23" s="1"/>
      <c r="D23" s="1"/>
      <c r="E23" s="97" t="str">
        <f t="shared" si="0"/>
        <v>BEDFORD</v>
      </c>
      <c r="F23" t="str">
        <f>INDEX(DistrictsMatchNametoNum!$C$2:$H$326,MATCH('Dec100%_DOR PDF'!E23,DistrictsMatchNametoNum!$H$2:$H$326,0),1)</f>
        <v>0549</v>
      </c>
      <c r="K23" s="4"/>
    </row>
    <row r="24" spans="1:11" x14ac:dyDescent="0.25">
      <c r="A24" s="3" t="s">
        <v>2056</v>
      </c>
      <c r="B24" s="33">
        <v>66751.710000000006</v>
      </c>
      <c r="C24" s="1"/>
      <c r="D24" s="1"/>
      <c r="E24" s="97" t="str">
        <f t="shared" si="0"/>
        <v>BELLE PLAINE</v>
      </c>
      <c r="F24" t="str">
        <f>INDEX(DistrictsMatchNametoNum!$C$2:$H$326,MATCH('Dec100%_DOR PDF'!E24,DistrictsMatchNametoNum!$H$2:$H$326,0),1)</f>
        <v>0576</v>
      </c>
      <c r="K24" s="4"/>
    </row>
    <row r="25" spans="1:11" x14ac:dyDescent="0.25">
      <c r="A25" s="3" t="s">
        <v>2038</v>
      </c>
      <c r="B25" s="33">
        <v>311898.36</v>
      </c>
      <c r="C25" s="1"/>
      <c r="D25" s="1"/>
      <c r="E25" s="97" t="str">
        <f t="shared" si="0"/>
        <v>BELLEVUE</v>
      </c>
      <c r="F25" t="str">
        <f>INDEX(DistrictsMatchNametoNum!$C$2:$H$326,MATCH('Dec100%_DOR PDF'!E25,DistrictsMatchNametoNum!$H$2:$H$326,0),1)</f>
        <v>0585</v>
      </c>
      <c r="K25" s="4"/>
    </row>
    <row r="26" spans="1:11" x14ac:dyDescent="0.25">
      <c r="A26" s="3" t="s">
        <v>2057</v>
      </c>
      <c r="B26" s="33">
        <v>100468</v>
      </c>
      <c r="C26" s="1"/>
      <c r="D26" s="1"/>
      <c r="E26" s="97" t="str">
        <f t="shared" si="0"/>
        <v>BELMOND-KLEMME</v>
      </c>
      <c r="F26" t="str">
        <f>INDEX(DistrictsMatchNametoNum!$C$2:$H$326,MATCH('Dec100%_DOR PDF'!E26,DistrictsMatchNametoNum!$H$2:$H$326,0),1)</f>
        <v>0594</v>
      </c>
      <c r="K26" s="4"/>
    </row>
    <row r="27" spans="1:11" x14ac:dyDescent="0.25">
      <c r="A27" s="3" t="s">
        <v>2049</v>
      </c>
      <c r="B27" s="33">
        <v>14713.27</v>
      </c>
      <c r="C27" s="1"/>
      <c r="D27" s="1"/>
      <c r="E27" s="97" t="str">
        <f t="shared" si="0"/>
        <v>BENNETT</v>
      </c>
      <c r="F27" t="str">
        <f>INDEX(DistrictsMatchNametoNum!$C$2:$H$326,MATCH('Dec100%_DOR PDF'!E27,DistrictsMatchNametoNum!$H$2:$H$326,0),1)</f>
        <v>0603</v>
      </c>
      <c r="K27" s="4"/>
    </row>
    <row r="28" spans="1:11" x14ac:dyDescent="0.25">
      <c r="A28" s="3" t="s">
        <v>1824</v>
      </c>
      <c r="B28" s="33">
        <v>500997.41</v>
      </c>
      <c r="C28" s="1"/>
      <c r="D28" s="1"/>
      <c r="E28" s="97" t="str">
        <f t="shared" si="0"/>
        <v>BENTON</v>
      </c>
      <c r="F28" t="str">
        <f>INDEX(DistrictsMatchNametoNum!$C$2:$H$326,MATCH('Dec100%_DOR PDF'!E28,DistrictsMatchNametoNum!$H$2:$H$326,0),1)</f>
        <v>0609</v>
      </c>
      <c r="K28" s="4"/>
    </row>
    <row r="29" spans="1:11" x14ac:dyDescent="0.25">
      <c r="A29" s="3" t="s">
        <v>1788</v>
      </c>
      <c r="B29" s="33">
        <v>4736.92</v>
      </c>
      <c r="C29" s="1"/>
      <c r="D29" s="1"/>
      <c r="E29" s="97" t="str">
        <f t="shared" si="0"/>
        <v>BONDURANT-FARRAR</v>
      </c>
      <c r="F29" t="str">
        <f>INDEX(DistrictsMatchNametoNum!$C$2:$H$326,MATCH('Dec100%_DOR PDF'!E29,DistrictsMatchNametoNum!$H$2:$H$326,0),1)</f>
        <v>0720</v>
      </c>
      <c r="K29" s="4"/>
    </row>
    <row r="30" spans="1:11" x14ac:dyDescent="0.25">
      <c r="A30" s="3" t="s">
        <v>1830</v>
      </c>
      <c r="B30" s="33">
        <v>151348.14000000001</v>
      </c>
      <c r="C30" s="1"/>
      <c r="D30" s="1"/>
      <c r="E30" s="97" t="str">
        <f t="shared" si="0"/>
        <v>BOONE</v>
      </c>
      <c r="F30" t="str">
        <f>INDEX(DistrictsMatchNametoNum!$C$2:$H$326,MATCH('Dec100%_DOR PDF'!E30,DistrictsMatchNametoNum!$H$2:$H$326,0),1)</f>
        <v>0729</v>
      </c>
      <c r="K30" s="4"/>
    </row>
    <row r="31" spans="1:11" x14ac:dyDescent="0.25">
      <c r="A31" s="3" t="s">
        <v>1798</v>
      </c>
      <c r="B31" s="33">
        <v>111629.33</v>
      </c>
      <c r="C31" s="1"/>
      <c r="D31" s="1"/>
      <c r="E31" s="97" t="str">
        <f t="shared" si="0"/>
        <v>BOYDEN-HULL</v>
      </c>
      <c r="F31" t="str">
        <f>INDEX(DistrictsMatchNametoNum!$C$2:$H$326,MATCH('Dec100%_DOR PDF'!E31,DistrictsMatchNametoNum!$H$2:$H$326,0),1)</f>
        <v>0747</v>
      </c>
      <c r="K31" s="4"/>
    </row>
    <row r="32" spans="1:11" x14ac:dyDescent="0.25">
      <c r="A32" s="3" t="s">
        <v>2007</v>
      </c>
      <c r="B32" s="33">
        <v>145643.63</v>
      </c>
      <c r="C32" s="1"/>
      <c r="D32" s="1"/>
      <c r="E32" s="97" t="str">
        <f t="shared" si="0"/>
        <v>BOYER VALLEY</v>
      </c>
      <c r="F32" t="str">
        <f>INDEX(DistrictsMatchNametoNum!$C$2:$H$326,MATCH('Dec100%_DOR PDF'!E32,DistrictsMatchNametoNum!$H$2:$H$326,0),1)</f>
        <v>1917</v>
      </c>
    </row>
    <row r="33" spans="1:11" x14ac:dyDescent="0.25">
      <c r="A33" s="3" t="s">
        <v>1779</v>
      </c>
      <c r="B33" s="33">
        <v>82442.789999999994</v>
      </c>
      <c r="C33" s="1"/>
      <c r="D33" s="1"/>
      <c r="E33" s="97" t="str">
        <f t="shared" si="0"/>
        <v>BROOKLYN-GUERNSEY-MALCOM</v>
      </c>
      <c r="F33" t="str">
        <f>INDEX(DistrictsMatchNametoNum!$C$2:$H$326,MATCH('Dec100%_DOR PDF'!E33,DistrictsMatchNametoNum!$H$2:$H$326,0),1)</f>
        <v>0846</v>
      </c>
      <c r="K33" s="4"/>
    </row>
    <row r="34" spans="1:11" x14ac:dyDescent="0.25">
      <c r="A34" s="3" t="s">
        <v>1789</v>
      </c>
      <c r="B34" s="33">
        <v>131364.39000000001</v>
      </c>
      <c r="C34" s="1"/>
      <c r="D34" s="1"/>
      <c r="E34" s="97" t="str">
        <f t="shared" si="0"/>
        <v>CAL</v>
      </c>
      <c r="F34" t="str">
        <f>INDEX(DistrictsMatchNametoNum!$C$2:$H$326,MATCH('Dec100%_DOR PDF'!E34,DistrictsMatchNametoNum!$H$2:$H$326,0),1)</f>
        <v>0916</v>
      </c>
      <c r="K34" s="4"/>
    </row>
    <row r="35" spans="1:11" x14ac:dyDescent="0.25">
      <c r="A35" s="11" t="s">
        <v>2095</v>
      </c>
      <c r="B35" s="33">
        <v>146403</v>
      </c>
      <c r="C35" s="1"/>
      <c r="D35" s="1"/>
      <c r="E35" s="97" t="str">
        <f t="shared" si="0"/>
        <v>CALAMUS-WHEATLAND</v>
      </c>
      <c r="F35" t="str">
        <f>INDEX(DistrictsMatchNametoNum!$C$2:$H$326,MATCH('Dec100%_DOR PDF'!E35,DistrictsMatchNametoNum!$H$2:$H$326,0),1)</f>
        <v>0918</v>
      </c>
      <c r="K35" s="4"/>
    </row>
    <row r="36" spans="1:11" x14ac:dyDescent="0.25">
      <c r="A36" s="3" t="s">
        <v>1809</v>
      </c>
      <c r="B36" s="33">
        <v>258416.62</v>
      </c>
      <c r="C36" s="1"/>
      <c r="D36" s="1"/>
      <c r="E36" s="97" t="str">
        <f t="shared" si="0"/>
        <v>CAM</v>
      </c>
      <c r="F36" t="str">
        <f>INDEX(DistrictsMatchNametoNum!$C$2:$H$326,MATCH('Dec100%_DOR PDF'!E36,DistrictsMatchNametoNum!$H$2:$H$326,0),1)</f>
        <v>0914</v>
      </c>
      <c r="K36" s="4"/>
    </row>
    <row r="37" spans="1:11" x14ac:dyDescent="0.25">
      <c r="A37" s="3" t="s">
        <v>1814</v>
      </c>
      <c r="B37" s="33">
        <v>236387.43</v>
      </c>
      <c r="C37" s="1"/>
      <c r="D37" s="1"/>
      <c r="E37" s="97" t="str">
        <f t="shared" si="0"/>
        <v>CARDINAL</v>
      </c>
      <c r="F37" t="str">
        <f>INDEX(DistrictsMatchNametoNum!$C$2:$H$326,MATCH('Dec100%_DOR PDF'!E37,DistrictsMatchNametoNum!$H$2:$H$326,0),1)</f>
        <v>0977</v>
      </c>
      <c r="K37" s="4"/>
    </row>
    <row r="38" spans="1:11" x14ac:dyDescent="0.25">
      <c r="A38" s="3" t="s">
        <v>1825</v>
      </c>
      <c r="B38" s="33">
        <v>535364.92000000004</v>
      </c>
      <c r="C38" s="1"/>
      <c r="D38" s="1"/>
      <c r="E38" s="97" t="str">
        <f t="shared" si="0"/>
        <v>CARROLL</v>
      </c>
      <c r="F38" t="str">
        <f>INDEX(DistrictsMatchNametoNum!$C$2:$H$326,MATCH('Dec100%_DOR PDF'!E38,DistrictsMatchNametoNum!$H$2:$H$326,0),1)</f>
        <v>0999</v>
      </c>
      <c r="K38" s="4"/>
    </row>
    <row r="39" spans="1:11" x14ac:dyDescent="0.25">
      <c r="A39" s="3" t="s">
        <v>1804</v>
      </c>
      <c r="B39" s="33">
        <v>596078.9</v>
      </c>
      <c r="C39" s="1"/>
      <c r="D39" s="1"/>
      <c r="E39" s="97" t="str">
        <f t="shared" si="0"/>
        <v>CEDAR FALLS</v>
      </c>
      <c r="F39" t="str">
        <f>INDEX(DistrictsMatchNametoNum!$C$2:$H$326,MATCH('Dec100%_DOR PDF'!E39,DistrictsMatchNametoNum!$H$2:$H$326,0),1)</f>
        <v>1044</v>
      </c>
      <c r="K39" s="4"/>
    </row>
    <row r="40" spans="1:11" x14ac:dyDescent="0.25">
      <c r="A40" s="3" t="s">
        <v>1806</v>
      </c>
      <c r="B40" s="33">
        <v>8052490.5300000003</v>
      </c>
      <c r="C40" s="1"/>
      <c r="D40" s="1"/>
      <c r="E40" s="97" t="str">
        <f t="shared" si="0"/>
        <v>CEDAR RAPIDS</v>
      </c>
      <c r="F40" t="str">
        <f>INDEX(DistrictsMatchNametoNum!$C$2:$H$326,MATCH('Dec100%_DOR PDF'!E40,DistrictsMatchNametoNum!$H$2:$H$326,0),1)</f>
        <v>1053</v>
      </c>
      <c r="K40" s="4"/>
    </row>
    <row r="41" spans="1:11" x14ac:dyDescent="0.25">
      <c r="A41" s="3" t="s">
        <v>1785</v>
      </c>
      <c r="B41" s="33">
        <v>280990.03999999998</v>
      </c>
      <c r="C41" s="1"/>
      <c r="D41" s="1"/>
      <c r="E41" s="97" t="str">
        <f t="shared" si="0"/>
        <v>CENTER POINT-URBANA</v>
      </c>
      <c r="F41" t="str">
        <f>INDEX(DistrictsMatchNametoNum!$C$2:$H$326,MATCH('Dec100%_DOR PDF'!E41,DistrictsMatchNametoNum!$H$2:$H$326,0),1)</f>
        <v>1062</v>
      </c>
      <c r="K41" s="4"/>
    </row>
    <row r="42" spans="1:11" x14ac:dyDescent="0.25">
      <c r="A42" s="3" t="s">
        <v>1827</v>
      </c>
      <c r="B42" s="33">
        <v>237972.17</v>
      </c>
      <c r="D42" s="1"/>
      <c r="E42" s="97" t="str">
        <f t="shared" si="0"/>
        <v>CENTERVILLE</v>
      </c>
      <c r="F42" t="str">
        <f>INDEX(DistrictsMatchNametoNum!$C$2:$H$326,MATCH('Dec100%_DOR PDF'!E42,DistrictsMatchNametoNum!$H$2:$H$326,0),1)</f>
        <v>1071</v>
      </c>
      <c r="K42" s="4"/>
    </row>
    <row r="43" spans="1:11" x14ac:dyDescent="0.25">
      <c r="A43" s="3" t="s">
        <v>1816</v>
      </c>
      <c r="B43" s="33">
        <v>30515.5</v>
      </c>
      <c r="D43" s="1"/>
      <c r="E43" s="97" t="str">
        <f t="shared" si="0"/>
        <v>CENTRAL CLAYTON</v>
      </c>
      <c r="F43" t="str">
        <f>INDEX(DistrictsMatchNametoNum!$C$2:$H$326,MATCH('Dec100%_DOR PDF'!E43,DistrictsMatchNametoNum!$H$2:$H$326,0),1)</f>
        <v>1080</v>
      </c>
      <c r="K43" s="4"/>
    </row>
    <row r="44" spans="1:11" x14ac:dyDescent="0.25">
      <c r="A44" s="3" t="s">
        <v>1781</v>
      </c>
      <c r="B44" s="33">
        <v>779769.63</v>
      </c>
      <c r="C44" s="1"/>
      <c r="D44" s="1"/>
      <c r="E44" s="97" t="str">
        <f t="shared" si="0"/>
        <v>CENTRAL DE WITT</v>
      </c>
      <c r="F44" t="str">
        <f>INDEX(DistrictsMatchNametoNum!$C$2:$H$326,MATCH('Dec100%_DOR PDF'!E44,DistrictsMatchNametoNum!$H$2:$H$326,0),1)</f>
        <v>1082</v>
      </c>
      <c r="K44" s="4"/>
    </row>
    <row r="45" spans="1:11" x14ac:dyDescent="0.25">
      <c r="A45" s="3" t="s">
        <v>1801</v>
      </c>
      <c r="B45" s="33">
        <v>28036.51</v>
      </c>
      <c r="C45" s="1"/>
      <c r="D45" s="1"/>
      <c r="E45" s="97" t="str">
        <f t="shared" si="0"/>
        <v>CENTRAL DECATUR</v>
      </c>
      <c r="F45" t="str">
        <f>INDEX(DistrictsMatchNametoNum!$C$2:$H$326,MATCH('Dec100%_DOR PDF'!E45,DistrictsMatchNametoNum!$H$2:$H$326,0),1)</f>
        <v>1093</v>
      </c>
      <c r="K45" s="4"/>
    </row>
    <row r="46" spans="1:11" x14ac:dyDescent="0.25">
      <c r="A46" s="3" t="s">
        <v>1796</v>
      </c>
      <c r="B46" s="33">
        <v>137013.59</v>
      </c>
      <c r="C46" s="1"/>
      <c r="D46" s="1"/>
      <c r="E46" s="97" t="str">
        <f t="shared" si="0"/>
        <v>CENTRAL LEE</v>
      </c>
      <c r="F46" t="str">
        <f>INDEX(DistrictsMatchNametoNum!$C$2:$H$326,MATCH('Dec100%_DOR PDF'!E46,DistrictsMatchNametoNum!$H$2:$H$326,0),1)</f>
        <v>1079</v>
      </c>
      <c r="K46" s="4"/>
    </row>
    <row r="47" spans="1:11" x14ac:dyDescent="0.25">
      <c r="A47" s="3" t="s">
        <v>1811</v>
      </c>
      <c r="B47" s="33">
        <v>256821.59</v>
      </c>
      <c r="C47" s="1"/>
      <c r="D47" s="1"/>
      <c r="E47" s="97" t="str">
        <f t="shared" si="0"/>
        <v>CENTRAL LYON</v>
      </c>
      <c r="F47" t="str">
        <f>INDEX(DistrictsMatchNametoNum!$C$2:$H$326,MATCH('Dec100%_DOR PDF'!E47,DistrictsMatchNametoNum!$H$2:$H$326,0),1)</f>
        <v>1095</v>
      </c>
      <c r="K47" s="4"/>
    </row>
    <row r="48" spans="1:11" x14ac:dyDescent="0.25">
      <c r="A48" s="3" t="s">
        <v>1896</v>
      </c>
      <c r="B48" s="33">
        <v>349913.92</v>
      </c>
      <c r="C48" s="1"/>
      <c r="D48" s="1"/>
      <c r="E48" s="97" t="str">
        <f t="shared" si="0"/>
        <v>CENTRAL SPRINGS</v>
      </c>
      <c r="F48" t="str">
        <f>INDEX(DistrictsMatchNametoNum!$C$2:$H$326,MATCH('Dec100%_DOR PDF'!E48,DistrictsMatchNametoNum!$H$2:$H$326,0),1)</f>
        <v>4772</v>
      </c>
      <c r="K48" s="4"/>
    </row>
    <row r="49" spans="1:11" x14ac:dyDescent="0.25">
      <c r="A49" s="3" t="s">
        <v>1792</v>
      </c>
      <c r="B49" s="33">
        <v>133679.54</v>
      </c>
      <c r="C49" s="1"/>
      <c r="D49" s="1"/>
      <c r="E49" s="97" t="str">
        <f t="shared" si="0"/>
        <v>CHARITON</v>
      </c>
      <c r="F49" t="str">
        <f>INDEX(DistrictsMatchNametoNum!$C$2:$H$326,MATCH('Dec100%_DOR PDF'!E49,DistrictsMatchNametoNum!$H$2:$H$326,0),1)</f>
        <v>1107</v>
      </c>
      <c r="K49" s="4"/>
    </row>
    <row r="50" spans="1:11" x14ac:dyDescent="0.25">
      <c r="A50" s="3" t="s">
        <v>1834</v>
      </c>
      <c r="B50" s="33">
        <v>685657.35</v>
      </c>
      <c r="C50" s="1"/>
      <c r="D50" s="1"/>
      <c r="E50" s="97" t="str">
        <f t="shared" si="0"/>
        <v>CHARLES CITY</v>
      </c>
      <c r="F50" t="str">
        <f>INDEX(DistrictsMatchNametoNum!$C$2:$H$326,MATCH('Dec100%_DOR PDF'!E50,DistrictsMatchNametoNum!$H$2:$H$326,0),1)</f>
        <v>1116</v>
      </c>
      <c r="K50" s="4"/>
    </row>
    <row r="51" spans="1:11" x14ac:dyDescent="0.25">
      <c r="A51" s="3" t="s">
        <v>1793</v>
      </c>
      <c r="B51" s="33">
        <v>31007.55</v>
      </c>
      <c r="C51" s="1"/>
      <c r="D51" s="1"/>
      <c r="E51" s="97" t="str">
        <f t="shared" si="0"/>
        <v>CHARTER OAK-UTE</v>
      </c>
      <c r="F51" t="str">
        <f>INDEX(DistrictsMatchNametoNum!$C$2:$H$326,MATCH('Dec100%_DOR PDF'!E51,DistrictsMatchNametoNum!$H$2:$H$326,0),1)</f>
        <v>1134</v>
      </c>
      <c r="K51" s="4"/>
    </row>
    <row r="52" spans="1:11" x14ac:dyDescent="0.25">
      <c r="A52" s="3" t="s">
        <v>1812</v>
      </c>
      <c r="B52" s="33">
        <v>183052.42</v>
      </c>
      <c r="C52" s="1"/>
      <c r="D52" s="1"/>
      <c r="E52" s="97" t="str">
        <f t="shared" si="0"/>
        <v>CHEROKEE</v>
      </c>
      <c r="F52" t="str">
        <f>INDEX(DistrictsMatchNametoNum!$C$2:$H$326,MATCH('Dec100%_DOR PDF'!E52,DistrictsMatchNametoNum!$H$2:$H$326,0),1)</f>
        <v>1152</v>
      </c>
      <c r="K52" s="4"/>
    </row>
    <row r="53" spans="1:11" x14ac:dyDescent="0.25">
      <c r="A53" s="3" t="s">
        <v>1783</v>
      </c>
      <c r="B53" s="33">
        <v>164439.71</v>
      </c>
      <c r="C53" s="1"/>
      <c r="D53" s="1"/>
      <c r="E53" s="97" t="str">
        <f t="shared" si="0"/>
        <v>CLARINDA</v>
      </c>
      <c r="F53" t="str">
        <f>INDEX(DistrictsMatchNametoNum!$C$2:$H$326,MATCH('Dec100%_DOR PDF'!E53,DistrictsMatchNametoNum!$H$2:$H$326,0),1)</f>
        <v>1197</v>
      </c>
      <c r="K53" s="4"/>
    </row>
    <row r="54" spans="1:11" x14ac:dyDescent="0.25">
      <c r="A54" s="3" t="s">
        <v>1823</v>
      </c>
      <c r="B54" s="33">
        <v>420097.09</v>
      </c>
      <c r="C54" s="1"/>
      <c r="D54" s="1"/>
      <c r="E54" s="97" t="str">
        <f t="shared" si="0"/>
        <v>CLARION-GOLDFIELD-DOWS</v>
      </c>
      <c r="F54" t="str">
        <f>INDEX(DistrictsMatchNametoNum!$C$2:$H$326,MATCH('Dec100%_DOR PDF'!E54,DistrictsMatchNametoNum!$H$2:$H$326,0),1)</f>
        <v>1206</v>
      </c>
      <c r="K54" s="4"/>
    </row>
    <row r="55" spans="1:11" x14ac:dyDescent="0.25">
      <c r="A55" s="3" t="s">
        <v>1802</v>
      </c>
      <c r="B55" s="33">
        <v>1058377.8600000001</v>
      </c>
      <c r="C55" s="1"/>
      <c r="D55" s="1"/>
      <c r="E55" s="97" t="str">
        <f t="shared" si="0"/>
        <v>CLARKE</v>
      </c>
      <c r="F55" t="str">
        <f>INDEX(DistrictsMatchNametoNum!$C$2:$H$326,MATCH('Dec100%_DOR PDF'!E55,DistrictsMatchNametoNum!$H$2:$H$326,0),1)</f>
        <v>1211</v>
      </c>
      <c r="K55" s="4"/>
    </row>
    <row r="56" spans="1:11" x14ac:dyDescent="0.25">
      <c r="A56" s="3" t="s">
        <v>1934</v>
      </c>
      <c r="B56" s="33">
        <v>52545.47</v>
      </c>
      <c r="C56" s="1"/>
      <c r="D56" s="1"/>
      <c r="E56" s="97" t="str">
        <f t="shared" si="0"/>
        <v>CLARKSVILLE</v>
      </c>
      <c r="F56" t="str">
        <f>INDEX(DistrictsMatchNametoNum!$C$2:$H$326,MATCH('Dec100%_DOR PDF'!E56,DistrictsMatchNametoNum!$H$2:$H$326,0),1)</f>
        <v>1215</v>
      </c>
      <c r="K56" s="4"/>
    </row>
    <row r="57" spans="1:11" x14ac:dyDescent="0.25">
      <c r="A57" s="3" t="s">
        <v>1993</v>
      </c>
      <c r="B57" s="33">
        <v>22668.7</v>
      </c>
      <c r="C57" s="1"/>
      <c r="D57" s="1"/>
      <c r="E57" s="97" t="str">
        <f t="shared" si="0"/>
        <v>CLAY CENTRAL-EVERLY</v>
      </c>
      <c r="F57" t="str">
        <f>INDEX(DistrictsMatchNametoNum!$C$2:$H$326,MATCH('Dec100%_DOR PDF'!E57,DistrictsMatchNametoNum!$H$2:$H$326,0),1)</f>
        <v>1218</v>
      </c>
      <c r="K57" s="4"/>
    </row>
    <row r="58" spans="1:11" x14ac:dyDescent="0.25">
      <c r="A58" s="3" t="s">
        <v>1913</v>
      </c>
      <c r="B58" s="33">
        <v>2558264.91</v>
      </c>
      <c r="C58" s="1"/>
      <c r="D58" s="1"/>
      <c r="E58" s="97" t="str">
        <f t="shared" si="0"/>
        <v>CLEAR CREEK-AMANA</v>
      </c>
      <c r="F58" t="str">
        <f>INDEX(DistrictsMatchNametoNum!$C$2:$H$326,MATCH('Dec100%_DOR PDF'!E58,DistrictsMatchNametoNum!$H$2:$H$326,0),1)</f>
        <v>1221</v>
      </c>
      <c r="K58" s="4"/>
    </row>
    <row r="59" spans="1:11" x14ac:dyDescent="0.25">
      <c r="A59" s="3" t="s">
        <v>2018</v>
      </c>
      <c r="B59" s="33">
        <v>609122.18999999994</v>
      </c>
      <c r="C59" s="1"/>
      <c r="D59" s="1"/>
      <c r="E59" s="97" t="str">
        <f t="shared" si="0"/>
        <v>CLEAR LAKE</v>
      </c>
      <c r="F59" t="str">
        <f>INDEX(DistrictsMatchNametoNum!$C$2:$H$326,MATCH('Dec100%_DOR PDF'!E59,DistrictsMatchNametoNum!$H$2:$H$326,0),1)</f>
        <v>1233</v>
      </c>
      <c r="K59" s="4"/>
    </row>
    <row r="60" spans="1:11" x14ac:dyDescent="0.25">
      <c r="A60" s="3" t="s">
        <v>1964</v>
      </c>
      <c r="B60" s="33">
        <v>548551.63</v>
      </c>
      <c r="C60" s="1"/>
      <c r="D60" s="1"/>
      <c r="E60" s="97" t="str">
        <f t="shared" si="0"/>
        <v>CLINTON</v>
      </c>
      <c r="F60" t="str">
        <f>INDEX(DistrictsMatchNametoNum!$C$2:$H$326,MATCH('Dec100%_DOR PDF'!E60,DistrictsMatchNametoNum!$H$2:$H$326,0),1)</f>
        <v>1278</v>
      </c>
      <c r="K60" s="4"/>
    </row>
    <row r="61" spans="1:11" x14ac:dyDescent="0.25">
      <c r="A61" s="3" t="s">
        <v>1971</v>
      </c>
      <c r="B61" s="33">
        <v>92945.53</v>
      </c>
      <c r="C61" s="1"/>
      <c r="D61" s="1"/>
      <c r="E61" s="97" t="str">
        <f t="shared" si="0"/>
        <v>COLFAX-MINGO</v>
      </c>
      <c r="F61" t="str">
        <f>INDEX(DistrictsMatchNametoNum!$C$2:$H$326,MATCH('Dec100%_DOR PDF'!E61,DistrictsMatchNametoNum!$H$2:$H$326,0),1)</f>
        <v>1332</v>
      </c>
      <c r="K61" s="4"/>
    </row>
    <row r="62" spans="1:11" x14ac:dyDescent="0.25">
      <c r="A62" s="3" t="s">
        <v>2023</v>
      </c>
      <c r="B62" s="33">
        <v>142556.68</v>
      </c>
      <c r="C62" s="1"/>
      <c r="D62" s="1"/>
      <c r="E62" s="97" t="str">
        <f t="shared" si="0"/>
        <v>COLLINS-MAXWELL</v>
      </c>
      <c r="F62" t="str">
        <f>INDEX(DistrictsMatchNametoNum!$C$2:$H$326,MATCH('Dec100%_DOR PDF'!E62,DistrictsMatchNametoNum!$H$2:$H$326,0),1)</f>
        <v>1350</v>
      </c>
      <c r="K62" s="4"/>
    </row>
    <row r="63" spans="1:11" x14ac:dyDescent="0.25">
      <c r="A63" s="3" t="s">
        <v>1941</v>
      </c>
      <c r="B63" s="33">
        <v>157112.63</v>
      </c>
      <c r="C63" s="1"/>
      <c r="D63" s="1"/>
      <c r="E63" s="97" t="str">
        <f t="shared" si="0"/>
        <v>COLO-NESCO</v>
      </c>
      <c r="F63" t="str">
        <f>INDEX(DistrictsMatchNametoNum!$C$2:$H$326,MATCH('Dec100%_DOR PDF'!E63,DistrictsMatchNametoNum!$H$2:$H$326,0),1)</f>
        <v>1359</v>
      </c>
      <c r="K63" s="4"/>
    </row>
    <row r="64" spans="1:11" x14ac:dyDescent="0.25">
      <c r="A64" s="3" t="s">
        <v>1999</v>
      </c>
      <c r="B64" s="33">
        <v>336095.17</v>
      </c>
      <c r="D64" s="1"/>
      <c r="E64" s="97" t="str">
        <f t="shared" si="0"/>
        <v>COLUMBUS</v>
      </c>
      <c r="F64" t="str">
        <f>INDEX(DistrictsMatchNametoNum!$C$2:$H$326,MATCH('Dec100%_DOR PDF'!E64,DistrictsMatchNametoNum!$H$2:$H$326,0),1)</f>
        <v>1368</v>
      </c>
      <c r="K64" s="4"/>
    </row>
    <row r="65" spans="1:11" x14ac:dyDescent="0.25">
      <c r="A65" s="3" t="s">
        <v>1905</v>
      </c>
      <c r="B65" s="33">
        <v>150984.89000000001</v>
      </c>
      <c r="D65" s="1"/>
      <c r="E65" s="97" t="str">
        <f t="shared" si="0"/>
        <v>COON RAPIDS-BAYARD</v>
      </c>
      <c r="F65" t="str">
        <f>INDEX(DistrictsMatchNametoNum!$C$2:$H$326,MATCH('Dec100%_DOR PDF'!E65,DistrictsMatchNametoNum!$H$2:$H$326,0),1)</f>
        <v>1413</v>
      </c>
      <c r="K65" s="4"/>
    </row>
    <row r="66" spans="1:11" x14ac:dyDescent="0.25">
      <c r="A66" s="3" t="s">
        <v>2011</v>
      </c>
      <c r="B66" s="33">
        <v>159836.85999999999</v>
      </c>
      <c r="C66" s="1"/>
      <c r="D66" s="1"/>
      <c r="E66" s="97" t="str">
        <f t="shared" si="0"/>
        <v>CORNING</v>
      </c>
      <c r="F66" t="str">
        <f>INDEX(DistrictsMatchNametoNum!$C$2:$H$326,MATCH('Dec100%_DOR PDF'!E66,DistrictsMatchNametoNum!$H$2:$H$326,0),1)</f>
        <v>1431</v>
      </c>
      <c r="K66" s="4"/>
    </row>
    <row r="67" spans="1:11" x14ac:dyDescent="0.25">
      <c r="A67" s="3" t="s">
        <v>1985</v>
      </c>
      <c r="B67" s="33">
        <v>622412</v>
      </c>
      <c r="D67" s="1"/>
      <c r="E67" s="97" t="str">
        <f t="shared" si="0"/>
        <v>CRESTON</v>
      </c>
      <c r="F67" t="str">
        <f>INDEX(DistrictsMatchNametoNum!$C$2:$H$326,MATCH('Dec100%_DOR PDF'!E67,DistrictsMatchNametoNum!$H$2:$H$326,0),1)</f>
        <v>1503</v>
      </c>
      <c r="K67" s="4"/>
    </row>
    <row r="68" spans="1:11" x14ac:dyDescent="0.25">
      <c r="A68" s="3" t="s">
        <v>2037</v>
      </c>
      <c r="B68" s="33">
        <v>209532.57</v>
      </c>
      <c r="C68" s="1"/>
      <c r="D68" s="1"/>
      <c r="E68" s="97" t="str">
        <f t="shared" ref="E68:E131" si="1">SUBSTITUTE(A68," - SCHOOL SURTAX PENDING","")</f>
        <v>DANVILLE</v>
      </c>
      <c r="F68" t="str">
        <f>INDEX(DistrictsMatchNametoNum!$C$2:$H$326,MATCH('Dec100%_DOR PDF'!E68,DistrictsMatchNametoNum!$H$2:$H$326,0),1)</f>
        <v>1602</v>
      </c>
      <c r="K68" s="4"/>
    </row>
    <row r="69" spans="1:11" x14ac:dyDescent="0.25">
      <c r="A69" s="3" t="s">
        <v>1987</v>
      </c>
      <c r="B69" s="33">
        <v>68647.320000000007</v>
      </c>
      <c r="D69" s="1"/>
      <c r="E69" s="97" t="str">
        <f t="shared" si="1"/>
        <v>DAVIS COUNTY</v>
      </c>
      <c r="F69" t="str">
        <f>INDEX(DistrictsMatchNametoNum!$C$2:$H$326,MATCH('Dec100%_DOR PDF'!E69,DistrictsMatchNametoNum!$H$2:$H$326,0),1)</f>
        <v>1619</v>
      </c>
      <c r="K69" s="4"/>
    </row>
    <row r="70" spans="1:11" x14ac:dyDescent="0.25">
      <c r="A70" s="3" t="s">
        <v>1907</v>
      </c>
      <c r="B70" s="33">
        <v>834449.68</v>
      </c>
      <c r="D70" s="1"/>
      <c r="E70" s="97" t="str">
        <f t="shared" si="1"/>
        <v>DECORAH</v>
      </c>
      <c r="F70" t="str">
        <f>INDEX(DistrictsMatchNametoNum!$C$2:$H$326,MATCH('Dec100%_DOR PDF'!E70,DistrictsMatchNametoNum!$H$2:$H$326,0),1)</f>
        <v>1638</v>
      </c>
      <c r="K70" s="4"/>
    </row>
    <row r="71" spans="1:11" x14ac:dyDescent="0.25">
      <c r="A71" s="3" t="s">
        <v>2013</v>
      </c>
      <c r="B71" s="33">
        <v>100855.65</v>
      </c>
      <c r="D71" s="1"/>
      <c r="E71" s="97" t="str">
        <f t="shared" si="1"/>
        <v>DELWOOD</v>
      </c>
      <c r="F71" t="str">
        <f>INDEX(DistrictsMatchNametoNum!$C$2:$H$326,MATCH('Dec100%_DOR PDF'!E71,DistrictsMatchNametoNum!$H$2:$H$326,0),1)</f>
        <v>1675</v>
      </c>
      <c r="K71" s="4"/>
    </row>
    <row r="72" spans="1:11" x14ac:dyDescent="0.25">
      <c r="A72" s="3" t="s">
        <v>1958</v>
      </c>
      <c r="B72" s="33">
        <v>278598.93</v>
      </c>
      <c r="D72" s="1"/>
      <c r="E72" s="97" t="str">
        <f t="shared" si="1"/>
        <v>DENISON</v>
      </c>
      <c r="F72" t="str">
        <f>INDEX(DistrictsMatchNametoNum!$C$2:$H$326,MATCH('Dec100%_DOR PDF'!E72,DistrictsMatchNametoNum!$H$2:$H$326,0),1)</f>
        <v>1701</v>
      </c>
      <c r="K72" s="4"/>
    </row>
    <row r="73" spans="1:11" x14ac:dyDescent="0.25">
      <c r="A73" s="3" t="s">
        <v>1973</v>
      </c>
      <c r="B73" s="33">
        <v>246807.91</v>
      </c>
      <c r="C73" s="1"/>
      <c r="D73" s="1"/>
      <c r="E73" s="97" t="str">
        <f t="shared" si="1"/>
        <v>DENVER</v>
      </c>
      <c r="F73" t="str">
        <f>INDEX(DistrictsMatchNametoNum!$C$2:$H$326,MATCH('Dec100%_DOR PDF'!E73,DistrictsMatchNametoNum!$H$2:$H$326,0),1)</f>
        <v>1719</v>
      </c>
      <c r="K73" s="4"/>
    </row>
    <row r="74" spans="1:11" x14ac:dyDescent="0.25">
      <c r="A74" s="3" t="s">
        <v>2025</v>
      </c>
      <c r="B74" s="33">
        <v>32685.51</v>
      </c>
      <c r="D74" s="1"/>
      <c r="E74" s="97" t="str">
        <f t="shared" si="1"/>
        <v>DIAGONAL</v>
      </c>
      <c r="F74" t="str">
        <f>INDEX(DistrictsMatchNametoNum!$C$2:$H$326,MATCH('Dec100%_DOR PDF'!E74,DistrictsMatchNametoNum!$H$2:$H$326,0),1)</f>
        <v>1782</v>
      </c>
      <c r="K74" s="4"/>
    </row>
    <row r="75" spans="1:11" x14ac:dyDescent="0.25">
      <c r="A75" s="3" t="s">
        <v>1943</v>
      </c>
      <c r="B75" s="33">
        <v>427459.09</v>
      </c>
      <c r="C75" s="1"/>
      <c r="D75" s="1"/>
      <c r="E75" s="97" t="str">
        <f t="shared" si="1"/>
        <v>DIKE-NEW HARTFORD</v>
      </c>
      <c r="F75" t="str">
        <f>INDEX(DistrictsMatchNametoNum!$C$2:$H$326,MATCH('Dec100%_DOR PDF'!E75,DistrictsMatchNametoNum!$H$2:$H$326,0),1)</f>
        <v>1791</v>
      </c>
      <c r="K75" s="4"/>
    </row>
    <row r="76" spans="1:11" x14ac:dyDescent="0.25">
      <c r="A76" s="3" t="s">
        <v>1901</v>
      </c>
      <c r="B76" s="33">
        <v>134165.5</v>
      </c>
      <c r="C76" s="1"/>
      <c r="D76" s="1"/>
      <c r="E76" s="97" t="str">
        <f t="shared" si="1"/>
        <v>DUNKERTON</v>
      </c>
      <c r="F76" t="str">
        <f>INDEX(DistrictsMatchNametoNum!$C$2:$H$326,MATCH('Dec100%_DOR PDF'!E76,DistrictsMatchNametoNum!$H$2:$H$326,0),1)</f>
        <v>1908</v>
      </c>
      <c r="K76" s="4"/>
    </row>
    <row r="77" spans="1:11" x14ac:dyDescent="0.25">
      <c r="A77" s="3" t="s">
        <v>1952</v>
      </c>
      <c r="B77" s="33">
        <v>261805.4</v>
      </c>
      <c r="C77" s="1"/>
      <c r="D77" s="1"/>
      <c r="E77" s="97" t="str">
        <f t="shared" si="1"/>
        <v>DURANT</v>
      </c>
      <c r="F77" t="str">
        <f>INDEX(DistrictsMatchNametoNum!$C$2:$H$326,MATCH('Dec100%_DOR PDF'!E77,DistrictsMatchNametoNum!$H$2:$H$326,0),1)</f>
        <v>1926</v>
      </c>
      <c r="K77" s="4"/>
    </row>
    <row r="78" spans="1:11" x14ac:dyDescent="0.25">
      <c r="A78" s="3" t="s">
        <v>1925</v>
      </c>
      <c r="B78" s="33">
        <v>37503.99</v>
      </c>
      <c r="C78" s="1"/>
      <c r="D78" s="1"/>
      <c r="E78" s="97" t="str">
        <f t="shared" si="1"/>
        <v>EAGLE GROVE</v>
      </c>
      <c r="F78" t="str">
        <f>INDEX(DistrictsMatchNametoNum!$C$2:$H$326,MATCH('Dec100%_DOR PDF'!E78,DistrictsMatchNametoNum!$H$2:$H$326,0),1)</f>
        <v>1944</v>
      </c>
      <c r="K78" s="4"/>
    </row>
    <row r="79" spans="1:11" x14ac:dyDescent="0.25">
      <c r="A79" s="3" t="s">
        <v>1899</v>
      </c>
      <c r="B79" s="33">
        <v>210982.31</v>
      </c>
      <c r="C79" s="1"/>
      <c r="D79" s="1"/>
      <c r="E79" s="97" t="str">
        <f t="shared" si="1"/>
        <v>EAST BUCHANAN</v>
      </c>
      <c r="F79" t="str">
        <f>INDEX(DistrictsMatchNametoNum!$C$2:$H$326,MATCH('Dec100%_DOR PDF'!E79,DistrictsMatchNametoNum!$H$2:$H$326,0),1)</f>
        <v>1963</v>
      </c>
      <c r="K79" s="4"/>
    </row>
    <row r="80" spans="1:11" x14ac:dyDescent="0.25">
      <c r="A80" s="3" t="s">
        <v>1892</v>
      </c>
      <c r="B80" s="33">
        <v>309786.62</v>
      </c>
      <c r="C80" s="1"/>
      <c r="D80" s="1"/>
      <c r="E80" s="97" t="str">
        <f t="shared" si="1"/>
        <v>EAST MARSHALL</v>
      </c>
      <c r="F80" t="str">
        <f>INDEX(DistrictsMatchNametoNum!$C$2:$H$326,MATCH('Dec100%_DOR PDF'!E80,DistrictsMatchNametoNum!$H$2:$H$326,0),1)</f>
        <v>3582</v>
      </c>
      <c r="K80" s="4"/>
    </row>
    <row r="81" spans="1:11" x14ac:dyDescent="0.25">
      <c r="A81" s="3" t="s">
        <v>1919</v>
      </c>
      <c r="B81" s="33">
        <v>528441.53</v>
      </c>
      <c r="C81" s="1"/>
      <c r="D81" s="1"/>
      <c r="E81" s="97" t="str">
        <f t="shared" si="1"/>
        <v>EAST MILLS</v>
      </c>
      <c r="F81" t="str">
        <f>INDEX(DistrictsMatchNametoNum!$C$2:$H$326,MATCH('Dec100%_DOR PDF'!E81,DistrictsMatchNametoNum!$H$2:$H$326,0),1)</f>
        <v>3978</v>
      </c>
      <c r="K81" s="4"/>
    </row>
    <row r="82" spans="1:11" x14ac:dyDescent="0.25">
      <c r="A82" s="3" t="s">
        <v>1994</v>
      </c>
      <c r="B82" s="33">
        <v>64027.93</v>
      </c>
      <c r="C82" s="1"/>
      <c r="D82" s="1"/>
      <c r="E82" s="97" t="str">
        <f t="shared" si="1"/>
        <v>EAST SAC COUNTY</v>
      </c>
      <c r="F82" t="str">
        <f>INDEX(DistrictsMatchNametoNum!$C$2:$H$326,MATCH('Dec100%_DOR PDF'!E82,DistrictsMatchNametoNum!$H$2:$H$326,0),1)</f>
        <v>6741</v>
      </c>
      <c r="K82" s="4"/>
    </row>
    <row r="83" spans="1:11" x14ac:dyDescent="0.25">
      <c r="A83" s="3" t="s">
        <v>1950</v>
      </c>
      <c r="B83" s="33">
        <v>232769.23</v>
      </c>
      <c r="C83" s="1"/>
      <c r="D83" s="1"/>
      <c r="E83" s="97" t="str">
        <f t="shared" si="1"/>
        <v>EAST UNION</v>
      </c>
      <c r="F83" t="str">
        <f>INDEX(DistrictsMatchNametoNum!$C$2:$H$326,MATCH('Dec100%_DOR PDF'!E83,DistrictsMatchNametoNum!$H$2:$H$326,0),1)</f>
        <v>1970</v>
      </c>
      <c r="K83" s="4"/>
    </row>
    <row r="84" spans="1:11" x14ac:dyDescent="0.25">
      <c r="A84" s="3" t="s">
        <v>1979</v>
      </c>
      <c r="B84" s="33">
        <v>98026.89</v>
      </c>
      <c r="C84" s="1"/>
      <c r="D84" s="1"/>
      <c r="E84" s="97" t="str">
        <f t="shared" si="1"/>
        <v>EASTERN ALLAMAKEE</v>
      </c>
      <c r="F84" t="str">
        <f>INDEX(DistrictsMatchNametoNum!$C$2:$H$326,MATCH('Dec100%_DOR PDF'!E84,DistrictsMatchNametoNum!$H$2:$H$326,0),1)</f>
        <v>1972</v>
      </c>
      <c r="K84" s="4"/>
    </row>
    <row r="85" spans="1:11" x14ac:dyDescent="0.25">
      <c r="A85" s="3" t="s">
        <v>2006</v>
      </c>
      <c r="B85" s="33">
        <v>133403.24</v>
      </c>
      <c r="D85" s="1"/>
      <c r="E85" s="97" t="str">
        <f t="shared" si="1"/>
        <v>EASTON VALLEY</v>
      </c>
      <c r="F85" t="str">
        <f>INDEX(DistrictsMatchNametoNum!$C$2:$H$326,MATCH('Dec100%_DOR PDF'!E85,DistrictsMatchNametoNum!$H$2:$H$326,0),1)</f>
        <v>1965</v>
      </c>
      <c r="K85" s="4"/>
    </row>
    <row r="86" spans="1:11" x14ac:dyDescent="0.25">
      <c r="A86" s="3" t="s">
        <v>1808</v>
      </c>
      <c r="B86" s="33">
        <v>230353.42</v>
      </c>
      <c r="C86" s="1"/>
      <c r="D86" s="1"/>
      <c r="E86" s="97" t="str">
        <f t="shared" si="1"/>
        <v>EDDYVILLE-BLAKESBURG-FREMONT</v>
      </c>
      <c r="F86" t="str">
        <f>INDEX(DistrictsMatchNametoNum!$C$2:$H$326,MATCH('Dec100%_DOR PDF'!E86,DistrictsMatchNametoNum!$H$2:$H$326,0),1)</f>
        <v>0657</v>
      </c>
      <c r="K86" s="4"/>
    </row>
    <row r="87" spans="1:11" x14ac:dyDescent="0.25">
      <c r="A87" s="3" t="s">
        <v>2031</v>
      </c>
      <c r="B87" s="33">
        <v>108274.89</v>
      </c>
      <c r="C87" s="1"/>
      <c r="D87" s="1"/>
      <c r="E87" s="97" t="str">
        <f t="shared" si="1"/>
        <v>EDGEWOOD-COLESBURG</v>
      </c>
      <c r="F87" t="str">
        <f>INDEX(DistrictsMatchNametoNum!$C$2:$H$326,MATCH('Dec100%_DOR PDF'!E87,DistrictsMatchNametoNum!$H$2:$H$326,0),1)</f>
        <v>1989</v>
      </c>
      <c r="K87" s="4"/>
    </row>
    <row r="88" spans="1:11" x14ac:dyDescent="0.25">
      <c r="A88" s="3" t="s">
        <v>1933</v>
      </c>
      <c r="B88" s="33">
        <v>63738.37</v>
      </c>
      <c r="C88" s="1"/>
      <c r="D88" s="1"/>
      <c r="E88" s="97" t="str">
        <f t="shared" si="1"/>
        <v>ELDORA-NEW PROVIDENCE</v>
      </c>
      <c r="F88" t="str">
        <f>INDEX(DistrictsMatchNametoNum!$C$2:$H$326,MATCH('Dec100%_DOR PDF'!E88,DistrictsMatchNametoNum!$H$2:$H$326,0),1)</f>
        <v>2007</v>
      </c>
      <c r="K88" s="4"/>
    </row>
    <row r="89" spans="1:11" x14ac:dyDescent="0.25">
      <c r="A89" s="3" t="s">
        <v>1992</v>
      </c>
      <c r="B89" s="33">
        <v>310844.59000000003</v>
      </c>
      <c r="D89" s="1"/>
      <c r="E89" s="97" t="str">
        <f t="shared" si="1"/>
        <v>EMMETSBURG</v>
      </c>
      <c r="F89" t="str">
        <f>INDEX(DistrictsMatchNametoNum!$C$2:$H$326,MATCH('Dec100%_DOR PDF'!E89,DistrictsMatchNametoNum!$H$2:$H$326,0),1)</f>
        <v>2088</v>
      </c>
      <c r="K89" s="4"/>
    </row>
    <row r="90" spans="1:11" x14ac:dyDescent="0.25">
      <c r="A90" s="3" t="s">
        <v>1912</v>
      </c>
      <c r="B90" s="33">
        <v>180326.51</v>
      </c>
      <c r="D90" s="1"/>
      <c r="E90" s="97" t="str">
        <f t="shared" si="1"/>
        <v>ENGLISH VALLEYS</v>
      </c>
      <c r="F90" t="str">
        <f>INDEX(DistrictsMatchNametoNum!$C$2:$H$326,MATCH('Dec100%_DOR PDF'!E90,DistrictsMatchNametoNum!$H$2:$H$326,0),1)</f>
        <v>2097</v>
      </c>
      <c r="K90" s="4"/>
    </row>
    <row r="91" spans="1:11" x14ac:dyDescent="0.25">
      <c r="A91" s="3" t="s">
        <v>2017</v>
      </c>
      <c r="B91" s="33">
        <v>87117.57</v>
      </c>
      <c r="C91" s="1"/>
      <c r="D91" s="1"/>
      <c r="E91" s="97" t="str">
        <f t="shared" si="1"/>
        <v>ESSEX</v>
      </c>
      <c r="F91" t="str">
        <f>INDEX(DistrictsMatchNametoNum!$C$2:$H$326,MATCH('Dec100%_DOR PDF'!E91,DistrictsMatchNametoNum!$H$2:$H$326,0),1)</f>
        <v>2113</v>
      </c>
      <c r="K91" s="4"/>
    </row>
    <row r="92" spans="1:11" x14ac:dyDescent="0.25">
      <c r="A92" s="3" t="s">
        <v>1963</v>
      </c>
      <c r="B92" s="33">
        <v>521991.3</v>
      </c>
      <c r="C92" s="1"/>
      <c r="D92" s="1"/>
      <c r="E92" s="97" t="str">
        <f t="shared" si="1"/>
        <v>ESTHERVILLE-LINCOLN CENTRAL</v>
      </c>
      <c r="F92" t="str">
        <f>INDEX(DistrictsMatchNametoNum!$C$2:$H$326,MATCH('Dec100%_DOR PDF'!E92,DistrictsMatchNametoNum!$H$2:$H$326,0),1)</f>
        <v>2124</v>
      </c>
      <c r="K92" s="4"/>
    </row>
    <row r="93" spans="1:11" x14ac:dyDescent="0.25">
      <c r="A93" s="3" t="s">
        <v>1970</v>
      </c>
      <c r="B93" s="33">
        <v>124562.35</v>
      </c>
      <c r="C93" s="1"/>
      <c r="D93" s="1"/>
      <c r="E93" s="97" t="str">
        <f t="shared" si="1"/>
        <v>EXIRA-ELK HORN-KIMBALLTON</v>
      </c>
      <c r="F93" t="str">
        <f>INDEX(DistrictsMatchNametoNum!$C$2:$H$326,MATCH('Dec100%_DOR PDF'!E93,DistrictsMatchNametoNum!$H$2:$H$326,0),1)</f>
        <v>2151</v>
      </c>
      <c r="K93" s="4"/>
    </row>
    <row r="94" spans="1:11" x14ac:dyDescent="0.25">
      <c r="A94" s="3" t="s">
        <v>1917</v>
      </c>
      <c r="B94" s="33">
        <v>126538.03</v>
      </c>
      <c r="D94" s="1"/>
      <c r="E94" s="97" t="str">
        <f t="shared" si="1"/>
        <v>FAIRFIELD</v>
      </c>
      <c r="F94" t="str">
        <f>INDEX(DistrictsMatchNametoNum!$C$2:$H$326,MATCH('Dec100%_DOR PDF'!E94,DistrictsMatchNametoNum!$H$2:$H$326,0),1)</f>
        <v>2169</v>
      </c>
      <c r="K94" s="4"/>
    </row>
    <row r="95" spans="1:11" x14ac:dyDescent="0.25">
      <c r="A95" s="3" t="s">
        <v>1940</v>
      </c>
      <c r="B95" s="33">
        <v>558281.51</v>
      </c>
      <c r="C95" s="1"/>
      <c r="D95" s="1"/>
      <c r="E95" s="97" t="str">
        <f t="shared" si="1"/>
        <v>FOREST CITY</v>
      </c>
      <c r="F95" t="str">
        <f>INDEX(DistrictsMatchNametoNum!$C$2:$H$326,MATCH('Dec100%_DOR PDF'!E95,DistrictsMatchNametoNum!$H$2:$H$326,0),1)</f>
        <v>2295</v>
      </c>
      <c r="K95" s="4"/>
    </row>
    <row r="96" spans="1:11" x14ac:dyDescent="0.25">
      <c r="A96" s="3" t="s">
        <v>1998</v>
      </c>
      <c r="B96" s="33">
        <v>482446.71</v>
      </c>
      <c r="D96" s="1"/>
      <c r="E96" s="97" t="str">
        <f t="shared" si="1"/>
        <v>FORT DODGE</v>
      </c>
      <c r="F96" t="str">
        <f>INDEX(DistrictsMatchNametoNum!$C$2:$H$326,MATCH('Dec100%_DOR PDF'!E96,DistrictsMatchNametoNum!$H$2:$H$326,0),1)</f>
        <v>2313</v>
      </c>
      <c r="K96" s="4"/>
    </row>
    <row r="97" spans="1:11" x14ac:dyDescent="0.25">
      <c r="A97" s="3" t="s">
        <v>1904</v>
      </c>
      <c r="B97" s="33">
        <v>450821.13</v>
      </c>
      <c r="C97" s="1"/>
      <c r="D97" s="1"/>
      <c r="E97" s="97" t="str">
        <f t="shared" si="1"/>
        <v>FORT MADISON</v>
      </c>
      <c r="F97" t="str">
        <f>INDEX(DistrictsMatchNametoNum!$C$2:$H$326,MATCH('Dec100%_DOR PDF'!E97,DistrictsMatchNametoNum!$H$2:$H$326,0),1)</f>
        <v>2322</v>
      </c>
      <c r="K97" s="4"/>
    </row>
    <row r="98" spans="1:11" x14ac:dyDescent="0.25">
      <c r="A98" s="3" t="s">
        <v>2010</v>
      </c>
      <c r="B98" s="33">
        <v>371755.75</v>
      </c>
      <c r="C98" s="1"/>
      <c r="D98" s="1"/>
      <c r="E98" s="97" t="str">
        <f t="shared" si="1"/>
        <v>FREMONT-MILLS</v>
      </c>
      <c r="F98" t="str">
        <f>INDEX(DistrictsMatchNametoNum!$C$2:$H$326,MATCH('Dec100%_DOR PDF'!E98,DistrictsMatchNametoNum!$H$2:$H$326,0),1)</f>
        <v>2369</v>
      </c>
      <c r="K98" s="4"/>
    </row>
    <row r="99" spans="1:11" x14ac:dyDescent="0.25">
      <c r="A99" s="3" t="s">
        <v>1956</v>
      </c>
      <c r="B99" s="33">
        <v>343453.8</v>
      </c>
      <c r="C99" s="1"/>
      <c r="D99" s="1"/>
      <c r="E99" s="97" t="str">
        <f t="shared" si="1"/>
        <v>GALVA-HOLSTEIN</v>
      </c>
      <c r="F99" t="str">
        <f>INDEX(DistrictsMatchNametoNum!$C$2:$H$326,MATCH('Dec100%_DOR PDF'!E99,DistrictsMatchNametoNum!$H$2:$H$326,0),1)</f>
        <v>2376</v>
      </c>
      <c r="K99" s="4"/>
    </row>
    <row r="100" spans="1:11" x14ac:dyDescent="0.25">
      <c r="A100" s="3" t="s">
        <v>1984</v>
      </c>
      <c r="B100" s="33">
        <v>142328.51999999999</v>
      </c>
      <c r="D100" s="1"/>
      <c r="E100" s="97" t="str">
        <f t="shared" si="1"/>
        <v>GARNER-HAYFIELD-VENTURA</v>
      </c>
      <c r="F100" t="str">
        <f>INDEX(DistrictsMatchNametoNum!$C$2:$H$326,MATCH('Dec100%_DOR PDF'!E100,DistrictsMatchNametoNum!$H$2:$H$326,0),1)</f>
        <v>2403</v>
      </c>
      <c r="K100" s="4"/>
    </row>
    <row r="101" spans="1:11" x14ac:dyDescent="0.25">
      <c r="A101" s="3" t="s">
        <v>1928</v>
      </c>
      <c r="B101" s="33">
        <v>349044.82</v>
      </c>
      <c r="C101" s="1"/>
      <c r="D101" s="1"/>
      <c r="E101" s="97" t="str">
        <f t="shared" si="1"/>
        <v>GEORGE-LITTLE ROCK</v>
      </c>
      <c r="F101" t="str">
        <f>INDEX(DistrictsMatchNametoNum!$C$2:$H$326,MATCH('Dec100%_DOR PDF'!E101,DistrictsMatchNametoNum!$H$2:$H$326,0),1)</f>
        <v>2457</v>
      </c>
      <c r="K101" s="4"/>
    </row>
    <row r="102" spans="1:11" x14ac:dyDescent="0.25">
      <c r="A102" s="3" t="s">
        <v>1929</v>
      </c>
      <c r="B102" s="33">
        <v>34387.86</v>
      </c>
      <c r="D102" s="1"/>
      <c r="E102" s="97" t="str">
        <f t="shared" si="1"/>
        <v>GILMORE CITY-BRADGATE</v>
      </c>
      <c r="F102" t="str">
        <f>INDEX(DistrictsMatchNametoNum!$C$2:$H$326,MATCH('Dec100%_DOR PDF'!E102,DistrictsMatchNametoNum!$H$2:$H$326,0),1)</f>
        <v>2493</v>
      </c>
      <c r="K102" s="4"/>
    </row>
    <row r="103" spans="1:11" x14ac:dyDescent="0.25">
      <c r="A103" s="3" t="s">
        <v>1986</v>
      </c>
      <c r="B103" s="33">
        <v>93925.91</v>
      </c>
      <c r="C103" s="1"/>
      <c r="D103" s="1"/>
      <c r="E103" s="97" t="str">
        <f t="shared" si="1"/>
        <v>GLADBROOK-REINBECK</v>
      </c>
      <c r="F103" t="str">
        <f>INDEX(DistrictsMatchNametoNum!$C$2:$H$326,MATCH('Dec100%_DOR PDF'!E103,DistrictsMatchNametoNum!$H$2:$H$326,0),1)</f>
        <v>2502</v>
      </c>
      <c r="K103" s="4"/>
    </row>
    <row r="104" spans="1:11" x14ac:dyDescent="0.25">
      <c r="A104" s="3" t="s">
        <v>1906</v>
      </c>
      <c r="B104" s="33">
        <v>785851.23</v>
      </c>
      <c r="D104" s="1"/>
      <c r="E104" s="97" t="str">
        <f t="shared" si="1"/>
        <v>GLENWOOD</v>
      </c>
      <c r="F104" t="str">
        <f>INDEX(DistrictsMatchNametoNum!$C$2:$H$326,MATCH('Dec100%_DOR PDF'!E104,DistrictsMatchNametoNum!$H$2:$H$326,0),1)</f>
        <v>2511</v>
      </c>
      <c r="K104" s="4"/>
    </row>
    <row r="105" spans="1:11" x14ac:dyDescent="0.25">
      <c r="A105" s="3" t="s">
        <v>2012</v>
      </c>
      <c r="B105" s="33">
        <v>19016.16</v>
      </c>
      <c r="C105" s="1"/>
      <c r="D105" s="1"/>
      <c r="E105" s="97" t="str">
        <f t="shared" si="1"/>
        <v>GLIDDEN-RALSTON</v>
      </c>
      <c r="F105" t="str">
        <f>INDEX(DistrictsMatchNametoNum!$C$2:$H$326,MATCH('Dec100%_DOR PDF'!E105,DistrictsMatchNametoNum!$H$2:$H$326,0),1)</f>
        <v>2520</v>
      </c>
      <c r="K105" s="4"/>
    </row>
    <row r="106" spans="1:11" x14ac:dyDescent="0.25">
      <c r="A106" s="3" t="s">
        <v>1918</v>
      </c>
      <c r="B106" s="33">
        <v>124578.83</v>
      </c>
      <c r="C106" s="1"/>
      <c r="D106" s="1"/>
      <c r="E106" s="97" t="str">
        <f t="shared" si="1"/>
        <v>GMG</v>
      </c>
      <c r="F106" t="str">
        <f>INDEX(DistrictsMatchNametoNum!$C$2:$H$326,MATCH('Dec100%_DOR PDF'!E106,DistrictsMatchNametoNum!$H$2:$H$326,0),1)</f>
        <v>2682</v>
      </c>
      <c r="K106" s="4"/>
    </row>
    <row r="107" spans="1:11" x14ac:dyDescent="0.25">
      <c r="A107" s="3" t="s">
        <v>1957</v>
      </c>
      <c r="B107" s="33">
        <v>95667.11</v>
      </c>
      <c r="D107" s="1"/>
      <c r="E107" s="97" t="str">
        <f t="shared" si="1"/>
        <v>GRAETTINGER-TERRIL</v>
      </c>
      <c r="F107" t="str">
        <f>INDEX(DistrictsMatchNametoNum!$C$2:$H$326,MATCH('Dec100%_DOR PDF'!E107,DistrictsMatchNametoNum!$H$2:$H$326,0),1)</f>
        <v>2556</v>
      </c>
      <c r="K107" s="4"/>
    </row>
    <row r="108" spans="1:11" x14ac:dyDescent="0.25">
      <c r="A108" s="3" t="s">
        <v>1860</v>
      </c>
      <c r="B108" s="33">
        <v>657100.66</v>
      </c>
      <c r="C108" s="1"/>
      <c r="D108" s="1"/>
      <c r="E108" s="97" t="str">
        <f t="shared" si="1"/>
        <v>GREENE COUNTY</v>
      </c>
      <c r="F108" t="str">
        <f>INDEX(DistrictsMatchNametoNum!$C$2:$H$326,MATCH('Dec100%_DOR PDF'!E108,DistrictsMatchNametoNum!$H$2:$H$326,0),1)</f>
        <v>3195</v>
      </c>
      <c r="K108" s="4"/>
    </row>
    <row r="109" spans="1:11" x14ac:dyDescent="0.25">
      <c r="A109" s="3" t="s">
        <v>2024</v>
      </c>
      <c r="B109" s="33">
        <v>235343.68</v>
      </c>
      <c r="D109" s="1"/>
      <c r="E109" s="97" t="str">
        <f t="shared" si="1"/>
        <v>GRINNELL-NEWBURG</v>
      </c>
      <c r="F109" t="str">
        <f>INDEX(DistrictsMatchNametoNum!$C$2:$H$326,MATCH('Dec100%_DOR PDF'!E109,DistrictsMatchNametoNum!$H$2:$H$326,0),1)</f>
        <v>2709</v>
      </c>
      <c r="K109" s="4"/>
    </row>
    <row r="110" spans="1:11" x14ac:dyDescent="0.25">
      <c r="A110" s="3" t="s">
        <v>1942</v>
      </c>
      <c r="B110" s="33">
        <v>27753.1</v>
      </c>
      <c r="C110" s="1"/>
      <c r="D110" s="1"/>
      <c r="E110" s="97" t="str">
        <f t="shared" si="1"/>
        <v>GRISWOLD</v>
      </c>
      <c r="F110" t="str">
        <f>INDEX(DistrictsMatchNametoNum!$C$2:$H$326,MATCH('Dec100%_DOR PDF'!E110,DistrictsMatchNametoNum!$H$2:$H$326,0),1)</f>
        <v>2718</v>
      </c>
      <c r="K110" s="4"/>
    </row>
    <row r="111" spans="1:11" x14ac:dyDescent="0.25">
      <c r="A111" s="3" t="s">
        <v>2000</v>
      </c>
      <c r="B111" s="33">
        <v>261271.04000000001</v>
      </c>
      <c r="C111" s="1"/>
      <c r="D111" s="1"/>
      <c r="E111" s="97" t="str">
        <f t="shared" si="1"/>
        <v>GRUNDY CENTER</v>
      </c>
      <c r="F111" t="str">
        <f>INDEX(DistrictsMatchNametoNum!$C$2:$H$326,MATCH('Dec100%_DOR PDF'!E111,DistrictsMatchNametoNum!$H$2:$H$326,0),1)</f>
        <v>2727</v>
      </c>
      <c r="K111" s="4"/>
    </row>
    <row r="112" spans="1:11" x14ac:dyDescent="0.25">
      <c r="A112" s="3" t="s">
        <v>1900</v>
      </c>
      <c r="B112" s="33">
        <v>181585.27</v>
      </c>
      <c r="C112" s="1"/>
      <c r="D112" s="1"/>
      <c r="E112" s="97" t="str">
        <f t="shared" si="1"/>
        <v>GUTHRIE CENTER</v>
      </c>
      <c r="F112" t="str">
        <f>INDEX(DistrictsMatchNametoNum!$C$2:$H$326,MATCH('Dec100%_DOR PDF'!E112,DistrictsMatchNametoNum!$H$2:$H$326,0),1)</f>
        <v>2754</v>
      </c>
      <c r="K112" s="4"/>
    </row>
    <row r="113" spans="1:11" x14ac:dyDescent="0.25">
      <c r="A113" s="3" t="s">
        <v>1856</v>
      </c>
      <c r="B113" s="33">
        <v>61310.6</v>
      </c>
      <c r="C113" s="1"/>
      <c r="D113" s="1"/>
      <c r="E113" s="97" t="str">
        <f t="shared" si="1"/>
        <v>HAMBURG</v>
      </c>
      <c r="F113" t="str">
        <f>INDEX(DistrictsMatchNametoNum!$C$2:$H$326,MATCH('Dec100%_DOR PDF'!E113,DistrictsMatchNametoNum!$H$2:$H$326,0),1)</f>
        <v>2772</v>
      </c>
      <c r="K113" s="4"/>
    </row>
    <row r="114" spans="1:11" x14ac:dyDescent="0.25">
      <c r="A114" s="3" t="s">
        <v>1878</v>
      </c>
      <c r="B114" s="33">
        <v>159254.51999999999</v>
      </c>
      <c r="C114" s="1"/>
      <c r="D114" s="1"/>
      <c r="E114" s="97" t="str">
        <f t="shared" si="1"/>
        <v>HAMPTON-DUMONT</v>
      </c>
      <c r="F114" t="str">
        <f>INDEX(DistrictsMatchNametoNum!$C$2:$H$326,MATCH('Dec100%_DOR PDF'!E114,DistrictsMatchNametoNum!$H$2:$H$326,0),1)</f>
        <v>2781</v>
      </c>
      <c r="K114" s="4"/>
    </row>
    <row r="115" spans="1:11" x14ac:dyDescent="0.25">
      <c r="A115" s="3" t="s">
        <v>1838</v>
      </c>
      <c r="B115" s="33">
        <v>665015.76</v>
      </c>
      <c r="D115" s="1"/>
      <c r="E115" s="97" t="str">
        <f t="shared" si="1"/>
        <v>HARLAN</v>
      </c>
      <c r="F115" t="str">
        <f>INDEX(DistrictsMatchNametoNum!$C$2:$H$326,MATCH('Dec100%_DOR PDF'!E115,DistrictsMatchNametoNum!$H$2:$H$326,0),1)</f>
        <v>2826</v>
      </c>
      <c r="K115" s="4"/>
    </row>
    <row r="116" spans="1:11" x14ac:dyDescent="0.25">
      <c r="A116" s="3" t="s">
        <v>1871</v>
      </c>
      <c r="B116" s="33">
        <v>137038.16</v>
      </c>
      <c r="C116" s="1"/>
      <c r="D116" s="1"/>
      <c r="E116" s="97" t="str">
        <f t="shared" si="1"/>
        <v>HARTLEY-MELVIN-SANBORN</v>
      </c>
      <c r="F116" t="str">
        <f>INDEX(DistrictsMatchNametoNum!$C$2:$H$326,MATCH('Dec100%_DOR PDF'!E116,DistrictsMatchNametoNum!$H$2:$H$326,0),1)</f>
        <v>2862</v>
      </c>
      <c r="K116" s="4"/>
    </row>
    <row r="117" spans="1:11" x14ac:dyDescent="0.25">
      <c r="A117" s="3" t="s">
        <v>1848</v>
      </c>
      <c r="B117" s="33">
        <v>113308.21</v>
      </c>
      <c r="C117" s="1"/>
      <c r="D117" s="1"/>
      <c r="E117" s="97" t="str">
        <f t="shared" si="1"/>
        <v>HIGHLAND</v>
      </c>
      <c r="F117" t="str">
        <f>INDEX(DistrictsMatchNametoNum!$C$2:$H$326,MATCH('Dec100%_DOR PDF'!E117,DistrictsMatchNametoNum!$H$2:$H$326,0),1)</f>
        <v>2977</v>
      </c>
      <c r="K117" s="4"/>
    </row>
    <row r="118" spans="1:11" x14ac:dyDescent="0.25">
      <c r="A118" s="3" t="s">
        <v>1895</v>
      </c>
      <c r="B118" s="33">
        <v>327505.49</v>
      </c>
      <c r="C118" s="1"/>
      <c r="D118" s="1"/>
      <c r="E118" s="97" t="str">
        <f t="shared" si="1"/>
        <v>HINTON</v>
      </c>
      <c r="F118" t="str">
        <f>INDEX(DistrictsMatchNametoNum!$C$2:$H$326,MATCH('Dec100%_DOR PDF'!E118,DistrictsMatchNametoNum!$H$2:$H$326,0),1)</f>
        <v>2988</v>
      </c>
      <c r="K118" s="4"/>
    </row>
    <row r="119" spans="1:11" x14ac:dyDescent="0.25">
      <c r="A119" s="3" t="s">
        <v>1891</v>
      </c>
      <c r="B119" s="33">
        <v>39402.959999999999</v>
      </c>
      <c r="C119" s="1"/>
      <c r="D119" s="1"/>
      <c r="E119" s="97" t="str">
        <f t="shared" si="1"/>
        <v>HLV</v>
      </c>
      <c r="F119" t="str">
        <f>INDEX(DistrictsMatchNametoNum!$C$2:$H$326,MATCH('Dec100%_DOR PDF'!E119,DistrictsMatchNametoNum!$H$2:$H$326,0),1)</f>
        <v>2766</v>
      </c>
      <c r="K119" s="4"/>
    </row>
    <row r="120" spans="1:11" x14ac:dyDescent="0.25">
      <c r="A120" s="3" t="s">
        <v>1853</v>
      </c>
      <c r="B120" s="33">
        <v>490443.29</v>
      </c>
      <c r="C120" s="1"/>
      <c r="D120" s="1"/>
      <c r="E120" s="97" t="str">
        <f t="shared" si="1"/>
        <v>HOWARD-WINNESHIEK</v>
      </c>
      <c r="F120" t="str">
        <f>INDEX(DistrictsMatchNametoNum!$C$2:$H$326,MATCH('Dec100%_DOR PDF'!E120,DistrictsMatchNametoNum!$H$2:$H$326,0),1)</f>
        <v>3029</v>
      </c>
      <c r="K120" s="4"/>
    </row>
    <row r="121" spans="1:11" x14ac:dyDescent="0.25">
      <c r="A121" s="3" t="s">
        <v>1843</v>
      </c>
      <c r="B121" s="33">
        <v>105716.89</v>
      </c>
      <c r="C121" s="1"/>
      <c r="D121" s="1"/>
      <c r="E121" s="97" t="str">
        <f t="shared" si="1"/>
        <v>HUDSON</v>
      </c>
      <c r="F121" t="str">
        <f>INDEX(DistrictsMatchNametoNum!$C$2:$H$326,MATCH('Dec100%_DOR PDF'!E121,DistrictsMatchNametoNum!$H$2:$H$326,0),1)</f>
        <v>3042</v>
      </c>
      <c r="K121" s="4"/>
    </row>
    <row r="122" spans="1:11" x14ac:dyDescent="0.25">
      <c r="A122" s="3" t="s">
        <v>1887</v>
      </c>
      <c r="B122" s="33">
        <v>211422.33</v>
      </c>
      <c r="C122" s="1"/>
      <c r="D122" s="1"/>
      <c r="E122" s="97" t="str">
        <f t="shared" si="1"/>
        <v>HUMBOLDT</v>
      </c>
      <c r="F122" t="str">
        <f>INDEX(DistrictsMatchNametoNum!$C$2:$H$326,MATCH('Dec100%_DOR PDF'!E122,DistrictsMatchNametoNum!$H$2:$H$326,0),1)</f>
        <v>3060</v>
      </c>
      <c r="K122" s="4"/>
    </row>
    <row r="123" spans="1:11" x14ac:dyDescent="0.25">
      <c r="A123" s="3" t="s">
        <v>1839</v>
      </c>
      <c r="B123" s="33">
        <v>216163.9</v>
      </c>
      <c r="C123" s="1"/>
      <c r="D123" s="1"/>
      <c r="E123" s="97" t="str">
        <f t="shared" si="1"/>
        <v>IKM-MANNING</v>
      </c>
      <c r="F123" t="str">
        <f>INDEX(DistrictsMatchNametoNum!$C$2:$H$326,MATCH('Dec100%_DOR PDF'!E123,DistrictsMatchNametoNum!$H$2:$H$326,0),1)</f>
        <v>3168</v>
      </c>
      <c r="K123" s="4"/>
    </row>
    <row r="124" spans="1:11" x14ac:dyDescent="0.25">
      <c r="A124" s="3" t="s">
        <v>1865</v>
      </c>
      <c r="B124" s="33">
        <v>627241.93000000005</v>
      </c>
      <c r="C124" s="1"/>
      <c r="D124" s="1"/>
      <c r="E124" s="97" t="str">
        <f t="shared" si="1"/>
        <v>INDEPENDENCE</v>
      </c>
      <c r="F124" t="str">
        <f>INDEX(DistrictsMatchNametoNum!$C$2:$H$326,MATCH('Dec100%_DOR PDF'!E124,DistrictsMatchNametoNum!$H$2:$H$326,0),1)</f>
        <v>3105</v>
      </c>
      <c r="K124" s="4"/>
    </row>
    <row r="125" spans="1:11" x14ac:dyDescent="0.25">
      <c r="A125" s="3" t="s">
        <v>1866</v>
      </c>
      <c r="B125" s="33">
        <v>1373915.68</v>
      </c>
      <c r="C125" s="1"/>
      <c r="D125" s="1"/>
      <c r="E125" s="97" t="str">
        <f t="shared" si="1"/>
        <v>INDIANOLA</v>
      </c>
      <c r="F125" t="str">
        <f>INDEX(DistrictsMatchNametoNum!$C$2:$H$326,MATCH('Dec100%_DOR PDF'!E125,DistrictsMatchNametoNum!$H$2:$H$326,0),1)</f>
        <v>3114</v>
      </c>
      <c r="K125" s="4"/>
    </row>
    <row r="126" spans="1:11" x14ac:dyDescent="0.25">
      <c r="A126" s="3" t="s">
        <v>1888</v>
      </c>
      <c r="B126" s="33">
        <v>6729556.96</v>
      </c>
      <c r="C126" s="1"/>
      <c r="D126" s="1"/>
      <c r="E126" s="97" t="str">
        <f t="shared" si="1"/>
        <v>IOWA CITY</v>
      </c>
      <c r="F126" t="str">
        <f>INDEX(DistrictsMatchNametoNum!$C$2:$H$326,MATCH('Dec100%_DOR PDF'!E126,DistrictsMatchNametoNum!$H$2:$H$326,0),1)</f>
        <v>3141</v>
      </c>
      <c r="K126" s="4"/>
    </row>
    <row r="127" spans="1:11" x14ac:dyDescent="0.25">
      <c r="A127" s="3" t="s">
        <v>1854</v>
      </c>
      <c r="B127" s="33">
        <v>448366.33</v>
      </c>
      <c r="C127" s="1"/>
      <c r="D127" s="1"/>
      <c r="E127" s="97" t="str">
        <f t="shared" si="1"/>
        <v>IOWA FALLS</v>
      </c>
      <c r="F127" t="str">
        <f>INDEX(DistrictsMatchNametoNum!$C$2:$H$326,MATCH('Dec100%_DOR PDF'!E127,DistrictsMatchNametoNum!$H$2:$H$326,0),1)</f>
        <v>3150</v>
      </c>
      <c r="K127" s="4"/>
    </row>
    <row r="128" spans="1:11" x14ac:dyDescent="0.25">
      <c r="A128" s="3" t="s">
        <v>1876</v>
      </c>
      <c r="B128" s="33">
        <v>432147.32</v>
      </c>
      <c r="C128" s="1"/>
      <c r="D128" s="1"/>
      <c r="E128" s="97" t="str">
        <f t="shared" si="1"/>
        <v>IOWA VALLEY</v>
      </c>
      <c r="F128" t="str">
        <f>INDEX(DistrictsMatchNametoNum!$C$2:$H$326,MATCH('Dec100%_DOR PDF'!E128,DistrictsMatchNametoNum!$H$2:$H$326,0),1)</f>
        <v>3154</v>
      </c>
      <c r="K128" s="4"/>
    </row>
    <row r="129" spans="1:11" x14ac:dyDescent="0.25">
      <c r="A129" s="3" t="s">
        <v>1881</v>
      </c>
      <c r="B129" s="33">
        <v>210929.77</v>
      </c>
      <c r="C129" s="1"/>
      <c r="D129" s="1"/>
      <c r="E129" s="97" t="str">
        <f t="shared" si="1"/>
        <v>JANESVILLE</v>
      </c>
      <c r="F129" t="str">
        <f>INDEX(DistrictsMatchNametoNum!$C$2:$H$326,MATCH('Dec100%_DOR PDF'!E129,DistrictsMatchNametoNum!$H$2:$H$326,0),1)</f>
        <v>3186</v>
      </c>
      <c r="K129" s="4"/>
    </row>
    <row r="130" spans="1:11" x14ac:dyDescent="0.25">
      <c r="A130" s="3" t="s">
        <v>1850</v>
      </c>
      <c r="B130" s="33">
        <v>72282.23</v>
      </c>
      <c r="C130" s="1"/>
      <c r="D130" s="1"/>
      <c r="E130" s="97" t="str">
        <f t="shared" si="1"/>
        <v>KEOTA</v>
      </c>
      <c r="F130" t="str">
        <f>INDEX(DistrictsMatchNametoNum!$C$2:$H$326,MATCH('Dec100%_DOR PDF'!E130,DistrictsMatchNametoNum!$H$2:$H$326,0),1)</f>
        <v>3330</v>
      </c>
      <c r="K130" s="4"/>
    </row>
    <row r="131" spans="1:11" x14ac:dyDescent="0.25">
      <c r="A131" s="3" t="s">
        <v>1873</v>
      </c>
      <c r="B131" s="33">
        <v>112259.32</v>
      </c>
      <c r="C131" s="1"/>
      <c r="D131" s="1"/>
      <c r="E131" s="97" t="str">
        <f t="shared" si="1"/>
        <v>KINGSLEY-PIERSON</v>
      </c>
      <c r="F131" t="str">
        <f>INDEX(DistrictsMatchNametoNum!$C$2:$H$326,MATCH('Dec100%_DOR PDF'!E131,DistrictsMatchNametoNum!$H$2:$H$326,0),1)</f>
        <v>3348</v>
      </c>
      <c r="K131" s="4"/>
    </row>
    <row r="132" spans="1:11" x14ac:dyDescent="0.25">
      <c r="A132" s="3" t="s">
        <v>1841</v>
      </c>
      <c r="B132" s="33">
        <v>724499.32</v>
      </c>
      <c r="C132" s="1"/>
      <c r="D132" s="1"/>
      <c r="E132" s="97" t="str">
        <f t="shared" ref="E132:E195" si="2">SUBSTITUTE(A132," - SCHOOL SURTAX PENDING","")</f>
        <v>KNOXVILLE</v>
      </c>
      <c r="F132" t="str">
        <f>INDEX(DistrictsMatchNametoNum!$C$2:$H$326,MATCH('Dec100%_DOR PDF'!E132,DistrictsMatchNametoNum!$H$2:$H$326,0),1)</f>
        <v>3375</v>
      </c>
      <c r="K132" s="4"/>
    </row>
    <row r="133" spans="1:11" x14ac:dyDescent="0.25">
      <c r="A133" s="3" t="s">
        <v>1883</v>
      </c>
      <c r="B133" s="33">
        <v>35970.18</v>
      </c>
      <c r="C133" s="1"/>
      <c r="D133" s="1"/>
      <c r="E133" s="97" t="str">
        <f t="shared" si="2"/>
        <v>LAKE MILLS</v>
      </c>
      <c r="F133" t="str">
        <f>INDEX(DistrictsMatchNametoNum!$C$2:$H$326,MATCH('Dec100%_DOR PDF'!E133,DistrictsMatchNametoNum!$H$2:$H$326,0),1)</f>
        <v>3420</v>
      </c>
      <c r="K133" s="4"/>
    </row>
    <row r="134" spans="1:11" x14ac:dyDescent="0.25">
      <c r="A134" s="3" t="s">
        <v>1862</v>
      </c>
      <c r="B134" s="33">
        <v>54901.36</v>
      </c>
      <c r="C134" s="1"/>
      <c r="D134" s="1"/>
      <c r="E134" s="97" t="str">
        <f t="shared" si="2"/>
        <v>LAMONI</v>
      </c>
      <c r="F134" t="str">
        <f>INDEX(DistrictsMatchNametoNum!$C$2:$H$326,MATCH('Dec100%_DOR PDF'!E134,DistrictsMatchNametoNum!$H$2:$H$326,0),1)</f>
        <v>3465</v>
      </c>
      <c r="K134" s="4"/>
    </row>
    <row r="135" spans="1:11" x14ac:dyDescent="0.25">
      <c r="A135" s="3" t="s">
        <v>1868</v>
      </c>
      <c r="B135" s="33">
        <v>142785.57999999999</v>
      </c>
      <c r="C135" s="1"/>
      <c r="D135" s="1"/>
      <c r="E135" s="97" t="str">
        <f t="shared" si="2"/>
        <v>LAURENS-MARATHON</v>
      </c>
      <c r="F135" t="str">
        <f>INDEX(DistrictsMatchNametoNum!$C$2:$H$326,MATCH('Dec100%_DOR PDF'!E135,DistrictsMatchNametoNum!$H$2:$H$326,0),1)</f>
        <v>3537</v>
      </c>
      <c r="K135" s="4"/>
    </row>
    <row r="136" spans="1:11" x14ac:dyDescent="0.25">
      <c r="A136" s="3" t="s">
        <v>1845</v>
      </c>
      <c r="B136" s="33">
        <v>46696.31</v>
      </c>
      <c r="C136" s="1"/>
      <c r="D136" s="1"/>
      <c r="E136" s="97" t="str">
        <f t="shared" si="2"/>
        <v>LAWTON-BRONSON</v>
      </c>
      <c r="F136" t="str">
        <f>INDEX(DistrictsMatchNametoNum!$C$2:$H$326,MATCH('Dec100%_DOR PDF'!E136,DistrictsMatchNametoNum!$H$2:$H$326,0),1)</f>
        <v>3555</v>
      </c>
      <c r="K136" s="4"/>
    </row>
    <row r="137" spans="1:11" x14ac:dyDescent="0.25">
      <c r="A137" s="3" t="s">
        <v>2008</v>
      </c>
      <c r="B137" s="33">
        <v>42128.85</v>
      </c>
      <c r="C137" s="1"/>
      <c r="D137" s="1"/>
      <c r="E137" s="97" t="str">
        <f t="shared" si="2"/>
        <v>LENOX</v>
      </c>
      <c r="F137" t="str">
        <f>INDEX(DistrictsMatchNametoNum!$C$2:$H$326,MATCH('Dec100%_DOR PDF'!E137,DistrictsMatchNametoNum!$H$2:$H$326,0),1)</f>
        <v>3609</v>
      </c>
      <c r="K137" s="4"/>
    </row>
    <row r="138" spans="1:11" x14ac:dyDescent="0.25">
      <c r="A138" s="3" t="s">
        <v>1953</v>
      </c>
      <c r="B138" s="33">
        <v>245544.38</v>
      </c>
      <c r="C138" s="1"/>
      <c r="D138" s="1"/>
      <c r="E138" s="97" t="str">
        <f t="shared" si="2"/>
        <v>LEWIS CENTRAL</v>
      </c>
      <c r="F138" t="str">
        <f>INDEX(DistrictsMatchNametoNum!$C$2:$H$326,MATCH('Dec100%_DOR PDF'!E138,DistrictsMatchNametoNum!$H$2:$H$326,0),1)</f>
        <v>3645</v>
      </c>
      <c r="K138" s="4"/>
    </row>
    <row r="139" spans="1:11" x14ac:dyDescent="0.25">
      <c r="A139" s="3" t="s">
        <v>2034</v>
      </c>
      <c r="B139" s="33">
        <v>85574.19</v>
      </c>
      <c r="C139" s="1"/>
      <c r="D139" s="1"/>
      <c r="E139" s="97" t="str">
        <f t="shared" si="2"/>
        <v>LISBON</v>
      </c>
      <c r="F139" t="str">
        <f>INDEX(DistrictsMatchNametoNum!$C$2:$H$326,MATCH('Dec100%_DOR PDF'!E139,DistrictsMatchNametoNum!$H$2:$H$326,0),1)</f>
        <v>3744</v>
      </c>
      <c r="K139" s="4"/>
    </row>
    <row r="140" spans="1:11" x14ac:dyDescent="0.25">
      <c r="A140" s="3" t="s">
        <v>1930</v>
      </c>
      <c r="B140" s="33">
        <v>170187.12</v>
      </c>
      <c r="C140" s="1"/>
      <c r="D140" s="1"/>
      <c r="E140" s="97" t="str">
        <f t="shared" si="2"/>
        <v>LOGAN-MAGNOLIA</v>
      </c>
      <c r="F140" t="str">
        <f>INDEX(DistrictsMatchNametoNum!$C$2:$H$326,MATCH('Dec100%_DOR PDF'!E140,DistrictsMatchNametoNum!$H$2:$H$326,0),1)</f>
        <v>3798</v>
      </c>
      <c r="K140" s="4"/>
    </row>
    <row r="141" spans="1:11" x14ac:dyDescent="0.25">
      <c r="A141" s="3" t="s">
        <v>1988</v>
      </c>
      <c r="B141" s="33">
        <v>196860.53</v>
      </c>
      <c r="C141" s="1"/>
      <c r="D141" s="1"/>
      <c r="E141" s="97" t="str">
        <f t="shared" si="2"/>
        <v>LONE TREE</v>
      </c>
      <c r="F141" t="str">
        <f>INDEX(DistrictsMatchNametoNum!$C$2:$H$326,MATCH('Dec100%_DOR PDF'!E141,DistrictsMatchNametoNum!$H$2:$H$326,0),1)</f>
        <v>3816</v>
      </c>
      <c r="K141" s="4"/>
    </row>
    <row r="142" spans="1:11" x14ac:dyDescent="0.25">
      <c r="A142" s="3" t="s">
        <v>1908</v>
      </c>
      <c r="B142" s="33">
        <v>351343.14</v>
      </c>
      <c r="C142" s="1"/>
      <c r="D142" s="1"/>
      <c r="E142" s="97" t="str">
        <f t="shared" si="2"/>
        <v>LOUISA-MUSCATINE</v>
      </c>
      <c r="F142" t="str">
        <f>INDEX(DistrictsMatchNametoNum!$C$2:$H$326,MATCH('Dec100%_DOR PDF'!E142,DistrictsMatchNametoNum!$H$2:$H$326,0),1)</f>
        <v>3841</v>
      </c>
      <c r="K142" s="4"/>
    </row>
    <row r="143" spans="1:11" x14ac:dyDescent="0.25">
      <c r="A143" s="3" t="s">
        <v>1959</v>
      </c>
      <c r="B143" s="33">
        <v>289533.90000000002</v>
      </c>
      <c r="C143" s="1"/>
      <c r="D143" s="1"/>
      <c r="E143" s="97" t="str">
        <f t="shared" si="2"/>
        <v>LYNNVILLE-SULLY</v>
      </c>
      <c r="F143" t="str">
        <f>INDEX(DistrictsMatchNametoNum!$C$2:$H$326,MATCH('Dec100%_DOR PDF'!E143,DistrictsMatchNametoNum!$H$2:$H$326,0),1)</f>
        <v>3906</v>
      </c>
      <c r="K143" s="4"/>
    </row>
    <row r="144" spans="1:11" x14ac:dyDescent="0.25">
      <c r="A144" s="3" t="s">
        <v>1974</v>
      </c>
      <c r="B144" s="33">
        <v>188232.2</v>
      </c>
      <c r="C144" s="1"/>
      <c r="D144" s="1"/>
      <c r="E144" s="97" t="str">
        <f t="shared" si="2"/>
        <v>MADRID</v>
      </c>
      <c r="F144" t="str">
        <f>INDEX(DistrictsMatchNametoNum!$C$2:$H$326,MATCH('Dec100%_DOR PDF'!E144,DistrictsMatchNametoNum!$H$2:$H$326,0),1)</f>
        <v>3942</v>
      </c>
      <c r="K144" s="4"/>
    </row>
    <row r="145" spans="1:11" x14ac:dyDescent="0.25">
      <c r="A145" s="3" t="s">
        <v>2026</v>
      </c>
      <c r="B145" s="33">
        <v>305395.82</v>
      </c>
      <c r="C145" s="1"/>
      <c r="D145" s="1"/>
      <c r="E145" s="97" t="str">
        <f t="shared" si="2"/>
        <v>MANSON-NORTHWEST WEBSTER</v>
      </c>
      <c r="F145" t="str">
        <f>INDEX(DistrictsMatchNametoNum!$C$2:$H$326,MATCH('Dec100%_DOR PDF'!E145,DistrictsMatchNametoNum!$H$2:$H$326,0),1)</f>
        <v>4023</v>
      </c>
      <c r="K145" s="4"/>
    </row>
    <row r="146" spans="1:11" x14ac:dyDescent="0.25">
      <c r="A146" s="3" t="s">
        <v>1944</v>
      </c>
      <c r="B146" s="33">
        <v>37822.18</v>
      </c>
      <c r="C146" s="1"/>
      <c r="D146" s="1"/>
      <c r="E146" s="97" t="str">
        <f t="shared" si="2"/>
        <v>MAPLE VALLEY-ANTHON OTO</v>
      </c>
      <c r="F146" t="str">
        <f>INDEX(DistrictsMatchNametoNum!$C$2:$H$326,MATCH('Dec100%_DOR PDF'!E146,DistrictsMatchNametoNum!$H$2:$H$326,0),1)</f>
        <v>4033</v>
      </c>
      <c r="K146" s="4"/>
    </row>
    <row r="147" spans="1:11" x14ac:dyDescent="0.25">
      <c r="A147" s="3" t="s">
        <v>2001</v>
      </c>
      <c r="B147" s="33">
        <v>651096.68999999994</v>
      </c>
      <c r="C147" s="1"/>
      <c r="D147" s="1"/>
      <c r="E147" s="97" t="str">
        <f t="shared" si="2"/>
        <v>MAQUOKETA</v>
      </c>
      <c r="F147" t="str">
        <f>INDEX(DistrictsMatchNametoNum!$C$2:$H$326,MATCH('Dec100%_DOR PDF'!E147,DistrictsMatchNametoNum!$H$2:$H$326,0),1)</f>
        <v>4041</v>
      </c>
      <c r="K147" s="4"/>
    </row>
    <row r="148" spans="1:11" x14ac:dyDescent="0.25">
      <c r="A148" s="3" t="s">
        <v>2004</v>
      </c>
      <c r="B148" s="33">
        <v>273517.53999999998</v>
      </c>
      <c r="C148" s="1"/>
      <c r="D148" s="1"/>
      <c r="E148" s="97" t="str">
        <f t="shared" si="2"/>
        <v>MARCUS-MERIDEN CLEGHORN</v>
      </c>
      <c r="F148" t="str">
        <f>INDEX(DistrictsMatchNametoNum!$C$2:$H$326,MATCH('Dec100%_DOR PDF'!E148,DistrictsMatchNametoNum!$H$2:$H$326,0),1)</f>
        <v>4068</v>
      </c>
      <c r="K148" s="4"/>
    </row>
    <row r="149" spans="1:11" x14ac:dyDescent="0.25">
      <c r="A149" s="3" t="s">
        <v>1948</v>
      </c>
      <c r="B149" s="33">
        <v>607071.32999999996</v>
      </c>
      <c r="C149" s="1"/>
      <c r="D149" s="1"/>
      <c r="E149" s="97" t="str">
        <f t="shared" si="2"/>
        <v>MARION</v>
      </c>
      <c r="F149" t="str">
        <f>INDEX(DistrictsMatchNametoNum!$C$2:$H$326,MATCH('Dec100%_DOR PDF'!E149,DistrictsMatchNametoNum!$H$2:$H$326,0),1)</f>
        <v>4086</v>
      </c>
      <c r="K149" s="4"/>
    </row>
    <row r="150" spans="1:11" x14ac:dyDescent="0.25">
      <c r="A150" s="3" t="s">
        <v>1978</v>
      </c>
      <c r="B150" s="33">
        <v>265187.36</v>
      </c>
      <c r="C150" s="1"/>
      <c r="D150" s="1"/>
      <c r="E150" s="97" t="str">
        <f t="shared" si="2"/>
        <v>MARSHALLTOWN</v>
      </c>
      <c r="F150" t="str">
        <f>INDEX(DistrictsMatchNametoNum!$C$2:$H$326,MATCH('Dec100%_DOR PDF'!E150,DistrictsMatchNametoNum!$H$2:$H$326,0),1)</f>
        <v>4104</v>
      </c>
      <c r="K150" s="4"/>
    </row>
    <row r="151" spans="1:11" x14ac:dyDescent="0.25">
      <c r="A151" s="70" t="s">
        <v>1922</v>
      </c>
      <c r="B151" s="33">
        <v>45546.03</v>
      </c>
      <c r="C151" s="1"/>
      <c r="D151" s="1"/>
      <c r="E151" s="97" t="str">
        <f t="shared" si="2"/>
        <v>MARTENSDALE-ST MARYS</v>
      </c>
      <c r="F151" t="str">
        <f>INDEX(DistrictsMatchNametoNum!$C$2:$H$326,MATCH('Dec100%_DOR PDF'!E151,DistrictsMatchNametoNum!$H$2:$H$326,0),1)</f>
        <v>4122</v>
      </c>
      <c r="K151" s="4"/>
    </row>
    <row r="152" spans="1:11" x14ac:dyDescent="0.25">
      <c r="A152" s="3" t="s">
        <v>2030</v>
      </c>
      <c r="B152" s="33">
        <v>370604.79999999999</v>
      </c>
      <c r="C152" s="1"/>
      <c r="D152" s="1"/>
      <c r="E152" s="97" t="str">
        <f t="shared" si="2"/>
        <v>MASON CITY</v>
      </c>
      <c r="F152" t="str">
        <f>INDEX(DistrictsMatchNametoNum!$C$2:$H$326,MATCH('Dec100%_DOR PDF'!E152,DistrictsMatchNametoNum!$H$2:$H$326,0),1)</f>
        <v>4131</v>
      </c>
      <c r="K152" s="4"/>
    </row>
    <row r="153" spans="1:11" x14ac:dyDescent="0.25">
      <c r="A153" s="3" t="s">
        <v>1991</v>
      </c>
      <c r="B153" s="33">
        <v>402141.32</v>
      </c>
      <c r="C153" s="1"/>
      <c r="D153" s="1"/>
      <c r="E153" s="97" t="str">
        <f t="shared" si="2"/>
        <v>MEDIAPOLIS</v>
      </c>
      <c r="F153" t="str">
        <f>INDEX(DistrictsMatchNametoNum!$C$2:$H$326,MATCH('Dec100%_DOR PDF'!E153,DistrictsMatchNametoNum!$H$2:$H$326,0),1)</f>
        <v>4203</v>
      </c>
      <c r="K153" s="4"/>
    </row>
    <row r="154" spans="1:11" x14ac:dyDescent="0.25">
      <c r="A154" s="3" t="s">
        <v>1911</v>
      </c>
      <c r="B154" s="33">
        <v>13122.02</v>
      </c>
      <c r="C154" s="1"/>
      <c r="D154" s="1"/>
      <c r="E154" s="97" t="str">
        <f t="shared" si="2"/>
        <v>MELCHER-DALLAS</v>
      </c>
      <c r="F154" t="str">
        <f>INDEX(DistrictsMatchNametoNum!$C$2:$H$326,MATCH('Dec100%_DOR PDF'!E154,DistrictsMatchNametoNum!$H$2:$H$326,0),1)</f>
        <v>4212</v>
      </c>
      <c r="K154" s="4"/>
    </row>
    <row r="155" spans="1:11" x14ac:dyDescent="0.25">
      <c r="A155" s="3" t="s">
        <v>1916</v>
      </c>
      <c r="B155" s="33">
        <v>388292.83</v>
      </c>
      <c r="C155" s="1"/>
      <c r="D155" s="1"/>
      <c r="E155" s="97" t="str">
        <f t="shared" si="2"/>
        <v>MFL MAR MAC</v>
      </c>
      <c r="F155" t="str">
        <f>INDEX(DistrictsMatchNametoNum!$C$2:$H$326,MATCH('Dec100%_DOR PDF'!E155,DistrictsMatchNametoNum!$H$2:$H$326,0),1)</f>
        <v>4419</v>
      </c>
      <c r="K155" s="4"/>
    </row>
    <row r="156" spans="1:11" x14ac:dyDescent="0.25">
      <c r="A156" s="3" t="s">
        <v>2016</v>
      </c>
      <c r="B156" s="33">
        <v>350135.77</v>
      </c>
      <c r="C156" s="1"/>
      <c r="D156" s="1"/>
      <c r="E156" s="97" t="str">
        <f t="shared" si="2"/>
        <v>MIDLAND</v>
      </c>
      <c r="F156" t="str">
        <f>INDEX(DistrictsMatchNametoNum!$C$2:$H$326,MATCH('Dec100%_DOR PDF'!E156,DistrictsMatchNametoNum!$H$2:$H$326,0),1)</f>
        <v>4269</v>
      </c>
      <c r="K156" s="4"/>
    </row>
    <row r="157" spans="1:11" x14ac:dyDescent="0.25">
      <c r="A157" s="3" t="s">
        <v>1962</v>
      </c>
      <c r="B157" s="33">
        <v>837749.08</v>
      </c>
      <c r="C157" s="1"/>
      <c r="D157" s="1"/>
      <c r="E157" s="97" t="str">
        <f t="shared" si="2"/>
        <v>MID-PRAIRIE</v>
      </c>
      <c r="F157" t="str">
        <f>INDEX(DistrictsMatchNametoNum!$C$2:$H$326,MATCH('Dec100%_DOR PDF'!E157,DistrictsMatchNametoNum!$H$2:$H$326,0),1)</f>
        <v>4271</v>
      </c>
      <c r="K157" s="4"/>
    </row>
    <row r="158" spans="1:11" x14ac:dyDescent="0.25">
      <c r="A158" s="3" t="s">
        <v>1969</v>
      </c>
      <c r="B158" s="33">
        <v>36470.81</v>
      </c>
      <c r="C158" s="1"/>
      <c r="D158" s="1"/>
      <c r="E158" s="97" t="str">
        <f t="shared" si="2"/>
        <v>MISSOURI VALLEY</v>
      </c>
      <c r="F158" t="str">
        <f>INDEX(DistrictsMatchNametoNum!$C$2:$H$326,MATCH('Dec100%_DOR PDF'!E158,DistrictsMatchNametoNum!$H$2:$H$326,0),1)</f>
        <v>4356</v>
      </c>
      <c r="K158" s="4"/>
    </row>
    <row r="159" spans="1:11" x14ac:dyDescent="0.25">
      <c r="A159" s="3" t="s">
        <v>1932</v>
      </c>
      <c r="B159" s="33">
        <v>242239.61</v>
      </c>
      <c r="C159" s="1"/>
      <c r="D159" s="1"/>
      <c r="E159" s="97" t="str">
        <f t="shared" si="2"/>
        <v>MOC-FLOYD VALLEY</v>
      </c>
      <c r="F159" t="str">
        <f>INDEX(DistrictsMatchNametoNum!$C$2:$H$326,MATCH('Dec100%_DOR PDF'!E159,DistrictsMatchNametoNum!$H$2:$H$326,0),1)</f>
        <v>4149</v>
      </c>
      <c r="K159" s="4"/>
    </row>
    <row r="160" spans="1:11" x14ac:dyDescent="0.25">
      <c r="A160" s="3" t="s">
        <v>2022</v>
      </c>
      <c r="B160" s="33">
        <v>250696.38</v>
      </c>
      <c r="C160" s="1"/>
      <c r="D160" s="1"/>
      <c r="E160" s="97" t="str">
        <f t="shared" si="2"/>
        <v>MONTEZUMA</v>
      </c>
      <c r="F160" t="str">
        <f>INDEX(DistrictsMatchNametoNum!$C$2:$H$326,MATCH('Dec100%_DOR PDF'!E160,DistrictsMatchNametoNum!$H$2:$H$326,0),1)</f>
        <v>4437</v>
      </c>
      <c r="K160" s="4"/>
    </row>
    <row r="161" spans="1:11" x14ac:dyDescent="0.25">
      <c r="A161" s="3" t="s">
        <v>1939</v>
      </c>
      <c r="B161" s="33">
        <v>425667.65</v>
      </c>
      <c r="C161" s="1"/>
      <c r="D161" s="1"/>
      <c r="E161" s="97" t="str">
        <f t="shared" si="2"/>
        <v>MONTICELLO</v>
      </c>
      <c r="F161" t="str">
        <f>INDEX(DistrictsMatchNametoNum!$C$2:$H$326,MATCH('Dec100%_DOR PDF'!E161,DistrictsMatchNametoNum!$H$2:$H$326,0),1)</f>
        <v>4446</v>
      </c>
      <c r="K161" s="4"/>
    </row>
    <row r="162" spans="1:11" x14ac:dyDescent="0.25">
      <c r="A162" s="3" t="s">
        <v>1835</v>
      </c>
      <c r="B162" s="33">
        <v>92395.96</v>
      </c>
      <c r="C162" s="1"/>
      <c r="D162" s="1"/>
      <c r="E162" s="97" t="str">
        <f t="shared" si="2"/>
        <v>MORAVIA</v>
      </c>
      <c r="F162" t="str">
        <f>INDEX(DistrictsMatchNametoNum!$C$2:$H$326,MATCH('Dec100%_DOR PDF'!E162,DistrictsMatchNametoNum!$H$2:$H$326,0),1)</f>
        <v>4491</v>
      </c>
      <c r="K162" s="4"/>
    </row>
    <row r="163" spans="1:11" x14ac:dyDescent="0.25">
      <c r="A163" s="3" t="s">
        <v>2032</v>
      </c>
      <c r="B163" s="33">
        <v>112960.63</v>
      </c>
      <c r="C163" s="1"/>
      <c r="D163" s="1"/>
      <c r="E163" s="97" t="str">
        <f t="shared" si="2"/>
        <v>MORMON TRAIL</v>
      </c>
      <c r="F163" t="str">
        <f>INDEX(DistrictsMatchNametoNum!$C$2:$H$326,MATCH('Dec100%_DOR PDF'!E163,DistrictsMatchNametoNum!$H$2:$H$326,0),1)</f>
        <v>4505</v>
      </c>
      <c r="K163" s="4"/>
    </row>
    <row r="164" spans="1:11" x14ac:dyDescent="0.25">
      <c r="A164" s="3" t="s">
        <v>1935</v>
      </c>
      <c r="B164" s="33">
        <v>79395.8</v>
      </c>
      <c r="C164" s="1"/>
      <c r="D164" s="1"/>
      <c r="E164" s="97" t="str">
        <f t="shared" si="2"/>
        <v>MORNING SUN</v>
      </c>
      <c r="F164" t="str">
        <f>INDEX(DistrictsMatchNametoNum!$C$2:$H$326,MATCH('Dec100%_DOR PDF'!E164,DistrictsMatchNametoNum!$H$2:$H$326,0),1)</f>
        <v>4509</v>
      </c>
      <c r="K164" s="4"/>
    </row>
    <row r="165" spans="1:11" x14ac:dyDescent="0.25">
      <c r="A165" s="3" t="s">
        <v>1886</v>
      </c>
      <c r="B165" s="33">
        <v>94572.99</v>
      </c>
      <c r="C165" s="1"/>
      <c r="D165" s="1"/>
      <c r="E165" s="97" t="str">
        <f t="shared" si="2"/>
        <v>MOULTON-UDELL</v>
      </c>
      <c r="F165" t="str">
        <f>INDEX(DistrictsMatchNametoNum!$C$2:$H$326,MATCH('Dec100%_DOR PDF'!E165,DistrictsMatchNametoNum!$H$2:$H$326,0),1)</f>
        <v>4518</v>
      </c>
      <c r="K165" s="4"/>
    </row>
    <row r="166" spans="1:11" x14ac:dyDescent="0.25">
      <c r="A166" s="3" t="s">
        <v>1864</v>
      </c>
      <c r="B166" s="33">
        <v>168899.29</v>
      </c>
      <c r="C166" s="1"/>
      <c r="D166" s="1"/>
      <c r="E166" s="97" t="str">
        <f t="shared" si="2"/>
        <v>MOUNT AYR</v>
      </c>
      <c r="F166" t="str">
        <f>INDEX(DistrictsMatchNametoNum!$C$2:$H$326,MATCH('Dec100%_DOR PDF'!E166,DistrictsMatchNametoNum!$H$2:$H$326,0),1)</f>
        <v>4527</v>
      </c>
      <c r="K166" s="4"/>
    </row>
    <row r="167" spans="1:11" x14ac:dyDescent="0.25">
      <c r="A167" s="3" t="s">
        <v>1867</v>
      </c>
      <c r="B167" s="33">
        <v>475819.68</v>
      </c>
      <c r="C167" s="1"/>
      <c r="D167" s="1"/>
      <c r="E167" s="97" t="str">
        <f t="shared" si="2"/>
        <v>MOUNT PLEASANT</v>
      </c>
      <c r="F167" t="str">
        <f>INDEX(DistrictsMatchNametoNum!$C$2:$H$326,MATCH('Dec100%_DOR PDF'!E167,DistrictsMatchNametoNum!$H$2:$H$326,0),1)</f>
        <v>4536</v>
      </c>
      <c r="K167" s="4"/>
    </row>
    <row r="168" spans="1:11" x14ac:dyDescent="0.25">
      <c r="A168" s="3" t="s">
        <v>1844</v>
      </c>
      <c r="B168" s="33">
        <v>478369.59</v>
      </c>
      <c r="D168" s="1"/>
      <c r="E168" s="97" t="str">
        <f t="shared" si="2"/>
        <v>MOUNT VERNON</v>
      </c>
      <c r="F168" t="str">
        <f>INDEX(DistrictsMatchNametoNum!$C$2:$H$326,MATCH('Dec100%_DOR PDF'!E168,DistrictsMatchNametoNum!$H$2:$H$326,0),1)</f>
        <v>4554</v>
      </c>
      <c r="K168" s="4"/>
    </row>
    <row r="169" spans="1:11" x14ac:dyDescent="0.25">
      <c r="A169" s="3" t="s">
        <v>1889</v>
      </c>
      <c r="B169" s="33">
        <v>44699.08</v>
      </c>
      <c r="C169" s="1"/>
      <c r="D169" s="1"/>
      <c r="E169" s="97" t="str">
        <f t="shared" si="2"/>
        <v>MURRAY</v>
      </c>
      <c r="F169" t="str">
        <f>INDEX(DistrictsMatchNametoNum!$C$2:$H$326,MATCH('Dec100%_DOR PDF'!E169,DistrictsMatchNametoNum!$H$2:$H$326,0),1)</f>
        <v>4572</v>
      </c>
      <c r="K169" s="4"/>
    </row>
    <row r="170" spans="1:11" x14ac:dyDescent="0.25">
      <c r="A170" s="3" t="s">
        <v>1855</v>
      </c>
      <c r="B170" s="33">
        <v>294465.25</v>
      </c>
      <c r="C170" s="1"/>
      <c r="D170" s="1"/>
      <c r="E170" s="97" t="str">
        <f t="shared" si="2"/>
        <v>MUSCATINE</v>
      </c>
      <c r="F170" t="str">
        <f>INDEX(DistrictsMatchNametoNum!$C$2:$H$326,MATCH('Dec100%_DOR PDF'!E170,DistrictsMatchNametoNum!$H$2:$H$326,0),1)</f>
        <v>4581</v>
      </c>
      <c r="K170" s="4"/>
    </row>
    <row r="171" spans="1:11" x14ac:dyDescent="0.25">
      <c r="A171" s="3" t="s">
        <v>1877</v>
      </c>
      <c r="B171" s="33">
        <v>291869.84999999998</v>
      </c>
      <c r="C171" s="1"/>
      <c r="D171" s="1"/>
      <c r="E171" s="97" t="str">
        <f t="shared" si="2"/>
        <v>NASHUA-PLAINFIELD</v>
      </c>
      <c r="F171" t="str">
        <f>INDEX(DistrictsMatchNametoNum!$C$2:$H$326,MATCH('Dec100%_DOR PDF'!E171,DistrictsMatchNametoNum!$H$2:$H$326,0),1)</f>
        <v>4599</v>
      </c>
      <c r="K171" s="4"/>
    </row>
    <row r="172" spans="1:11" x14ac:dyDescent="0.25">
      <c r="A172" s="3" t="s">
        <v>1840</v>
      </c>
      <c r="B172" s="33">
        <v>550302.26</v>
      </c>
      <c r="C172" s="1"/>
      <c r="D172" s="1"/>
      <c r="E172" s="97" t="str">
        <f t="shared" si="2"/>
        <v>NEVADA</v>
      </c>
      <c r="F172" t="str">
        <f>INDEX(DistrictsMatchNametoNum!$C$2:$H$326,MATCH('Dec100%_DOR PDF'!E172,DistrictsMatchNametoNum!$H$2:$H$326,0),1)</f>
        <v>4617</v>
      </c>
      <c r="K172" s="4"/>
    </row>
    <row r="173" spans="1:11" x14ac:dyDescent="0.25">
      <c r="A173" s="3" t="s">
        <v>1861</v>
      </c>
      <c r="B173" s="33">
        <v>555475.81999999995</v>
      </c>
      <c r="C173" s="1"/>
      <c r="D173" s="1"/>
      <c r="E173" s="97" t="str">
        <f t="shared" si="2"/>
        <v>NEW HAMPTON</v>
      </c>
      <c r="F173" t="str">
        <f>INDEX(DistrictsMatchNametoNum!$C$2:$H$326,MATCH('Dec100%_DOR PDF'!E173,DistrictsMatchNametoNum!$H$2:$H$326,0),1)</f>
        <v>4662</v>
      </c>
      <c r="K173" s="4"/>
    </row>
    <row r="174" spans="1:11" x14ac:dyDescent="0.25">
      <c r="A174" s="3" t="s">
        <v>1872</v>
      </c>
      <c r="B174" s="33">
        <v>262468.34000000003</v>
      </c>
      <c r="C174" s="1"/>
      <c r="D174" s="1"/>
      <c r="E174" s="97" t="str">
        <f t="shared" si="2"/>
        <v>NEW LONDON</v>
      </c>
      <c r="F174" t="str">
        <f>INDEX(DistrictsMatchNametoNum!$C$2:$H$326,MATCH('Dec100%_DOR PDF'!E174,DistrictsMatchNametoNum!$H$2:$H$326,0),1)</f>
        <v>4689</v>
      </c>
      <c r="K174" s="4"/>
    </row>
    <row r="175" spans="1:11" x14ac:dyDescent="0.25">
      <c r="A175" s="3" t="s">
        <v>1882</v>
      </c>
      <c r="B175" s="33">
        <v>266803.59999999998</v>
      </c>
      <c r="C175" s="1"/>
      <c r="D175" s="1"/>
      <c r="E175" s="97" t="str">
        <f t="shared" si="2"/>
        <v>NEWELL-FONDA</v>
      </c>
      <c r="F175" t="str">
        <f>INDEX(DistrictsMatchNametoNum!$C$2:$H$326,MATCH('Dec100%_DOR PDF'!E175,DistrictsMatchNametoNum!$H$2:$H$326,0),1)</f>
        <v>4644</v>
      </c>
      <c r="K175" s="4"/>
    </row>
    <row r="176" spans="1:11" x14ac:dyDescent="0.25">
      <c r="A176" s="3" t="s">
        <v>1849</v>
      </c>
      <c r="B176" s="33">
        <v>1222977.83</v>
      </c>
      <c r="C176" s="1"/>
      <c r="D176" s="1"/>
      <c r="E176" s="97" t="str">
        <f t="shared" si="2"/>
        <v>NEWTON</v>
      </c>
      <c r="F176" t="str">
        <f>INDEX(DistrictsMatchNametoNum!$C$2:$H$326,MATCH('Dec100%_DOR PDF'!E176,DistrictsMatchNametoNum!$H$2:$H$326,0),1)</f>
        <v>4725</v>
      </c>
      <c r="K176" s="4"/>
    </row>
    <row r="177" spans="1:11" x14ac:dyDescent="0.25">
      <c r="A177" s="3" t="s">
        <v>1972</v>
      </c>
      <c r="B177" s="33">
        <v>293989.43</v>
      </c>
      <c r="C177" s="1"/>
      <c r="D177" s="1"/>
      <c r="E177" s="97" t="str">
        <f t="shared" si="2"/>
        <v>NODAWAY VALLEY</v>
      </c>
      <c r="F177" t="str">
        <f>INDEX(DistrictsMatchNametoNum!$C$2:$H$326,MATCH('Dec100%_DOR PDF'!E177,DistrictsMatchNametoNum!$H$2:$H$326,0),1)</f>
        <v>2673</v>
      </c>
      <c r="K177" s="4"/>
    </row>
    <row r="178" spans="1:11" x14ac:dyDescent="0.25">
      <c r="A178" s="3" t="s">
        <v>2061</v>
      </c>
      <c r="B178" s="33">
        <v>33875.300000000003</v>
      </c>
      <c r="C178" s="1"/>
      <c r="D178" s="1"/>
      <c r="E178" s="97" t="str">
        <f t="shared" si="2"/>
        <v>NORTH BUTLER</v>
      </c>
      <c r="F178" t="str">
        <f>INDEX(DistrictsMatchNametoNum!$C$2:$H$326,MATCH('Dec100%_DOR PDF'!E178,DistrictsMatchNametoNum!$H$2:$H$326,0),1)</f>
        <v>0153</v>
      </c>
      <c r="K178" s="4"/>
    </row>
    <row r="179" spans="1:11" x14ac:dyDescent="0.25">
      <c r="A179" s="3" t="s">
        <v>1982</v>
      </c>
      <c r="B179" s="33">
        <v>495584.56</v>
      </c>
      <c r="C179" s="1"/>
      <c r="D179" s="1"/>
      <c r="E179" s="97" t="str">
        <f t="shared" si="2"/>
        <v>NORTH CEDAR</v>
      </c>
      <c r="F179" t="str">
        <f>INDEX(DistrictsMatchNametoNum!$C$2:$H$326,MATCH('Dec100%_DOR PDF'!E179,DistrictsMatchNametoNum!$H$2:$H$326,0),1)</f>
        <v>3691</v>
      </c>
      <c r="K179" s="4"/>
    </row>
    <row r="180" spans="1:11" x14ac:dyDescent="0.25">
      <c r="A180" s="3" t="s">
        <v>1874</v>
      </c>
      <c r="B180" s="33">
        <v>534394.35</v>
      </c>
      <c r="C180" s="1"/>
      <c r="D180" s="1"/>
      <c r="E180" s="97" t="str">
        <f t="shared" si="2"/>
        <v>NORTH FAYETTE VALLEY</v>
      </c>
      <c r="F180" t="str">
        <f>INDEX(DistrictsMatchNametoNum!$C$2:$H$326,MATCH('Dec100%_DOR PDF'!E180,DistrictsMatchNametoNum!$H$2:$H$326,0),1)</f>
        <v>4774</v>
      </c>
      <c r="K180" s="4"/>
    </row>
    <row r="181" spans="1:11" x14ac:dyDescent="0.25">
      <c r="A181" s="3" t="s">
        <v>1819</v>
      </c>
      <c r="B181" s="33">
        <v>69130.320000000007</v>
      </c>
      <c r="C181" s="1"/>
      <c r="D181" s="1"/>
      <c r="E181" s="97" t="str">
        <f t="shared" si="2"/>
        <v>NORTH IOWA</v>
      </c>
      <c r="F181" t="str">
        <f>INDEX(DistrictsMatchNametoNum!$C$2:$H$326,MATCH('Dec100%_DOR PDF'!E181,DistrictsMatchNametoNum!$H$2:$H$326,0),1)</f>
        <v>0873</v>
      </c>
      <c r="K181" s="4"/>
    </row>
    <row r="182" spans="1:11" x14ac:dyDescent="0.25">
      <c r="A182" s="3" t="s">
        <v>1869</v>
      </c>
      <c r="B182" s="33">
        <v>79843.929999999993</v>
      </c>
      <c r="C182" s="1"/>
      <c r="D182" s="1"/>
      <c r="E182" s="97" t="str">
        <f t="shared" si="2"/>
        <v>NORTH KOSSUTH</v>
      </c>
      <c r="F182" t="str">
        <f>INDEX(DistrictsMatchNametoNum!$C$2:$H$326,MATCH('Dec100%_DOR PDF'!E182,DistrictsMatchNametoNum!$H$2:$H$326,0),1)</f>
        <v>4778</v>
      </c>
      <c r="K182" s="4"/>
    </row>
    <row r="183" spans="1:11" x14ac:dyDescent="0.25">
      <c r="A183" s="3" t="s">
        <v>1863</v>
      </c>
      <c r="B183" s="33">
        <v>41134.910000000003</v>
      </c>
      <c r="C183" s="1"/>
      <c r="D183" s="1"/>
      <c r="E183" s="97" t="str">
        <f t="shared" si="2"/>
        <v>NORTH LINN</v>
      </c>
      <c r="F183" t="str">
        <f>INDEX(DistrictsMatchNametoNum!$C$2:$H$326,MATCH('Dec100%_DOR PDF'!E183,DistrictsMatchNametoNum!$H$2:$H$326,0),1)</f>
        <v>4777</v>
      </c>
      <c r="K183" s="4"/>
    </row>
    <row r="184" spans="1:11" x14ac:dyDescent="0.25">
      <c r="A184" s="3" t="s">
        <v>1884</v>
      </c>
      <c r="B184" s="33">
        <v>65150.33</v>
      </c>
      <c r="D184" s="1"/>
      <c r="E184" s="97" t="str">
        <f t="shared" si="2"/>
        <v>NORTH MAHASKA</v>
      </c>
      <c r="F184" t="str">
        <f>INDEX(DistrictsMatchNametoNum!$C$2:$H$326,MATCH('Dec100%_DOR PDF'!E184,DistrictsMatchNametoNum!$H$2:$H$326,0),1)</f>
        <v>4776</v>
      </c>
      <c r="K184" s="4"/>
    </row>
    <row r="185" spans="1:11" x14ac:dyDescent="0.25">
      <c r="A185" s="3" t="s">
        <v>1846</v>
      </c>
      <c r="B185" s="33">
        <v>833275.48</v>
      </c>
      <c r="D185" s="1"/>
      <c r="E185" s="97" t="str">
        <f t="shared" si="2"/>
        <v>NORTH POLK</v>
      </c>
      <c r="F185" t="str">
        <f>INDEX(DistrictsMatchNametoNum!$C$2:$H$326,MATCH('Dec100%_DOR PDF'!E185,DistrictsMatchNametoNum!$H$2:$H$326,0),1)</f>
        <v>4779</v>
      </c>
      <c r="K185" s="4"/>
    </row>
    <row r="186" spans="1:11" x14ac:dyDescent="0.25">
      <c r="A186" s="3" t="s">
        <v>1893</v>
      </c>
      <c r="B186" s="33">
        <v>243016.21</v>
      </c>
      <c r="C186" s="1"/>
      <c r="D186" s="1"/>
      <c r="E186" s="97" t="str">
        <f t="shared" si="2"/>
        <v>NORTH SCOTT</v>
      </c>
      <c r="F186" t="str">
        <f>INDEX(DistrictsMatchNametoNum!$C$2:$H$326,MATCH('Dec100%_DOR PDF'!E186,DistrictsMatchNametoNum!$H$2:$H$326,0),1)</f>
        <v>4784</v>
      </c>
      <c r="K186" s="4"/>
    </row>
    <row r="187" spans="1:11" x14ac:dyDescent="0.25">
      <c r="A187" s="3" t="s">
        <v>1858</v>
      </c>
      <c r="B187" s="33">
        <v>131232.42000000001</v>
      </c>
      <c r="C187" s="1"/>
      <c r="D187" s="1"/>
      <c r="E187" s="97" t="str">
        <f t="shared" si="2"/>
        <v>NORTH TAMA</v>
      </c>
      <c r="F187" t="str">
        <f>INDEX(DistrictsMatchNametoNum!$C$2:$H$326,MATCH('Dec100%_DOR PDF'!E187,DistrictsMatchNametoNum!$H$2:$H$326,0),1)</f>
        <v>4785</v>
      </c>
      <c r="K187" s="4"/>
    </row>
    <row r="188" spans="1:11" x14ac:dyDescent="0.25">
      <c r="A188" s="3" t="s">
        <v>2044</v>
      </c>
      <c r="B188" s="33">
        <v>199662.05</v>
      </c>
      <c r="C188" s="1"/>
      <c r="D188" s="1"/>
      <c r="E188" s="97" t="str">
        <f t="shared" si="2"/>
        <v>NORTH UNION</v>
      </c>
      <c r="F188" t="str">
        <f>INDEX(DistrictsMatchNametoNum!$C$2:$H$326,MATCH('Dec100%_DOR PDF'!E188,DistrictsMatchNametoNum!$H$2:$H$326,0),1)</f>
        <v>0333</v>
      </c>
      <c r="K188" s="4"/>
    </row>
    <row r="189" spans="1:11" x14ac:dyDescent="0.25">
      <c r="A189" s="3" t="s">
        <v>1851</v>
      </c>
      <c r="B189" s="33">
        <v>258394.79</v>
      </c>
      <c r="D189" s="1"/>
      <c r="E189" s="97" t="str">
        <f t="shared" si="2"/>
        <v>NORTHEAST</v>
      </c>
      <c r="F189" t="str">
        <f>INDEX(DistrictsMatchNametoNum!$C$2:$H$326,MATCH('Dec100%_DOR PDF'!E189,DistrictsMatchNametoNum!$H$2:$H$326,0),1)</f>
        <v>4773</v>
      </c>
      <c r="K189" s="4"/>
    </row>
    <row r="190" spans="1:11" x14ac:dyDescent="0.25">
      <c r="A190" s="3" t="s">
        <v>1836</v>
      </c>
      <c r="B190" s="33">
        <v>142188.54</v>
      </c>
      <c r="C190" s="1"/>
      <c r="D190" s="1"/>
      <c r="E190" s="97" t="str">
        <f t="shared" si="2"/>
        <v>NORTHWOOD-KENSETT</v>
      </c>
      <c r="F190" t="str">
        <f>INDEX(DistrictsMatchNametoNum!$C$2:$H$326,MATCH('Dec100%_DOR PDF'!E190,DistrictsMatchNametoNum!$H$2:$H$326,0),1)</f>
        <v>4788</v>
      </c>
      <c r="K190" s="4"/>
    </row>
    <row r="191" spans="1:11" x14ac:dyDescent="0.25">
      <c r="A191" s="11" t="s">
        <v>2094</v>
      </c>
      <c r="B191" s="33">
        <v>140868.14000000001</v>
      </c>
      <c r="D191" s="1"/>
      <c r="E191" s="97" t="str">
        <f t="shared" si="2"/>
        <v>ODEBOLT ARTHUR BATTLE CREEK IDA GROVE</v>
      </c>
      <c r="F191" t="str">
        <f>INDEX(DistrictsMatchNametoNum!$C$2:$H$326,MATCH('Dec100%_DOR PDF'!E191,DistrictsMatchNametoNum!$H$2:$H$326,0),1)</f>
        <v>4860</v>
      </c>
      <c r="K191" s="4"/>
    </row>
    <row r="192" spans="1:11" x14ac:dyDescent="0.25">
      <c r="A192" s="3" t="s">
        <v>1847</v>
      </c>
      <c r="B192" s="33">
        <v>505271.77</v>
      </c>
      <c r="C192" s="1"/>
      <c r="D192" s="1"/>
      <c r="E192" s="97" t="str">
        <f t="shared" si="2"/>
        <v>OELWEIN</v>
      </c>
      <c r="F192" t="str">
        <f>INDEX(DistrictsMatchNametoNum!$C$2:$H$326,MATCH('Dec100%_DOR PDF'!E192,DistrictsMatchNametoNum!$H$2:$H$326,0),1)</f>
        <v>4869</v>
      </c>
      <c r="K192" s="4"/>
    </row>
    <row r="193" spans="1:11" x14ac:dyDescent="0.25">
      <c r="A193" s="3" t="s">
        <v>1894</v>
      </c>
      <c r="B193" s="33">
        <v>163147.01</v>
      </c>
      <c r="C193" s="1"/>
      <c r="D193" s="1"/>
      <c r="E193" s="97" t="str">
        <f t="shared" si="2"/>
        <v>OGDEN</v>
      </c>
      <c r="F193" t="str">
        <f>INDEX(DistrictsMatchNametoNum!$C$2:$H$326,MATCH('Dec100%_DOR PDF'!E193,DistrictsMatchNametoNum!$H$2:$H$326,0),1)</f>
        <v>4878</v>
      </c>
      <c r="K193" s="4"/>
    </row>
    <row r="194" spans="1:11" x14ac:dyDescent="0.25">
      <c r="A194" s="3" t="s">
        <v>1852</v>
      </c>
      <c r="B194" s="33">
        <v>192239.17</v>
      </c>
      <c r="C194" s="1"/>
      <c r="D194" s="1"/>
      <c r="E194" s="97" t="str">
        <f t="shared" si="2"/>
        <v>OKOBOJI</v>
      </c>
      <c r="F194" t="str">
        <f>INDEX(DistrictsMatchNametoNum!$C$2:$H$326,MATCH('Dec100%_DOR PDF'!E194,DistrictsMatchNametoNum!$H$2:$H$326,0),1)</f>
        <v>4890</v>
      </c>
      <c r="K194" s="4"/>
    </row>
    <row r="195" spans="1:11" x14ac:dyDescent="0.25">
      <c r="A195" s="3" t="s">
        <v>1875</v>
      </c>
      <c r="B195" s="33">
        <v>11299.71</v>
      </c>
      <c r="C195" s="1"/>
      <c r="D195" s="1"/>
      <c r="E195" s="97" t="str">
        <f t="shared" si="2"/>
        <v>OLIN</v>
      </c>
      <c r="F195" t="str">
        <f>INDEX(DistrictsMatchNametoNum!$C$2:$H$326,MATCH('Dec100%_DOR PDF'!E195,DistrictsMatchNametoNum!$H$2:$H$326,0),1)</f>
        <v>4905</v>
      </c>
      <c r="K195" s="4"/>
    </row>
    <row r="196" spans="1:11" x14ac:dyDescent="0.25">
      <c r="A196" s="3" t="s">
        <v>1842</v>
      </c>
      <c r="B196" s="33">
        <v>104774.8</v>
      </c>
      <c r="C196" s="1"/>
      <c r="D196" s="1"/>
      <c r="E196" s="97" t="str">
        <f t="shared" ref="E196:E259" si="3">SUBSTITUTE(A196," - SCHOOL SURTAX PENDING","")</f>
        <v>ORIENT-MACKSBURG</v>
      </c>
      <c r="F196" t="str">
        <f>INDEX(DistrictsMatchNametoNum!$C$2:$H$326,MATCH('Dec100%_DOR PDF'!E196,DistrictsMatchNametoNum!$H$2:$H$326,0),1)</f>
        <v>4978</v>
      </c>
      <c r="K196" s="4"/>
    </row>
    <row r="197" spans="1:11" x14ac:dyDescent="0.25">
      <c r="A197" s="3" t="s">
        <v>1885</v>
      </c>
      <c r="B197" s="33">
        <v>135212.37</v>
      </c>
      <c r="C197" s="1"/>
      <c r="D197" s="1"/>
      <c r="E197" s="97" t="str">
        <f t="shared" si="3"/>
        <v>OSAGE</v>
      </c>
      <c r="F197" t="str">
        <f>INDEX(DistrictsMatchNametoNum!$C$2:$H$326,MATCH('Dec100%_DOR PDF'!E197,DistrictsMatchNametoNum!$H$2:$H$326,0),1)</f>
        <v>4995</v>
      </c>
      <c r="K197" s="4"/>
    </row>
    <row r="198" spans="1:11" x14ac:dyDescent="0.25">
      <c r="A198" s="3" t="s">
        <v>1821</v>
      </c>
      <c r="B198" s="33">
        <v>622103.26</v>
      </c>
      <c r="C198" s="1"/>
      <c r="D198" s="1"/>
      <c r="E198" s="97" t="str">
        <f t="shared" si="3"/>
        <v>OSKALOOSA</v>
      </c>
      <c r="F198" t="str">
        <f>INDEX(DistrictsMatchNametoNum!$C$2:$H$326,MATCH('Dec100%_DOR PDF'!E198,DistrictsMatchNametoNum!$H$2:$H$326,0),1)</f>
        <v>5013</v>
      </c>
      <c r="K198" s="4"/>
    </row>
    <row r="199" spans="1:11" x14ac:dyDescent="0.25">
      <c r="A199" s="3" t="s">
        <v>1800</v>
      </c>
      <c r="B199" s="33">
        <v>663825.78</v>
      </c>
      <c r="C199" s="1"/>
      <c r="D199" s="1"/>
      <c r="E199" s="97" t="str">
        <f t="shared" si="3"/>
        <v>OTTUMWA</v>
      </c>
      <c r="F199" t="str">
        <f>INDEX(DistrictsMatchNametoNum!$C$2:$H$326,MATCH('Dec100%_DOR PDF'!E199,DistrictsMatchNametoNum!$H$2:$H$326,0),1)</f>
        <v>5049</v>
      </c>
      <c r="K199" s="4"/>
    </row>
    <row r="200" spans="1:11" x14ac:dyDescent="0.25">
      <c r="A200" s="3" t="s">
        <v>1810</v>
      </c>
      <c r="B200" s="33">
        <v>238018.23</v>
      </c>
      <c r="C200" s="1"/>
      <c r="D200" s="1"/>
      <c r="E200" s="97" t="str">
        <f t="shared" si="3"/>
        <v>PANORAMA</v>
      </c>
      <c r="F200" t="str">
        <f>INDEX(DistrictsMatchNametoNum!$C$2:$H$326,MATCH('Dec100%_DOR PDF'!E200,DistrictsMatchNametoNum!$H$2:$H$326,0),1)</f>
        <v>5121</v>
      </c>
      <c r="K200" s="4"/>
    </row>
    <row r="201" spans="1:11" x14ac:dyDescent="0.25">
      <c r="A201" s="3" t="s">
        <v>1791</v>
      </c>
      <c r="B201" s="33">
        <v>11614.85</v>
      </c>
      <c r="C201" s="1"/>
      <c r="D201" s="1"/>
      <c r="E201" s="97" t="str">
        <f t="shared" si="3"/>
        <v>PATON-CHURDAN</v>
      </c>
      <c r="F201" t="str">
        <f>INDEX(DistrictsMatchNametoNum!$C$2:$H$326,MATCH('Dec100%_DOR PDF'!E201,DistrictsMatchNametoNum!$H$2:$H$326,0),1)</f>
        <v>5139</v>
      </c>
      <c r="K201" s="4"/>
    </row>
    <row r="202" spans="1:11" x14ac:dyDescent="0.25">
      <c r="A202" s="3" t="s">
        <v>1829</v>
      </c>
      <c r="B202" s="33">
        <v>379663.53</v>
      </c>
      <c r="C202" s="1"/>
      <c r="D202" s="1"/>
      <c r="E202" s="97" t="str">
        <f t="shared" si="3"/>
        <v>PCM</v>
      </c>
      <c r="F202" t="str">
        <f>INDEX(DistrictsMatchNametoNum!$C$2:$H$326,MATCH('Dec100%_DOR PDF'!E202,DistrictsMatchNametoNum!$H$2:$H$326,0),1)</f>
        <v>5319</v>
      </c>
      <c r="K202" s="4"/>
    </row>
    <row r="203" spans="1:11" x14ac:dyDescent="0.25">
      <c r="A203" s="3" t="s">
        <v>1794</v>
      </c>
      <c r="B203" s="33">
        <v>222080.76</v>
      </c>
      <c r="C203" s="1"/>
      <c r="D203" s="1"/>
      <c r="E203" s="97" t="str">
        <f t="shared" si="3"/>
        <v>PEKIN</v>
      </c>
      <c r="F203" t="str">
        <f>INDEX(DistrictsMatchNametoNum!$C$2:$H$326,MATCH('Dec100%_DOR PDF'!E203,DistrictsMatchNametoNum!$H$2:$H$326,0),1)</f>
        <v>5163</v>
      </c>
      <c r="K203" s="4"/>
    </row>
    <row r="204" spans="1:11" x14ac:dyDescent="0.25">
      <c r="A204" s="3" t="s">
        <v>1813</v>
      </c>
      <c r="B204" s="33">
        <v>1083614.8999999999</v>
      </c>
      <c r="C204" s="1"/>
      <c r="D204" s="1"/>
      <c r="E204" s="97" t="str">
        <f t="shared" si="3"/>
        <v>PELLA</v>
      </c>
      <c r="F204" t="str">
        <f>INDEX(DistrictsMatchNametoNum!$C$2:$H$326,MATCH('Dec100%_DOR PDF'!E204,DistrictsMatchNametoNum!$H$2:$H$326,0),1)</f>
        <v>5166</v>
      </c>
      <c r="K204" s="4"/>
    </row>
    <row r="205" spans="1:11" x14ac:dyDescent="0.25">
      <c r="A205" s="3" t="s">
        <v>1784</v>
      </c>
      <c r="B205" s="33">
        <v>232062.78</v>
      </c>
      <c r="C205" s="1"/>
      <c r="D205" s="1"/>
      <c r="E205" s="97" t="str">
        <f t="shared" si="3"/>
        <v>PERRY</v>
      </c>
      <c r="F205" t="str">
        <f>INDEX(DistrictsMatchNametoNum!$C$2:$H$326,MATCH('Dec100%_DOR PDF'!E205,DistrictsMatchNametoNum!$H$2:$H$326,0),1)</f>
        <v>5184</v>
      </c>
      <c r="K205" s="4"/>
    </row>
    <row r="206" spans="1:11" x14ac:dyDescent="0.25">
      <c r="A206" s="3" t="s">
        <v>1803</v>
      </c>
      <c r="B206" s="33">
        <v>330737.03999999998</v>
      </c>
      <c r="C206" s="1"/>
      <c r="D206" s="1"/>
      <c r="E206" s="97" t="str">
        <f t="shared" si="3"/>
        <v>PLEASANTVILLE</v>
      </c>
      <c r="F206" t="str">
        <f>INDEX(DistrictsMatchNametoNum!$C$2:$H$326,MATCH('Dec100%_DOR PDF'!E206,DistrictsMatchNametoNum!$H$2:$H$326,0),1)</f>
        <v>5256</v>
      </c>
      <c r="K206" s="4"/>
    </row>
    <row r="207" spans="1:11" x14ac:dyDescent="0.25">
      <c r="A207" s="3" t="s">
        <v>1807</v>
      </c>
      <c r="B207" s="33">
        <v>399534.92</v>
      </c>
      <c r="C207" s="1"/>
      <c r="D207" s="1"/>
      <c r="E207" s="97" t="str">
        <f t="shared" si="3"/>
        <v>POCAHONTAS AREA</v>
      </c>
      <c r="F207" t="str">
        <f>INDEX(DistrictsMatchNametoNum!$C$2:$H$326,MATCH('Dec100%_DOR PDF'!E207,DistrictsMatchNametoNum!$H$2:$H$326,0),1)</f>
        <v>5283</v>
      </c>
      <c r="K207" s="4"/>
    </row>
    <row r="208" spans="1:11" x14ac:dyDescent="0.25">
      <c r="A208" s="3" t="s">
        <v>1787</v>
      </c>
      <c r="B208" s="33">
        <v>309053.01</v>
      </c>
      <c r="D208" s="1"/>
      <c r="E208" s="97" t="str">
        <f t="shared" si="3"/>
        <v>POSTVILLE</v>
      </c>
      <c r="F208" t="str">
        <f>INDEX(DistrictsMatchNametoNum!$C$2:$H$326,MATCH('Dec100%_DOR PDF'!E208,DistrictsMatchNametoNum!$H$2:$H$326,0),1)</f>
        <v>5310</v>
      </c>
      <c r="K208" s="4"/>
    </row>
    <row r="209" spans="1:11" x14ac:dyDescent="0.25">
      <c r="A209" s="3" t="s">
        <v>1780</v>
      </c>
      <c r="B209" s="33">
        <v>359672.08</v>
      </c>
      <c r="D209" s="1"/>
      <c r="E209" s="97" t="str">
        <f t="shared" si="3"/>
        <v>RED OAK</v>
      </c>
      <c r="F209" t="str">
        <f>INDEX(DistrictsMatchNametoNum!$C$2:$H$326,MATCH('Dec100%_DOR PDF'!E209,DistrictsMatchNametoNum!$H$2:$H$326,0),1)</f>
        <v>5463</v>
      </c>
      <c r="K209" s="4"/>
    </row>
    <row r="210" spans="1:11" x14ac:dyDescent="0.25">
      <c r="A210" s="3" t="s">
        <v>1820</v>
      </c>
      <c r="B210" s="33">
        <v>33741.51</v>
      </c>
      <c r="C210" s="1"/>
      <c r="D210" s="1"/>
      <c r="E210" s="97" t="str">
        <f t="shared" si="3"/>
        <v>REMSEN-UNION</v>
      </c>
      <c r="F210" t="str">
        <f>INDEX(DistrictsMatchNametoNum!$C$2:$H$326,MATCH('Dec100%_DOR PDF'!E210,DistrictsMatchNametoNum!$H$2:$H$326,0),1)</f>
        <v>5486</v>
      </c>
      <c r="K210" s="4"/>
    </row>
    <row r="211" spans="1:11" x14ac:dyDescent="0.25">
      <c r="A211" s="3" t="s">
        <v>1799</v>
      </c>
      <c r="B211" s="33">
        <v>195858.05</v>
      </c>
      <c r="C211" s="1"/>
      <c r="D211" s="1"/>
      <c r="E211" s="97" t="str">
        <f t="shared" si="3"/>
        <v>RICEVILLE</v>
      </c>
      <c r="F211" t="str">
        <f>INDEX(DistrictsMatchNametoNum!$C$2:$H$326,MATCH('Dec100%_DOR PDF'!E211,DistrictsMatchNametoNum!$H$2:$H$326,0),1)</f>
        <v>5508</v>
      </c>
      <c r="K211" s="4"/>
    </row>
    <row r="212" spans="1:11" x14ac:dyDescent="0.25">
      <c r="A212" s="3" t="s">
        <v>1923</v>
      </c>
      <c r="B212" s="33">
        <v>43149.21</v>
      </c>
      <c r="C212" s="1"/>
      <c r="D212" s="1"/>
      <c r="E212" s="97" t="str">
        <f t="shared" si="3"/>
        <v>RIVER VALLEY</v>
      </c>
      <c r="F212" t="str">
        <f>INDEX(DistrictsMatchNametoNum!$C$2:$H$326,MATCH('Dec100%_DOR PDF'!E212,DistrictsMatchNametoNum!$H$2:$H$326,0),1)</f>
        <v>1975</v>
      </c>
      <c r="K212" s="4"/>
    </row>
    <row r="213" spans="1:11" x14ac:dyDescent="0.25">
      <c r="A213" s="3" t="s">
        <v>1859</v>
      </c>
      <c r="B213" s="33">
        <v>349166.96</v>
      </c>
      <c r="D213" s="1"/>
      <c r="E213" s="97" t="str">
        <f t="shared" si="3"/>
        <v>RIVERSIDE</v>
      </c>
      <c r="F213" t="str">
        <f>INDEX(DistrictsMatchNametoNum!$C$2:$H$326,MATCH('Dec100%_DOR PDF'!E213,DistrictsMatchNametoNum!$H$2:$H$326,0),1)</f>
        <v>4824</v>
      </c>
      <c r="K213" s="4"/>
    </row>
    <row r="214" spans="1:11" x14ac:dyDescent="0.25">
      <c r="A214" s="3" t="s">
        <v>1790</v>
      </c>
      <c r="B214" s="33">
        <v>725120.94</v>
      </c>
      <c r="D214" s="1"/>
      <c r="E214" s="97" t="str">
        <f t="shared" si="3"/>
        <v>ROLAND-STORY</v>
      </c>
      <c r="F214" t="str">
        <f>INDEX(DistrictsMatchNametoNum!$C$2:$H$326,MATCH('Dec100%_DOR PDF'!E214,DistrictsMatchNametoNum!$H$2:$H$326,0),1)</f>
        <v>5643</v>
      </c>
      <c r="K214" s="4"/>
    </row>
    <row r="215" spans="1:11" x14ac:dyDescent="0.25">
      <c r="A215" s="3" t="s">
        <v>1832</v>
      </c>
      <c r="B215" s="33">
        <v>87730.4</v>
      </c>
      <c r="C215" s="1"/>
      <c r="D215" s="1"/>
      <c r="E215" s="97" t="str">
        <f t="shared" si="3"/>
        <v>RUDD-ROCKFORD-MARBLE ROCK</v>
      </c>
      <c r="F215" t="str">
        <f>INDEX(DistrictsMatchNametoNum!$C$2:$H$326,MATCH('Dec100%_DOR PDF'!E215,DistrictsMatchNametoNum!$H$2:$H$326,0),1)</f>
        <v>5697</v>
      </c>
      <c r="K215" s="4"/>
    </row>
    <row r="216" spans="1:11" x14ac:dyDescent="0.25">
      <c r="A216" s="3" t="s">
        <v>1795</v>
      </c>
      <c r="B216" s="33">
        <v>159939.84</v>
      </c>
      <c r="C216" s="1"/>
      <c r="D216" s="1"/>
      <c r="E216" s="97" t="str">
        <f t="shared" si="3"/>
        <v>RUTHVEN-AYRSHIRE</v>
      </c>
      <c r="F216" t="str">
        <f>INDEX(DistrictsMatchNametoNum!$C$2:$H$326,MATCH('Dec100%_DOR PDF'!E216,DistrictsMatchNametoNum!$H$2:$H$326,0),1)</f>
        <v>5724</v>
      </c>
      <c r="K216" s="4"/>
    </row>
    <row r="217" spans="1:11" x14ac:dyDescent="0.25">
      <c r="A217" s="3" t="s">
        <v>1826</v>
      </c>
      <c r="B217" s="33">
        <v>43444.54</v>
      </c>
      <c r="C217" s="1"/>
      <c r="D217" s="1"/>
      <c r="E217" s="97" t="str">
        <f t="shared" si="3"/>
        <v>SCHALLER-CRESTLAND</v>
      </c>
      <c r="F217" t="str">
        <f>INDEX(DistrictsMatchNametoNum!$C$2:$H$326,MATCH('Dec100%_DOR PDF'!E217,DistrictsMatchNametoNum!$H$2:$H$326,0),1)</f>
        <v>5823</v>
      </c>
      <c r="K217" s="4"/>
    </row>
    <row r="218" spans="1:11" x14ac:dyDescent="0.25">
      <c r="A218" s="3" t="s">
        <v>1805</v>
      </c>
      <c r="B218" s="33">
        <v>63013.78</v>
      </c>
      <c r="C218" s="1"/>
      <c r="D218" s="1"/>
      <c r="E218" s="97" t="str">
        <f t="shared" si="3"/>
        <v>SCHLESWIG</v>
      </c>
      <c r="F218" t="str">
        <f>INDEX(DistrictsMatchNametoNum!$C$2:$H$326,MATCH('Dec100%_DOR PDF'!E218,DistrictsMatchNametoNum!$H$2:$H$326,0),1)</f>
        <v>5832</v>
      </c>
      <c r="K218" s="4"/>
    </row>
    <row r="219" spans="1:11" x14ac:dyDescent="0.25">
      <c r="A219" s="3" t="s">
        <v>1786</v>
      </c>
      <c r="B219" s="33">
        <v>152645.04</v>
      </c>
      <c r="C219" s="1"/>
      <c r="D219" s="1"/>
      <c r="E219" s="97" t="str">
        <f t="shared" si="3"/>
        <v>SEYMOUR</v>
      </c>
      <c r="F219" t="str">
        <f>INDEX(DistrictsMatchNametoNum!$C$2:$H$326,MATCH('Dec100%_DOR PDF'!E219,DistrictsMatchNametoNum!$H$2:$H$326,0),1)</f>
        <v>5895</v>
      </c>
      <c r="K219" s="4"/>
    </row>
    <row r="220" spans="1:11" x14ac:dyDescent="0.25">
      <c r="A220" s="3" t="s">
        <v>1797</v>
      </c>
      <c r="B220" s="33">
        <v>554428.74</v>
      </c>
      <c r="C220" s="1"/>
      <c r="D220" s="1"/>
      <c r="E220" s="97" t="str">
        <f t="shared" si="3"/>
        <v>SHELDON</v>
      </c>
      <c r="F220" t="str">
        <f>INDEX(DistrictsMatchNametoNum!$C$2:$H$326,MATCH('Dec100%_DOR PDF'!E220,DistrictsMatchNametoNum!$H$2:$H$326,0),1)</f>
        <v>5949</v>
      </c>
      <c r="K220" s="4"/>
    </row>
    <row r="221" spans="1:11" x14ac:dyDescent="0.25">
      <c r="A221" s="3" t="s">
        <v>1817</v>
      </c>
      <c r="B221" s="33">
        <v>429061.56</v>
      </c>
      <c r="C221" s="1"/>
      <c r="D221" s="1"/>
      <c r="E221" s="97" t="str">
        <f t="shared" si="3"/>
        <v>SHENANDOAH</v>
      </c>
      <c r="F221" t="str">
        <f>INDEX(DistrictsMatchNametoNum!$C$2:$H$326,MATCH('Dec100%_DOR PDF'!E221,DistrictsMatchNametoNum!$H$2:$H$326,0),1)</f>
        <v>5976</v>
      </c>
      <c r="K221" s="4"/>
    </row>
    <row r="222" spans="1:11" x14ac:dyDescent="0.25">
      <c r="A222" s="3" t="s">
        <v>1782</v>
      </c>
      <c r="B222" s="33">
        <v>358893.39</v>
      </c>
      <c r="C222" s="1"/>
      <c r="D222" s="1"/>
      <c r="E222" s="97" t="str">
        <f t="shared" si="3"/>
        <v>SIBLEY-OCHEYEDAN</v>
      </c>
      <c r="F222" t="str">
        <f>INDEX(DistrictsMatchNametoNum!$C$2:$H$326,MATCH('Dec100%_DOR PDF'!E222,DistrictsMatchNametoNum!$H$2:$H$326,0),1)</f>
        <v>5994</v>
      </c>
      <c r="K222" s="4"/>
    </row>
    <row r="223" spans="1:11" x14ac:dyDescent="0.25">
      <c r="A223" s="3" t="s">
        <v>1822</v>
      </c>
      <c r="B223" s="33">
        <v>356022.18</v>
      </c>
      <c r="C223" s="1"/>
      <c r="D223" s="1"/>
      <c r="E223" s="97" t="str">
        <f t="shared" si="3"/>
        <v>SIDNEY</v>
      </c>
      <c r="F223" t="str">
        <f>INDEX(DistrictsMatchNametoNum!$C$2:$H$326,MATCH('Dec100%_DOR PDF'!E223,DistrictsMatchNametoNum!$H$2:$H$326,0),1)</f>
        <v>6003</v>
      </c>
      <c r="K223" s="4"/>
    </row>
    <row r="224" spans="1:11" x14ac:dyDescent="0.25">
      <c r="A224" s="3" t="s">
        <v>1936</v>
      </c>
      <c r="B224" s="33">
        <v>27813.58</v>
      </c>
      <c r="C224" s="1"/>
      <c r="D224" s="1"/>
      <c r="E224" s="97" t="str">
        <f t="shared" si="3"/>
        <v>SIGOURNEY</v>
      </c>
      <c r="F224" t="str">
        <f>INDEX(DistrictsMatchNametoNum!$C$2:$H$326,MATCH('Dec100%_DOR PDF'!E224,DistrictsMatchNametoNum!$H$2:$H$326,0),1)</f>
        <v>6012</v>
      </c>
      <c r="K224" s="4"/>
    </row>
    <row r="225" spans="1:11" x14ac:dyDescent="0.25">
      <c r="A225" s="3" t="s">
        <v>1995</v>
      </c>
      <c r="B225" s="33">
        <v>703444.59</v>
      </c>
      <c r="C225" s="1"/>
      <c r="D225" s="1"/>
      <c r="E225" s="97" t="str">
        <f t="shared" si="3"/>
        <v>SIOUX CENTER</v>
      </c>
      <c r="F225" t="str">
        <f>INDEX(DistrictsMatchNametoNum!$C$2:$H$326,MATCH('Dec100%_DOR PDF'!E225,DistrictsMatchNametoNum!$H$2:$H$326,0),1)</f>
        <v>6030</v>
      </c>
      <c r="K225" s="4"/>
    </row>
    <row r="226" spans="1:11" x14ac:dyDescent="0.25">
      <c r="A226" s="3" t="s">
        <v>2020</v>
      </c>
      <c r="B226" s="33">
        <v>146308.45000000001</v>
      </c>
      <c r="C226" s="1"/>
      <c r="D226" s="1"/>
      <c r="E226" s="97" t="str">
        <f t="shared" si="3"/>
        <v>SIOUX CENTRAL</v>
      </c>
      <c r="F226" t="str">
        <f>INDEX(DistrictsMatchNametoNum!$C$2:$H$326,MATCH('Dec100%_DOR PDF'!E226,DistrictsMatchNametoNum!$H$2:$H$326,0),1)</f>
        <v>6048</v>
      </c>
      <c r="K226" s="4"/>
    </row>
    <row r="227" spans="1:11" x14ac:dyDescent="0.25">
      <c r="A227" s="3" t="s">
        <v>1914</v>
      </c>
      <c r="B227" s="33">
        <v>2086372.09</v>
      </c>
      <c r="C227" s="1"/>
      <c r="D227" s="1"/>
      <c r="E227" s="97" t="str">
        <f t="shared" si="3"/>
        <v>SIOUX CITY</v>
      </c>
      <c r="F227" t="str">
        <f>INDEX(DistrictsMatchNametoNum!$C$2:$H$326,MATCH('Dec100%_DOR PDF'!E227,DistrictsMatchNametoNum!$H$2:$H$326,0),1)</f>
        <v>6039</v>
      </c>
      <c r="K227" s="4"/>
    </row>
    <row r="228" spans="1:11" x14ac:dyDescent="0.25">
      <c r="A228" s="3" t="s">
        <v>1968</v>
      </c>
      <c r="B228" s="33">
        <v>157387.04</v>
      </c>
      <c r="C228" s="1"/>
      <c r="D228" s="1"/>
      <c r="E228" s="97" t="str">
        <f t="shared" si="3"/>
        <v>SOLON</v>
      </c>
      <c r="F228" t="str">
        <f>INDEX(DistrictsMatchNametoNum!$C$2:$H$326,MATCH('Dec100%_DOR PDF'!E228,DistrictsMatchNametoNum!$H$2:$H$326,0),1)</f>
        <v>6093</v>
      </c>
      <c r="K228" s="4"/>
    </row>
    <row r="229" spans="1:11" x14ac:dyDescent="0.25">
      <c r="A229" s="3" t="s">
        <v>1966</v>
      </c>
      <c r="B229" s="33">
        <v>54219.06</v>
      </c>
      <c r="C229" s="1"/>
      <c r="D229" s="1"/>
      <c r="E229" s="97" t="str">
        <f t="shared" si="3"/>
        <v>SOUTH CENTRAL CALHOUN</v>
      </c>
      <c r="F229" t="str">
        <f>INDEX(DistrictsMatchNametoNum!$C$2:$H$326,MATCH('Dec100%_DOR PDF'!E229,DistrictsMatchNametoNum!$H$2:$H$326,0),1)</f>
        <v>6091</v>
      </c>
      <c r="K229" s="4"/>
    </row>
    <row r="230" spans="1:11" x14ac:dyDescent="0.25">
      <c r="A230" s="3" t="s">
        <v>2021</v>
      </c>
      <c r="B230" s="33">
        <v>318648.90999999997</v>
      </c>
      <c r="C230" s="1"/>
      <c r="D230" s="1"/>
      <c r="E230" s="97" t="str">
        <f t="shared" si="3"/>
        <v>SOUTH HAMILTON</v>
      </c>
      <c r="F230" t="str">
        <f>INDEX(DistrictsMatchNametoNum!$C$2:$H$326,MATCH('Dec100%_DOR PDF'!E230,DistrictsMatchNametoNum!$H$2:$H$326,0),1)</f>
        <v>6095</v>
      </c>
      <c r="K230" s="4"/>
    </row>
    <row r="231" spans="1:11" x14ac:dyDescent="0.25">
      <c r="A231" s="3" t="s">
        <v>1833</v>
      </c>
      <c r="B231" s="33">
        <v>429307.42</v>
      </c>
      <c r="C231" s="1"/>
      <c r="D231" s="1"/>
      <c r="E231" s="97" t="str">
        <f t="shared" si="3"/>
        <v>SOUTH O'BRIEN</v>
      </c>
      <c r="F231" t="str">
        <f>INDEX(DistrictsMatchNametoNum!$C$2:$H$326,MATCH('Dec100%_DOR PDF'!E231,DistrictsMatchNametoNum!$H$2:$H$326,0),1)</f>
        <v>5157</v>
      </c>
      <c r="K231" s="4"/>
    </row>
    <row r="232" spans="1:11" x14ac:dyDescent="0.25">
      <c r="A232" s="3" t="s">
        <v>1997</v>
      </c>
      <c r="B232" s="33">
        <v>46206.68</v>
      </c>
      <c r="C232" s="1"/>
      <c r="D232" s="1"/>
      <c r="E232" s="97" t="str">
        <f t="shared" si="3"/>
        <v>SOUTH PAGE</v>
      </c>
      <c r="F232" t="str">
        <f>INDEX(DistrictsMatchNametoNum!$C$2:$H$326,MATCH('Dec100%_DOR PDF'!E232,DistrictsMatchNametoNum!$H$2:$H$326,0),1)</f>
        <v>6097</v>
      </c>
      <c r="K232" s="4"/>
    </row>
    <row r="233" spans="1:11" x14ac:dyDescent="0.25">
      <c r="A233" s="3" t="s">
        <v>1903</v>
      </c>
      <c r="B233" s="33">
        <v>255359.09</v>
      </c>
      <c r="C233" s="1"/>
      <c r="D233" s="1"/>
      <c r="E233" s="97" t="str">
        <f t="shared" si="3"/>
        <v>SOUTH TAMA</v>
      </c>
      <c r="F233" t="str">
        <f>INDEX(DistrictsMatchNametoNum!$C$2:$H$326,MATCH('Dec100%_DOR PDF'!E233,DistrictsMatchNametoNum!$H$2:$H$326,0),1)</f>
        <v>6098</v>
      </c>
      <c r="K233" s="4"/>
    </row>
    <row r="234" spans="1:11" x14ac:dyDescent="0.25">
      <c r="A234" s="3" t="s">
        <v>2009</v>
      </c>
      <c r="B234" s="33">
        <v>244609.36</v>
      </c>
      <c r="C234" s="1"/>
      <c r="D234" s="1"/>
      <c r="E234" s="97" t="str">
        <f t="shared" si="3"/>
        <v>SOUTH WINNESHIEK</v>
      </c>
      <c r="F234" t="str">
        <f>INDEX(DistrictsMatchNametoNum!$C$2:$H$326,MATCH('Dec100%_DOR PDF'!E234,DistrictsMatchNametoNum!$H$2:$H$326,0),1)</f>
        <v>6100</v>
      </c>
      <c r="K234" s="4"/>
    </row>
    <row r="235" spans="1:11" x14ac:dyDescent="0.25">
      <c r="A235" s="3" t="s">
        <v>1955</v>
      </c>
      <c r="B235" s="33">
        <v>2861507.22</v>
      </c>
      <c r="C235" s="1"/>
      <c r="D235" s="1"/>
      <c r="E235" s="97" t="str">
        <f t="shared" si="3"/>
        <v>SOUTHEAST POLK</v>
      </c>
      <c r="F235" t="str">
        <f>INDEX(DistrictsMatchNametoNum!$C$2:$H$326,MATCH('Dec100%_DOR PDF'!E235,DistrictsMatchNametoNum!$H$2:$H$326,0),1)</f>
        <v>6101</v>
      </c>
      <c r="K235" s="4"/>
    </row>
    <row r="236" spans="1:11" x14ac:dyDescent="0.25">
      <c r="A236" s="3" t="s">
        <v>1938</v>
      </c>
      <c r="B236" s="33">
        <v>360508.47</v>
      </c>
      <c r="C236" s="1"/>
      <c r="D236" s="1"/>
      <c r="E236" s="97" t="str">
        <f t="shared" si="3"/>
        <v>SOUTHEAST VALLEY</v>
      </c>
      <c r="F236" t="str">
        <f>INDEX(DistrictsMatchNametoNum!$C$2:$H$326,MATCH('Dec100%_DOR PDF'!E236,DistrictsMatchNametoNum!$H$2:$H$326,0),1)</f>
        <v>6096</v>
      </c>
      <c r="K236" s="4"/>
    </row>
    <row r="237" spans="1:11" x14ac:dyDescent="0.25">
      <c r="A237" s="3" t="s">
        <v>1915</v>
      </c>
      <c r="B237" s="33">
        <v>162289.54</v>
      </c>
      <c r="C237" s="1"/>
      <c r="D237" s="1"/>
      <c r="E237" s="97" t="str">
        <f t="shared" si="3"/>
        <v>SOUTHEAST WARREN</v>
      </c>
      <c r="F237" t="str">
        <f>INDEX(DistrictsMatchNametoNum!$C$2:$H$326,MATCH('Dec100%_DOR PDF'!E237,DistrictsMatchNametoNum!$H$2:$H$326,0),1)</f>
        <v>6094</v>
      </c>
      <c r="K237" s="4"/>
    </row>
    <row r="238" spans="1:11" x14ac:dyDescent="0.25">
      <c r="A238" s="3" t="s">
        <v>1983</v>
      </c>
      <c r="B238" s="33">
        <v>549811.74</v>
      </c>
      <c r="C238" s="1"/>
      <c r="D238" s="1"/>
      <c r="E238" s="97" t="str">
        <f t="shared" si="3"/>
        <v>SPENCER</v>
      </c>
      <c r="F238" t="str">
        <f>INDEX(DistrictsMatchNametoNum!$C$2:$H$326,MATCH('Dec100%_DOR PDF'!E238,DistrictsMatchNametoNum!$H$2:$H$326,0),1)</f>
        <v>6102</v>
      </c>
      <c r="K238" s="4"/>
    </row>
    <row r="239" spans="1:11" x14ac:dyDescent="0.25">
      <c r="A239" s="3" t="s">
        <v>1927</v>
      </c>
      <c r="B239" s="33">
        <v>126351.47</v>
      </c>
      <c r="C239" s="1"/>
      <c r="D239" s="1"/>
      <c r="E239" s="97" t="str">
        <f t="shared" si="3"/>
        <v>SPIRIT LAKE</v>
      </c>
      <c r="F239" t="str">
        <f>INDEX(DistrictsMatchNametoNum!$C$2:$H$326,MATCH('Dec100%_DOR PDF'!E239,DistrictsMatchNametoNum!$H$2:$H$326,0),1)</f>
        <v>6120</v>
      </c>
      <c r="K239" s="4"/>
    </row>
    <row r="240" spans="1:11" x14ac:dyDescent="0.25">
      <c r="A240" s="3" t="s">
        <v>2036</v>
      </c>
      <c r="B240" s="33">
        <v>34611.56</v>
      </c>
      <c r="C240" s="1"/>
      <c r="D240" s="1"/>
      <c r="E240" s="97" t="str">
        <f t="shared" si="3"/>
        <v>SPRINGVILLE</v>
      </c>
      <c r="F240" t="str">
        <f>INDEX(DistrictsMatchNametoNum!$C$2:$H$326,MATCH('Dec100%_DOR PDF'!E240,DistrictsMatchNametoNum!$H$2:$H$326,0),1)</f>
        <v>6138</v>
      </c>
      <c r="K240" s="4"/>
    </row>
    <row r="241" spans="1:11" x14ac:dyDescent="0.25">
      <c r="A241" s="3" t="s">
        <v>1815</v>
      </c>
      <c r="B241" s="33">
        <v>288449.05</v>
      </c>
      <c r="C241" s="1"/>
      <c r="D241" s="1"/>
      <c r="E241" s="97" t="str">
        <f t="shared" si="3"/>
        <v>ST ANSGAR</v>
      </c>
      <c r="F241" t="str">
        <f>INDEX(DistrictsMatchNametoNum!$C$2:$H$326,MATCH('Dec100%_DOR PDF'!E241,DistrictsMatchNametoNum!$H$2:$H$326,0),1)</f>
        <v>5751</v>
      </c>
      <c r="K241" s="4"/>
    </row>
    <row r="242" spans="1:11" x14ac:dyDescent="0.25">
      <c r="A242" s="3" t="s">
        <v>1931</v>
      </c>
      <c r="B242" s="33">
        <v>23250.12</v>
      </c>
      <c r="C242" s="1"/>
      <c r="D242" s="1"/>
      <c r="E242" s="97" t="str">
        <f t="shared" si="3"/>
        <v>STANTON</v>
      </c>
      <c r="F242" t="str">
        <f>INDEX(DistrictsMatchNametoNum!$C$2:$H$326,MATCH('Dec100%_DOR PDF'!E242,DistrictsMatchNametoNum!$H$2:$H$326,0),1)</f>
        <v>6165</v>
      </c>
      <c r="K242" s="4"/>
    </row>
    <row r="243" spans="1:11" x14ac:dyDescent="0.25">
      <c r="A243" s="3" t="s">
        <v>1990</v>
      </c>
      <c r="B243" s="33">
        <v>62022.82</v>
      </c>
      <c r="C243" s="1"/>
      <c r="D243" s="1"/>
      <c r="E243" s="97" t="str">
        <f t="shared" si="3"/>
        <v>STARMONT</v>
      </c>
      <c r="F243" t="str">
        <f>INDEX(DistrictsMatchNametoNum!$C$2:$H$326,MATCH('Dec100%_DOR PDF'!E243,DistrictsMatchNametoNum!$H$2:$H$326,0),1)</f>
        <v>6175</v>
      </c>
      <c r="K243" s="4"/>
    </row>
    <row r="244" spans="1:11" x14ac:dyDescent="0.25">
      <c r="A244" s="3" t="s">
        <v>1910</v>
      </c>
      <c r="B244" s="33">
        <v>561275.47</v>
      </c>
      <c r="C244" s="1"/>
      <c r="D244" s="1"/>
      <c r="E244" s="97" t="str">
        <f t="shared" si="3"/>
        <v>STORM LAKE</v>
      </c>
      <c r="F244" t="str">
        <f>INDEX(DistrictsMatchNametoNum!$C$2:$H$326,MATCH('Dec100%_DOR PDF'!E244,DistrictsMatchNametoNum!$H$2:$H$326,0),1)</f>
        <v>6219</v>
      </c>
      <c r="K244" s="4"/>
    </row>
    <row r="245" spans="1:11" x14ac:dyDescent="0.25">
      <c r="A245" s="3" t="s">
        <v>2015</v>
      </c>
      <c r="B245" s="33">
        <v>46745.58</v>
      </c>
      <c r="C245" s="1"/>
      <c r="D245" s="1"/>
      <c r="E245" s="97" t="str">
        <f t="shared" si="3"/>
        <v>STRATFORD</v>
      </c>
      <c r="F245" t="str">
        <f>INDEX(DistrictsMatchNametoNum!$C$2:$H$326,MATCH('Dec100%_DOR PDF'!E245,DistrictsMatchNametoNum!$H$2:$H$326,0),1)</f>
        <v>6246</v>
      </c>
      <c r="K245" s="4"/>
    </row>
    <row r="246" spans="1:11" x14ac:dyDescent="0.25">
      <c r="A246" s="3" t="s">
        <v>1976</v>
      </c>
      <c r="B246" s="33">
        <v>478658.63</v>
      </c>
      <c r="C246" s="1"/>
      <c r="D246" s="1"/>
      <c r="E246" s="97" t="str">
        <f t="shared" si="3"/>
        <v>SUMNER-FREDERICKSBURG</v>
      </c>
      <c r="F246" t="str">
        <f>INDEX(DistrictsMatchNametoNum!$C$2:$H$326,MATCH('Dec100%_DOR PDF'!E246,DistrictsMatchNametoNum!$H$2:$H$326,0),1)</f>
        <v>6273</v>
      </c>
      <c r="K246" s="4"/>
    </row>
    <row r="247" spans="1:11" x14ac:dyDescent="0.25">
      <c r="A247" s="3" t="s">
        <v>1921</v>
      </c>
      <c r="B247" s="33">
        <v>582405.23</v>
      </c>
      <c r="C247" s="1"/>
      <c r="D247" s="1"/>
      <c r="E247" s="97" t="str">
        <f t="shared" si="3"/>
        <v>TIPTON</v>
      </c>
      <c r="F247" t="str">
        <f>INDEX(DistrictsMatchNametoNum!$C$2:$H$326,MATCH('Dec100%_DOR PDF'!E247,DistrictsMatchNametoNum!$H$2:$H$326,0),1)</f>
        <v>6408</v>
      </c>
      <c r="K247" s="4"/>
    </row>
    <row r="248" spans="1:11" x14ac:dyDescent="0.25">
      <c r="A248" s="3" t="s">
        <v>2028</v>
      </c>
      <c r="B248" s="33">
        <v>178238.93</v>
      </c>
      <c r="C248" s="1"/>
      <c r="D248" s="1"/>
      <c r="E248" s="97" t="str">
        <f t="shared" si="3"/>
        <v>TREYNOR</v>
      </c>
      <c r="F248" t="str">
        <f>INDEX(DistrictsMatchNametoNum!$C$2:$H$326,MATCH('Dec100%_DOR PDF'!E248,DistrictsMatchNametoNum!$H$2:$H$326,0),1)</f>
        <v>6453</v>
      </c>
      <c r="K248" s="4"/>
    </row>
    <row r="249" spans="1:11" x14ac:dyDescent="0.25">
      <c r="A249" s="3" t="s">
        <v>1946</v>
      </c>
      <c r="B249" s="33">
        <v>62618.52</v>
      </c>
      <c r="C249" s="1"/>
      <c r="D249" s="1"/>
      <c r="E249" s="97" t="str">
        <f t="shared" si="3"/>
        <v>TRI-CENTER</v>
      </c>
      <c r="F249" t="str">
        <f>INDEX(DistrictsMatchNametoNum!$C$2:$H$326,MATCH('Dec100%_DOR PDF'!E249,DistrictsMatchNametoNum!$H$2:$H$326,0),1)</f>
        <v>6460</v>
      </c>
      <c r="K249" s="4"/>
    </row>
    <row r="250" spans="1:11" x14ac:dyDescent="0.25">
      <c r="A250" s="3" t="s">
        <v>2003</v>
      </c>
      <c r="B250" s="33">
        <v>27016.16</v>
      </c>
      <c r="C250" s="1"/>
      <c r="D250" s="1"/>
      <c r="E250" s="97" t="str">
        <f t="shared" si="3"/>
        <v>TRI-COUNTY</v>
      </c>
      <c r="F250" t="str">
        <f>INDEX(DistrictsMatchNametoNum!$C$2:$H$326,MATCH('Dec100%_DOR PDF'!E250,DistrictsMatchNametoNum!$H$2:$H$326,0),1)</f>
        <v>6462</v>
      </c>
      <c r="K250" s="4"/>
    </row>
    <row r="251" spans="1:11" x14ac:dyDescent="0.25">
      <c r="A251" s="3" t="s">
        <v>1897</v>
      </c>
      <c r="B251" s="33">
        <v>163890.46</v>
      </c>
      <c r="C251" s="1"/>
      <c r="D251" s="1"/>
      <c r="E251" s="97" t="str">
        <f t="shared" si="3"/>
        <v>TRIPOLI</v>
      </c>
      <c r="F251" t="str">
        <f>INDEX(DistrictsMatchNametoNum!$C$2:$H$326,MATCH('Dec100%_DOR PDF'!E251,DistrictsMatchNametoNum!$H$2:$H$326,0),1)</f>
        <v>6471</v>
      </c>
      <c r="K251" s="4"/>
    </row>
    <row r="252" spans="1:11" x14ac:dyDescent="0.25">
      <c r="A252" s="3" t="s">
        <v>1947</v>
      </c>
      <c r="B252" s="33">
        <v>17676.830000000002</v>
      </c>
      <c r="C252" s="1"/>
      <c r="D252" s="1"/>
      <c r="E252" s="97" t="str">
        <f t="shared" si="3"/>
        <v>TWIN CEDARS</v>
      </c>
      <c r="F252" t="str">
        <f>INDEX(DistrictsMatchNametoNum!$C$2:$H$326,MATCH('Dec100%_DOR PDF'!E252,DistrictsMatchNametoNum!$H$2:$H$326,0),1)</f>
        <v>6512</v>
      </c>
      <c r="K252" s="4"/>
    </row>
    <row r="253" spans="1:11" x14ac:dyDescent="0.25">
      <c r="A253" s="3" t="s">
        <v>1977</v>
      </c>
      <c r="B253" s="33">
        <v>59755.48</v>
      </c>
      <c r="C253" s="1"/>
      <c r="D253" s="1"/>
      <c r="E253" s="97" t="str">
        <f t="shared" si="3"/>
        <v>TWIN RIVERS</v>
      </c>
      <c r="F253" t="str">
        <f>INDEX(DistrictsMatchNametoNum!$C$2:$H$326,MATCH('Dec100%_DOR PDF'!E253,DistrictsMatchNametoNum!$H$2:$H$326,0),1)</f>
        <v>6516</v>
      </c>
      <c r="K253" s="4"/>
    </row>
    <row r="254" spans="1:11" x14ac:dyDescent="0.25">
      <c r="A254" s="3" t="s">
        <v>1981</v>
      </c>
      <c r="B254" s="33">
        <v>506731.82</v>
      </c>
      <c r="D254" s="1"/>
      <c r="E254" s="97" t="str">
        <f t="shared" si="3"/>
        <v>UNION</v>
      </c>
      <c r="F254" t="str">
        <f>INDEX(DistrictsMatchNametoNum!$C$2:$H$326,MATCH('Dec100%_DOR PDF'!E254,DistrictsMatchNametoNum!$H$2:$H$326,0),1)</f>
        <v>1935</v>
      </c>
      <c r="K254" s="4"/>
    </row>
    <row r="255" spans="1:11" x14ac:dyDescent="0.25">
      <c r="A255" s="3" t="s">
        <v>2029</v>
      </c>
      <c r="B255" s="33">
        <v>32995.49</v>
      </c>
      <c r="C255" s="1"/>
      <c r="D255" s="1"/>
      <c r="E255" s="97" t="str">
        <f t="shared" si="3"/>
        <v>UNITED</v>
      </c>
      <c r="F255" t="str">
        <f>INDEX(DistrictsMatchNametoNum!$C$2:$H$326,MATCH('Dec100%_DOR PDF'!E255,DistrictsMatchNametoNum!$H$2:$H$326,0),1)</f>
        <v>6561</v>
      </c>
      <c r="K255" s="4"/>
    </row>
    <row r="256" spans="1:11" x14ac:dyDescent="0.25">
      <c r="A256" s="11" t="s">
        <v>2093</v>
      </c>
      <c r="B256" s="33">
        <v>498404.82</v>
      </c>
      <c r="C256" s="1"/>
      <c r="D256" s="1"/>
      <c r="E256" s="97" t="str">
        <f t="shared" si="3"/>
        <v>VAN BUREN County</v>
      </c>
      <c r="F256" t="str">
        <f>INDEX(DistrictsMatchNametoNum!$C$2:$H$326,MATCH('Dec100%_DOR PDF'!E256,DistrictsMatchNametoNum!$H$2:$H$326,0),1)</f>
        <v>6592</v>
      </c>
      <c r="K256" s="4"/>
    </row>
    <row r="257" spans="1:11" x14ac:dyDescent="0.25">
      <c r="A257" s="3" t="s">
        <v>1980</v>
      </c>
      <c r="B257" s="33">
        <v>390341.62</v>
      </c>
      <c r="C257" s="1"/>
      <c r="D257" s="1"/>
      <c r="E257" s="97" t="str">
        <f t="shared" si="3"/>
        <v>VAN METER</v>
      </c>
      <c r="F257" t="str">
        <f>INDEX(DistrictsMatchNametoNum!$C$2:$H$326,MATCH('Dec100%_DOR PDF'!E257,DistrictsMatchNametoNum!$H$2:$H$326,0),1)</f>
        <v>6615</v>
      </c>
      <c r="K257" s="4"/>
    </row>
    <row r="258" spans="1:11" x14ac:dyDescent="0.25">
      <c r="A258" s="3" t="s">
        <v>1924</v>
      </c>
      <c r="B258" s="33">
        <v>67215.58</v>
      </c>
      <c r="C258" s="1"/>
      <c r="D258" s="1"/>
      <c r="E258" s="97" t="str">
        <f t="shared" si="3"/>
        <v>VILLISCA</v>
      </c>
      <c r="F258" t="str">
        <f>INDEX(DistrictsMatchNametoNum!$C$2:$H$326,MATCH('Dec100%_DOR PDF'!E258,DistrictsMatchNametoNum!$H$2:$H$326,0),1)</f>
        <v>6651</v>
      </c>
      <c r="K258" s="4"/>
    </row>
    <row r="259" spans="1:11" x14ac:dyDescent="0.25">
      <c r="A259" s="3" t="s">
        <v>2033</v>
      </c>
      <c r="B259" s="33">
        <v>664416.27</v>
      </c>
      <c r="D259" s="1"/>
      <c r="E259" s="97" t="str">
        <f t="shared" si="3"/>
        <v>VINTON-SHELLSBURG</v>
      </c>
      <c r="F259" t="str">
        <f>INDEX(DistrictsMatchNametoNum!$C$2:$H$326,MATCH('Dec100%_DOR PDF'!E259,DistrictsMatchNametoNum!$H$2:$H$326,0),1)</f>
        <v>6660</v>
      </c>
      <c r="K259" s="4"/>
    </row>
    <row r="260" spans="1:11" x14ac:dyDescent="0.25">
      <c r="A260" s="3" t="s">
        <v>2019</v>
      </c>
      <c r="B260" s="33">
        <v>126876.48</v>
      </c>
      <c r="C260" s="1"/>
      <c r="D260" s="1"/>
      <c r="E260" s="97" t="str">
        <f t="shared" ref="E260:E287" si="4">SUBSTITUTE(A260," - SCHOOL SURTAX PENDING","")</f>
        <v>WAPELLO</v>
      </c>
      <c r="F260" t="str">
        <f>INDEX(DistrictsMatchNametoNum!$C$2:$H$326,MATCH('Dec100%_DOR PDF'!E260,DistrictsMatchNametoNum!$H$2:$H$326,0),1)</f>
        <v>6759</v>
      </c>
      <c r="K260" s="4"/>
    </row>
    <row r="261" spans="1:11" x14ac:dyDescent="0.25">
      <c r="A261" s="3" t="s">
        <v>1965</v>
      </c>
      <c r="B261" s="33">
        <v>408913.11</v>
      </c>
      <c r="D261" s="1"/>
      <c r="E261" s="97" t="str">
        <f t="shared" si="4"/>
        <v>WAPSIE VALLEY</v>
      </c>
      <c r="F261" t="str">
        <f>INDEX(DistrictsMatchNametoNum!$C$2:$H$326,MATCH('Dec100%_DOR PDF'!E261,DistrictsMatchNametoNum!$H$2:$H$326,0),1)</f>
        <v>6762</v>
      </c>
      <c r="K261" s="4"/>
    </row>
    <row r="262" spans="1:11" x14ac:dyDescent="0.25">
      <c r="A262" s="3" t="s">
        <v>1967</v>
      </c>
      <c r="B262" s="33">
        <v>786550.44</v>
      </c>
      <c r="C262" s="1"/>
      <c r="D262" s="1"/>
      <c r="E262" s="97" t="str">
        <f t="shared" si="4"/>
        <v>WASHINGTON</v>
      </c>
      <c r="F262" t="str">
        <f>INDEX(DistrictsMatchNametoNum!$C$2:$H$326,MATCH('Dec100%_DOR PDF'!E262,DistrictsMatchNametoNum!$H$2:$H$326,0),1)</f>
        <v>6768</v>
      </c>
      <c r="K262" s="4"/>
    </row>
    <row r="263" spans="1:11" x14ac:dyDescent="0.25">
      <c r="A263" s="3" t="s">
        <v>1937</v>
      </c>
      <c r="B263" s="33">
        <v>1023255.1</v>
      </c>
      <c r="D263" s="1"/>
      <c r="E263" s="97" t="str">
        <f t="shared" si="4"/>
        <v>WAVERLY-SHELL ROCK</v>
      </c>
      <c r="F263" t="str">
        <f>INDEX(DistrictsMatchNametoNum!$C$2:$H$326,MATCH('Dec100%_DOR PDF'!E263,DistrictsMatchNametoNum!$H$2:$H$326,0),1)</f>
        <v>6840</v>
      </c>
      <c r="K263" s="4"/>
    </row>
    <row r="264" spans="1:11" x14ac:dyDescent="0.25">
      <c r="A264" s="3" t="s">
        <v>1996</v>
      </c>
      <c r="B264" s="33">
        <v>79008</v>
      </c>
      <c r="C264" s="1"/>
      <c r="D264" s="1"/>
      <c r="E264" s="97" t="str">
        <f t="shared" si="4"/>
        <v>WAYNE</v>
      </c>
      <c r="F264" t="str">
        <f>INDEX(DistrictsMatchNametoNum!$C$2:$H$326,MATCH('Dec100%_DOR PDF'!E264,DistrictsMatchNametoNum!$H$2:$H$326,0),1)</f>
        <v>6854</v>
      </c>
      <c r="K264" s="4"/>
    </row>
    <row r="265" spans="1:11" x14ac:dyDescent="0.25">
      <c r="A265" s="3" t="s">
        <v>1902</v>
      </c>
      <c r="B265" s="33">
        <v>731786.32</v>
      </c>
      <c r="C265" s="1"/>
      <c r="D265" s="1"/>
      <c r="E265" s="97" t="str">
        <f t="shared" si="4"/>
        <v>WEBSTER CITY</v>
      </c>
      <c r="F265" t="str">
        <f>INDEX(DistrictsMatchNametoNum!$C$2:$H$326,MATCH('Dec100%_DOR PDF'!E265,DistrictsMatchNametoNum!$H$2:$H$326,0),1)</f>
        <v>6867</v>
      </c>
      <c r="K265" s="4"/>
    </row>
    <row r="266" spans="1:11" x14ac:dyDescent="0.25">
      <c r="A266" s="3" t="s">
        <v>1954</v>
      </c>
      <c r="B266" s="33">
        <v>119636.02</v>
      </c>
      <c r="C266" s="1"/>
      <c r="D266" s="1"/>
      <c r="E266" s="97" t="str">
        <f t="shared" si="4"/>
        <v>WEST BRANCH</v>
      </c>
      <c r="F266" t="str">
        <f>INDEX(DistrictsMatchNametoNum!$C$2:$H$326,MATCH('Dec100%_DOR PDF'!E266,DistrictsMatchNametoNum!$H$2:$H$326,0),1)</f>
        <v>6930</v>
      </c>
      <c r="K266" s="4"/>
    </row>
    <row r="267" spans="1:11" x14ac:dyDescent="0.25">
      <c r="A267" s="3" t="s">
        <v>1926</v>
      </c>
      <c r="B267" s="33">
        <v>81967.95</v>
      </c>
      <c r="C267" s="1"/>
      <c r="D267" s="1"/>
      <c r="E267" s="97" t="str">
        <f t="shared" si="4"/>
        <v>WEST CENTRAL</v>
      </c>
      <c r="F267" t="str">
        <f>INDEX(DistrictsMatchNametoNum!$C$2:$H$326,MATCH('Dec100%_DOR PDF'!E267,DistrictsMatchNametoNum!$H$2:$H$326,0),1)</f>
        <v>6943</v>
      </c>
      <c r="K267" s="4"/>
    </row>
    <row r="268" spans="1:11" x14ac:dyDescent="0.25">
      <c r="A268" s="3" t="s">
        <v>1961</v>
      </c>
      <c r="B268" s="33">
        <v>297873.64</v>
      </c>
      <c r="C268" s="1"/>
      <c r="D268" s="1"/>
      <c r="E268" s="97" t="str">
        <f t="shared" si="4"/>
        <v>WEST CENTRAL VALLEY</v>
      </c>
      <c r="F268" t="str">
        <f>INDEX(DistrictsMatchNametoNum!$C$2:$H$326,MATCH('Dec100%_DOR PDF'!E268,DistrictsMatchNametoNum!$H$2:$H$326,0),1)</f>
        <v>6264</v>
      </c>
      <c r="K268" s="4"/>
    </row>
    <row r="269" spans="1:11" x14ac:dyDescent="0.25">
      <c r="A269" s="3" t="s">
        <v>2035</v>
      </c>
      <c r="B269" s="33">
        <v>695317.82</v>
      </c>
      <c r="D269" s="1"/>
      <c r="E269" s="97" t="str">
        <f t="shared" si="4"/>
        <v>WEST DELAWARE CO</v>
      </c>
      <c r="F269" t="str">
        <f>INDEX(DistrictsMatchNametoNum!$C$2:$H$326,MATCH('Dec100%_DOR PDF'!E269,DistrictsMatchNametoNum!$H$2:$H$326,0),1)</f>
        <v>6950</v>
      </c>
      <c r="K269" s="4"/>
    </row>
    <row r="270" spans="1:11" x14ac:dyDescent="0.25">
      <c r="A270" s="3" t="s">
        <v>1828</v>
      </c>
      <c r="B270" s="33">
        <v>52409.74</v>
      </c>
      <c r="C270" s="1"/>
      <c r="D270" s="1"/>
      <c r="E270" s="97" t="str">
        <f t="shared" si="4"/>
        <v>WEST FORK</v>
      </c>
      <c r="F270" t="str">
        <f>INDEX(DistrictsMatchNametoNum!$C$2:$H$326,MATCH('Dec100%_DOR PDF'!E270,DistrictsMatchNametoNum!$H$2:$H$326,0),1)</f>
        <v>5922</v>
      </c>
      <c r="K270" s="4"/>
    </row>
    <row r="271" spans="1:11" x14ac:dyDescent="0.25">
      <c r="A271" s="3" t="s">
        <v>1818</v>
      </c>
      <c r="B271" s="33">
        <v>76203.009999999995</v>
      </c>
      <c r="D271" s="1"/>
      <c r="E271" s="97" t="str">
        <f t="shared" si="4"/>
        <v>WEST HANCOCK</v>
      </c>
      <c r="F271" t="str">
        <f>INDEX(DistrictsMatchNametoNum!$C$2:$H$326,MATCH('Dec100%_DOR PDF'!E271,DistrictsMatchNametoNum!$H$2:$H$326,0),1)</f>
        <v>0819</v>
      </c>
      <c r="K271" s="4"/>
    </row>
    <row r="272" spans="1:11" x14ac:dyDescent="0.25">
      <c r="A272" s="3" t="s">
        <v>1909</v>
      </c>
      <c r="B272" s="33">
        <v>60592.97</v>
      </c>
      <c r="C272" s="1"/>
      <c r="D272" s="1"/>
      <c r="E272" s="97" t="str">
        <f t="shared" si="4"/>
        <v>WEST HARRISON</v>
      </c>
      <c r="F272" t="str">
        <f>INDEX(DistrictsMatchNametoNum!$C$2:$H$326,MATCH('Dec100%_DOR PDF'!E272,DistrictsMatchNametoNum!$H$2:$H$326,0),1)</f>
        <v>6969</v>
      </c>
      <c r="K272" s="4"/>
    </row>
    <row r="273" spans="1:11" x14ac:dyDescent="0.25">
      <c r="A273" s="3" t="s">
        <v>2014</v>
      </c>
      <c r="B273" s="33">
        <v>126613.88</v>
      </c>
      <c r="C273" s="1"/>
      <c r="D273" s="1"/>
      <c r="E273" s="97" t="str">
        <f t="shared" si="4"/>
        <v>WEST LIBERTY</v>
      </c>
      <c r="F273" t="str">
        <f>INDEX(DistrictsMatchNametoNum!$C$2:$H$326,MATCH('Dec100%_DOR PDF'!E273,DistrictsMatchNametoNum!$H$2:$H$326,0),1)</f>
        <v>6975</v>
      </c>
      <c r="K273" s="4"/>
    </row>
    <row r="274" spans="1:11" x14ac:dyDescent="0.25">
      <c r="A274" s="3" t="s">
        <v>1960</v>
      </c>
      <c r="B274" s="33">
        <v>402446.14</v>
      </c>
      <c r="C274" s="1"/>
      <c r="D274" s="1"/>
      <c r="E274" s="97" t="str">
        <f t="shared" si="4"/>
        <v>WEST LYON</v>
      </c>
      <c r="F274" t="str">
        <f>INDEX(DistrictsMatchNametoNum!$C$2:$H$326,MATCH('Dec100%_DOR PDF'!E274,DistrictsMatchNametoNum!$H$2:$H$326,0),1)</f>
        <v>6983</v>
      </c>
      <c r="K274" s="4"/>
    </row>
    <row r="275" spans="1:11" x14ac:dyDescent="0.25">
      <c r="A275" s="3" t="s">
        <v>1975</v>
      </c>
      <c r="B275" s="33">
        <v>296709.45</v>
      </c>
      <c r="C275" s="1"/>
      <c r="D275" s="1"/>
      <c r="E275" s="97" t="str">
        <f t="shared" si="4"/>
        <v>WEST MARSHALL</v>
      </c>
      <c r="F275" t="str">
        <f>INDEX(DistrictsMatchNametoNum!$C$2:$H$326,MATCH('Dec100%_DOR PDF'!E275,DistrictsMatchNametoNum!$H$2:$H$326,0),1)</f>
        <v>6985</v>
      </c>
      <c r="K275" s="4"/>
    </row>
    <row r="276" spans="1:11" x14ac:dyDescent="0.25">
      <c r="A276" s="3" t="s">
        <v>1920</v>
      </c>
      <c r="B276" s="33">
        <v>130108.37</v>
      </c>
      <c r="D276" s="1"/>
      <c r="E276" s="97" t="str">
        <f t="shared" si="4"/>
        <v>WEST MONONA</v>
      </c>
      <c r="F276" t="str">
        <f>INDEX(DistrictsMatchNametoNum!$C$2:$H$326,MATCH('Dec100%_DOR PDF'!E276,DistrictsMatchNametoNum!$H$2:$H$326,0),1)</f>
        <v>6987</v>
      </c>
      <c r="K276" s="4"/>
    </row>
    <row r="277" spans="1:11" x14ac:dyDescent="0.25">
      <c r="A277" s="3" t="s">
        <v>2027</v>
      </c>
      <c r="B277" s="33">
        <v>43724.83</v>
      </c>
      <c r="C277" s="1"/>
      <c r="D277" s="1"/>
      <c r="E277" s="97" t="str">
        <f t="shared" si="4"/>
        <v>WEST SIOUX</v>
      </c>
      <c r="F277" t="str">
        <f>INDEX(DistrictsMatchNametoNum!$C$2:$H$326,MATCH('Dec100%_DOR PDF'!E277,DistrictsMatchNametoNum!$H$2:$H$326,0),1)</f>
        <v>6990</v>
      </c>
      <c r="K277" s="4"/>
    </row>
    <row r="278" spans="1:11" x14ac:dyDescent="0.25">
      <c r="A278" s="3" t="s">
        <v>1989</v>
      </c>
      <c r="B278" s="33">
        <v>1897285.09</v>
      </c>
      <c r="C278" s="1"/>
      <c r="D278" s="1"/>
      <c r="E278" s="97" t="str">
        <f t="shared" si="4"/>
        <v>WESTERN DUBUQUE CO</v>
      </c>
      <c r="F278" t="str">
        <f>INDEX(DistrictsMatchNametoNum!$C$2:$H$326,MATCH('Dec100%_DOR PDF'!E278,DistrictsMatchNametoNum!$H$2:$H$326,0),1)</f>
        <v>6961</v>
      </c>
      <c r="K278" s="4"/>
    </row>
    <row r="279" spans="1:11" x14ac:dyDescent="0.25">
      <c r="A279" s="3" t="s">
        <v>1945</v>
      </c>
      <c r="B279" s="33">
        <v>131554.12</v>
      </c>
      <c r="C279" s="1"/>
      <c r="D279" s="1"/>
      <c r="E279" s="97" t="str">
        <f t="shared" si="4"/>
        <v>WESTWOOD</v>
      </c>
      <c r="F279" t="str">
        <f>INDEX(DistrictsMatchNametoNum!$C$2:$H$326,MATCH('Dec100%_DOR PDF'!E279,DistrictsMatchNametoNum!$H$2:$H$326,0),1)</f>
        <v>6992</v>
      </c>
      <c r="K279" s="4"/>
    </row>
    <row r="280" spans="1:11" x14ac:dyDescent="0.25">
      <c r="A280" s="3" t="s">
        <v>2002</v>
      </c>
      <c r="B280" s="33">
        <v>54014.36</v>
      </c>
      <c r="C280" s="1"/>
      <c r="D280" s="1"/>
      <c r="E280" s="97" t="str">
        <f t="shared" si="4"/>
        <v>WHITING</v>
      </c>
      <c r="F280" t="str">
        <f>INDEX(DistrictsMatchNametoNum!$C$2:$H$326,MATCH('Dec100%_DOR PDF'!E280,DistrictsMatchNametoNum!$H$2:$H$326,0),1)</f>
        <v>7002</v>
      </c>
      <c r="K280" s="4"/>
    </row>
    <row r="281" spans="1:11" x14ac:dyDescent="0.25">
      <c r="A281" s="3" t="s">
        <v>1898</v>
      </c>
      <c r="B281" s="33">
        <v>630071.73</v>
      </c>
      <c r="D281" s="1"/>
      <c r="E281" s="97" t="str">
        <f t="shared" si="4"/>
        <v>WILLIAMSBURG</v>
      </c>
      <c r="F281" t="str">
        <f>INDEX(DistrictsMatchNametoNum!$C$2:$H$326,MATCH('Dec100%_DOR PDF'!E281,DistrictsMatchNametoNum!$H$2:$H$326,0),1)</f>
        <v>7029</v>
      </c>
      <c r="K281" s="4"/>
    </row>
    <row r="282" spans="1:11" x14ac:dyDescent="0.25">
      <c r="A282" s="3" t="s">
        <v>2005</v>
      </c>
      <c r="B282" s="1">
        <v>200816.66</v>
      </c>
      <c r="D282" s="1"/>
      <c r="E282" s="97" t="str">
        <f t="shared" si="4"/>
        <v>WILTON</v>
      </c>
      <c r="F282" t="str">
        <f>INDEX(DistrictsMatchNametoNum!$C$2:$H$326,MATCH('Dec100%_DOR PDF'!E282,DistrictsMatchNametoNum!$H$2:$H$326,0),1)</f>
        <v>7038</v>
      </c>
    </row>
    <row r="283" spans="1:11" x14ac:dyDescent="0.25">
      <c r="A283" s="3" t="s">
        <v>1949</v>
      </c>
      <c r="B283" s="33">
        <v>86228.800000000003</v>
      </c>
      <c r="E283" s="97" t="str">
        <f t="shared" si="4"/>
        <v>WINFIELD-MT UNION</v>
      </c>
      <c r="F283" t="str">
        <f>INDEX(DistrictsMatchNametoNum!$C$2:$H$326,MATCH('Dec100%_DOR PDF'!E283,DistrictsMatchNametoNum!$H$2:$H$326,0),1)</f>
        <v>7047</v>
      </c>
    </row>
    <row r="284" spans="1:11" x14ac:dyDescent="0.25">
      <c r="A284" s="3" t="s">
        <v>1857</v>
      </c>
      <c r="B284" s="33">
        <v>525305.92000000004</v>
      </c>
      <c r="E284" s="97" t="str">
        <f t="shared" si="4"/>
        <v>WINTERSET</v>
      </c>
      <c r="F284" t="str">
        <f>INDEX(DistrictsMatchNametoNum!$C$2:$H$326,MATCH('Dec100%_DOR PDF'!E284,DistrictsMatchNametoNum!$H$2:$H$326,0),1)</f>
        <v>7056</v>
      </c>
    </row>
    <row r="285" spans="1:11" x14ac:dyDescent="0.25">
      <c r="A285" s="3" t="s">
        <v>1879</v>
      </c>
      <c r="B285" s="33">
        <v>268720.71999999997</v>
      </c>
      <c r="E285" s="97" t="str">
        <f t="shared" si="4"/>
        <v>WOODBINE</v>
      </c>
      <c r="F285" t="str">
        <f>INDEX(DistrictsMatchNametoNum!$C$2:$H$326,MATCH('Dec100%_DOR PDF'!E285,DistrictsMatchNametoNum!$H$2:$H$326,0),1)</f>
        <v>7092</v>
      </c>
    </row>
    <row r="286" spans="1:11" x14ac:dyDescent="0.25">
      <c r="A286" t="s">
        <v>1837</v>
      </c>
      <c r="B286" s="33">
        <v>167745.54</v>
      </c>
      <c r="E286" s="97" t="str">
        <f t="shared" si="4"/>
        <v>WOODBURY CENTRAL</v>
      </c>
      <c r="F286" t="str">
        <f>INDEX(DistrictsMatchNametoNum!$C$2:$H$326,MATCH('Dec100%_DOR PDF'!E286,DistrictsMatchNametoNum!$H$2:$H$326,0),1)</f>
        <v>7098</v>
      </c>
    </row>
    <row r="287" spans="1:11" x14ac:dyDescent="0.25">
      <c r="A287" t="s">
        <v>1880</v>
      </c>
      <c r="B287" s="33">
        <v>96351.15</v>
      </c>
      <c r="E287" s="97" t="str">
        <f t="shared" si="4"/>
        <v>WOODWARD-GRANGER</v>
      </c>
      <c r="F287" t="str">
        <f>INDEX(DistrictsMatchNametoNum!$C$2:$H$326,MATCH('Dec100%_DOR PDF'!E287,DistrictsMatchNametoNum!$H$2:$H$326,0),1)</f>
        <v>7110</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CF813-B924-49B3-9BC5-20C3D4A2A889}">
  <dimension ref="A1:G288"/>
  <sheetViews>
    <sheetView topLeftCell="A255" workbookViewId="0">
      <selection activeCell="E2" sqref="E2:E286"/>
    </sheetView>
  </sheetViews>
  <sheetFormatPr defaultRowHeight="15" x14ac:dyDescent="0.25"/>
  <cols>
    <col min="1" max="1" width="46.42578125" style="97" customWidth="1"/>
    <col min="2" max="2" width="46.42578125" style="107" customWidth="1"/>
    <col min="3" max="3" width="9.140625" style="97" customWidth="1"/>
    <col min="4" max="4" width="32.28515625" style="97" bestFit="1" customWidth="1"/>
    <col min="5" max="5" width="9.140625" style="97"/>
    <col min="6" max="6" width="11.7109375" style="97" bestFit="1" customWidth="1"/>
    <col min="7" max="7" width="10.85546875" style="97" bestFit="1" customWidth="1"/>
    <col min="8" max="16384" width="9.140625" style="97"/>
  </cols>
  <sheetData>
    <row r="1" spans="1:7" s="95" customFormat="1" x14ac:dyDescent="0.25">
      <c r="A1" s="94" t="s">
        <v>1778</v>
      </c>
      <c r="B1" s="103" t="s">
        <v>2098</v>
      </c>
      <c r="D1" s="95" t="s">
        <v>2085</v>
      </c>
      <c r="E1" t="s">
        <v>2086</v>
      </c>
      <c r="F1" s="95" t="s">
        <v>2092</v>
      </c>
      <c r="G1" s="95" t="s">
        <v>654</v>
      </c>
    </row>
    <row r="2" spans="1:7" x14ac:dyDescent="0.25">
      <c r="A2" s="96" t="s">
        <v>1890</v>
      </c>
      <c r="B2" s="104">
        <v>189597.3</v>
      </c>
      <c r="D2" s="97" t="str">
        <f>SUBSTITUTE(A2," - SCHOOL SURTAX PENDING","")</f>
        <v>ADAIR-CASEY</v>
      </c>
      <c r="E2" t="str">
        <f>INDEX(DistrictsMatchNametoNum!$C$2:$H$326,MATCH(D2,DistrictsMatchNametoNum!$H$2:$H$326,0),1)</f>
        <v>0018</v>
      </c>
      <c r="F2" s="101">
        <f>INDEX(SurtaxPayment!$C$6:$K$330,MATCH('Accounts - DOR Dec Payments'!E2,SurtaxPayment!$C$6:$C$330,0),9)</f>
        <v>189597.3</v>
      </c>
      <c r="G2" s="101">
        <f>F2-B2</f>
        <v>0</v>
      </c>
    </row>
    <row r="3" spans="1:7" x14ac:dyDescent="0.25">
      <c r="A3" s="96" t="s">
        <v>2043</v>
      </c>
      <c r="B3" s="104">
        <v>591650.63</v>
      </c>
      <c r="D3" s="97" t="str">
        <f t="shared" ref="D3:D66" si="0">SUBSTITUTE(A3," - SCHOOL SURTAX PENDING","")</f>
        <v>AGWSR</v>
      </c>
      <c r="E3" t="str">
        <f>INDEX(DistrictsMatchNametoNum!$C$2:$H$326,MATCH(D3,DistrictsMatchNametoNum!$H$2:$H$326,0),1)</f>
        <v>0009</v>
      </c>
      <c r="F3" s="101">
        <f>INDEX(SurtaxPayment!$C$6:$K$330,MATCH('Accounts - DOR Dec Payments'!E3,SurtaxPayment!$C$6:$C$330,0),9)</f>
        <v>591650.63</v>
      </c>
      <c r="G3" s="101">
        <f t="shared" ref="G3:G66" si="1">F3-B3</f>
        <v>0</v>
      </c>
    </row>
    <row r="4" spans="1:7" x14ac:dyDescent="0.25">
      <c r="A4" s="96" t="s">
        <v>2059</v>
      </c>
      <c r="B4" s="104">
        <v>140896.35</v>
      </c>
      <c r="D4" s="97" t="str">
        <f t="shared" si="0"/>
        <v>AHSTW</v>
      </c>
      <c r="E4" t="str">
        <f>INDEX(DistrictsMatchNametoNum!$C$2:$H$326,MATCH(D4,DistrictsMatchNametoNum!$H$2:$H$326,0),1)</f>
        <v>0441</v>
      </c>
      <c r="F4" s="101">
        <f>INDEX(SurtaxPayment!$C$6:$K$330,MATCH('Accounts - DOR Dec Payments'!E4,SurtaxPayment!$C$6:$C$330,0),9)</f>
        <v>140896.35</v>
      </c>
      <c r="G4" s="101">
        <f t="shared" si="1"/>
        <v>0</v>
      </c>
    </row>
    <row r="5" spans="1:7" x14ac:dyDescent="0.25">
      <c r="A5" s="96" t="s">
        <v>2046</v>
      </c>
      <c r="B5" s="104">
        <v>107116.8</v>
      </c>
      <c r="D5" s="97" t="str">
        <f t="shared" si="0"/>
        <v>AKRON-WESTFIELD</v>
      </c>
      <c r="E5" t="str">
        <f>INDEX(DistrictsMatchNametoNum!$C$2:$H$326,MATCH(D5,DistrictsMatchNametoNum!$H$2:$H$326,0),1)</f>
        <v>0063</v>
      </c>
      <c r="F5" s="101">
        <f>INDEX(SurtaxPayment!$C$6:$K$330,MATCH('Accounts - DOR Dec Payments'!E5,SurtaxPayment!$C$6:$C$330,0),9)</f>
        <v>107116.8</v>
      </c>
      <c r="G5" s="101">
        <f t="shared" si="1"/>
        <v>0</v>
      </c>
    </row>
    <row r="6" spans="1:7" x14ac:dyDescent="0.25">
      <c r="A6" s="96" t="s">
        <v>2040</v>
      </c>
      <c r="B6" s="104">
        <v>133163.45000000001</v>
      </c>
      <c r="D6" s="97" t="str">
        <f t="shared" si="0"/>
        <v>ALBIA</v>
      </c>
      <c r="E6" t="str">
        <f>INDEX(DistrictsMatchNametoNum!$C$2:$H$326,MATCH(D6,DistrictsMatchNametoNum!$H$2:$H$326,0),1)</f>
        <v>0081</v>
      </c>
      <c r="F6" s="101">
        <f>INDEX(SurtaxPayment!$C$6:$K$330,MATCH('Accounts - DOR Dec Payments'!E6,SurtaxPayment!$C$6:$C$330,0),9)</f>
        <v>133163.45000000001</v>
      </c>
      <c r="G6" s="101">
        <f t="shared" si="1"/>
        <v>0</v>
      </c>
    </row>
    <row r="7" spans="1:7" x14ac:dyDescent="0.25">
      <c r="A7" s="96" t="s">
        <v>2060</v>
      </c>
      <c r="B7" s="104">
        <v>149795.53</v>
      </c>
      <c r="D7" s="97" t="str">
        <f t="shared" si="0"/>
        <v>ALBURNETT</v>
      </c>
      <c r="E7" t="str">
        <f>INDEX(DistrictsMatchNametoNum!$C$2:$H$326,MATCH(D7,DistrictsMatchNametoNum!$H$2:$H$326,0),1)</f>
        <v>0099</v>
      </c>
      <c r="F7" s="101">
        <f>INDEX(SurtaxPayment!$C$6:$K$330,MATCH('Accounts - DOR Dec Payments'!E7,SurtaxPayment!$C$6:$C$330,0),9)</f>
        <v>149795.53</v>
      </c>
      <c r="G7" s="101">
        <f t="shared" si="1"/>
        <v>0</v>
      </c>
    </row>
    <row r="8" spans="1:7" x14ac:dyDescent="0.25">
      <c r="A8" s="96" t="s">
        <v>2051</v>
      </c>
      <c r="B8" s="104">
        <v>162290.76</v>
      </c>
      <c r="D8" s="97" t="str">
        <f t="shared" si="0"/>
        <v>ALDEN</v>
      </c>
      <c r="E8" t="str">
        <f>INDEX(DistrictsMatchNametoNum!$C$2:$H$326,MATCH(D8,DistrictsMatchNametoNum!$H$2:$H$326,0),1)</f>
        <v>0108</v>
      </c>
      <c r="F8" s="101">
        <f>INDEX(SurtaxPayment!$C$6:$K$330,MATCH('Accounts - DOR Dec Payments'!E8,SurtaxPayment!$C$6:$C$330,0),9)</f>
        <v>162290.76</v>
      </c>
      <c r="G8" s="101">
        <f t="shared" si="1"/>
        <v>0</v>
      </c>
    </row>
    <row r="9" spans="1:7" x14ac:dyDescent="0.25">
      <c r="A9" s="96" t="s">
        <v>2052</v>
      </c>
      <c r="B9" s="104">
        <v>755659.33</v>
      </c>
      <c r="D9" s="97" t="str">
        <f t="shared" si="0"/>
        <v>ALGONA</v>
      </c>
      <c r="E9" t="str">
        <f>INDEX(DistrictsMatchNametoNum!$C$2:$H$326,MATCH(D9,DistrictsMatchNametoNum!$H$2:$H$326,0),1)</f>
        <v>0126</v>
      </c>
      <c r="F9" s="101">
        <f>INDEX(SurtaxPayment!$C$6:$K$330,MATCH('Accounts - DOR Dec Payments'!E9,SurtaxPayment!$C$6:$C$330,0),9)</f>
        <v>755659.33</v>
      </c>
      <c r="G9" s="101">
        <f t="shared" si="1"/>
        <v>0</v>
      </c>
    </row>
    <row r="10" spans="1:7" x14ac:dyDescent="0.25">
      <c r="A10" s="96" t="s">
        <v>2041</v>
      </c>
      <c r="B10" s="104">
        <v>519685.31</v>
      </c>
      <c r="D10" s="97" t="str">
        <f t="shared" si="0"/>
        <v>ALLAMAKEE</v>
      </c>
      <c r="E10" t="str">
        <f>INDEX(DistrictsMatchNametoNum!$C$2:$H$326,MATCH(D10,DistrictsMatchNametoNum!$H$2:$H$326,0),1)</f>
        <v>0135</v>
      </c>
      <c r="F10" s="101">
        <f>INDEX(SurtaxPayment!$C$6:$K$330,MATCH('Accounts - DOR Dec Payments'!E10,SurtaxPayment!$C$6:$C$330,0),9)</f>
        <v>519685.31</v>
      </c>
      <c r="G10" s="101">
        <f t="shared" si="1"/>
        <v>0</v>
      </c>
    </row>
    <row r="11" spans="1:7" x14ac:dyDescent="0.25">
      <c r="A11" s="96" t="s">
        <v>2047</v>
      </c>
      <c r="B11" s="104">
        <v>430039.02</v>
      </c>
      <c r="D11" s="97" t="str">
        <f t="shared" si="0"/>
        <v>ALTA-AURELIA</v>
      </c>
      <c r="E11" t="str">
        <f>INDEX(DistrictsMatchNametoNum!$C$2:$H$326,MATCH(D11,DistrictsMatchNametoNum!$H$2:$H$326,0),1)</f>
        <v>0171</v>
      </c>
      <c r="F11" s="101">
        <f>INDEX(SurtaxPayment!$C$6:$K$330,MATCH('Accounts - DOR Dec Payments'!E11,SurtaxPayment!$C$6:$C$330,0),9)</f>
        <v>430039.02</v>
      </c>
      <c r="G11" s="101">
        <f t="shared" si="1"/>
        <v>0</v>
      </c>
    </row>
    <row r="12" spans="1:7" x14ac:dyDescent="0.25">
      <c r="A12" s="96" t="s">
        <v>2055</v>
      </c>
      <c r="B12" s="104">
        <v>1650796.16</v>
      </c>
      <c r="D12" s="97" t="str">
        <f t="shared" si="0"/>
        <v>AMES</v>
      </c>
      <c r="E12" t="str">
        <f>INDEX(DistrictsMatchNametoNum!$C$2:$H$326,MATCH(D12,DistrictsMatchNametoNum!$H$2:$H$326,0),1)</f>
        <v>0225</v>
      </c>
      <c r="F12" s="101">
        <f>INDEX(SurtaxPayment!$C$6:$K$330,MATCH('Accounts - DOR Dec Payments'!E12,SurtaxPayment!$C$6:$C$330,0),9)</f>
        <v>1650796.16</v>
      </c>
      <c r="G12" s="101">
        <f t="shared" si="1"/>
        <v>0</v>
      </c>
    </row>
    <row r="13" spans="1:7" x14ac:dyDescent="0.25">
      <c r="A13" s="96" t="s">
        <v>2039</v>
      </c>
      <c r="B13" s="104">
        <v>588603.62</v>
      </c>
      <c r="D13" s="97" t="str">
        <f t="shared" si="0"/>
        <v>ANAMOSA</v>
      </c>
      <c r="E13" t="str">
        <f>INDEX(DistrictsMatchNametoNum!$C$2:$H$326,MATCH(D13,DistrictsMatchNametoNum!$H$2:$H$326,0),1)</f>
        <v>0234</v>
      </c>
      <c r="F13" s="101">
        <f>INDEX(SurtaxPayment!$C$6:$K$330,MATCH('Accounts - DOR Dec Payments'!E13,SurtaxPayment!$C$6:$C$330,0),9)</f>
        <v>588603.62</v>
      </c>
      <c r="G13" s="101">
        <f t="shared" si="1"/>
        <v>0</v>
      </c>
    </row>
    <row r="14" spans="1:7" x14ac:dyDescent="0.25">
      <c r="A14" s="96" t="s">
        <v>2058</v>
      </c>
      <c r="B14" s="104">
        <v>29922.82</v>
      </c>
      <c r="D14" s="97" t="str">
        <f t="shared" si="0"/>
        <v>ANDREW</v>
      </c>
      <c r="E14" t="str">
        <f>INDEX(DistrictsMatchNametoNum!$C$2:$H$326,MATCH(D14,DistrictsMatchNametoNum!$H$2:$H$326,0),1)</f>
        <v>0243</v>
      </c>
      <c r="F14" s="101">
        <f>INDEX(SurtaxPayment!$C$6:$K$330,MATCH('Accounts - DOR Dec Payments'!E14,SurtaxPayment!$C$6:$C$330,0),9)</f>
        <v>29922.82</v>
      </c>
      <c r="G14" s="101">
        <f t="shared" si="1"/>
        <v>0</v>
      </c>
    </row>
    <row r="15" spans="1:7" x14ac:dyDescent="0.25">
      <c r="A15" s="96" t="s">
        <v>2053</v>
      </c>
      <c r="B15" s="104">
        <v>207601.65</v>
      </c>
      <c r="D15" s="97" t="str">
        <f t="shared" si="0"/>
        <v>APLINGTON-PARKERSBURG</v>
      </c>
      <c r="E15" t="str">
        <f>INDEX(DistrictsMatchNametoNum!$C$2:$H$326,MATCH(D15,DistrictsMatchNametoNum!$H$2:$H$326,0),1)</f>
        <v>0279</v>
      </c>
      <c r="F15" s="101">
        <f>INDEX(SurtaxPayment!$C$6:$K$330,MATCH('Accounts - DOR Dec Payments'!E15,SurtaxPayment!$C$6:$C$330,0),9)</f>
        <v>207601.65</v>
      </c>
      <c r="G15" s="101">
        <f t="shared" si="1"/>
        <v>0</v>
      </c>
    </row>
    <row r="16" spans="1:7" x14ac:dyDescent="0.25">
      <c r="A16" s="96" t="s">
        <v>2063</v>
      </c>
      <c r="B16" s="104">
        <v>91488.92</v>
      </c>
      <c r="D16" s="97" t="str">
        <f t="shared" si="0"/>
        <v>AR-WE-VA</v>
      </c>
      <c r="E16" t="str">
        <f>INDEX(DistrictsMatchNametoNum!$C$2:$H$326,MATCH(D16,DistrictsMatchNametoNum!$H$2:$H$326,0),1)</f>
        <v>0355</v>
      </c>
      <c r="F16" s="101">
        <f>INDEX(SurtaxPayment!$C$6:$K$330,MATCH('Accounts - DOR Dec Payments'!E16,SurtaxPayment!$C$6:$C$330,0),9)</f>
        <v>91488.92</v>
      </c>
      <c r="G16" s="101">
        <f t="shared" si="1"/>
        <v>0</v>
      </c>
    </row>
    <row r="17" spans="1:7" x14ac:dyDescent="0.25">
      <c r="A17" s="96" t="s">
        <v>2045</v>
      </c>
      <c r="B17" s="104">
        <v>956280.21</v>
      </c>
      <c r="D17" s="97" t="str">
        <f t="shared" si="0"/>
        <v>ATLANTIC</v>
      </c>
      <c r="E17" t="str">
        <f>INDEX(DistrictsMatchNametoNum!$C$2:$H$326,MATCH(D17,DistrictsMatchNametoNum!$H$2:$H$326,0),1)</f>
        <v>0387</v>
      </c>
      <c r="F17" s="101">
        <f>INDEX(SurtaxPayment!$C$6:$K$330,MATCH('Accounts - DOR Dec Payments'!E17,SurtaxPayment!$C$6:$C$330,0),9)</f>
        <v>956280.21</v>
      </c>
      <c r="G17" s="101">
        <f t="shared" si="1"/>
        <v>0</v>
      </c>
    </row>
    <row r="18" spans="1:7" x14ac:dyDescent="0.25">
      <c r="A18" s="96" t="s">
        <v>2054</v>
      </c>
      <c r="B18" s="104">
        <v>281595.51</v>
      </c>
      <c r="D18" s="97" t="str">
        <f t="shared" si="0"/>
        <v>AUDUBON</v>
      </c>
      <c r="E18" t="str">
        <f>INDEX(DistrictsMatchNametoNum!$C$2:$H$326,MATCH(D18,DistrictsMatchNametoNum!$H$2:$H$326,0),1)</f>
        <v>0414</v>
      </c>
      <c r="F18" s="101">
        <f>INDEX(SurtaxPayment!$C$6:$K$330,MATCH('Accounts - DOR Dec Payments'!E18,SurtaxPayment!$C$6:$C$330,0),9)</f>
        <v>281595.51</v>
      </c>
      <c r="G18" s="101">
        <f t="shared" si="1"/>
        <v>0</v>
      </c>
    </row>
    <row r="19" spans="1:7" x14ac:dyDescent="0.25">
      <c r="A19" s="96" t="s">
        <v>2050</v>
      </c>
      <c r="B19" s="104">
        <v>269020.03000000003</v>
      </c>
      <c r="D19" s="97" t="str">
        <f t="shared" si="0"/>
        <v>BALLARD</v>
      </c>
      <c r="E19" t="str">
        <f>INDEX(DistrictsMatchNametoNum!$C$2:$H$326,MATCH(D19,DistrictsMatchNametoNum!$H$2:$H$326,0),1)</f>
        <v>0472</v>
      </c>
      <c r="F19" s="101">
        <f>INDEX(SurtaxPayment!$C$6:$K$330,MATCH('Accounts - DOR Dec Payments'!E19,SurtaxPayment!$C$6:$C$330,0),9)</f>
        <v>269020.03000000003</v>
      </c>
      <c r="G19" s="101">
        <f t="shared" si="1"/>
        <v>0</v>
      </c>
    </row>
    <row r="20" spans="1:7" x14ac:dyDescent="0.25">
      <c r="A20" s="96" t="s">
        <v>2042</v>
      </c>
      <c r="B20" s="104">
        <v>206210.86</v>
      </c>
      <c r="D20" s="97" t="str">
        <f t="shared" si="0"/>
        <v>BAXTER</v>
      </c>
      <c r="E20" t="str">
        <f>INDEX(DistrictsMatchNametoNum!$C$2:$H$326,MATCH(D20,DistrictsMatchNametoNum!$H$2:$H$326,0),1)</f>
        <v>0513</v>
      </c>
      <c r="F20" s="101">
        <f>INDEX(SurtaxPayment!$C$6:$K$330,MATCH('Accounts - DOR Dec Payments'!E20,SurtaxPayment!$C$6:$C$330,0),9)</f>
        <v>206210.86</v>
      </c>
      <c r="G20" s="101">
        <f t="shared" si="1"/>
        <v>0</v>
      </c>
    </row>
    <row r="21" spans="1:7" x14ac:dyDescent="0.25">
      <c r="A21" s="96" t="s">
        <v>2062</v>
      </c>
      <c r="B21" s="104">
        <v>182826.04</v>
      </c>
      <c r="D21" s="97" t="str">
        <f t="shared" si="0"/>
        <v>BCLUW</v>
      </c>
      <c r="E21" t="str">
        <f>INDEX(DistrictsMatchNametoNum!$C$2:$H$326,MATCH(D21,DistrictsMatchNametoNum!$H$2:$H$326,0),1)</f>
        <v>0540</v>
      </c>
      <c r="F21" s="101">
        <f>INDEX(SurtaxPayment!$C$6:$K$330,MATCH('Accounts - DOR Dec Payments'!E21,SurtaxPayment!$C$6:$C$330,0),9)</f>
        <v>182826.04</v>
      </c>
      <c r="G21" s="101">
        <f t="shared" si="1"/>
        <v>0</v>
      </c>
    </row>
    <row r="22" spans="1:7" x14ac:dyDescent="0.25">
      <c r="A22" s="96" t="s">
        <v>2048</v>
      </c>
      <c r="B22" s="104">
        <v>181226.62</v>
      </c>
      <c r="D22" s="97" t="str">
        <f t="shared" si="0"/>
        <v>BEDFORD</v>
      </c>
      <c r="E22" t="str">
        <f>INDEX(DistrictsMatchNametoNum!$C$2:$H$326,MATCH(D22,DistrictsMatchNametoNum!$H$2:$H$326,0),1)</f>
        <v>0549</v>
      </c>
      <c r="F22" s="101">
        <f>INDEX(SurtaxPayment!$C$6:$K$330,MATCH('Accounts - DOR Dec Payments'!E22,SurtaxPayment!$C$6:$C$330,0),9)</f>
        <v>181226.62</v>
      </c>
      <c r="G22" s="101">
        <f t="shared" si="1"/>
        <v>0</v>
      </c>
    </row>
    <row r="23" spans="1:7" x14ac:dyDescent="0.25">
      <c r="A23" s="96" t="s">
        <v>2056</v>
      </c>
      <c r="B23" s="104">
        <v>66751.710000000006</v>
      </c>
      <c r="D23" s="97" t="str">
        <f t="shared" si="0"/>
        <v>BELLE PLAINE</v>
      </c>
      <c r="E23" t="str">
        <f>INDEX(DistrictsMatchNametoNum!$C$2:$H$326,MATCH(D23,DistrictsMatchNametoNum!$H$2:$H$326,0),1)</f>
        <v>0576</v>
      </c>
      <c r="F23" s="101">
        <f>INDEX(SurtaxPayment!$C$6:$K$330,MATCH('Accounts - DOR Dec Payments'!E23,SurtaxPayment!$C$6:$C$330,0),9)</f>
        <v>66751.710000000006</v>
      </c>
      <c r="G23" s="101">
        <f t="shared" si="1"/>
        <v>0</v>
      </c>
    </row>
    <row r="24" spans="1:7" x14ac:dyDescent="0.25">
      <c r="A24" s="96" t="s">
        <v>2038</v>
      </c>
      <c r="B24" s="104">
        <v>311898.36</v>
      </c>
      <c r="D24" s="97" t="str">
        <f t="shared" si="0"/>
        <v>BELLEVUE</v>
      </c>
      <c r="E24" t="str">
        <f>INDEX(DistrictsMatchNametoNum!$C$2:$H$326,MATCH(D24,DistrictsMatchNametoNum!$H$2:$H$326,0),1)</f>
        <v>0585</v>
      </c>
      <c r="F24" s="101">
        <f>INDEX(SurtaxPayment!$C$6:$K$330,MATCH('Accounts - DOR Dec Payments'!E24,SurtaxPayment!$C$6:$C$330,0),9)</f>
        <v>311898.36</v>
      </c>
      <c r="G24" s="101">
        <f t="shared" si="1"/>
        <v>0</v>
      </c>
    </row>
    <row r="25" spans="1:7" x14ac:dyDescent="0.25">
      <c r="A25" s="96" t="s">
        <v>2057</v>
      </c>
      <c r="B25" s="104">
        <v>100468</v>
      </c>
      <c r="D25" s="97" t="str">
        <f t="shared" si="0"/>
        <v>BELMOND-KLEMME</v>
      </c>
      <c r="E25" t="str">
        <f>INDEX(DistrictsMatchNametoNum!$C$2:$H$326,MATCH(D25,DistrictsMatchNametoNum!$H$2:$H$326,0),1)</f>
        <v>0594</v>
      </c>
      <c r="F25" s="101">
        <f>INDEX(SurtaxPayment!$C$6:$K$330,MATCH('Accounts - DOR Dec Payments'!E25,SurtaxPayment!$C$6:$C$330,0),9)</f>
        <v>100468</v>
      </c>
      <c r="G25" s="101">
        <f t="shared" si="1"/>
        <v>0</v>
      </c>
    </row>
    <row r="26" spans="1:7" x14ac:dyDescent="0.25">
      <c r="A26" s="96" t="s">
        <v>2049</v>
      </c>
      <c r="B26" s="104">
        <v>14713.27</v>
      </c>
      <c r="D26" s="97" t="str">
        <f t="shared" si="0"/>
        <v>BENNETT</v>
      </c>
      <c r="E26" t="str">
        <f>INDEX(DistrictsMatchNametoNum!$C$2:$H$326,MATCH(D26,DistrictsMatchNametoNum!$H$2:$H$326,0),1)</f>
        <v>0603</v>
      </c>
      <c r="F26" s="101">
        <f>INDEX(SurtaxPayment!$C$6:$K$330,MATCH('Accounts - DOR Dec Payments'!E26,SurtaxPayment!$C$6:$C$330,0),9)</f>
        <v>14713.27</v>
      </c>
      <c r="G26" s="101">
        <f t="shared" si="1"/>
        <v>0</v>
      </c>
    </row>
    <row r="27" spans="1:7" x14ac:dyDescent="0.25">
      <c r="A27" s="96" t="s">
        <v>1824</v>
      </c>
      <c r="B27" s="104">
        <v>500997.41</v>
      </c>
      <c r="D27" s="97" t="str">
        <f t="shared" si="0"/>
        <v>BENTON</v>
      </c>
      <c r="E27" t="str">
        <f>INDEX(DistrictsMatchNametoNum!$C$2:$H$326,MATCH(D27,DistrictsMatchNametoNum!$H$2:$H$326,0),1)</f>
        <v>0609</v>
      </c>
      <c r="F27" s="101">
        <f>INDEX(SurtaxPayment!$C$6:$K$330,MATCH('Accounts - DOR Dec Payments'!E27,SurtaxPayment!$C$6:$C$330,0),9)</f>
        <v>500997.41</v>
      </c>
      <c r="G27" s="101">
        <f t="shared" si="1"/>
        <v>0</v>
      </c>
    </row>
    <row r="28" spans="1:7" x14ac:dyDescent="0.25">
      <c r="A28" s="102" t="s">
        <v>1788</v>
      </c>
      <c r="B28" s="105">
        <v>4736.92</v>
      </c>
      <c r="C28" s="98"/>
      <c r="D28" s="97" t="str">
        <f t="shared" si="0"/>
        <v>BONDURANT-FARRAR</v>
      </c>
      <c r="E28" t="str">
        <f>INDEX(DistrictsMatchNametoNum!$C$2:$H$326,MATCH(D28,DistrictsMatchNametoNum!$H$2:$H$326,0),1)</f>
        <v>0720</v>
      </c>
      <c r="F28" s="101">
        <f>INDEX(SurtaxPayment!$C$6:$K$330,MATCH('Accounts - DOR Dec Payments'!E28,SurtaxPayment!$C$6:$C$330,0),9)</f>
        <v>4736.92</v>
      </c>
      <c r="G28" s="101">
        <f t="shared" si="1"/>
        <v>0</v>
      </c>
    </row>
    <row r="29" spans="1:7" x14ac:dyDescent="0.25">
      <c r="A29" s="96" t="s">
        <v>1830</v>
      </c>
      <c r="B29" s="104">
        <v>151348.14000000001</v>
      </c>
      <c r="D29" s="97" t="str">
        <f t="shared" si="0"/>
        <v>BOONE</v>
      </c>
      <c r="E29" t="str">
        <f>INDEX(DistrictsMatchNametoNum!$C$2:$H$326,MATCH(D29,DistrictsMatchNametoNum!$H$2:$H$326,0),1)</f>
        <v>0729</v>
      </c>
      <c r="F29" s="101">
        <f>INDEX(SurtaxPayment!$C$6:$K$330,MATCH('Accounts - DOR Dec Payments'!E29,SurtaxPayment!$C$6:$C$330,0),9)</f>
        <v>151348.14000000001</v>
      </c>
      <c r="G29" s="101">
        <f t="shared" si="1"/>
        <v>0</v>
      </c>
    </row>
    <row r="30" spans="1:7" x14ac:dyDescent="0.25">
      <c r="A30" s="96" t="s">
        <v>1798</v>
      </c>
      <c r="B30" s="104">
        <v>111629.33</v>
      </c>
      <c r="D30" s="97" t="str">
        <f t="shared" si="0"/>
        <v>BOYDEN-HULL</v>
      </c>
      <c r="E30" t="str">
        <f>INDEX(DistrictsMatchNametoNum!$C$2:$H$326,MATCH(D30,DistrictsMatchNametoNum!$H$2:$H$326,0),1)</f>
        <v>0747</v>
      </c>
      <c r="F30" s="101">
        <f>INDEX(SurtaxPayment!$C$6:$K$330,MATCH('Accounts - DOR Dec Payments'!E30,SurtaxPayment!$C$6:$C$330,0),9)</f>
        <v>111629.33</v>
      </c>
      <c r="G30" s="101">
        <f t="shared" si="1"/>
        <v>0</v>
      </c>
    </row>
    <row r="31" spans="1:7" x14ac:dyDescent="0.25">
      <c r="A31" s="96" t="s">
        <v>2007</v>
      </c>
      <c r="B31" s="104">
        <v>145643.63</v>
      </c>
      <c r="D31" s="97" t="str">
        <f t="shared" si="0"/>
        <v>BOYER VALLEY</v>
      </c>
      <c r="E31" t="str">
        <f>INDEX(DistrictsMatchNametoNum!$C$2:$H$326,MATCH(D31,DistrictsMatchNametoNum!$H$2:$H$326,0),1)</f>
        <v>1917</v>
      </c>
      <c r="F31" s="101">
        <f>INDEX(SurtaxPayment!$C$6:$K$330,MATCH('Accounts - DOR Dec Payments'!E31,SurtaxPayment!$C$6:$C$330,0),9)</f>
        <v>145643.63</v>
      </c>
      <c r="G31" s="101">
        <f t="shared" si="1"/>
        <v>0</v>
      </c>
    </row>
    <row r="32" spans="1:7" x14ac:dyDescent="0.25">
      <c r="A32" s="96" t="s">
        <v>1779</v>
      </c>
      <c r="B32" s="104">
        <v>82442.789999999994</v>
      </c>
      <c r="D32" s="97" t="str">
        <f t="shared" si="0"/>
        <v>BROOKLYN-GUERNSEY-MALCOM</v>
      </c>
      <c r="E32" t="str">
        <f>INDEX(DistrictsMatchNametoNum!$C$2:$H$326,MATCH(D32,DistrictsMatchNametoNum!$H$2:$H$326,0),1)</f>
        <v>0846</v>
      </c>
      <c r="F32" s="101">
        <f>INDEX(SurtaxPayment!$C$6:$K$330,MATCH('Accounts - DOR Dec Payments'!E32,SurtaxPayment!$C$6:$C$330,0),9)</f>
        <v>82442.789999999994</v>
      </c>
      <c r="G32" s="101">
        <f t="shared" si="1"/>
        <v>0</v>
      </c>
    </row>
    <row r="33" spans="1:7" x14ac:dyDescent="0.25">
      <c r="A33" s="96" t="s">
        <v>1789</v>
      </c>
      <c r="B33" s="104">
        <v>131364.39000000001</v>
      </c>
      <c r="D33" s="97" t="str">
        <f t="shared" si="0"/>
        <v>CAL</v>
      </c>
      <c r="E33" t="str">
        <f>INDEX(DistrictsMatchNametoNum!$C$2:$H$326,MATCH(D33,DistrictsMatchNametoNum!$H$2:$H$326,0),1)</f>
        <v>0916</v>
      </c>
      <c r="F33" s="101">
        <f>INDEX(SurtaxPayment!$C$6:$K$330,MATCH('Accounts - DOR Dec Payments'!E33,SurtaxPayment!$C$6:$C$330,0),9)</f>
        <v>131364.39000000001</v>
      </c>
      <c r="G33" s="101">
        <f t="shared" si="1"/>
        <v>0</v>
      </c>
    </row>
    <row r="34" spans="1:7" x14ac:dyDescent="0.25">
      <c r="A34" s="96" t="s">
        <v>1831</v>
      </c>
      <c r="B34" s="104">
        <v>146403</v>
      </c>
      <c r="D34" s="97" t="s">
        <v>2089</v>
      </c>
      <c r="E34" t="str">
        <f>INDEX(DistrictsMatchNametoNum!$C$2:$H$326,MATCH(D34,DistrictsMatchNametoNum!$H$2:$H$326,0),1)</f>
        <v>0918</v>
      </c>
      <c r="F34" s="101">
        <f>INDEX(SurtaxPayment!$C$6:$K$330,MATCH('Accounts - DOR Dec Payments'!E34,SurtaxPayment!$C$6:$C$330,0),9)</f>
        <v>146403</v>
      </c>
      <c r="G34" s="101">
        <f t="shared" si="1"/>
        <v>0</v>
      </c>
    </row>
    <row r="35" spans="1:7" x14ac:dyDescent="0.25">
      <c r="A35" s="96" t="s">
        <v>1809</v>
      </c>
      <c r="B35" s="104">
        <v>258416.62</v>
      </c>
      <c r="D35" s="97" t="str">
        <f t="shared" si="0"/>
        <v>CAM</v>
      </c>
      <c r="E35" t="str">
        <f>INDEX(DistrictsMatchNametoNum!$C$2:$H$326,MATCH(D35,DistrictsMatchNametoNum!$H$2:$H$326,0),1)</f>
        <v>0914</v>
      </c>
      <c r="F35" s="101">
        <f>INDEX(SurtaxPayment!$C$6:$K$330,MATCH('Accounts - DOR Dec Payments'!E35,SurtaxPayment!$C$6:$C$330,0),9)</f>
        <v>258416.62</v>
      </c>
      <c r="G35" s="101">
        <f t="shared" si="1"/>
        <v>0</v>
      </c>
    </row>
    <row r="36" spans="1:7" x14ac:dyDescent="0.25">
      <c r="A36" s="96" t="s">
        <v>1814</v>
      </c>
      <c r="B36" s="104">
        <v>236387.43</v>
      </c>
      <c r="D36" s="97" t="str">
        <f t="shared" si="0"/>
        <v>CARDINAL</v>
      </c>
      <c r="E36" t="str">
        <f>INDEX(DistrictsMatchNametoNum!$C$2:$H$326,MATCH(D36,DistrictsMatchNametoNum!$H$2:$H$326,0),1)</f>
        <v>0977</v>
      </c>
      <c r="F36" s="101">
        <f>INDEX(SurtaxPayment!$C$6:$K$330,MATCH('Accounts - DOR Dec Payments'!E36,SurtaxPayment!$C$6:$C$330,0),9)</f>
        <v>236387.43</v>
      </c>
      <c r="G36" s="101">
        <f t="shared" si="1"/>
        <v>0</v>
      </c>
    </row>
    <row r="37" spans="1:7" x14ac:dyDescent="0.25">
      <c r="A37" s="96" t="s">
        <v>1825</v>
      </c>
      <c r="B37" s="104">
        <v>535364.92000000004</v>
      </c>
      <c r="D37" s="97" t="str">
        <f t="shared" si="0"/>
        <v>CARROLL</v>
      </c>
      <c r="E37" t="str">
        <f>INDEX(DistrictsMatchNametoNum!$C$2:$H$326,MATCH(D37,DistrictsMatchNametoNum!$H$2:$H$326,0),1)</f>
        <v>0999</v>
      </c>
      <c r="F37" s="101">
        <f>INDEX(SurtaxPayment!$C$6:$K$330,MATCH('Accounts - DOR Dec Payments'!E37,SurtaxPayment!$C$6:$C$330,0),9)</f>
        <v>535364.92000000004</v>
      </c>
      <c r="G37" s="101">
        <f t="shared" si="1"/>
        <v>0</v>
      </c>
    </row>
    <row r="38" spans="1:7" x14ac:dyDescent="0.25">
      <c r="A38" s="96" t="s">
        <v>1804</v>
      </c>
      <c r="B38" s="104">
        <v>596078.9</v>
      </c>
      <c r="D38" s="97" t="str">
        <f t="shared" si="0"/>
        <v>CEDAR FALLS</v>
      </c>
      <c r="E38" t="str">
        <f>INDEX(DistrictsMatchNametoNum!$C$2:$H$326,MATCH(D38,DistrictsMatchNametoNum!$H$2:$H$326,0),1)</f>
        <v>1044</v>
      </c>
      <c r="F38" s="101">
        <f>INDEX(SurtaxPayment!$C$6:$K$330,MATCH('Accounts - DOR Dec Payments'!E38,SurtaxPayment!$C$6:$C$330,0),9)</f>
        <v>596078.9</v>
      </c>
      <c r="G38" s="101">
        <f t="shared" si="1"/>
        <v>0</v>
      </c>
    </row>
    <row r="39" spans="1:7" x14ac:dyDescent="0.25">
      <c r="A39" s="96" t="s">
        <v>1806</v>
      </c>
      <c r="B39" s="104">
        <v>8052490.5300000003</v>
      </c>
      <c r="D39" s="97" t="str">
        <f t="shared" si="0"/>
        <v>CEDAR RAPIDS</v>
      </c>
      <c r="E39" t="str">
        <f>INDEX(DistrictsMatchNametoNum!$C$2:$H$326,MATCH(D39,DistrictsMatchNametoNum!$H$2:$H$326,0),1)</f>
        <v>1053</v>
      </c>
      <c r="F39" s="101">
        <f>INDEX(SurtaxPayment!$C$6:$K$330,MATCH('Accounts - DOR Dec Payments'!E39,SurtaxPayment!$C$6:$C$330,0),9)</f>
        <v>8052490.5300000003</v>
      </c>
      <c r="G39" s="101">
        <f t="shared" si="1"/>
        <v>0</v>
      </c>
    </row>
    <row r="40" spans="1:7" x14ac:dyDescent="0.25">
      <c r="A40" s="96" t="s">
        <v>1785</v>
      </c>
      <c r="B40" s="104">
        <v>280990.03999999998</v>
      </c>
      <c r="D40" s="97" t="str">
        <f t="shared" si="0"/>
        <v>CENTER POINT-URBANA</v>
      </c>
      <c r="E40" t="str">
        <f>INDEX(DistrictsMatchNametoNum!$C$2:$H$326,MATCH(D40,DistrictsMatchNametoNum!$H$2:$H$326,0),1)</f>
        <v>1062</v>
      </c>
      <c r="F40" s="101">
        <f>INDEX(SurtaxPayment!$C$6:$K$330,MATCH('Accounts - DOR Dec Payments'!E40,SurtaxPayment!$C$6:$C$330,0),9)</f>
        <v>280990.03999999998</v>
      </c>
      <c r="G40" s="101">
        <f t="shared" si="1"/>
        <v>0</v>
      </c>
    </row>
    <row r="41" spans="1:7" x14ac:dyDescent="0.25">
      <c r="A41" s="96" t="s">
        <v>1827</v>
      </c>
      <c r="B41" s="104">
        <v>237972.17</v>
      </c>
      <c r="D41" s="97" t="str">
        <f t="shared" si="0"/>
        <v>CENTERVILLE</v>
      </c>
      <c r="E41" t="str">
        <f>INDEX(DistrictsMatchNametoNum!$C$2:$H$326,MATCH(D41,DistrictsMatchNametoNum!$H$2:$H$326,0),1)</f>
        <v>1071</v>
      </c>
      <c r="F41" s="101">
        <f>INDEX(SurtaxPayment!$C$6:$K$330,MATCH('Accounts - DOR Dec Payments'!E41,SurtaxPayment!$C$6:$C$330,0),9)</f>
        <v>237972.17</v>
      </c>
      <c r="G41" s="101">
        <f t="shared" si="1"/>
        <v>0</v>
      </c>
    </row>
    <row r="42" spans="1:7" x14ac:dyDescent="0.25">
      <c r="A42" s="96" t="s">
        <v>1816</v>
      </c>
      <c r="B42" s="104">
        <v>30515.5</v>
      </c>
      <c r="D42" s="97" t="str">
        <f t="shared" si="0"/>
        <v>CENTRAL CLAYTON</v>
      </c>
      <c r="E42" t="str">
        <f>INDEX(DistrictsMatchNametoNum!$C$2:$H$326,MATCH(D42,DistrictsMatchNametoNum!$H$2:$H$326,0),1)</f>
        <v>1080</v>
      </c>
      <c r="F42" s="101">
        <f>INDEX(SurtaxPayment!$C$6:$K$330,MATCH('Accounts - DOR Dec Payments'!E42,SurtaxPayment!$C$6:$C$330,0),9)</f>
        <v>30515.5</v>
      </c>
      <c r="G42" s="101">
        <f t="shared" si="1"/>
        <v>0</v>
      </c>
    </row>
    <row r="43" spans="1:7" x14ac:dyDescent="0.25">
      <c r="A43" s="96" t="s">
        <v>1781</v>
      </c>
      <c r="B43" s="104">
        <v>779769.63</v>
      </c>
      <c r="D43" s="97" t="str">
        <f t="shared" si="0"/>
        <v>CENTRAL DE WITT</v>
      </c>
      <c r="E43" t="str">
        <f>INDEX(DistrictsMatchNametoNum!$C$2:$H$326,MATCH(D43,DistrictsMatchNametoNum!$H$2:$H$326,0),1)</f>
        <v>1082</v>
      </c>
      <c r="F43" s="101">
        <f>INDEX(SurtaxPayment!$C$6:$K$330,MATCH('Accounts - DOR Dec Payments'!E43,SurtaxPayment!$C$6:$C$330,0),9)</f>
        <v>779769.63</v>
      </c>
      <c r="G43" s="101">
        <f t="shared" si="1"/>
        <v>0</v>
      </c>
    </row>
    <row r="44" spans="1:7" x14ac:dyDescent="0.25">
      <c r="A44" s="96" t="s">
        <v>1801</v>
      </c>
      <c r="B44" s="104">
        <v>28036.51</v>
      </c>
      <c r="D44" s="97" t="str">
        <f t="shared" si="0"/>
        <v>CENTRAL DECATUR</v>
      </c>
      <c r="E44" t="str">
        <f>INDEX(DistrictsMatchNametoNum!$C$2:$H$326,MATCH(D44,DistrictsMatchNametoNum!$H$2:$H$326,0),1)</f>
        <v>1093</v>
      </c>
      <c r="F44" s="101">
        <f>INDEX(SurtaxPayment!$C$6:$K$330,MATCH('Accounts - DOR Dec Payments'!E44,SurtaxPayment!$C$6:$C$330,0),9)</f>
        <v>28036.51</v>
      </c>
      <c r="G44" s="101">
        <f t="shared" si="1"/>
        <v>0</v>
      </c>
    </row>
    <row r="45" spans="1:7" x14ac:dyDescent="0.25">
      <c r="A45" s="96" t="s">
        <v>1796</v>
      </c>
      <c r="B45" s="104">
        <v>137013.59</v>
      </c>
      <c r="D45" s="97" t="str">
        <f t="shared" si="0"/>
        <v>CENTRAL LEE</v>
      </c>
      <c r="E45" t="str">
        <f>INDEX(DistrictsMatchNametoNum!$C$2:$H$326,MATCH(D45,DistrictsMatchNametoNum!$H$2:$H$326,0),1)</f>
        <v>1079</v>
      </c>
      <c r="F45" s="101">
        <f>INDEX(SurtaxPayment!$C$6:$K$330,MATCH('Accounts - DOR Dec Payments'!E45,SurtaxPayment!$C$6:$C$330,0),9)</f>
        <v>137013.59</v>
      </c>
      <c r="G45" s="101">
        <f t="shared" si="1"/>
        <v>0</v>
      </c>
    </row>
    <row r="46" spans="1:7" x14ac:dyDescent="0.25">
      <c r="A46" s="96" t="s">
        <v>1811</v>
      </c>
      <c r="B46" s="104">
        <v>256821.59</v>
      </c>
      <c r="D46" s="97" t="str">
        <f t="shared" si="0"/>
        <v>CENTRAL LYON</v>
      </c>
      <c r="E46" t="str">
        <f>INDEX(DistrictsMatchNametoNum!$C$2:$H$326,MATCH(D46,DistrictsMatchNametoNum!$H$2:$H$326,0),1)</f>
        <v>1095</v>
      </c>
      <c r="F46" s="101">
        <f>INDEX(SurtaxPayment!$C$6:$K$330,MATCH('Accounts - DOR Dec Payments'!E46,SurtaxPayment!$C$6:$C$330,0),9)</f>
        <v>256821.59</v>
      </c>
      <c r="G46" s="101">
        <f t="shared" si="1"/>
        <v>0</v>
      </c>
    </row>
    <row r="47" spans="1:7" x14ac:dyDescent="0.25">
      <c r="A47" s="96" t="s">
        <v>1896</v>
      </c>
      <c r="B47" s="104">
        <v>349913.92</v>
      </c>
      <c r="D47" s="97" t="str">
        <f t="shared" si="0"/>
        <v>CENTRAL SPRINGS</v>
      </c>
      <c r="E47" t="str">
        <f>INDEX(DistrictsMatchNametoNum!$C$2:$H$326,MATCH(D47,DistrictsMatchNametoNum!$H$2:$H$326,0),1)</f>
        <v>4772</v>
      </c>
      <c r="F47" s="101">
        <f>INDEX(SurtaxPayment!$C$6:$K$330,MATCH('Accounts - DOR Dec Payments'!E47,SurtaxPayment!$C$6:$C$330,0),9)</f>
        <v>349913.92</v>
      </c>
      <c r="G47" s="101">
        <f t="shared" si="1"/>
        <v>0</v>
      </c>
    </row>
    <row r="48" spans="1:7" x14ac:dyDescent="0.25">
      <c r="A48" s="96" t="s">
        <v>1792</v>
      </c>
      <c r="B48" s="104">
        <v>133679.54</v>
      </c>
      <c r="D48" s="97" t="str">
        <f t="shared" si="0"/>
        <v>CHARITON</v>
      </c>
      <c r="E48" t="str">
        <f>INDEX(DistrictsMatchNametoNum!$C$2:$H$326,MATCH(D48,DistrictsMatchNametoNum!$H$2:$H$326,0),1)</f>
        <v>1107</v>
      </c>
      <c r="F48" s="101">
        <f>INDEX(SurtaxPayment!$C$6:$K$330,MATCH('Accounts - DOR Dec Payments'!E48,SurtaxPayment!$C$6:$C$330,0),9)</f>
        <v>133679.54</v>
      </c>
      <c r="G48" s="101">
        <f t="shared" si="1"/>
        <v>0</v>
      </c>
    </row>
    <row r="49" spans="1:7" x14ac:dyDescent="0.25">
      <c r="A49" s="96" t="s">
        <v>1834</v>
      </c>
      <c r="B49" s="104">
        <v>685657.35</v>
      </c>
      <c r="D49" s="97" t="str">
        <f t="shared" si="0"/>
        <v>CHARLES CITY</v>
      </c>
      <c r="E49" t="str">
        <f>INDEX(DistrictsMatchNametoNum!$C$2:$H$326,MATCH(D49,DistrictsMatchNametoNum!$H$2:$H$326,0),1)</f>
        <v>1116</v>
      </c>
      <c r="F49" s="101">
        <f>INDEX(SurtaxPayment!$C$6:$K$330,MATCH('Accounts - DOR Dec Payments'!E49,SurtaxPayment!$C$6:$C$330,0),9)</f>
        <v>685657.35</v>
      </c>
      <c r="G49" s="101">
        <f t="shared" si="1"/>
        <v>0</v>
      </c>
    </row>
    <row r="50" spans="1:7" x14ac:dyDescent="0.25">
      <c r="A50" s="96" t="s">
        <v>1793</v>
      </c>
      <c r="B50" s="104">
        <v>31007.55</v>
      </c>
      <c r="D50" s="97" t="str">
        <f t="shared" si="0"/>
        <v>CHARTER OAK-UTE</v>
      </c>
      <c r="E50" t="str">
        <f>INDEX(DistrictsMatchNametoNum!$C$2:$H$326,MATCH(D50,DistrictsMatchNametoNum!$H$2:$H$326,0),1)</f>
        <v>1134</v>
      </c>
      <c r="F50" s="101">
        <f>INDEX(SurtaxPayment!$C$6:$K$330,MATCH('Accounts - DOR Dec Payments'!E50,SurtaxPayment!$C$6:$C$330,0),9)</f>
        <v>31007.55</v>
      </c>
      <c r="G50" s="101">
        <f t="shared" si="1"/>
        <v>0</v>
      </c>
    </row>
    <row r="51" spans="1:7" x14ac:dyDescent="0.25">
      <c r="A51" s="96" t="s">
        <v>1812</v>
      </c>
      <c r="B51" s="104">
        <v>183052.42</v>
      </c>
      <c r="D51" s="97" t="str">
        <f t="shared" si="0"/>
        <v>CHEROKEE</v>
      </c>
      <c r="E51" t="str">
        <f>INDEX(DistrictsMatchNametoNum!$C$2:$H$326,MATCH(D51,DistrictsMatchNametoNum!$H$2:$H$326,0),1)</f>
        <v>1152</v>
      </c>
      <c r="F51" s="101">
        <f>INDEX(SurtaxPayment!$C$6:$K$330,MATCH('Accounts - DOR Dec Payments'!E51,SurtaxPayment!$C$6:$C$330,0),9)</f>
        <v>183052.42</v>
      </c>
      <c r="G51" s="101">
        <f t="shared" si="1"/>
        <v>0</v>
      </c>
    </row>
    <row r="52" spans="1:7" x14ac:dyDescent="0.25">
      <c r="A52" s="96" t="s">
        <v>1783</v>
      </c>
      <c r="B52" s="104">
        <v>164439.71</v>
      </c>
      <c r="D52" s="97" t="str">
        <f t="shared" si="0"/>
        <v>CLARINDA</v>
      </c>
      <c r="E52" t="str">
        <f>INDEX(DistrictsMatchNametoNum!$C$2:$H$326,MATCH(D52,DistrictsMatchNametoNum!$H$2:$H$326,0),1)</f>
        <v>1197</v>
      </c>
      <c r="F52" s="101">
        <f>INDEX(SurtaxPayment!$C$6:$K$330,MATCH('Accounts - DOR Dec Payments'!E52,SurtaxPayment!$C$6:$C$330,0),9)</f>
        <v>164439.71</v>
      </c>
      <c r="G52" s="101">
        <f t="shared" si="1"/>
        <v>0</v>
      </c>
    </row>
    <row r="53" spans="1:7" x14ac:dyDescent="0.25">
      <c r="A53" s="96" t="s">
        <v>1823</v>
      </c>
      <c r="B53" s="104">
        <v>420097.09</v>
      </c>
      <c r="D53" s="97" t="str">
        <f t="shared" si="0"/>
        <v>CLARION-GOLDFIELD-DOWS</v>
      </c>
      <c r="E53" t="str">
        <f>INDEX(DistrictsMatchNametoNum!$C$2:$H$326,MATCH(D53,DistrictsMatchNametoNum!$H$2:$H$326,0),1)</f>
        <v>1206</v>
      </c>
      <c r="F53" s="101">
        <f>INDEX(SurtaxPayment!$C$6:$K$330,MATCH('Accounts - DOR Dec Payments'!E53,SurtaxPayment!$C$6:$C$330,0),9)</f>
        <v>420097.09</v>
      </c>
      <c r="G53" s="101">
        <f t="shared" si="1"/>
        <v>0</v>
      </c>
    </row>
    <row r="54" spans="1:7" x14ac:dyDescent="0.25">
      <c r="A54" s="96" t="s">
        <v>1802</v>
      </c>
      <c r="B54" s="104">
        <v>1058377.8600000001</v>
      </c>
      <c r="D54" s="97" t="str">
        <f t="shared" si="0"/>
        <v>CLARKE</v>
      </c>
      <c r="E54" t="str">
        <f>INDEX(DistrictsMatchNametoNum!$C$2:$H$326,MATCH(D54,DistrictsMatchNametoNum!$H$2:$H$326,0),1)</f>
        <v>1211</v>
      </c>
      <c r="F54" s="101">
        <f>INDEX(SurtaxPayment!$C$6:$K$330,MATCH('Accounts - DOR Dec Payments'!E54,SurtaxPayment!$C$6:$C$330,0),9)</f>
        <v>1058377.8600000001</v>
      </c>
      <c r="G54" s="101">
        <f t="shared" si="1"/>
        <v>0</v>
      </c>
    </row>
    <row r="55" spans="1:7" x14ac:dyDescent="0.25">
      <c r="A55" s="96" t="s">
        <v>1934</v>
      </c>
      <c r="B55" s="104">
        <v>52545.47</v>
      </c>
      <c r="D55" s="97" t="str">
        <f t="shared" si="0"/>
        <v>CLARKSVILLE</v>
      </c>
      <c r="E55" t="str">
        <f>INDEX(DistrictsMatchNametoNum!$C$2:$H$326,MATCH(D55,DistrictsMatchNametoNum!$H$2:$H$326,0),1)</f>
        <v>1215</v>
      </c>
      <c r="F55" s="101">
        <f>INDEX(SurtaxPayment!$C$6:$K$330,MATCH('Accounts - DOR Dec Payments'!E55,SurtaxPayment!$C$6:$C$330,0),9)</f>
        <v>52545.47</v>
      </c>
      <c r="G55" s="101">
        <f t="shared" si="1"/>
        <v>0</v>
      </c>
    </row>
    <row r="56" spans="1:7" x14ac:dyDescent="0.25">
      <c r="A56" s="96" t="s">
        <v>1993</v>
      </c>
      <c r="B56" s="104">
        <v>22668.7</v>
      </c>
      <c r="D56" s="97" t="str">
        <f t="shared" si="0"/>
        <v>CLAY CENTRAL-EVERLY</v>
      </c>
      <c r="E56" t="str">
        <f>INDEX(DistrictsMatchNametoNum!$C$2:$H$326,MATCH(D56,DistrictsMatchNametoNum!$H$2:$H$326,0),1)</f>
        <v>1218</v>
      </c>
      <c r="F56" s="101">
        <f>INDEX(SurtaxPayment!$C$6:$K$330,MATCH('Accounts - DOR Dec Payments'!E56,SurtaxPayment!$C$6:$C$330,0),9)</f>
        <v>22668.7</v>
      </c>
      <c r="G56" s="101">
        <f t="shared" si="1"/>
        <v>0</v>
      </c>
    </row>
    <row r="57" spans="1:7" x14ac:dyDescent="0.25">
      <c r="A57" s="96" t="s">
        <v>1913</v>
      </c>
      <c r="B57" s="104">
        <v>2558264.91</v>
      </c>
      <c r="D57" s="97" t="str">
        <f t="shared" si="0"/>
        <v>CLEAR CREEK-AMANA</v>
      </c>
      <c r="E57" t="str">
        <f>INDEX(DistrictsMatchNametoNum!$C$2:$H$326,MATCH(D57,DistrictsMatchNametoNum!$H$2:$H$326,0),1)</f>
        <v>1221</v>
      </c>
      <c r="F57" s="101">
        <f>INDEX(SurtaxPayment!$C$6:$K$330,MATCH('Accounts - DOR Dec Payments'!E57,SurtaxPayment!$C$6:$C$330,0),9)</f>
        <v>2558264.91</v>
      </c>
      <c r="G57" s="101">
        <f t="shared" si="1"/>
        <v>0</v>
      </c>
    </row>
    <row r="58" spans="1:7" x14ac:dyDescent="0.25">
      <c r="A58" s="96" t="s">
        <v>2018</v>
      </c>
      <c r="B58" s="104">
        <v>609122.18999999994</v>
      </c>
      <c r="D58" s="97" t="str">
        <f t="shared" si="0"/>
        <v>CLEAR LAKE</v>
      </c>
      <c r="E58" t="str">
        <f>INDEX(DistrictsMatchNametoNum!$C$2:$H$326,MATCH(D58,DistrictsMatchNametoNum!$H$2:$H$326,0),1)</f>
        <v>1233</v>
      </c>
      <c r="F58" s="101">
        <f>INDEX(SurtaxPayment!$C$6:$K$330,MATCH('Accounts - DOR Dec Payments'!E58,SurtaxPayment!$C$6:$C$330,0),9)</f>
        <v>609122.18999999994</v>
      </c>
      <c r="G58" s="101">
        <f t="shared" si="1"/>
        <v>0</v>
      </c>
    </row>
    <row r="59" spans="1:7" x14ac:dyDescent="0.25">
      <c r="A59" s="96" t="s">
        <v>1964</v>
      </c>
      <c r="B59" s="104">
        <v>548551.63</v>
      </c>
      <c r="D59" s="97" t="str">
        <f t="shared" si="0"/>
        <v>CLINTON</v>
      </c>
      <c r="E59" t="str">
        <f>INDEX(DistrictsMatchNametoNum!$C$2:$H$326,MATCH(D59,DistrictsMatchNametoNum!$H$2:$H$326,0),1)</f>
        <v>1278</v>
      </c>
      <c r="F59" s="101">
        <f>INDEX(SurtaxPayment!$C$6:$K$330,MATCH('Accounts - DOR Dec Payments'!E59,SurtaxPayment!$C$6:$C$330,0),9)</f>
        <v>548551.63</v>
      </c>
      <c r="G59" s="101">
        <f t="shared" si="1"/>
        <v>0</v>
      </c>
    </row>
    <row r="60" spans="1:7" x14ac:dyDescent="0.25">
      <c r="A60" s="96" t="s">
        <v>1971</v>
      </c>
      <c r="B60" s="104">
        <v>92945.53</v>
      </c>
      <c r="D60" s="97" t="str">
        <f t="shared" si="0"/>
        <v>COLFAX-MINGO</v>
      </c>
      <c r="E60" t="str">
        <f>INDEX(DistrictsMatchNametoNum!$C$2:$H$326,MATCH(D60,DistrictsMatchNametoNum!$H$2:$H$326,0),1)</f>
        <v>1332</v>
      </c>
      <c r="F60" s="101">
        <f>INDEX(SurtaxPayment!$C$6:$K$330,MATCH('Accounts - DOR Dec Payments'!E60,SurtaxPayment!$C$6:$C$330,0),9)</f>
        <v>92945.53</v>
      </c>
      <c r="G60" s="101">
        <f t="shared" si="1"/>
        <v>0</v>
      </c>
    </row>
    <row r="61" spans="1:7" x14ac:dyDescent="0.25">
      <c r="A61" s="96" t="s">
        <v>2023</v>
      </c>
      <c r="B61" s="104">
        <v>142556.68</v>
      </c>
      <c r="D61" s="97" t="str">
        <f t="shared" si="0"/>
        <v>COLLINS-MAXWELL</v>
      </c>
      <c r="E61" t="str">
        <f>INDEX(DistrictsMatchNametoNum!$C$2:$H$326,MATCH(D61,DistrictsMatchNametoNum!$H$2:$H$326,0),1)</f>
        <v>1350</v>
      </c>
      <c r="F61" s="101">
        <f>INDEX(SurtaxPayment!$C$6:$K$330,MATCH('Accounts - DOR Dec Payments'!E61,SurtaxPayment!$C$6:$C$330,0),9)</f>
        <v>142556.68</v>
      </c>
      <c r="G61" s="101">
        <f t="shared" si="1"/>
        <v>0</v>
      </c>
    </row>
    <row r="62" spans="1:7" x14ac:dyDescent="0.25">
      <c r="A62" s="96" t="s">
        <v>1941</v>
      </c>
      <c r="B62" s="104">
        <v>157112.63</v>
      </c>
      <c r="D62" s="97" t="str">
        <f t="shared" si="0"/>
        <v>COLO-NESCO</v>
      </c>
      <c r="E62" t="str">
        <f>INDEX(DistrictsMatchNametoNum!$C$2:$H$326,MATCH(D62,DistrictsMatchNametoNum!$H$2:$H$326,0),1)</f>
        <v>1359</v>
      </c>
      <c r="F62" s="101">
        <f>INDEX(SurtaxPayment!$C$6:$K$330,MATCH('Accounts - DOR Dec Payments'!E62,SurtaxPayment!$C$6:$C$330,0),9)</f>
        <v>157112.63</v>
      </c>
      <c r="G62" s="101">
        <f t="shared" si="1"/>
        <v>0</v>
      </c>
    </row>
    <row r="63" spans="1:7" x14ac:dyDescent="0.25">
      <c r="A63" s="96" t="s">
        <v>1999</v>
      </c>
      <c r="B63" s="104">
        <v>336095.17</v>
      </c>
      <c r="D63" s="97" t="str">
        <f t="shared" si="0"/>
        <v>COLUMBUS</v>
      </c>
      <c r="E63" t="str">
        <f>INDEX(DistrictsMatchNametoNum!$C$2:$H$326,MATCH(D63,DistrictsMatchNametoNum!$H$2:$H$326,0),1)</f>
        <v>1368</v>
      </c>
      <c r="F63" s="101">
        <f>INDEX(SurtaxPayment!$C$6:$K$330,MATCH('Accounts - DOR Dec Payments'!E63,SurtaxPayment!$C$6:$C$330,0),9)</f>
        <v>336095.17</v>
      </c>
      <c r="G63" s="101">
        <f t="shared" si="1"/>
        <v>0</v>
      </c>
    </row>
    <row r="64" spans="1:7" x14ac:dyDescent="0.25">
      <c r="A64" s="96" t="s">
        <v>1905</v>
      </c>
      <c r="B64" s="104">
        <v>150984.89000000001</v>
      </c>
      <c r="D64" s="97" t="str">
        <f t="shared" si="0"/>
        <v>COON RAPIDS-BAYARD</v>
      </c>
      <c r="E64" t="str">
        <f>INDEX(DistrictsMatchNametoNum!$C$2:$H$326,MATCH(D64,DistrictsMatchNametoNum!$H$2:$H$326,0),1)</f>
        <v>1413</v>
      </c>
      <c r="F64" s="101">
        <f>INDEX(SurtaxPayment!$C$6:$K$330,MATCH('Accounts - DOR Dec Payments'!E64,SurtaxPayment!$C$6:$C$330,0),9)</f>
        <v>150984.89000000001</v>
      </c>
      <c r="G64" s="101">
        <f t="shared" si="1"/>
        <v>0</v>
      </c>
    </row>
    <row r="65" spans="1:7" x14ac:dyDescent="0.25">
      <c r="A65" s="96" t="s">
        <v>2011</v>
      </c>
      <c r="B65" s="104">
        <v>159836.85999999999</v>
      </c>
      <c r="D65" s="97" t="str">
        <f t="shared" si="0"/>
        <v>CORNING</v>
      </c>
      <c r="E65" t="str">
        <f>INDEX(DistrictsMatchNametoNum!$C$2:$H$326,MATCH(D65,DistrictsMatchNametoNum!$H$2:$H$326,0),1)</f>
        <v>1431</v>
      </c>
      <c r="F65" s="101">
        <f>INDEX(SurtaxPayment!$C$6:$K$330,MATCH('Accounts - DOR Dec Payments'!E65,SurtaxPayment!$C$6:$C$330,0),9)</f>
        <v>159836.85999999999</v>
      </c>
      <c r="G65" s="101">
        <f t="shared" si="1"/>
        <v>0</v>
      </c>
    </row>
    <row r="66" spans="1:7" x14ac:dyDescent="0.25">
      <c r="A66" s="96" t="s">
        <v>1985</v>
      </c>
      <c r="B66" s="104">
        <v>622412</v>
      </c>
      <c r="D66" s="97" t="str">
        <f t="shared" si="0"/>
        <v>CRESTON</v>
      </c>
      <c r="E66" t="str">
        <f>INDEX(DistrictsMatchNametoNum!$C$2:$H$326,MATCH(D66,DistrictsMatchNametoNum!$H$2:$H$326,0),1)</f>
        <v>1503</v>
      </c>
      <c r="F66" s="101">
        <f>INDEX(SurtaxPayment!$C$6:$K$330,MATCH('Accounts - DOR Dec Payments'!E66,SurtaxPayment!$C$6:$C$330,0),9)</f>
        <v>622412</v>
      </c>
      <c r="G66" s="101">
        <f t="shared" si="1"/>
        <v>0</v>
      </c>
    </row>
    <row r="67" spans="1:7" x14ac:dyDescent="0.25">
      <c r="A67" s="96" t="s">
        <v>2037</v>
      </c>
      <c r="B67" s="104">
        <v>209532.57</v>
      </c>
      <c r="D67" s="97" t="str">
        <f t="shared" ref="D67:D130" si="2">SUBSTITUTE(A67," - SCHOOL SURTAX PENDING","")</f>
        <v>DANVILLE</v>
      </c>
      <c r="E67" t="str">
        <f>INDEX(DistrictsMatchNametoNum!$C$2:$H$326,MATCH(D67,DistrictsMatchNametoNum!$H$2:$H$326,0),1)</f>
        <v>1602</v>
      </c>
      <c r="F67" s="101">
        <f>INDEX(SurtaxPayment!$C$6:$K$330,MATCH('Accounts - DOR Dec Payments'!E67,SurtaxPayment!$C$6:$C$330,0),9)</f>
        <v>209532.57</v>
      </c>
      <c r="G67" s="101">
        <f t="shared" ref="G67:G130" si="3">F67-B67</f>
        <v>0</v>
      </c>
    </row>
    <row r="68" spans="1:7" x14ac:dyDescent="0.25">
      <c r="A68" s="96" t="s">
        <v>1987</v>
      </c>
      <c r="B68" s="104">
        <v>68647.320000000007</v>
      </c>
      <c r="D68" s="97" t="str">
        <f t="shared" si="2"/>
        <v>DAVIS COUNTY</v>
      </c>
      <c r="E68" t="str">
        <f>INDEX(DistrictsMatchNametoNum!$C$2:$H$326,MATCH(D68,DistrictsMatchNametoNum!$H$2:$H$326,0),1)</f>
        <v>1619</v>
      </c>
      <c r="F68" s="101">
        <f>INDEX(SurtaxPayment!$C$6:$K$330,MATCH('Accounts - DOR Dec Payments'!E68,SurtaxPayment!$C$6:$C$330,0),9)</f>
        <v>68647.320000000007</v>
      </c>
      <c r="G68" s="101">
        <f t="shared" si="3"/>
        <v>0</v>
      </c>
    </row>
    <row r="69" spans="1:7" x14ac:dyDescent="0.25">
      <c r="A69" s="96" t="s">
        <v>1907</v>
      </c>
      <c r="B69" s="104">
        <v>834449.68</v>
      </c>
      <c r="D69" s="97" t="str">
        <f t="shared" si="2"/>
        <v>DECORAH</v>
      </c>
      <c r="E69" t="str">
        <f>INDEX(DistrictsMatchNametoNum!$C$2:$H$326,MATCH(D69,DistrictsMatchNametoNum!$H$2:$H$326,0),1)</f>
        <v>1638</v>
      </c>
      <c r="F69" s="101">
        <f>INDEX(SurtaxPayment!$C$6:$K$330,MATCH('Accounts - DOR Dec Payments'!E69,SurtaxPayment!$C$6:$C$330,0),9)</f>
        <v>834449.68</v>
      </c>
      <c r="G69" s="101">
        <f t="shared" si="3"/>
        <v>0</v>
      </c>
    </row>
    <row r="70" spans="1:7" x14ac:dyDescent="0.25">
      <c r="A70" s="96" t="s">
        <v>2013</v>
      </c>
      <c r="B70" s="104">
        <v>100855.65</v>
      </c>
      <c r="D70" s="97" t="str">
        <f t="shared" si="2"/>
        <v>DELWOOD</v>
      </c>
      <c r="E70" t="str">
        <f>INDEX(DistrictsMatchNametoNum!$C$2:$H$326,MATCH(D70,DistrictsMatchNametoNum!$H$2:$H$326,0),1)</f>
        <v>1675</v>
      </c>
      <c r="F70" s="101">
        <f>INDEX(SurtaxPayment!$C$6:$K$330,MATCH('Accounts - DOR Dec Payments'!E70,SurtaxPayment!$C$6:$C$330,0),9)</f>
        <v>100855.65</v>
      </c>
      <c r="G70" s="101">
        <f t="shared" si="3"/>
        <v>0</v>
      </c>
    </row>
    <row r="71" spans="1:7" x14ac:dyDescent="0.25">
      <c r="A71" s="96" t="s">
        <v>1958</v>
      </c>
      <c r="B71" s="104">
        <v>278598.93</v>
      </c>
      <c r="D71" s="97" t="str">
        <f t="shared" si="2"/>
        <v>DENISON</v>
      </c>
      <c r="E71" t="str">
        <f>INDEX(DistrictsMatchNametoNum!$C$2:$H$326,MATCH(D71,DistrictsMatchNametoNum!$H$2:$H$326,0),1)</f>
        <v>1701</v>
      </c>
      <c r="F71" s="101">
        <f>INDEX(SurtaxPayment!$C$6:$K$330,MATCH('Accounts - DOR Dec Payments'!E71,SurtaxPayment!$C$6:$C$330,0),9)</f>
        <v>278598.93</v>
      </c>
      <c r="G71" s="101">
        <f t="shared" si="3"/>
        <v>0</v>
      </c>
    </row>
    <row r="72" spans="1:7" x14ac:dyDescent="0.25">
      <c r="A72" s="96" t="s">
        <v>1973</v>
      </c>
      <c r="B72" s="104">
        <v>246807.91</v>
      </c>
      <c r="D72" s="97" t="str">
        <f t="shared" si="2"/>
        <v>DENVER</v>
      </c>
      <c r="E72" t="str">
        <f>INDEX(DistrictsMatchNametoNum!$C$2:$H$326,MATCH(D72,DistrictsMatchNametoNum!$H$2:$H$326,0),1)</f>
        <v>1719</v>
      </c>
      <c r="F72" s="101">
        <f>INDEX(SurtaxPayment!$C$6:$K$330,MATCH('Accounts - DOR Dec Payments'!E72,SurtaxPayment!$C$6:$C$330,0),9)</f>
        <v>246807.91</v>
      </c>
      <c r="G72" s="101">
        <f t="shared" si="3"/>
        <v>0</v>
      </c>
    </row>
    <row r="73" spans="1:7" x14ac:dyDescent="0.25">
      <c r="A73" s="96" t="s">
        <v>2025</v>
      </c>
      <c r="B73" s="104">
        <v>32685.51</v>
      </c>
      <c r="D73" s="97" t="str">
        <f t="shared" si="2"/>
        <v>DIAGONAL</v>
      </c>
      <c r="E73" t="str">
        <f>INDEX(DistrictsMatchNametoNum!$C$2:$H$326,MATCH(D73,DistrictsMatchNametoNum!$H$2:$H$326,0),1)</f>
        <v>1782</v>
      </c>
      <c r="F73" s="101">
        <f>INDEX(SurtaxPayment!$C$6:$K$330,MATCH('Accounts - DOR Dec Payments'!E73,SurtaxPayment!$C$6:$C$330,0),9)</f>
        <v>32685.51</v>
      </c>
      <c r="G73" s="101">
        <f t="shared" si="3"/>
        <v>0</v>
      </c>
    </row>
    <row r="74" spans="1:7" x14ac:dyDescent="0.25">
      <c r="A74" s="96" t="s">
        <v>1943</v>
      </c>
      <c r="B74" s="104">
        <v>427459.09</v>
      </c>
      <c r="D74" s="97" t="str">
        <f t="shared" si="2"/>
        <v>DIKE-NEW HARTFORD</v>
      </c>
      <c r="E74" t="str">
        <f>INDEX(DistrictsMatchNametoNum!$C$2:$H$326,MATCH(D74,DistrictsMatchNametoNum!$H$2:$H$326,0),1)</f>
        <v>1791</v>
      </c>
      <c r="F74" s="101">
        <f>INDEX(SurtaxPayment!$C$6:$K$330,MATCH('Accounts - DOR Dec Payments'!E74,SurtaxPayment!$C$6:$C$330,0),9)</f>
        <v>427459.09</v>
      </c>
      <c r="G74" s="101">
        <f t="shared" si="3"/>
        <v>0</v>
      </c>
    </row>
    <row r="75" spans="1:7" x14ac:dyDescent="0.25">
      <c r="A75" s="96" t="s">
        <v>1901</v>
      </c>
      <c r="B75" s="104">
        <v>134165.5</v>
      </c>
      <c r="D75" s="97" t="str">
        <f t="shared" si="2"/>
        <v>DUNKERTON</v>
      </c>
      <c r="E75" t="str">
        <f>INDEX(DistrictsMatchNametoNum!$C$2:$H$326,MATCH(D75,DistrictsMatchNametoNum!$H$2:$H$326,0),1)</f>
        <v>1908</v>
      </c>
      <c r="F75" s="101">
        <f>INDEX(SurtaxPayment!$C$6:$K$330,MATCH('Accounts - DOR Dec Payments'!E75,SurtaxPayment!$C$6:$C$330,0),9)</f>
        <v>134165.5</v>
      </c>
      <c r="G75" s="101">
        <f t="shared" si="3"/>
        <v>0</v>
      </c>
    </row>
    <row r="76" spans="1:7" x14ac:dyDescent="0.25">
      <c r="A76" s="96" t="s">
        <v>1952</v>
      </c>
      <c r="B76" s="104">
        <v>261805.4</v>
      </c>
      <c r="D76" s="97" t="str">
        <f t="shared" si="2"/>
        <v>DURANT</v>
      </c>
      <c r="E76" t="str">
        <f>INDEX(DistrictsMatchNametoNum!$C$2:$H$326,MATCH(D76,DistrictsMatchNametoNum!$H$2:$H$326,0),1)</f>
        <v>1926</v>
      </c>
      <c r="F76" s="101">
        <f>INDEX(SurtaxPayment!$C$6:$K$330,MATCH('Accounts - DOR Dec Payments'!E76,SurtaxPayment!$C$6:$C$330,0),9)</f>
        <v>261805.4</v>
      </c>
      <c r="G76" s="101">
        <f t="shared" si="3"/>
        <v>0</v>
      </c>
    </row>
    <row r="77" spans="1:7" x14ac:dyDescent="0.25">
      <c r="A77" s="96" t="s">
        <v>1925</v>
      </c>
      <c r="B77" s="104">
        <v>37503.99</v>
      </c>
      <c r="D77" s="97" t="str">
        <f t="shared" si="2"/>
        <v>EAGLE GROVE</v>
      </c>
      <c r="E77" t="str">
        <f>INDEX(DistrictsMatchNametoNum!$C$2:$H$326,MATCH(D77,DistrictsMatchNametoNum!$H$2:$H$326,0),1)</f>
        <v>1944</v>
      </c>
      <c r="F77" s="101">
        <f>INDEX(SurtaxPayment!$C$6:$K$330,MATCH('Accounts - DOR Dec Payments'!E77,SurtaxPayment!$C$6:$C$330,0),9)</f>
        <v>37503.99</v>
      </c>
      <c r="G77" s="101">
        <f t="shared" si="3"/>
        <v>0</v>
      </c>
    </row>
    <row r="78" spans="1:7" x14ac:dyDescent="0.25">
      <c r="A78" s="96" t="s">
        <v>1899</v>
      </c>
      <c r="B78" s="104">
        <v>210982.31</v>
      </c>
      <c r="D78" s="97" t="str">
        <f t="shared" si="2"/>
        <v>EAST BUCHANAN</v>
      </c>
      <c r="E78" t="str">
        <f>INDEX(DistrictsMatchNametoNum!$C$2:$H$326,MATCH(D78,DistrictsMatchNametoNum!$H$2:$H$326,0),1)</f>
        <v>1963</v>
      </c>
      <c r="F78" s="101">
        <f>INDEX(SurtaxPayment!$C$6:$K$330,MATCH('Accounts - DOR Dec Payments'!E78,SurtaxPayment!$C$6:$C$330,0),9)</f>
        <v>210982.31</v>
      </c>
      <c r="G78" s="101">
        <f t="shared" si="3"/>
        <v>0</v>
      </c>
    </row>
    <row r="79" spans="1:7" x14ac:dyDescent="0.25">
      <c r="A79" s="96" t="s">
        <v>1892</v>
      </c>
      <c r="B79" s="104">
        <v>309786.62</v>
      </c>
      <c r="D79" s="97" t="str">
        <f t="shared" si="2"/>
        <v>EAST MARSHALL</v>
      </c>
      <c r="E79" t="str">
        <f>INDEX(DistrictsMatchNametoNum!$C$2:$H$326,MATCH(D79,DistrictsMatchNametoNum!$H$2:$H$326,0),1)</f>
        <v>3582</v>
      </c>
      <c r="F79" s="101">
        <f>INDEX(SurtaxPayment!$C$6:$K$330,MATCH('Accounts - DOR Dec Payments'!E79,SurtaxPayment!$C$6:$C$330,0),9)</f>
        <v>309786.62</v>
      </c>
      <c r="G79" s="101">
        <f t="shared" si="3"/>
        <v>0</v>
      </c>
    </row>
    <row r="80" spans="1:7" x14ac:dyDescent="0.25">
      <c r="A80" s="96" t="s">
        <v>1919</v>
      </c>
      <c r="B80" s="104">
        <v>528441.53</v>
      </c>
      <c r="D80" s="97" t="str">
        <f t="shared" si="2"/>
        <v>EAST MILLS</v>
      </c>
      <c r="E80" t="str">
        <f>INDEX(DistrictsMatchNametoNum!$C$2:$H$326,MATCH(D80,DistrictsMatchNametoNum!$H$2:$H$326,0),1)</f>
        <v>3978</v>
      </c>
      <c r="F80" s="101">
        <f>INDEX(SurtaxPayment!$C$6:$K$330,MATCH('Accounts - DOR Dec Payments'!E80,SurtaxPayment!$C$6:$C$330,0),9)</f>
        <v>528441.53</v>
      </c>
      <c r="G80" s="101">
        <f t="shared" si="3"/>
        <v>0</v>
      </c>
    </row>
    <row r="81" spans="1:7" x14ac:dyDescent="0.25">
      <c r="A81" s="96" t="s">
        <v>1994</v>
      </c>
      <c r="B81" s="104">
        <v>64027.93</v>
      </c>
      <c r="D81" s="97" t="str">
        <f t="shared" si="2"/>
        <v>EAST SAC COUNTY</v>
      </c>
      <c r="E81" t="str">
        <f>INDEX(DistrictsMatchNametoNum!$C$2:$H$326,MATCH(D81,DistrictsMatchNametoNum!$H$2:$H$326,0),1)</f>
        <v>6741</v>
      </c>
      <c r="F81" s="101">
        <f>INDEX(SurtaxPayment!$C$6:$K$330,MATCH('Accounts - DOR Dec Payments'!E81,SurtaxPayment!$C$6:$C$330,0),9)</f>
        <v>64027.93</v>
      </c>
      <c r="G81" s="101">
        <f t="shared" si="3"/>
        <v>0</v>
      </c>
    </row>
    <row r="82" spans="1:7" x14ac:dyDescent="0.25">
      <c r="A82" s="96" t="s">
        <v>1950</v>
      </c>
      <c r="B82" s="104">
        <v>232769.23</v>
      </c>
      <c r="D82" s="97" t="str">
        <f t="shared" si="2"/>
        <v>EAST UNION</v>
      </c>
      <c r="E82" t="str">
        <f>INDEX(DistrictsMatchNametoNum!$C$2:$H$326,MATCH(D82,DistrictsMatchNametoNum!$H$2:$H$326,0),1)</f>
        <v>1970</v>
      </c>
      <c r="F82" s="101">
        <f>INDEX(SurtaxPayment!$C$6:$K$330,MATCH('Accounts - DOR Dec Payments'!E82,SurtaxPayment!$C$6:$C$330,0),9)</f>
        <v>232769.23</v>
      </c>
      <c r="G82" s="101">
        <f t="shared" si="3"/>
        <v>0</v>
      </c>
    </row>
    <row r="83" spans="1:7" x14ac:dyDescent="0.25">
      <c r="A83" s="96" t="s">
        <v>1979</v>
      </c>
      <c r="B83" s="104">
        <v>98026.89</v>
      </c>
      <c r="D83" s="97" t="str">
        <f t="shared" si="2"/>
        <v>EASTERN ALLAMAKEE</v>
      </c>
      <c r="E83" t="str">
        <f>INDEX(DistrictsMatchNametoNum!$C$2:$H$326,MATCH(D83,DistrictsMatchNametoNum!$H$2:$H$326,0),1)</f>
        <v>1972</v>
      </c>
      <c r="F83" s="101">
        <f>INDEX(SurtaxPayment!$C$6:$K$330,MATCH('Accounts - DOR Dec Payments'!E83,SurtaxPayment!$C$6:$C$330,0),9)</f>
        <v>98026.89</v>
      </c>
      <c r="G83" s="101">
        <f t="shared" si="3"/>
        <v>0</v>
      </c>
    </row>
    <row r="84" spans="1:7" x14ac:dyDescent="0.25">
      <c r="A84" s="96" t="s">
        <v>2006</v>
      </c>
      <c r="B84" s="104">
        <v>133403.24</v>
      </c>
      <c r="D84" s="97" t="str">
        <f t="shared" si="2"/>
        <v>EASTON VALLEY</v>
      </c>
      <c r="E84" t="str">
        <f>INDEX(DistrictsMatchNametoNum!$C$2:$H$326,MATCH(D84,DistrictsMatchNametoNum!$H$2:$H$326,0),1)</f>
        <v>1965</v>
      </c>
      <c r="F84" s="101">
        <f>INDEX(SurtaxPayment!$C$6:$K$330,MATCH('Accounts - DOR Dec Payments'!E84,SurtaxPayment!$C$6:$C$330,0),9)</f>
        <v>133403.24</v>
      </c>
      <c r="G84" s="101">
        <f t="shared" si="3"/>
        <v>0</v>
      </c>
    </row>
    <row r="85" spans="1:7" x14ac:dyDescent="0.25">
      <c r="A85" s="96" t="s">
        <v>1808</v>
      </c>
      <c r="B85" s="104">
        <v>230353.42</v>
      </c>
      <c r="D85" s="97" t="str">
        <f t="shared" si="2"/>
        <v>EDDYVILLE-BLAKESBURG-FREMONT</v>
      </c>
      <c r="E85" t="str">
        <f>INDEX(DistrictsMatchNametoNum!$C$2:$H$326,MATCH(D85,DistrictsMatchNametoNum!$H$2:$H$326,0),1)</f>
        <v>0657</v>
      </c>
      <c r="F85" s="101">
        <f>INDEX(SurtaxPayment!$C$6:$K$330,MATCH('Accounts - DOR Dec Payments'!E85,SurtaxPayment!$C$6:$C$330,0),9)</f>
        <v>230353.42</v>
      </c>
      <c r="G85" s="101">
        <f t="shared" si="3"/>
        <v>0</v>
      </c>
    </row>
    <row r="86" spans="1:7" x14ac:dyDescent="0.25">
      <c r="A86" s="96" t="s">
        <v>2031</v>
      </c>
      <c r="B86" s="104">
        <v>108274.89</v>
      </c>
      <c r="D86" s="97" t="str">
        <f t="shared" si="2"/>
        <v>EDGEWOOD-COLESBURG</v>
      </c>
      <c r="E86" t="str">
        <f>INDEX(DistrictsMatchNametoNum!$C$2:$H$326,MATCH(D86,DistrictsMatchNametoNum!$H$2:$H$326,0),1)</f>
        <v>1989</v>
      </c>
      <c r="F86" s="101">
        <f>INDEX(SurtaxPayment!$C$6:$K$330,MATCH('Accounts - DOR Dec Payments'!E86,SurtaxPayment!$C$6:$C$330,0),9)</f>
        <v>108274.89</v>
      </c>
      <c r="G86" s="101">
        <f t="shared" si="3"/>
        <v>0</v>
      </c>
    </row>
    <row r="87" spans="1:7" x14ac:dyDescent="0.25">
      <c r="A87" s="96" t="s">
        <v>1933</v>
      </c>
      <c r="B87" s="104">
        <v>63738.37</v>
      </c>
      <c r="D87" s="97" t="str">
        <f t="shared" si="2"/>
        <v>ELDORA-NEW PROVIDENCE</v>
      </c>
      <c r="E87" t="str">
        <f>INDEX(DistrictsMatchNametoNum!$C$2:$H$326,MATCH(D87,DistrictsMatchNametoNum!$H$2:$H$326,0),1)</f>
        <v>2007</v>
      </c>
      <c r="F87" s="101">
        <f>INDEX(SurtaxPayment!$C$6:$K$330,MATCH('Accounts - DOR Dec Payments'!E87,SurtaxPayment!$C$6:$C$330,0),9)</f>
        <v>63738.37</v>
      </c>
      <c r="G87" s="101">
        <f t="shared" si="3"/>
        <v>0</v>
      </c>
    </row>
    <row r="88" spans="1:7" x14ac:dyDescent="0.25">
      <c r="A88" s="96" t="s">
        <v>1992</v>
      </c>
      <c r="B88" s="104">
        <v>310844.59000000003</v>
      </c>
      <c r="D88" s="97" t="str">
        <f t="shared" si="2"/>
        <v>EMMETSBURG</v>
      </c>
      <c r="E88" t="str">
        <f>INDEX(DistrictsMatchNametoNum!$C$2:$H$326,MATCH(D88,DistrictsMatchNametoNum!$H$2:$H$326,0),1)</f>
        <v>2088</v>
      </c>
      <c r="F88" s="101">
        <f>INDEX(SurtaxPayment!$C$6:$K$330,MATCH('Accounts - DOR Dec Payments'!E88,SurtaxPayment!$C$6:$C$330,0),9)</f>
        <v>310844.59000000003</v>
      </c>
      <c r="G88" s="101">
        <f t="shared" si="3"/>
        <v>0</v>
      </c>
    </row>
    <row r="89" spans="1:7" x14ac:dyDescent="0.25">
      <c r="A89" s="96" t="s">
        <v>1912</v>
      </c>
      <c r="B89" s="104">
        <v>180326.51</v>
      </c>
      <c r="D89" s="97" t="str">
        <f t="shared" si="2"/>
        <v>ENGLISH VALLEYS</v>
      </c>
      <c r="E89" t="str">
        <f>INDEX(DistrictsMatchNametoNum!$C$2:$H$326,MATCH(D89,DistrictsMatchNametoNum!$H$2:$H$326,0),1)</f>
        <v>2097</v>
      </c>
      <c r="F89" s="101">
        <f>INDEX(SurtaxPayment!$C$6:$K$330,MATCH('Accounts - DOR Dec Payments'!E89,SurtaxPayment!$C$6:$C$330,0),9)</f>
        <v>180326.51</v>
      </c>
      <c r="G89" s="101">
        <f t="shared" si="3"/>
        <v>0</v>
      </c>
    </row>
    <row r="90" spans="1:7" x14ac:dyDescent="0.25">
      <c r="A90" s="96" t="s">
        <v>2017</v>
      </c>
      <c r="B90" s="104">
        <v>87117.57</v>
      </c>
      <c r="D90" s="97" t="str">
        <f t="shared" si="2"/>
        <v>ESSEX</v>
      </c>
      <c r="E90" t="str">
        <f>INDEX(DistrictsMatchNametoNum!$C$2:$H$326,MATCH(D90,DistrictsMatchNametoNum!$H$2:$H$326,0),1)</f>
        <v>2113</v>
      </c>
      <c r="F90" s="101">
        <f>INDEX(SurtaxPayment!$C$6:$K$330,MATCH('Accounts - DOR Dec Payments'!E90,SurtaxPayment!$C$6:$C$330,0),9)</f>
        <v>87117.57</v>
      </c>
      <c r="G90" s="101">
        <f t="shared" si="3"/>
        <v>0</v>
      </c>
    </row>
    <row r="91" spans="1:7" x14ac:dyDescent="0.25">
      <c r="A91" s="96" t="s">
        <v>1963</v>
      </c>
      <c r="B91" s="104">
        <v>521991.3</v>
      </c>
      <c r="D91" s="97" t="str">
        <f t="shared" si="2"/>
        <v>ESTHERVILLE-LINCOLN CENTRAL</v>
      </c>
      <c r="E91" t="str">
        <f>INDEX(DistrictsMatchNametoNum!$C$2:$H$326,MATCH(D91,DistrictsMatchNametoNum!$H$2:$H$326,0),1)</f>
        <v>2124</v>
      </c>
      <c r="F91" s="101">
        <f>INDEX(SurtaxPayment!$C$6:$K$330,MATCH('Accounts - DOR Dec Payments'!E91,SurtaxPayment!$C$6:$C$330,0),9)</f>
        <v>521991.3</v>
      </c>
      <c r="G91" s="101">
        <f t="shared" si="3"/>
        <v>0</v>
      </c>
    </row>
    <row r="92" spans="1:7" x14ac:dyDescent="0.25">
      <c r="A92" s="96" t="s">
        <v>1970</v>
      </c>
      <c r="B92" s="104">
        <v>124562.35</v>
      </c>
      <c r="D92" s="97" t="str">
        <f t="shared" si="2"/>
        <v>EXIRA-ELK HORN-KIMBALLTON</v>
      </c>
      <c r="E92" t="str">
        <f>INDEX(DistrictsMatchNametoNum!$C$2:$H$326,MATCH(D92,DistrictsMatchNametoNum!$H$2:$H$326,0),1)</f>
        <v>2151</v>
      </c>
      <c r="F92" s="101">
        <f>INDEX(SurtaxPayment!$C$6:$K$330,MATCH('Accounts - DOR Dec Payments'!E92,SurtaxPayment!$C$6:$C$330,0),9)</f>
        <v>124562.35</v>
      </c>
      <c r="G92" s="101">
        <f t="shared" si="3"/>
        <v>0</v>
      </c>
    </row>
    <row r="93" spans="1:7" x14ac:dyDescent="0.25">
      <c r="A93" s="96" t="s">
        <v>1917</v>
      </c>
      <c r="B93" s="104">
        <v>126538.03</v>
      </c>
      <c r="D93" s="97" t="str">
        <f t="shared" si="2"/>
        <v>FAIRFIELD</v>
      </c>
      <c r="E93" t="str">
        <f>INDEX(DistrictsMatchNametoNum!$C$2:$H$326,MATCH(D93,DistrictsMatchNametoNum!$H$2:$H$326,0),1)</f>
        <v>2169</v>
      </c>
      <c r="F93" s="101">
        <f>INDEX(SurtaxPayment!$C$6:$K$330,MATCH('Accounts - DOR Dec Payments'!E93,SurtaxPayment!$C$6:$C$330,0),9)</f>
        <v>126538.03</v>
      </c>
      <c r="G93" s="101">
        <f t="shared" si="3"/>
        <v>0</v>
      </c>
    </row>
    <row r="94" spans="1:7" x14ac:dyDescent="0.25">
      <c r="A94" s="96" t="s">
        <v>1940</v>
      </c>
      <c r="B94" s="104">
        <v>558281.51</v>
      </c>
      <c r="D94" s="97" t="str">
        <f t="shared" si="2"/>
        <v>FOREST CITY</v>
      </c>
      <c r="E94" t="str">
        <f>INDEX(DistrictsMatchNametoNum!$C$2:$H$326,MATCH(D94,DistrictsMatchNametoNum!$H$2:$H$326,0),1)</f>
        <v>2295</v>
      </c>
      <c r="F94" s="101">
        <f>INDEX(SurtaxPayment!$C$6:$K$330,MATCH('Accounts - DOR Dec Payments'!E94,SurtaxPayment!$C$6:$C$330,0),9)</f>
        <v>558281.51</v>
      </c>
      <c r="G94" s="101">
        <f t="shared" si="3"/>
        <v>0</v>
      </c>
    </row>
    <row r="95" spans="1:7" x14ac:dyDescent="0.25">
      <c r="A95" s="96" t="s">
        <v>1998</v>
      </c>
      <c r="B95" s="104">
        <v>482446.71</v>
      </c>
      <c r="D95" s="97" t="str">
        <f t="shared" si="2"/>
        <v>FORT DODGE</v>
      </c>
      <c r="E95" t="str">
        <f>INDEX(DistrictsMatchNametoNum!$C$2:$H$326,MATCH(D95,DistrictsMatchNametoNum!$H$2:$H$326,0),1)</f>
        <v>2313</v>
      </c>
      <c r="F95" s="101">
        <f>INDEX(SurtaxPayment!$C$6:$K$330,MATCH('Accounts - DOR Dec Payments'!E95,SurtaxPayment!$C$6:$C$330,0),9)</f>
        <v>482446.71</v>
      </c>
      <c r="G95" s="101">
        <f t="shared" si="3"/>
        <v>0</v>
      </c>
    </row>
    <row r="96" spans="1:7" x14ac:dyDescent="0.25">
      <c r="A96" s="96" t="s">
        <v>1904</v>
      </c>
      <c r="B96" s="104">
        <v>450821.13</v>
      </c>
      <c r="D96" s="97" t="str">
        <f t="shared" si="2"/>
        <v>FORT MADISON</v>
      </c>
      <c r="E96" t="str">
        <f>INDEX(DistrictsMatchNametoNum!$C$2:$H$326,MATCH(D96,DistrictsMatchNametoNum!$H$2:$H$326,0),1)</f>
        <v>2322</v>
      </c>
      <c r="F96" s="101">
        <f>INDEX(SurtaxPayment!$C$6:$K$330,MATCH('Accounts - DOR Dec Payments'!E96,SurtaxPayment!$C$6:$C$330,0),9)</f>
        <v>450821.13</v>
      </c>
      <c r="G96" s="101">
        <f t="shared" si="3"/>
        <v>0</v>
      </c>
    </row>
    <row r="97" spans="1:7" x14ac:dyDescent="0.25">
      <c r="A97" s="96" t="s">
        <v>2010</v>
      </c>
      <c r="B97" s="104">
        <v>371755.75</v>
      </c>
      <c r="D97" s="97" t="str">
        <f t="shared" si="2"/>
        <v>FREMONT-MILLS</v>
      </c>
      <c r="E97" t="str">
        <f>INDEX(DistrictsMatchNametoNum!$C$2:$H$326,MATCH(D97,DistrictsMatchNametoNum!$H$2:$H$326,0),1)</f>
        <v>2369</v>
      </c>
      <c r="F97" s="101">
        <f>INDEX(SurtaxPayment!$C$6:$K$330,MATCH('Accounts - DOR Dec Payments'!E97,SurtaxPayment!$C$6:$C$330,0),9)</f>
        <v>371755.75</v>
      </c>
      <c r="G97" s="101">
        <f t="shared" si="3"/>
        <v>0</v>
      </c>
    </row>
    <row r="98" spans="1:7" x14ac:dyDescent="0.25">
      <c r="A98" s="96" t="s">
        <v>1956</v>
      </c>
      <c r="B98" s="104">
        <v>343453.8</v>
      </c>
      <c r="D98" s="97" t="str">
        <f t="shared" si="2"/>
        <v>GALVA-HOLSTEIN</v>
      </c>
      <c r="E98" t="str">
        <f>INDEX(DistrictsMatchNametoNum!$C$2:$H$326,MATCH(D98,DistrictsMatchNametoNum!$H$2:$H$326,0),1)</f>
        <v>2376</v>
      </c>
      <c r="F98" s="101">
        <f>INDEX(SurtaxPayment!$C$6:$K$330,MATCH('Accounts - DOR Dec Payments'!E98,SurtaxPayment!$C$6:$C$330,0),9)</f>
        <v>343453.8</v>
      </c>
      <c r="G98" s="101">
        <f t="shared" si="3"/>
        <v>0</v>
      </c>
    </row>
    <row r="99" spans="1:7" x14ac:dyDescent="0.25">
      <c r="A99" s="96" t="s">
        <v>1984</v>
      </c>
      <c r="B99" s="104">
        <v>142328.51999999999</v>
      </c>
      <c r="D99" s="97" t="str">
        <f t="shared" si="2"/>
        <v>GARNER-HAYFIELD-VENTURA</v>
      </c>
      <c r="E99" t="str">
        <f>INDEX(DistrictsMatchNametoNum!$C$2:$H$326,MATCH(D99,DistrictsMatchNametoNum!$H$2:$H$326,0),1)</f>
        <v>2403</v>
      </c>
      <c r="F99" s="101">
        <f>INDEX(SurtaxPayment!$C$6:$K$330,MATCH('Accounts - DOR Dec Payments'!E99,SurtaxPayment!$C$6:$C$330,0),9)</f>
        <v>142328.51999999999</v>
      </c>
      <c r="G99" s="101">
        <f t="shared" si="3"/>
        <v>0</v>
      </c>
    </row>
    <row r="100" spans="1:7" x14ac:dyDescent="0.25">
      <c r="A100" s="96" t="s">
        <v>1928</v>
      </c>
      <c r="B100" s="104">
        <v>349044.82</v>
      </c>
      <c r="D100" s="97" t="str">
        <f t="shared" si="2"/>
        <v>GEORGE-LITTLE ROCK</v>
      </c>
      <c r="E100" t="str">
        <f>INDEX(DistrictsMatchNametoNum!$C$2:$H$326,MATCH(D100,DistrictsMatchNametoNum!$H$2:$H$326,0),1)</f>
        <v>2457</v>
      </c>
      <c r="F100" s="101">
        <f>INDEX(SurtaxPayment!$C$6:$K$330,MATCH('Accounts - DOR Dec Payments'!E100,SurtaxPayment!$C$6:$C$330,0),9)</f>
        <v>349044.82</v>
      </c>
      <c r="G100" s="101">
        <f t="shared" si="3"/>
        <v>0</v>
      </c>
    </row>
    <row r="101" spans="1:7" x14ac:dyDescent="0.25">
      <c r="A101" s="96" t="s">
        <v>1929</v>
      </c>
      <c r="B101" s="104">
        <v>34387.86</v>
      </c>
      <c r="D101" s="97" t="str">
        <f t="shared" si="2"/>
        <v>GILMORE CITY-BRADGATE</v>
      </c>
      <c r="E101" t="str">
        <f>INDEX(DistrictsMatchNametoNum!$C$2:$H$326,MATCH(D101,DistrictsMatchNametoNum!$H$2:$H$326,0),1)</f>
        <v>2493</v>
      </c>
      <c r="F101" s="101">
        <f>INDEX(SurtaxPayment!$C$6:$K$330,MATCH('Accounts - DOR Dec Payments'!E101,SurtaxPayment!$C$6:$C$330,0),9)</f>
        <v>34387.86</v>
      </c>
      <c r="G101" s="101">
        <f t="shared" si="3"/>
        <v>0</v>
      </c>
    </row>
    <row r="102" spans="1:7" x14ac:dyDescent="0.25">
      <c r="A102" s="96" t="s">
        <v>1986</v>
      </c>
      <c r="B102" s="104">
        <v>93925.91</v>
      </c>
      <c r="D102" s="97" t="str">
        <f t="shared" si="2"/>
        <v>GLADBROOK-REINBECK</v>
      </c>
      <c r="E102" t="str">
        <f>INDEX(DistrictsMatchNametoNum!$C$2:$H$326,MATCH(D102,DistrictsMatchNametoNum!$H$2:$H$326,0),1)</f>
        <v>2502</v>
      </c>
      <c r="F102" s="101">
        <f>INDEX(SurtaxPayment!$C$6:$K$330,MATCH('Accounts - DOR Dec Payments'!E102,SurtaxPayment!$C$6:$C$330,0),9)</f>
        <v>93925.91</v>
      </c>
      <c r="G102" s="101">
        <f t="shared" si="3"/>
        <v>0</v>
      </c>
    </row>
    <row r="103" spans="1:7" x14ac:dyDescent="0.25">
      <c r="A103" s="96" t="s">
        <v>1906</v>
      </c>
      <c r="B103" s="104">
        <v>785851.23</v>
      </c>
      <c r="D103" s="97" t="str">
        <f t="shared" si="2"/>
        <v>GLENWOOD</v>
      </c>
      <c r="E103" t="str">
        <f>INDEX(DistrictsMatchNametoNum!$C$2:$H$326,MATCH(D103,DistrictsMatchNametoNum!$H$2:$H$326,0),1)</f>
        <v>2511</v>
      </c>
      <c r="F103" s="101">
        <f>INDEX(SurtaxPayment!$C$6:$K$330,MATCH('Accounts - DOR Dec Payments'!E103,SurtaxPayment!$C$6:$C$330,0),9)</f>
        <v>785851.23</v>
      </c>
      <c r="G103" s="101">
        <f t="shared" si="3"/>
        <v>0</v>
      </c>
    </row>
    <row r="104" spans="1:7" x14ac:dyDescent="0.25">
      <c r="A104" s="96" t="s">
        <v>2012</v>
      </c>
      <c r="B104" s="104">
        <v>19016.16</v>
      </c>
      <c r="D104" s="97" t="str">
        <f t="shared" si="2"/>
        <v>GLIDDEN-RALSTON</v>
      </c>
      <c r="E104" t="str">
        <f>INDEX(DistrictsMatchNametoNum!$C$2:$H$326,MATCH(D104,DistrictsMatchNametoNum!$H$2:$H$326,0),1)</f>
        <v>2520</v>
      </c>
      <c r="F104" s="101">
        <f>INDEX(SurtaxPayment!$C$6:$K$330,MATCH('Accounts - DOR Dec Payments'!E104,SurtaxPayment!$C$6:$C$330,0),9)</f>
        <v>19016.16</v>
      </c>
      <c r="G104" s="101">
        <f t="shared" si="3"/>
        <v>0</v>
      </c>
    </row>
    <row r="105" spans="1:7" x14ac:dyDescent="0.25">
      <c r="A105" s="96" t="s">
        <v>1918</v>
      </c>
      <c r="B105" s="104">
        <v>124578.83</v>
      </c>
      <c r="D105" s="97" t="str">
        <f t="shared" si="2"/>
        <v>GMG</v>
      </c>
      <c r="E105" t="str">
        <f>INDEX(DistrictsMatchNametoNum!$C$2:$H$326,MATCH(D105,DistrictsMatchNametoNum!$H$2:$H$326,0),1)</f>
        <v>2682</v>
      </c>
      <c r="F105" s="101">
        <f>INDEX(SurtaxPayment!$C$6:$K$330,MATCH('Accounts - DOR Dec Payments'!E105,SurtaxPayment!$C$6:$C$330,0),9)</f>
        <v>124578.83</v>
      </c>
      <c r="G105" s="101">
        <f t="shared" si="3"/>
        <v>0</v>
      </c>
    </row>
    <row r="106" spans="1:7" x14ac:dyDescent="0.25">
      <c r="A106" s="96" t="s">
        <v>1957</v>
      </c>
      <c r="B106" s="104">
        <v>95667.11</v>
      </c>
      <c r="D106" s="97" t="str">
        <f t="shared" si="2"/>
        <v>GRAETTINGER-TERRIL</v>
      </c>
      <c r="E106" t="str">
        <f>INDEX(DistrictsMatchNametoNum!$C$2:$H$326,MATCH(D106,DistrictsMatchNametoNum!$H$2:$H$326,0),1)</f>
        <v>2556</v>
      </c>
      <c r="F106" s="101">
        <f>INDEX(SurtaxPayment!$C$6:$K$330,MATCH('Accounts - DOR Dec Payments'!E106,SurtaxPayment!$C$6:$C$330,0),9)</f>
        <v>95667.11</v>
      </c>
      <c r="G106" s="101">
        <f t="shared" si="3"/>
        <v>0</v>
      </c>
    </row>
    <row r="107" spans="1:7" x14ac:dyDescent="0.25">
      <c r="A107" s="96" t="s">
        <v>1860</v>
      </c>
      <c r="B107" s="104">
        <v>657100.66</v>
      </c>
      <c r="D107" s="97" t="str">
        <f t="shared" si="2"/>
        <v>GREENE COUNTY</v>
      </c>
      <c r="E107" t="str">
        <f>INDEX(DistrictsMatchNametoNum!$C$2:$H$326,MATCH(D107,DistrictsMatchNametoNum!$H$2:$H$326,0),1)</f>
        <v>3195</v>
      </c>
      <c r="F107" s="101">
        <f>INDEX(SurtaxPayment!$C$6:$K$330,MATCH('Accounts - DOR Dec Payments'!E107,SurtaxPayment!$C$6:$C$330,0),9)</f>
        <v>657100.66</v>
      </c>
      <c r="G107" s="101">
        <f t="shared" si="3"/>
        <v>0</v>
      </c>
    </row>
    <row r="108" spans="1:7" x14ac:dyDescent="0.25">
      <c r="A108" s="96" t="s">
        <v>2024</v>
      </c>
      <c r="B108" s="104">
        <v>235343.68</v>
      </c>
      <c r="D108" s="97" t="str">
        <f t="shared" si="2"/>
        <v>GRINNELL-NEWBURG</v>
      </c>
      <c r="E108" t="str">
        <f>INDEX(DistrictsMatchNametoNum!$C$2:$H$326,MATCH(D108,DistrictsMatchNametoNum!$H$2:$H$326,0),1)</f>
        <v>2709</v>
      </c>
      <c r="F108" s="101">
        <f>INDEX(SurtaxPayment!$C$6:$K$330,MATCH('Accounts - DOR Dec Payments'!E108,SurtaxPayment!$C$6:$C$330,0),9)</f>
        <v>235343.68</v>
      </c>
      <c r="G108" s="101">
        <f t="shared" si="3"/>
        <v>0</v>
      </c>
    </row>
    <row r="109" spans="1:7" x14ac:dyDescent="0.25">
      <c r="A109" s="96" t="s">
        <v>1942</v>
      </c>
      <c r="B109" s="104">
        <v>27753.1</v>
      </c>
      <c r="D109" s="97" t="str">
        <f t="shared" si="2"/>
        <v>GRISWOLD</v>
      </c>
      <c r="E109" t="str">
        <f>INDEX(DistrictsMatchNametoNum!$C$2:$H$326,MATCH(D109,DistrictsMatchNametoNum!$H$2:$H$326,0),1)</f>
        <v>2718</v>
      </c>
      <c r="F109" s="101">
        <f>INDEX(SurtaxPayment!$C$6:$K$330,MATCH('Accounts - DOR Dec Payments'!E109,SurtaxPayment!$C$6:$C$330,0),9)</f>
        <v>27753.1</v>
      </c>
      <c r="G109" s="101">
        <f t="shared" si="3"/>
        <v>0</v>
      </c>
    </row>
    <row r="110" spans="1:7" x14ac:dyDescent="0.25">
      <c r="A110" s="96" t="s">
        <v>2000</v>
      </c>
      <c r="B110" s="104">
        <v>261271.04000000001</v>
      </c>
      <c r="D110" s="97" t="str">
        <f t="shared" si="2"/>
        <v>GRUNDY CENTER</v>
      </c>
      <c r="E110" t="str">
        <f>INDEX(DistrictsMatchNametoNum!$C$2:$H$326,MATCH(D110,DistrictsMatchNametoNum!$H$2:$H$326,0),1)</f>
        <v>2727</v>
      </c>
      <c r="F110" s="101">
        <f>INDEX(SurtaxPayment!$C$6:$K$330,MATCH('Accounts - DOR Dec Payments'!E110,SurtaxPayment!$C$6:$C$330,0),9)</f>
        <v>261271.04000000001</v>
      </c>
      <c r="G110" s="101">
        <f t="shared" si="3"/>
        <v>0</v>
      </c>
    </row>
    <row r="111" spans="1:7" x14ac:dyDescent="0.25">
      <c r="A111" s="96" t="s">
        <v>1900</v>
      </c>
      <c r="B111" s="104">
        <v>181585.27</v>
      </c>
      <c r="D111" s="97" t="str">
        <f t="shared" si="2"/>
        <v>GUTHRIE CENTER</v>
      </c>
      <c r="E111" t="str">
        <f>INDEX(DistrictsMatchNametoNum!$C$2:$H$326,MATCH(D111,DistrictsMatchNametoNum!$H$2:$H$326,0),1)</f>
        <v>2754</v>
      </c>
      <c r="F111" s="101">
        <f>INDEX(SurtaxPayment!$C$6:$K$330,MATCH('Accounts - DOR Dec Payments'!E111,SurtaxPayment!$C$6:$C$330,0),9)</f>
        <v>181585.27</v>
      </c>
      <c r="G111" s="101">
        <f t="shared" si="3"/>
        <v>0</v>
      </c>
    </row>
    <row r="112" spans="1:7" x14ac:dyDescent="0.25">
      <c r="A112" s="96" t="s">
        <v>1856</v>
      </c>
      <c r="B112" s="104">
        <v>61310.6</v>
      </c>
      <c r="D112" s="97" t="str">
        <f t="shared" si="2"/>
        <v>HAMBURG</v>
      </c>
      <c r="E112" t="str">
        <f>INDEX(DistrictsMatchNametoNum!$C$2:$H$326,MATCH(D112,DistrictsMatchNametoNum!$H$2:$H$326,0),1)</f>
        <v>2772</v>
      </c>
      <c r="F112" s="101">
        <f>INDEX(SurtaxPayment!$C$6:$K$330,MATCH('Accounts - DOR Dec Payments'!E112,SurtaxPayment!$C$6:$C$330,0),9)</f>
        <v>61310.6</v>
      </c>
      <c r="G112" s="101">
        <f t="shared" si="3"/>
        <v>0</v>
      </c>
    </row>
    <row r="113" spans="1:7" x14ac:dyDescent="0.25">
      <c r="A113" s="96" t="s">
        <v>1878</v>
      </c>
      <c r="B113" s="104">
        <v>159254.51999999999</v>
      </c>
      <c r="D113" s="97" t="str">
        <f t="shared" si="2"/>
        <v>HAMPTON-DUMONT</v>
      </c>
      <c r="E113" t="str">
        <f>INDEX(DistrictsMatchNametoNum!$C$2:$H$326,MATCH(D113,DistrictsMatchNametoNum!$H$2:$H$326,0),1)</f>
        <v>2781</v>
      </c>
      <c r="F113" s="101">
        <f>INDEX(SurtaxPayment!$C$6:$K$330,MATCH('Accounts - DOR Dec Payments'!E113,SurtaxPayment!$C$6:$C$330,0),9)</f>
        <v>159254.51999999999</v>
      </c>
      <c r="G113" s="101">
        <f t="shared" si="3"/>
        <v>0</v>
      </c>
    </row>
    <row r="114" spans="1:7" x14ac:dyDescent="0.25">
      <c r="A114" s="96" t="s">
        <v>1838</v>
      </c>
      <c r="B114" s="104">
        <v>665015.76</v>
      </c>
      <c r="D114" s="97" t="str">
        <f t="shared" si="2"/>
        <v>HARLAN</v>
      </c>
      <c r="E114" t="str">
        <f>INDEX(DistrictsMatchNametoNum!$C$2:$H$326,MATCH(D114,DistrictsMatchNametoNum!$H$2:$H$326,0),1)</f>
        <v>2826</v>
      </c>
      <c r="F114" s="101">
        <f>INDEX(SurtaxPayment!$C$6:$K$330,MATCH('Accounts - DOR Dec Payments'!E114,SurtaxPayment!$C$6:$C$330,0),9)</f>
        <v>665015.76</v>
      </c>
      <c r="G114" s="101">
        <f t="shared" si="3"/>
        <v>0</v>
      </c>
    </row>
    <row r="115" spans="1:7" x14ac:dyDescent="0.25">
      <c r="A115" s="96" t="s">
        <v>1871</v>
      </c>
      <c r="B115" s="104">
        <v>137038.16</v>
      </c>
      <c r="D115" s="97" t="str">
        <f t="shared" si="2"/>
        <v>HARTLEY-MELVIN-SANBORN</v>
      </c>
      <c r="E115" t="str">
        <f>INDEX(DistrictsMatchNametoNum!$C$2:$H$326,MATCH(D115,DistrictsMatchNametoNum!$H$2:$H$326,0),1)</f>
        <v>2862</v>
      </c>
      <c r="F115" s="101">
        <f>INDEX(SurtaxPayment!$C$6:$K$330,MATCH('Accounts - DOR Dec Payments'!E115,SurtaxPayment!$C$6:$C$330,0),9)</f>
        <v>137038.16</v>
      </c>
      <c r="G115" s="101">
        <f t="shared" si="3"/>
        <v>0</v>
      </c>
    </row>
    <row r="116" spans="1:7" x14ac:dyDescent="0.25">
      <c r="A116" s="96" t="s">
        <v>1848</v>
      </c>
      <c r="B116" s="104">
        <v>113308.21</v>
      </c>
      <c r="D116" s="97" t="str">
        <f t="shared" si="2"/>
        <v>HIGHLAND</v>
      </c>
      <c r="E116" t="str">
        <f>INDEX(DistrictsMatchNametoNum!$C$2:$H$326,MATCH(D116,DistrictsMatchNametoNum!$H$2:$H$326,0),1)</f>
        <v>2977</v>
      </c>
      <c r="F116" s="101">
        <f>INDEX(SurtaxPayment!$C$6:$K$330,MATCH('Accounts - DOR Dec Payments'!E116,SurtaxPayment!$C$6:$C$330,0),9)</f>
        <v>113308.21</v>
      </c>
      <c r="G116" s="101">
        <f t="shared" si="3"/>
        <v>0</v>
      </c>
    </row>
    <row r="117" spans="1:7" x14ac:dyDescent="0.25">
      <c r="A117" s="96" t="s">
        <v>1895</v>
      </c>
      <c r="B117" s="104">
        <v>327505.49</v>
      </c>
      <c r="D117" s="97" t="str">
        <f t="shared" si="2"/>
        <v>HINTON</v>
      </c>
      <c r="E117" t="str">
        <f>INDEX(DistrictsMatchNametoNum!$C$2:$H$326,MATCH(D117,DistrictsMatchNametoNum!$H$2:$H$326,0),1)</f>
        <v>2988</v>
      </c>
      <c r="F117" s="101">
        <f>INDEX(SurtaxPayment!$C$6:$K$330,MATCH('Accounts - DOR Dec Payments'!E117,SurtaxPayment!$C$6:$C$330,0),9)</f>
        <v>327505.49</v>
      </c>
      <c r="G117" s="101">
        <f t="shared" si="3"/>
        <v>0</v>
      </c>
    </row>
    <row r="118" spans="1:7" x14ac:dyDescent="0.25">
      <c r="A118" s="96" t="s">
        <v>1891</v>
      </c>
      <c r="B118" s="104">
        <v>39402.959999999999</v>
      </c>
      <c r="D118" s="97" t="str">
        <f t="shared" si="2"/>
        <v>HLV</v>
      </c>
      <c r="E118" t="str">
        <f>INDEX(DistrictsMatchNametoNum!$C$2:$H$326,MATCH(D118,DistrictsMatchNametoNum!$H$2:$H$326,0),1)</f>
        <v>2766</v>
      </c>
      <c r="F118" s="101">
        <f>INDEX(SurtaxPayment!$C$6:$K$330,MATCH('Accounts - DOR Dec Payments'!E118,SurtaxPayment!$C$6:$C$330,0),9)</f>
        <v>39402.959999999999</v>
      </c>
      <c r="G118" s="101">
        <f t="shared" si="3"/>
        <v>0</v>
      </c>
    </row>
    <row r="119" spans="1:7" x14ac:dyDescent="0.25">
      <c r="A119" s="96" t="s">
        <v>1853</v>
      </c>
      <c r="B119" s="104">
        <v>490443.29</v>
      </c>
      <c r="D119" s="97" t="str">
        <f t="shared" si="2"/>
        <v>HOWARD-WINNESHIEK</v>
      </c>
      <c r="E119" t="str">
        <f>INDEX(DistrictsMatchNametoNum!$C$2:$H$326,MATCH(D119,DistrictsMatchNametoNum!$H$2:$H$326,0),1)</f>
        <v>3029</v>
      </c>
      <c r="F119" s="101">
        <f>INDEX(SurtaxPayment!$C$6:$K$330,MATCH('Accounts - DOR Dec Payments'!E119,SurtaxPayment!$C$6:$C$330,0),9)</f>
        <v>490443.29</v>
      </c>
      <c r="G119" s="101">
        <f t="shared" si="3"/>
        <v>0</v>
      </c>
    </row>
    <row r="120" spans="1:7" x14ac:dyDescent="0.25">
      <c r="A120" s="96" t="s">
        <v>1843</v>
      </c>
      <c r="B120" s="104">
        <v>105716.89</v>
      </c>
      <c r="D120" s="97" t="str">
        <f t="shared" si="2"/>
        <v>HUDSON</v>
      </c>
      <c r="E120" t="str">
        <f>INDEX(DistrictsMatchNametoNum!$C$2:$H$326,MATCH(D120,DistrictsMatchNametoNum!$H$2:$H$326,0),1)</f>
        <v>3042</v>
      </c>
      <c r="F120" s="101">
        <f>INDEX(SurtaxPayment!$C$6:$K$330,MATCH('Accounts - DOR Dec Payments'!E120,SurtaxPayment!$C$6:$C$330,0),9)</f>
        <v>105716.89</v>
      </c>
      <c r="G120" s="101">
        <f t="shared" si="3"/>
        <v>0</v>
      </c>
    </row>
    <row r="121" spans="1:7" x14ac:dyDescent="0.25">
      <c r="A121" s="96" t="s">
        <v>1887</v>
      </c>
      <c r="B121" s="104">
        <v>211422.33</v>
      </c>
      <c r="D121" s="97" t="str">
        <f t="shared" si="2"/>
        <v>HUMBOLDT</v>
      </c>
      <c r="E121" t="str">
        <f>INDEX(DistrictsMatchNametoNum!$C$2:$H$326,MATCH(D121,DistrictsMatchNametoNum!$H$2:$H$326,0),1)</f>
        <v>3060</v>
      </c>
      <c r="F121" s="101">
        <f>INDEX(SurtaxPayment!$C$6:$K$330,MATCH('Accounts - DOR Dec Payments'!E121,SurtaxPayment!$C$6:$C$330,0),9)</f>
        <v>211422.33</v>
      </c>
      <c r="G121" s="101">
        <f t="shared" si="3"/>
        <v>0</v>
      </c>
    </row>
    <row r="122" spans="1:7" x14ac:dyDescent="0.25">
      <c r="A122" s="96" t="s">
        <v>1839</v>
      </c>
      <c r="B122" s="104">
        <v>216163.9</v>
      </c>
      <c r="D122" s="97" t="str">
        <f t="shared" si="2"/>
        <v>IKM-MANNING</v>
      </c>
      <c r="E122" t="str">
        <f>INDEX(DistrictsMatchNametoNum!$C$2:$H$326,MATCH(D122,DistrictsMatchNametoNum!$H$2:$H$326,0),1)</f>
        <v>3168</v>
      </c>
      <c r="F122" s="101">
        <f>INDEX(SurtaxPayment!$C$6:$K$330,MATCH('Accounts - DOR Dec Payments'!E122,SurtaxPayment!$C$6:$C$330,0),9)</f>
        <v>216163.9</v>
      </c>
      <c r="G122" s="101">
        <f t="shared" si="3"/>
        <v>0</v>
      </c>
    </row>
    <row r="123" spans="1:7" x14ac:dyDescent="0.25">
      <c r="A123" s="96" t="s">
        <v>1865</v>
      </c>
      <c r="B123" s="104">
        <v>627241.93000000005</v>
      </c>
      <c r="D123" s="97" t="str">
        <f t="shared" si="2"/>
        <v>INDEPENDENCE</v>
      </c>
      <c r="E123" t="str">
        <f>INDEX(DistrictsMatchNametoNum!$C$2:$H$326,MATCH(D123,DistrictsMatchNametoNum!$H$2:$H$326,0),1)</f>
        <v>3105</v>
      </c>
      <c r="F123" s="101">
        <f>INDEX(SurtaxPayment!$C$6:$K$330,MATCH('Accounts - DOR Dec Payments'!E123,SurtaxPayment!$C$6:$C$330,0),9)</f>
        <v>627241.93000000005</v>
      </c>
      <c r="G123" s="101">
        <f t="shared" si="3"/>
        <v>0</v>
      </c>
    </row>
    <row r="124" spans="1:7" x14ac:dyDescent="0.25">
      <c r="A124" s="96" t="s">
        <v>1866</v>
      </c>
      <c r="B124" s="104">
        <v>1373915.68</v>
      </c>
      <c r="D124" s="97" t="str">
        <f t="shared" si="2"/>
        <v>INDIANOLA</v>
      </c>
      <c r="E124" t="str">
        <f>INDEX(DistrictsMatchNametoNum!$C$2:$H$326,MATCH(D124,DistrictsMatchNametoNum!$H$2:$H$326,0),1)</f>
        <v>3114</v>
      </c>
      <c r="F124" s="101">
        <f>INDEX(SurtaxPayment!$C$6:$K$330,MATCH('Accounts - DOR Dec Payments'!E124,SurtaxPayment!$C$6:$C$330,0),9)</f>
        <v>1373915.68</v>
      </c>
      <c r="G124" s="101">
        <f t="shared" si="3"/>
        <v>0</v>
      </c>
    </row>
    <row r="125" spans="1:7" x14ac:dyDescent="0.25">
      <c r="A125" s="96" t="s">
        <v>1888</v>
      </c>
      <c r="B125" s="104">
        <v>6729556.96</v>
      </c>
      <c r="D125" s="97" t="str">
        <f t="shared" si="2"/>
        <v>IOWA CITY</v>
      </c>
      <c r="E125" t="str">
        <f>INDEX(DistrictsMatchNametoNum!$C$2:$H$326,MATCH(D125,DistrictsMatchNametoNum!$H$2:$H$326,0),1)</f>
        <v>3141</v>
      </c>
      <c r="F125" s="101">
        <f>INDEX(SurtaxPayment!$C$6:$K$330,MATCH('Accounts - DOR Dec Payments'!E125,SurtaxPayment!$C$6:$C$330,0),9)</f>
        <v>6729556.96</v>
      </c>
      <c r="G125" s="101">
        <f t="shared" si="3"/>
        <v>0</v>
      </c>
    </row>
    <row r="126" spans="1:7" x14ac:dyDescent="0.25">
      <c r="A126" s="96" t="s">
        <v>1854</v>
      </c>
      <c r="B126" s="104">
        <v>448366.33</v>
      </c>
      <c r="D126" s="97" t="str">
        <f t="shared" si="2"/>
        <v>IOWA FALLS</v>
      </c>
      <c r="E126" t="str">
        <f>INDEX(DistrictsMatchNametoNum!$C$2:$H$326,MATCH(D126,DistrictsMatchNametoNum!$H$2:$H$326,0),1)</f>
        <v>3150</v>
      </c>
      <c r="F126" s="101">
        <f>INDEX(SurtaxPayment!$C$6:$K$330,MATCH('Accounts - DOR Dec Payments'!E126,SurtaxPayment!$C$6:$C$330,0),9)</f>
        <v>448366.33</v>
      </c>
      <c r="G126" s="101">
        <f t="shared" si="3"/>
        <v>0</v>
      </c>
    </row>
    <row r="127" spans="1:7" x14ac:dyDescent="0.25">
      <c r="A127" s="96" t="s">
        <v>1876</v>
      </c>
      <c r="B127" s="104">
        <v>432147.32</v>
      </c>
      <c r="D127" s="97" t="str">
        <f t="shared" si="2"/>
        <v>IOWA VALLEY</v>
      </c>
      <c r="E127" t="str">
        <f>INDEX(DistrictsMatchNametoNum!$C$2:$H$326,MATCH(D127,DistrictsMatchNametoNum!$H$2:$H$326,0),1)</f>
        <v>3154</v>
      </c>
      <c r="F127" s="101">
        <f>INDEX(SurtaxPayment!$C$6:$K$330,MATCH('Accounts - DOR Dec Payments'!E127,SurtaxPayment!$C$6:$C$330,0),9)</f>
        <v>432147.32</v>
      </c>
      <c r="G127" s="101">
        <f t="shared" si="3"/>
        <v>0</v>
      </c>
    </row>
    <row r="128" spans="1:7" x14ac:dyDescent="0.25">
      <c r="A128" s="96" t="s">
        <v>1881</v>
      </c>
      <c r="B128" s="104">
        <v>210929.77</v>
      </c>
      <c r="D128" s="97" t="str">
        <f t="shared" si="2"/>
        <v>JANESVILLE</v>
      </c>
      <c r="E128" t="str">
        <f>INDEX(DistrictsMatchNametoNum!$C$2:$H$326,MATCH(D128,DistrictsMatchNametoNum!$H$2:$H$326,0),1)</f>
        <v>3186</v>
      </c>
      <c r="F128" s="101">
        <f>INDEX(SurtaxPayment!$C$6:$K$330,MATCH('Accounts - DOR Dec Payments'!E128,SurtaxPayment!$C$6:$C$330,0),9)</f>
        <v>210929.77</v>
      </c>
      <c r="G128" s="101">
        <f t="shared" si="3"/>
        <v>0</v>
      </c>
    </row>
    <row r="129" spans="1:7" x14ac:dyDescent="0.25">
      <c r="A129" s="96" t="s">
        <v>1850</v>
      </c>
      <c r="B129" s="104">
        <v>72282.23</v>
      </c>
      <c r="D129" s="97" t="str">
        <f t="shared" si="2"/>
        <v>KEOTA</v>
      </c>
      <c r="E129" t="str">
        <f>INDEX(DistrictsMatchNametoNum!$C$2:$H$326,MATCH(D129,DistrictsMatchNametoNum!$H$2:$H$326,0),1)</f>
        <v>3330</v>
      </c>
      <c r="F129" s="101">
        <f>INDEX(SurtaxPayment!$C$6:$K$330,MATCH('Accounts - DOR Dec Payments'!E129,SurtaxPayment!$C$6:$C$330,0),9)</f>
        <v>72282.23</v>
      </c>
      <c r="G129" s="101">
        <f t="shared" si="3"/>
        <v>0</v>
      </c>
    </row>
    <row r="130" spans="1:7" x14ac:dyDescent="0.25">
      <c r="A130" s="96" t="s">
        <v>1873</v>
      </c>
      <c r="B130" s="104">
        <v>112259.32</v>
      </c>
      <c r="D130" s="97" t="str">
        <f t="shared" si="2"/>
        <v>KINGSLEY-PIERSON</v>
      </c>
      <c r="E130" t="str">
        <f>INDEX(DistrictsMatchNametoNum!$C$2:$H$326,MATCH(D130,DistrictsMatchNametoNum!$H$2:$H$326,0),1)</f>
        <v>3348</v>
      </c>
      <c r="F130" s="101">
        <f>INDEX(SurtaxPayment!$C$6:$K$330,MATCH('Accounts - DOR Dec Payments'!E130,SurtaxPayment!$C$6:$C$330,0),9)</f>
        <v>112259.32</v>
      </c>
      <c r="G130" s="101">
        <f t="shared" si="3"/>
        <v>0</v>
      </c>
    </row>
    <row r="131" spans="1:7" x14ac:dyDescent="0.25">
      <c r="A131" s="96" t="s">
        <v>1841</v>
      </c>
      <c r="B131" s="104">
        <v>724499.32</v>
      </c>
      <c r="D131" s="97" t="str">
        <f t="shared" ref="D131:D194" si="4">SUBSTITUTE(A131," - SCHOOL SURTAX PENDING","")</f>
        <v>KNOXVILLE</v>
      </c>
      <c r="E131" t="str">
        <f>INDEX(DistrictsMatchNametoNum!$C$2:$H$326,MATCH(D131,DistrictsMatchNametoNum!$H$2:$H$326,0),1)</f>
        <v>3375</v>
      </c>
      <c r="F131" s="101">
        <f>INDEX(SurtaxPayment!$C$6:$K$330,MATCH('Accounts - DOR Dec Payments'!E131,SurtaxPayment!$C$6:$C$330,0),9)</f>
        <v>724499.32</v>
      </c>
      <c r="G131" s="101">
        <f t="shared" ref="G131:G194" si="5">F131-B131</f>
        <v>0</v>
      </c>
    </row>
    <row r="132" spans="1:7" x14ac:dyDescent="0.25">
      <c r="A132" s="96" t="s">
        <v>1883</v>
      </c>
      <c r="B132" s="104">
        <v>35970.18</v>
      </c>
      <c r="D132" s="97" t="str">
        <f t="shared" si="4"/>
        <v>LAKE MILLS</v>
      </c>
      <c r="E132" t="str">
        <f>INDEX(DistrictsMatchNametoNum!$C$2:$H$326,MATCH(D132,DistrictsMatchNametoNum!$H$2:$H$326,0),1)</f>
        <v>3420</v>
      </c>
      <c r="F132" s="101">
        <f>INDEX(SurtaxPayment!$C$6:$K$330,MATCH('Accounts - DOR Dec Payments'!E132,SurtaxPayment!$C$6:$C$330,0),9)</f>
        <v>35970.18</v>
      </c>
      <c r="G132" s="101">
        <f t="shared" si="5"/>
        <v>0</v>
      </c>
    </row>
    <row r="133" spans="1:7" x14ac:dyDescent="0.25">
      <c r="A133" s="96" t="s">
        <v>1862</v>
      </c>
      <c r="B133" s="104">
        <v>54901.36</v>
      </c>
      <c r="D133" s="97" t="str">
        <f t="shared" si="4"/>
        <v>LAMONI</v>
      </c>
      <c r="E133" t="str">
        <f>INDEX(DistrictsMatchNametoNum!$C$2:$H$326,MATCH(D133,DistrictsMatchNametoNum!$H$2:$H$326,0),1)</f>
        <v>3465</v>
      </c>
      <c r="F133" s="101">
        <f>INDEX(SurtaxPayment!$C$6:$K$330,MATCH('Accounts - DOR Dec Payments'!E133,SurtaxPayment!$C$6:$C$330,0),9)</f>
        <v>54901.36</v>
      </c>
      <c r="G133" s="101">
        <f t="shared" si="5"/>
        <v>0</v>
      </c>
    </row>
    <row r="134" spans="1:7" x14ac:dyDescent="0.25">
      <c r="A134" s="96" t="s">
        <v>1868</v>
      </c>
      <c r="B134" s="104">
        <v>142785.57999999999</v>
      </c>
      <c r="D134" s="97" t="str">
        <f t="shared" si="4"/>
        <v>LAURENS-MARATHON</v>
      </c>
      <c r="E134" t="str">
        <f>INDEX(DistrictsMatchNametoNum!$C$2:$H$326,MATCH(D134,DistrictsMatchNametoNum!$H$2:$H$326,0),1)</f>
        <v>3537</v>
      </c>
      <c r="F134" s="101">
        <f>INDEX(SurtaxPayment!$C$6:$K$330,MATCH('Accounts - DOR Dec Payments'!E134,SurtaxPayment!$C$6:$C$330,0),9)</f>
        <v>142785.57999999999</v>
      </c>
      <c r="G134" s="101">
        <f t="shared" si="5"/>
        <v>0</v>
      </c>
    </row>
    <row r="135" spans="1:7" x14ac:dyDescent="0.25">
      <c r="A135" s="96" t="s">
        <v>1845</v>
      </c>
      <c r="B135" s="104">
        <v>46696.31</v>
      </c>
      <c r="D135" s="97" t="str">
        <f t="shared" si="4"/>
        <v>LAWTON-BRONSON</v>
      </c>
      <c r="E135" t="str">
        <f>INDEX(DistrictsMatchNametoNum!$C$2:$H$326,MATCH(D135,DistrictsMatchNametoNum!$H$2:$H$326,0),1)</f>
        <v>3555</v>
      </c>
      <c r="F135" s="101">
        <f>INDEX(SurtaxPayment!$C$6:$K$330,MATCH('Accounts - DOR Dec Payments'!E135,SurtaxPayment!$C$6:$C$330,0),9)</f>
        <v>46696.31</v>
      </c>
      <c r="G135" s="101">
        <f t="shared" si="5"/>
        <v>0</v>
      </c>
    </row>
    <row r="136" spans="1:7" x14ac:dyDescent="0.25">
      <c r="A136" s="96" t="s">
        <v>2008</v>
      </c>
      <c r="B136" s="104">
        <v>42128.85</v>
      </c>
      <c r="D136" s="97" t="str">
        <f t="shared" si="4"/>
        <v>LENOX</v>
      </c>
      <c r="E136" t="str">
        <f>INDEX(DistrictsMatchNametoNum!$C$2:$H$326,MATCH(D136,DistrictsMatchNametoNum!$H$2:$H$326,0),1)</f>
        <v>3609</v>
      </c>
      <c r="F136" s="101">
        <f>INDEX(SurtaxPayment!$C$6:$K$330,MATCH('Accounts - DOR Dec Payments'!E136,SurtaxPayment!$C$6:$C$330,0),9)</f>
        <v>42128.85</v>
      </c>
      <c r="G136" s="101">
        <f t="shared" si="5"/>
        <v>0</v>
      </c>
    </row>
    <row r="137" spans="1:7" x14ac:dyDescent="0.25">
      <c r="A137" s="96" t="s">
        <v>1953</v>
      </c>
      <c r="B137" s="104">
        <v>245544.38</v>
      </c>
      <c r="D137" s="97" t="str">
        <f t="shared" si="4"/>
        <v>LEWIS CENTRAL</v>
      </c>
      <c r="E137" t="str">
        <f>INDEX(DistrictsMatchNametoNum!$C$2:$H$326,MATCH(D137,DistrictsMatchNametoNum!$H$2:$H$326,0),1)</f>
        <v>3645</v>
      </c>
      <c r="F137" s="101">
        <f>INDEX(SurtaxPayment!$C$6:$K$330,MATCH('Accounts - DOR Dec Payments'!E137,SurtaxPayment!$C$6:$C$330,0),9)</f>
        <v>245544.38</v>
      </c>
      <c r="G137" s="101">
        <f t="shared" si="5"/>
        <v>0</v>
      </c>
    </row>
    <row r="138" spans="1:7" x14ac:dyDescent="0.25">
      <c r="A138" s="96" t="s">
        <v>2034</v>
      </c>
      <c r="B138" s="104">
        <v>85574.19</v>
      </c>
      <c r="D138" s="97" t="str">
        <f t="shared" si="4"/>
        <v>LISBON</v>
      </c>
      <c r="E138" t="str">
        <f>INDEX(DistrictsMatchNametoNum!$C$2:$H$326,MATCH(D138,DistrictsMatchNametoNum!$H$2:$H$326,0),1)</f>
        <v>3744</v>
      </c>
      <c r="F138" s="101">
        <f>INDEX(SurtaxPayment!$C$6:$K$330,MATCH('Accounts - DOR Dec Payments'!E138,SurtaxPayment!$C$6:$C$330,0),9)</f>
        <v>85574.19</v>
      </c>
      <c r="G138" s="101">
        <f t="shared" si="5"/>
        <v>0</v>
      </c>
    </row>
    <row r="139" spans="1:7" x14ac:dyDescent="0.25">
      <c r="A139" s="96" t="s">
        <v>1930</v>
      </c>
      <c r="B139" s="104">
        <v>170187.12</v>
      </c>
      <c r="D139" s="97" t="str">
        <f t="shared" si="4"/>
        <v>LOGAN-MAGNOLIA</v>
      </c>
      <c r="E139" t="str">
        <f>INDEX(DistrictsMatchNametoNum!$C$2:$H$326,MATCH(D139,DistrictsMatchNametoNum!$H$2:$H$326,0),1)</f>
        <v>3798</v>
      </c>
      <c r="F139" s="101">
        <f>INDEX(SurtaxPayment!$C$6:$K$330,MATCH('Accounts - DOR Dec Payments'!E139,SurtaxPayment!$C$6:$C$330,0),9)</f>
        <v>170187.12</v>
      </c>
      <c r="G139" s="101">
        <f t="shared" si="5"/>
        <v>0</v>
      </c>
    </row>
    <row r="140" spans="1:7" x14ac:dyDescent="0.25">
      <c r="A140" s="96" t="s">
        <v>1988</v>
      </c>
      <c r="B140" s="104">
        <v>196860.53</v>
      </c>
      <c r="D140" s="97" t="str">
        <f t="shared" si="4"/>
        <v>LONE TREE</v>
      </c>
      <c r="E140" t="str">
        <f>INDEX(DistrictsMatchNametoNum!$C$2:$H$326,MATCH(D140,DistrictsMatchNametoNum!$H$2:$H$326,0),1)</f>
        <v>3816</v>
      </c>
      <c r="F140" s="101">
        <f>INDEX(SurtaxPayment!$C$6:$K$330,MATCH('Accounts - DOR Dec Payments'!E140,SurtaxPayment!$C$6:$C$330,0),9)</f>
        <v>196860.53</v>
      </c>
      <c r="G140" s="101">
        <f t="shared" si="5"/>
        <v>0</v>
      </c>
    </row>
    <row r="141" spans="1:7" x14ac:dyDescent="0.25">
      <c r="A141" s="96" t="s">
        <v>1908</v>
      </c>
      <c r="B141" s="104">
        <v>351343.14</v>
      </c>
      <c r="D141" s="97" t="str">
        <f t="shared" si="4"/>
        <v>LOUISA-MUSCATINE</v>
      </c>
      <c r="E141" t="str">
        <f>INDEX(DistrictsMatchNametoNum!$C$2:$H$326,MATCH(D141,DistrictsMatchNametoNum!$H$2:$H$326,0),1)</f>
        <v>3841</v>
      </c>
      <c r="F141" s="101">
        <f>INDEX(SurtaxPayment!$C$6:$K$330,MATCH('Accounts - DOR Dec Payments'!E141,SurtaxPayment!$C$6:$C$330,0),9)</f>
        <v>351343.14</v>
      </c>
      <c r="G141" s="101">
        <f t="shared" si="5"/>
        <v>0</v>
      </c>
    </row>
    <row r="142" spans="1:7" x14ac:dyDescent="0.25">
      <c r="A142" s="96" t="s">
        <v>1959</v>
      </c>
      <c r="B142" s="104">
        <v>289533.90000000002</v>
      </c>
      <c r="D142" s="97" t="str">
        <f t="shared" si="4"/>
        <v>LYNNVILLE-SULLY</v>
      </c>
      <c r="E142" t="str">
        <f>INDEX(DistrictsMatchNametoNum!$C$2:$H$326,MATCH(D142,DistrictsMatchNametoNum!$H$2:$H$326,0),1)</f>
        <v>3906</v>
      </c>
      <c r="F142" s="101">
        <f>INDEX(SurtaxPayment!$C$6:$K$330,MATCH('Accounts - DOR Dec Payments'!E142,SurtaxPayment!$C$6:$C$330,0),9)</f>
        <v>289533.90000000002</v>
      </c>
      <c r="G142" s="101">
        <f t="shared" si="5"/>
        <v>0</v>
      </c>
    </row>
    <row r="143" spans="1:7" x14ac:dyDescent="0.25">
      <c r="A143" s="96" t="s">
        <v>1974</v>
      </c>
      <c r="B143" s="104">
        <v>188232.2</v>
      </c>
      <c r="D143" s="97" t="str">
        <f t="shared" si="4"/>
        <v>MADRID</v>
      </c>
      <c r="E143" t="str">
        <f>INDEX(DistrictsMatchNametoNum!$C$2:$H$326,MATCH(D143,DistrictsMatchNametoNum!$H$2:$H$326,0),1)</f>
        <v>3942</v>
      </c>
      <c r="F143" s="101">
        <f>INDEX(SurtaxPayment!$C$6:$K$330,MATCH('Accounts - DOR Dec Payments'!E143,SurtaxPayment!$C$6:$C$330,0),9)</f>
        <v>188232.2</v>
      </c>
      <c r="G143" s="101">
        <f t="shared" si="5"/>
        <v>0</v>
      </c>
    </row>
    <row r="144" spans="1:7" x14ac:dyDescent="0.25">
      <c r="A144" s="96" t="s">
        <v>2026</v>
      </c>
      <c r="B144" s="104">
        <v>305395.82</v>
      </c>
      <c r="D144" s="97" t="str">
        <f t="shared" si="4"/>
        <v>MANSON-NORTHWEST WEBSTER</v>
      </c>
      <c r="E144" t="str">
        <f>INDEX(DistrictsMatchNametoNum!$C$2:$H$326,MATCH(D144,DistrictsMatchNametoNum!$H$2:$H$326,0),1)</f>
        <v>4023</v>
      </c>
      <c r="F144" s="101">
        <f>INDEX(SurtaxPayment!$C$6:$K$330,MATCH('Accounts - DOR Dec Payments'!E144,SurtaxPayment!$C$6:$C$330,0),9)</f>
        <v>305395.82</v>
      </c>
      <c r="G144" s="101">
        <f t="shared" si="5"/>
        <v>0</v>
      </c>
    </row>
    <row r="145" spans="1:7" x14ac:dyDescent="0.25">
      <c r="A145" s="96" t="s">
        <v>1944</v>
      </c>
      <c r="B145" s="104">
        <v>37822.18</v>
      </c>
      <c r="D145" s="97" t="str">
        <f t="shared" si="4"/>
        <v>MAPLE VALLEY-ANTHON OTO</v>
      </c>
      <c r="E145" t="str">
        <f>INDEX(DistrictsMatchNametoNum!$C$2:$H$326,MATCH(D145,DistrictsMatchNametoNum!$H$2:$H$326,0),1)</f>
        <v>4033</v>
      </c>
      <c r="F145" s="101">
        <f>INDEX(SurtaxPayment!$C$6:$K$330,MATCH('Accounts - DOR Dec Payments'!E145,SurtaxPayment!$C$6:$C$330,0),9)</f>
        <v>37822.18</v>
      </c>
      <c r="G145" s="101">
        <f t="shared" si="5"/>
        <v>0</v>
      </c>
    </row>
    <row r="146" spans="1:7" x14ac:dyDescent="0.25">
      <c r="A146" s="96" t="s">
        <v>2001</v>
      </c>
      <c r="B146" s="104">
        <v>651096.68999999994</v>
      </c>
      <c r="D146" s="97" t="str">
        <f t="shared" si="4"/>
        <v>MAQUOKETA</v>
      </c>
      <c r="E146" t="str">
        <f>INDEX(DistrictsMatchNametoNum!$C$2:$H$326,MATCH(D146,DistrictsMatchNametoNum!$H$2:$H$326,0),1)</f>
        <v>4041</v>
      </c>
      <c r="F146" s="101">
        <f>INDEX(SurtaxPayment!$C$6:$K$330,MATCH('Accounts - DOR Dec Payments'!E146,SurtaxPayment!$C$6:$C$330,0),9)</f>
        <v>651096.68999999994</v>
      </c>
      <c r="G146" s="101">
        <f t="shared" si="5"/>
        <v>0</v>
      </c>
    </row>
    <row r="147" spans="1:7" x14ac:dyDescent="0.25">
      <c r="A147" s="96" t="s">
        <v>2004</v>
      </c>
      <c r="B147" s="104">
        <v>273517.53999999998</v>
      </c>
      <c r="D147" s="97" t="str">
        <f t="shared" si="4"/>
        <v>MARCUS-MERIDEN CLEGHORN</v>
      </c>
      <c r="E147" t="str">
        <f>INDEX(DistrictsMatchNametoNum!$C$2:$H$326,MATCH(D147,DistrictsMatchNametoNum!$H$2:$H$326,0),1)</f>
        <v>4068</v>
      </c>
      <c r="F147" s="101">
        <f>INDEX(SurtaxPayment!$C$6:$K$330,MATCH('Accounts - DOR Dec Payments'!E147,SurtaxPayment!$C$6:$C$330,0),9)</f>
        <v>273517.53999999998</v>
      </c>
      <c r="G147" s="101">
        <f t="shared" si="5"/>
        <v>0</v>
      </c>
    </row>
    <row r="148" spans="1:7" x14ac:dyDescent="0.25">
      <c r="A148" s="96" t="s">
        <v>1948</v>
      </c>
      <c r="B148" s="104">
        <v>607071.32999999996</v>
      </c>
      <c r="D148" s="97" t="str">
        <f t="shared" si="4"/>
        <v>MARION</v>
      </c>
      <c r="E148" t="str">
        <f>INDEX(DistrictsMatchNametoNum!$C$2:$H$326,MATCH(D148,DistrictsMatchNametoNum!$H$2:$H$326,0),1)</f>
        <v>4086</v>
      </c>
      <c r="F148" s="101">
        <f>INDEX(SurtaxPayment!$C$6:$K$330,MATCH('Accounts - DOR Dec Payments'!E148,SurtaxPayment!$C$6:$C$330,0),9)</f>
        <v>607071.32999999996</v>
      </c>
      <c r="G148" s="101">
        <f t="shared" si="5"/>
        <v>0</v>
      </c>
    </row>
    <row r="149" spans="1:7" x14ac:dyDescent="0.25">
      <c r="A149" s="96" t="s">
        <v>1978</v>
      </c>
      <c r="B149" s="104">
        <v>265187.36</v>
      </c>
      <c r="D149" s="97" t="str">
        <f t="shared" si="4"/>
        <v>MARSHALLTOWN</v>
      </c>
      <c r="E149" t="str">
        <f>INDEX(DistrictsMatchNametoNum!$C$2:$H$326,MATCH(D149,DistrictsMatchNametoNum!$H$2:$H$326,0),1)</f>
        <v>4104</v>
      </c>
      <c r="F149" s="101">
        <f>INDEX(SurtaxPayment!$C$6:$K$330,MATCH('Accounts - DOR Dec Payments'!E149,SurtaxPayment!$C$6:$C$330,0),9)</f>
        <v>265187.36</v>
      </c>
      <c r="G149" s="101">
        <f t="shared" si="5"/>
        <v>0</v>
      </c>
    </row>
    <row r="150" spans="1:7" x14ac:dyDescent="0.25">
      <c r="A150" s="96" t="s">
        <v>1922</v>
      </c>
      <c r="B150" s="104">
        <v>45546.03</v>
      </c>
      <c r="D150" s="97" t="str">
        <f t="shared" si="4"/>
        <v>MARTENSDALE-ST MARYS</v>
      </c>
      <c r="E150" t="str">
        <f>INDEX(DistrictsMatchNametoNum!$C$2:$H$326,MATCH(D150,DistrictsMatchNametoNum!$H$2:$H$326,0),1)</f>
        <v>4122</v>
      </c>
      <c r="F150" s="101">
        <f>INDEX(SurtaxPayment!$C$6:$K$330,MATCH('Accounts - DOR Dec Payments'!E150,SurtaxPayment!$C$6:$C$330,0),9)</f>
        <v>45546.03</v>
      </c>
      <c r="G150" s="101">
        <f t="shared" si="5"/>
        <v>0</v>
      </c>
    </row>
    <row r="151" spans="1:7" x14ac:dyDescent="0.25">
      <c r="A151" s="96" t="s">
        <v>2030</v>
      </c>
      <c r="B151" s="104">
        <v>370604.79999999999</v>
      </c>
      <c r="D151" s="97" t="str">
        <f t="shared" si="4"/>
        <v>MASON CITY</v>
      </c>
      <c r="E151" t="str">
        <f>INDEX(DistrictsMatchNametoNum!$C$2:$H$326,MATCH(D151,DistrictsMatchNametoNum!$H$2:$H$326,0),1)</f>
        <v>4131</v>
      </c>
      <c r="F151" s="101">
        <f>INDEX(SurtaxPayment!$C$6:$K$330,MATCH('Accounts - DOR Dec Payments'!E151,SurtaxPayment!$C$6:$C$330,0),9)</f>
        <v>370604.79999999999</v>
      </c>
      <c r="G151" s="101">
        <f t="shared" si="5"/>
        <v>0</v>
      </c>
    </row>
    <row r="152" spans="1:7" x14ac:dyDescent="0.25">
      <c r="A152" s="96" t="s">
        <v>1991</v>
      </c>
      <c r="B152" s="104">
        <v>402141.32</v>
      </c>
      <c r="D152" s="97" t="str">
        <f t="shared" si="4"/>
        <v>MEDIAPOLIS</v>
      </c>
      <c r="E152" t="str">
        <f>INDEX(DistrictsMatchNametoNum!$C$2:$H$326,MATCH(D152,DistrictsMatchNametoNum!$H$2:$H$326,0),1)</f>
        <v>4203</v>
      </c>
      <c r="F152" s="101">
        <f>INDEX(SurtaxPayment!$C$6:$K$330,MATCH('Accounts - DOR Dec Payments'!E152,SurtaxPayment!$C$6:$C$330,0),9)</f>
        <v>402141.32</v>
      </c>
      <c r="G152" s="101">
        <f t="shared" si="5"/>
        <v>0</v>
      </c>
    </row>
    <row r="153" spans="1:7" x14ac:dyDescent="0.25">
      <c r="A153" s="96" t="s">
        <v>1911</v>
      </c>
      <c r="B153" s="104">
        <v>13122.02</v>
      </c>
      <c r="D153" s="97" t="str">
        <f t="shared" si="4"/>
        <v>MELCHER-DALLAS</v>
      </c>
      <c r="E153" t="str">
        <f>INDEX(DistrictsMatchNametoNum!$C$2:$H$326,MATCH(D153,DistrictsMatchNametoNum!$H$2:$H$326,0),1)</f>
        <v>4212</v>
      </c>
      <c r="F153" s="101">
        <f>INDEX(SurtaxPayment!$C$6:$K$330,MATCH('Accounts - DOR Dec Payments'!E153,SurtaxPayment!$C$6:$C$330,0),9)</f>
        <v>13122.02</v>
      </c>
      <c r="G153" s="101">
        <f t="shared" si="5"/>
        <v>0</v>
      </c>
    </row>
    <row r="154" spans="1:7" x14ac:dyDescent="0.25">
      <c r="A154" s="96" t="s">
        <v>1916</v>
      </c>
      <c r="B154" s="104">
        <v>388292.83</v>
      </c>
      <c r="D154" s="97" t="str">
        <f t="shared" si="4"/>
        <v>MFL MAR MAC</v>
      </c>
      <c r="E154" t="str">
        <f>INDEX(DistrictsMatchNametoNum!$C$2:$H$326,MATCH(D154,DistrictsMatchNametoNum!$H$2:$H$326,0),1)</f>
        <v>4419</v>
      </c>
      <c r="F154" s="101">
        <f>INDEX(SurtaxPayment!$C$6:$K$330,MATCH('Accounts - DOR Dec Payments'!E154,SurtaxPayment!$C$6:$C$330,0),9)</f>
        <v>388292.83</v>
      </c>
      <c r="G154" s="101">
        <f t="shared" si="5"/>
        <v>0</v>
      </c>
    </row>
    <row r="155" spans="1:7" x14ac:dyDescent="0.25">
      <c r="A155" s="96" t="s">
        <v>2016</v>
      </c>
      <c r="B155" s="104">
        <v>350135.77</v>
      </c>
      <c r="D155" s="97" t="str">
        <f t="shared" si="4"/>
        <v>MIDLAND</v>
      </c>
      <c r="E155" t="str">
        <f>INDEX(DistrictsMatchNametoNum!$C$2:$H$326,MATCH(D155,DistrictsMatchNametoNum!$H$2:$H$326,0),1)</f>
        <v>4269</v>
      </c>
      <c r="F155" s="101">
        <f>INDEX(SurtaxPayment!$C$6:$K$330,MATCH('Accounts - DOR Dec Payments'!E155,SurtaxPayment!$C$6:$C$330,0),9)</f>
        <v>350135.77</v>
      </c>
      <c r="G155" s="101">
        <f t="shared" si="5"/>
        <v>0</v>
      </c>
    </row>
    <row r="156" spans="1:7" x14ac:dyDescent="0.25">
      <c r="A156" s="96" t="s">
        <v>1962</v>
      </c>
      <c r="B156" s="104">
        <v>837749.08</v>
      </c>
      <c r="D156" s="97" t="str">
        <f t="shared" si="4"/>
        <v>MID-PRAIRIE</v>
      </c>
      <c r="E156" t="str">
        <f>INDEX(DistrictsMatchNametoNum!$C$2:$H$326,MATCH(D156,DistrictsMatchNametoNum!$H$2:$H$326,0),1)</f>
        <v>4271</v>
      </c>
      <c r="F156" s="101">
        <f>INDEX(SurtaxPayment!$C$6:$K$330,MATCH('Accounts - DOR Dec Payments'!E156,SurtaxPayment!$C$6:$C$330,0),9)</f>
        <v>837749.08</v>
      </c>
      <c r="G156" s="101">
        <f t="shared" si="5"/>
        <v>0</v>
      </c>
    </row>
    <row r="157" spans="1:7" x14ac:dyDescent="0.25">
      <c r="A157" s="96" t="s">
        <v>1969</v>
      </c>
      <c r="B157" s="104">
        <v>36470.81</v>
      </c>
      <c r="D157" s="97" t="str">
        <f t="shared" si="4"/>
        <v>MISSOURI VALLEY</v>
      </c>
      <c r="E157" t="str">
        <f>INDEX(DistrictsMatchNametoNum!$C$2:$H$326,MATCH(D157,DistrictsMatchNametoNum!$H$2:$H$326,0),1)</f>
        <v>4356</v>
      </c>
      <c r="F157" s="101">
        <f>INDEX(SurtaxPayment!$C$6:$K$330,MATCH('Accounts - DOR Dec Payments'!E157,SurtaxPayment!$C$6:$C$330,0),9)</f>
        <v>36470.81</v>
      </c>
      <c r="G157" s="101">
        <f t="shared" si="5"/>
        <v>0</v>
      </c>
    </row>
    <row r="158" spans="1:7" x14ac:dyDescent="0.25">
      <c r="A158" s="96" t="s">
        <v>1932</v>
      </c>
      <c r="B158" s="104">
        <v>242239.61</v>
      </c>
      <c r="D158" s="97" t="str">
        <f t="shared" si="4"/>
        <v>MOC-FLOYD VALLEY</v>
      </c>
      <c r="E158" t="str">
        <f>INDEX(DistrictsMatchNametoNum!$C$2:$H$326,MATCH(D158,DistrictsMatchNametoNum!$H$2:$H$326,0),1)</f>
        <v>4149</v>
      </c>
      <c r="F158" s="101">
        <f>INDEX(SurtaxPayment!$C$6:$K$330,MATCH('Accounts - DOR Dec Payments'!E158,SurtaxPayment!$C$6:$C$330,0),9)</f>
        <v>242239.61</v>
      </c>
      <c r="G158" s="101">
        <f t="shared" si="5"/>
        <v>0</v>
      </c>
    </row>
    <row r="159" spans="1:7" x14ac:dyDescent="0.25">
      <c r="A159" s="96" t="s">
        <v>2022</v>
      </c>
      <c r="B159" s="104">
        <v>250696.38</v>
      </c>
      <c r="D159" s="97" t="str">
        <f t="shared" si="4"/>
        <v>MONTEZUMA</v>
      </c>
      <c r="E159" t="str">
        <f>INDEX(DistrictsMatchNametoNum!$C$2:$H$326,MATCH(D159,DistrictsMatchNametoNum!$H$2:$H$326,0),1)</f>
        <v>4437</v>
      </c>
      <c r="F159" s="101">
        <f>INDEX(SurtaxPayment!$C$6:$K$330,MATCH('Accounts - DOR Dec Payments'!E159,SurtaxPayment!$C$6:$C$330,0),9)</f>
        <v>250696.38</v>
      </c>
      <c r="G159" s="101">
        <f t="shared" si="5"/>
        <v>0</v>
      </c>
    </row>
    <row r="160" spans="1:7" x14ac:dyDescent="0.25">
      <c r="A160" s="96" t="s">
        <v>1939</v>
      </c>
      <c r="B160" s="104">
        <v>425667.65</v>
      </c>
      <c r="D160" s="97" t="str">
        <f t="shared" si="4"/>
        <v>MONTICELLO</v>
      </c>
      <c r="E160" t="str">
        <f>INDEX(DistrictsMatchNametoNum!$C$2:$H$326,MATCH(D160,DistrictsMatchNametoNum!$H$2:$H$326,0),1)</f>
        <v>4446</v>
      </c>
      <c r="F160" s="101">
        <f>INDEX(SurtaxPayment!$C$6:$K$330,MATCH('Accounts - DOR Dec Payments'!E160,SurtaxPayment!$C$6:$C$330,0),9)</f>
        <v>425667.65</v>
      </c>
      <c r="G160" s="101">
        <f t="shared" si="5"/>
        <v>0</v>
      </c>
    </row>
    <row r="161" spans="1:7" x14ac:dyDescent="0.25">
      <c r="A161" s="96" t="s">
        <v>1835</v>
      </c>
      <c r="B161" s="104">
        <v>92395.96</v>
      </c>
      <c r="D161" s="97" t="str">
        <f t="shared" si="4"/>
        <v>MORAVIA</v>
      </c>
      <c r="E161" t="str">
        <f>INDEX(DistrictsMatchNametoNum!$C$2:$H$326,MATCH(D161,DistrictsMatchNametoNum!$H$2:$H$326,0),1)</f>
        <v>4491</v>
      </c>
      <c r="F161" s="101">
        <f>INDEX(SurtaxPayment!$C$6:$K$330,MATCH('Accounts - DOR Dec Payments'!E161,SurtaxPayment!$C$6:$C$330,0),9)</f>
        <v>92395.96</v>
      </c>
      <c r="G161" s="101">
        <f t="shared" si="5"/>
        <v>0</v>
      </c>
    </row>
    <row r="162" spans="1:7" x14ac:dyDescent="0.25">
      <c r="A162" s="96" t="s">
        <v>2032</v>
      </c>
      <c r="B162" s="104">
        <v>112960.63</v>
      </c>
      <c r="D162" s="97" t="str">
        <f t="shared" si="4"/>
        <v>MORMON TRAIL</v>
      </c>
      <c r="E162" t="str">
        <f>INDEX(DistrictsMatchNametoNum!$C$2:$H$326,MATCH(D162,DistrictsMatchNametoNum!$H$2:$H$326,0),1)</f>
        <v>4505</v>
      </c>
      <c r="F162" s="101">
        <f>INDEX(SurtaxPayment!$C$6:$K$330,MATCH('Accounts - DOR Dec Payments'!E162,SurtaxPayment!$C$6:$C$330,0),9)</f>
        <v>112960.63</v>
      </c>
      <c r="G162" s="101">
        <f t="shared" si="5"/>
        <v>0</v>
      </c>
    </row>
    <row r="163" spans="1:7" x14ac:dyDescent="0.25">
      <c r="A163" s="96" t="s">
        <v>1935</v>
      </c>
      <c r="B163" s="104">
        <v>79395.8</v>
      </c>
      <c r="D163" s="97" t="str">
        <f t="shared" si="4"/>
        <v>MORNING SUN</v>
      </c>
      <c r="E163" t="str">
        <f>INDEX(DistrictsMatchNametoNum!$C$2:$H$326,MATCH(D163,DistrictsMatchNametoNum!$H$2:$H$326,0),1)</f>
        <v>4509</v>
      </c>
      <c r="F163" s="101">
        <f>INDEX(SurtaxPayment!$C$6:$K$330,MATCH('Accounts - DOR Dec Payments'!E163,SurtaxPayment!$C$6:$C$330,0),9)</f>
        <v>79395.8</v>
      </c>
      <c r="G163" s="101">
        <f t="shared" si="5"/>
        <v>0</v>
      </c>
    </row>
    <row r="164" spans="1:7" x14ac:dyDescent="0.25">
      <c r="A164" s="96" t="s">
        <v>1886</v>
      </c>
      <c r="B164" s="104">
        <v>94572.99</v>
      </c>
      <c r="D164" s="97" t="str">
        <f t="shared" si="4"/>
        <v>MOULTON-UDELL</v>
      </c>
      <c r="E164" t="str">
        <f>INDEX(DistrictsMatchNametoNum!$C$2:$H$326,MATCH(D164,DistrictsMatchNametoNum!$H$2:$H$326,0),1)</f>
        <v>4518</v>
      </c>
      <c r="F164" s="101">
        <f>INDEX(SurtaxPayment!$C$6:$K$330,MATCH('Accounts - DOR Dec Payments'!E164,SurtaxPayment!$C$6:$C$330,0),9)</f>
        <v>94572.99</v>
      </c>
      <c r="G164" s="101">
        <f t="shared" si="5"/>
        <v>0</v>
      </c>
    </row>
    <row r="165" spans="1:7" x14ac:dyDescent="0.25">
      <c r="A165" s="96" t="s">
        <v>1864</v>
      </c>
      <c r="B165" s="104">
        <v>168899.29</v>
      </c>
      <c r="D165" s="97" t="str">
        <f t="shared" si="4"/>
        <v>MOUNT AYR</v>
      </c>
      <c r="E165" t="str">
        <f>INDEX(DistrictsMatchNametoNum!$C$2:$H$326,MATCH(D165,DistrictsMatchNametoNum!$H$2:$H$326,0),1)</f>
        <v>4527</v>
      </c>
      <c r="F165" s="101">
        <f>INDEX(SurtaxPayment!$C$6:$K$330,MATCH('Accounts - DOR Dec Payments'!E165,SurtaxPayment!$C$6:$C$330,0),9)</f>
        <v>168899.29</v>
      </c>
      <c r="G165" s="101">
        <f t="shared" si="5"/>
        <v>0</v>
      </c>
    </row>
    <row r="166" spans="1:7" x14ac:dyDescent="0.25">
      <c r="A166" s="96" t="s">
        <v>1867</v>
      </c>
      <c r="B166" s="104">
        <v>475819.68</v>
      </c>
      <c r="D166" s="97" t="str">
        <f t="shared" si="4"/>
        <v>MOUNT PLEASANT</v>
      </c>
      <c r="E166" t="str">
        <f>INDEX(DistrictsMatchNametoNum!$C$2:$H$326,MATCH(D166,DistrictsMatchNametoNum!$H$2:$H$326,0),1)</f>
        <v>4536</v>
      </c>
      <c r="F166" s="101">
        <f>INDEX(SurtaxPayment!$C$6:$K$330,MATCH('Accounts - DOR Dec Payments'!E166,SurtaxPayment!$C$6:$C$330,0),9)</f>
        <v>475819.68</v>
      </c>
      <c r="G166" s="101">
        <f t="shared" si="5"/>
        <v>0</v>
      </c>
    </row>
    <row r="167" spans="1:7" x14ac:dyDescent="0.25">
      <c r="A167" s="96" t="s">
        <v>1844</v>
      </c>
      <c r="B167" s="104">
        <v>478369.59</v>
      </c>
      <c r="D167" s="97" t="str">
        <f t="shared" si="4"/>
        <v>MOUNT VERNON</v>
      </c>
      <c r="E167" t="str">
        <f>INDEX(DistrictsMatchNametoNum!$C$2:$H$326,MATCH(D167,DistrictsMatchNametoNum!$H$2:$H$326,0),1)</f>
        <v>4554</v>
      </c>
      <c r="F167" s="101">
        <f>INDEX(SurtaxPayment!$C$6:$K$330,MATCH('Accounts - DOR Dec Payments'!E167,SurtaxPayment!$C$6:$C$330,0),9)</f>
        <v>478369.59</v>
      </c>
      <c r="G167" s="101">
        <f t="shared" si="5"/>
        <v>0</v>
      </c>
    </row>
    <row r="168" spans="1:7" x14ac:dyDescent="0.25">
      <c r="A168" s="96" t="s">
        <v>1889</v>
      </c>
      <c r="B168" s="104">
        <v>44699.08</v>
      </c>
      <c r="D168" s="97" t="str">
        <f t="shared" si="4"/>
        <v>MURRAY</v>
      </c>
      <c r="E168" t="str">
        <f>INDEX(DistrictsMatchNametoNum!$C$2:$H$326,MATCH(D168,DistrictsMatchNametoNum!$H$2:$H$326,0),1)</f>
        <v>4572</v>
      </c>
      <c r="F168" s="101">
        <f>INDEX(SurtaxPayment!$C$6:$K$330,MATCH('Accounts - DOR Dec Payments'!E168,SurtaxPayment!$C$6:$C$330,0),9)</f>
        <v>44699.08</v>
      </c>
      <c r="G168" s="101">
        <f t="shared" si="5"/>
        <v>0</v>
      </c>
    </row>
    <row r="169" spans="1:7" x14ac:dyDescent="0.25">
      <c r="A169" s="96" t="s">
        <v>1855</v>
      </c>
      <c r="B169" s="104">
        <v>294465.25</v>
      </c>
      <c r="D169" s="97" t="str">
        <f t="shared" si="4"/>
        <v>MUSCATINE</v>
      </c>
      <c r="E169" t="str">
        <f>INDEX(DistrictsMatchNametoNum!$C$2:$H$326,MATCH(D169,DistrictsMatchNametoNum!$H$2:$H$326,0),1)</f>
        <v>4581</v>
      </c>
      <c r="F169" s="101">
        <f>INDEX(SurtaxPayment!$C$6:$K$330,MATCH('Accounts - DOR Dec Payments'!E169,SurtaxPayment!$C$6:$C$330,0),9)</f>
        <v>294465.25</v>
      </c>
      <c r="G169" s="101">
        <f t="shared" si="5"/>
        <v>0</v>
      </c>
    </row>
    <row r="170" spans="1:7" x14ac:dyDescent="0.25">
      <c r="A170" s="96" t="s">
        <v>1877</v>
      </c>
      <c r="B170" s="104">
        <v>291869.84999999998</v>
      </c>
      <c r="D170" s="97" t="str">
        <f t="shared" si="4"/>
        <v>NASHUA-PLAINFIELD</v>
      </c>
      <c r="E170" t="str">
        <f>INDEX(DistrictsMatchNametoNum!$C$2:$H$326,MATCH(D170,DistrictsMatchNametoNum!$H$2:$H$326,0),1)</f>
        <v>4599</v>
      </c>
      <c r="F170" s="101">
        <f>INDEX(SurtaxPayment!$C$6:$K$330,MATCH('Accounts - DOR Dec Payments'!E170,SurtaxPayment!$C$6:$C$330,0),9)</f>
        <v>291869.84999999998</v>
      </c>
      <c r="G170" s="101">
        <f t="shared" si="5"/>
        <v>0</v>
      </c>
    </row>
    <row r="171" spans="1:7" x14ac:dyDescent="0.25">
      <c r="A171" s="96" t="s">
        <v>1840</v>
      </c>
      <c r="B171" s="104">
        <v>550302.26</v>
      </c>
      <c r="D171" s="97" t="str">
        <f t="shared" si="4"/>
        <v>NEVADA</v>
      </c>
      <c r="E171" t="str">
        <f>INDEX(DistrictsMatchNametoNum!$C$2:$H$326,MATCH(D171,DistrictsMatchNametoNum!$H$2:$H$326,0),1)</f>
        <v>4617</v>
      </c>
      <c r="F171" s="101">
        <f>INDEX(SurtaxPayment!$C$6:$K$330,MATCH('Accounts - DOR Dec Payments'!E171,SurtaxPayment!$C$6:$C$330,0),9)</f>
        <v>550302.26</v>
      </c>
      <c r="G171" s="101">
        <f t="shared" si="5"/>
        <v>0</v>
      </c>
    </row>
    <row r="172" spans="1:7" x14ac:dyDescent="0.25">
      <c r="A172" s="96" t="s">
        <v>1861</v>
      </c>
      <c r="B172" s="104">
        <v>555475.81999999995</v>
      </c>
      <c r="D172" s="97" t="str">
        <f t="shared" si="4"/>
        <v>NEW HAMPTON</v>
      </c>
      <c r="E172" t="str">
        <f>INDEX(DistrictsMatchNametoNum!$C$2:$H$326,MATCH(D172,DistrictsMatchNametoNum!$H$2:$H$326,0),1)</f>
        <v>4662</v>
      </c>
      <c r="F172" s="101">
        <f>INDEX(SurtaxPayment!$C$6:$K$330,MATCH('Accounts - DOR Dec Payments'!E172,SurtaxPayment!$C$6:$C$330,0),9)</f>
        <v>555475.81999999995</v>
      </c>
      <c r="G172" s="101">
        <f t="shared" si="5"/>
        <v>0</v>
      </c>
    </row>
    <row r="173" spans="1:7" x14ac:dyDescent="0.25">
      <c r="A173" s="96" t="s">
        <v>1872</v>
      </c>
      <c r="B173" s="104">
        <v>262468.34000000003</v>
      </c>
      <c r="D173" s="97" t="str">
        <f t="shared" si="4"/>
        <v>NEW LONDON</v>
      </c>
      <c r="E173" t="str">
        <f>INDEX(DistrictsMatchNametoNum!$C$2:$H$326,MATCH(D173,DistrictsMatchNametoNum!$H$2:$H$326,0),1)</f>
        <v>4689</v>
      </c>
      <c r="F173" s="101">
        <f>INDEX(SurtaxPayment!$C$6:$K$330,MATCH('Accounts - DOR Dec Payments'!E173,SurtaxPayment!$C$6:$C$330,0),9)</f>
        <v>262468.34000000003</v>
      </c>
      <c r="G173" s="101">
        <f t="shared" si="5"/>
        <v>0</v>
      </c>
    </row>
    <row r="174" spans="1:7" x14ac:dyDescent="0.25">
      <c r="A174" s="96" t="s">
        <v>1882</v>
      </c>
      <c r="B174" s="104">
        <v>266803.59999999998</v>
      </c>
      <c r="D174" s="97" t="str">
        <f t="shared" si="4"/>
        <v>NEWELL-FONDA</v>
      </c>
      <c r="E174" t="str">
        <f>INDEX(DistrictsMatchNametoNum!$C$2:$H$326,MATCH(D174,DistrictsMatchNametoNum!$H$2:$H$326,0),1)</f>
        <v>4644</v>
      </c>
      <c r="F174" s="101">
        <f>INDEX(SurtaxPayment!$C$6:$K$330,MATCH('Accounts - DOR Dec Payments'!E174,SurtaxPayment!$C$6:$C$330,0),9)</f>
        <v>266803.59999999998</v>
      </c>
      <c r="G174" s="101">
        <f t="shared" si="5"/>
        <v>0</v>
      </c>
    </row>
    <row r="175" spans="1:7" x14ac:dyDescent="0.25">
      <c r="A175" s="96" t="s">
        <v>1849</v>
      </c>
      <c r="B175" s="104">
        <v>1222977.83</v>
      </c>
      <c r="D175" s="97" t="str">
        <f t="shared" si="4"/>
        <v>NEWTON</v>
      </c>
      <c r="E175" t="str">
        <f>INDEX(DistrictsMatchNametoNum!$C$2:$H$326,MATCH(D175,DistrictsMatchNametoNum!$H$2:$H$326,0),1)</f>
        <v>4725</v>
      </c>
      <c r="F175" s="101">
        <f>INDEX(SurtaxPayment!$C$6:$K$330,MATCH('Accounts - DOR Dec Payments'!E175,SurtaxPayment!$C$6:$C$330,0),9)</f>
        <v>1222977.83</v>
      </c>
      <c r="G175" s="101">
        <f t="shared" si="5"/>
        <v>0</v>
      </c>
    </row>
    <row r="176" spans="1:7" x14ac:dyDescent="0.25">
      <c r="A176" s="96" t="s">
        <v>1972</v>
      </c>
      <c r="B176" s="104">
        <v>293989.43</v>
      </c>
      <c r="D176" s="97" t="str">
        <f t="shared" si="4"/>
        <v>NODAWAY VALLEY</v>
      </c>
      <c r="E176" t="str">
        <f>INDEX(DistrictsMatchNametoNum!$C$2:$H$326,MATCH(D176,DistrictsMatchNametoNum!$H$2:$H$326,0),1)</f>
        <v>2673</v>
      </c>
      <c r="F176" s="101">
        <f>INDEX(SurtaxPayment!$C$6:$K$330,MATCH('Accounts - DOR Dec Payments'!E176,SurtaxPayment!$C$6:$C$330,0),9)</f>
        <v>293989.43</v>
      </c>
      <c r="G176" s="101">
        <f t="shared" si="5"/>
        <v>0</v>
      </c>
    </row>
    <row r="177" spans="1:7" x14ac:dyDescent="0.25">
      <c r="A177" s="96" t="s">
        <v>2061</v>
      </c>
      <c r="B177" s="104">
        <v>33875.300000000003</v>
      </c>
      <c r="D177" s="97" t="str">
        <f t="shared" si="4"/>
        <v>NORTH BUTLER</v>
      </c>
      <c r="E177" t="str">
        <f>INDEX(DistrictsMatchNametoNum!$C$2:$H$326,MATCH(D177,DistrictsMatchNametoNum!$H$2:$H$326,0),1)</f>
        <v>0153</v>
      </c>
      <c r="F177" s="101">
        <f>INDEX(SurtaxPayment!$C$6:$K$330,MATCH('Accounts - DOR Dec Payments'!E177,SurtaxPayment!$C$6:$C$330,0),9)</f>
        <v>33875.300000000003</v>
      </c>
      <c r="G177" s="101">
        <f t="shared" si="5"/>
        <v>0</v>
      </c>
    </row>
    <row r="178" spans="1:7" x14ac:dyDescent="0.25">
      <c r="A178" s="96" t="s">
        <v>1982</v>
      </c>
      <c r="B178" s="104">
        <v>495584.56</v>
      </c>
      <c r="D178" s="97" t="str">
        <f t="shared" si="4"/>
        <v>NORTH CEDAR</v>
      </c>
      <c r="E178" t="str">
        <f>INDEX(DistrictsMatchNametoNum!$C$2:$H$326,MATCH(D178,DistrictsMatchNametoNum!$H$2:$H$326,0),1)</f>
        <v>3691</v>
      </c>
      <c r="F178" s="101">
        <f>INDEX(SurtaxPayment!$C$6:$K$330,MATCH('Accounts - DOR Dec Payments'!E178,SurtaxPayment!$C$6:$C$330,0),9)</f>
        <v>495584.56</v>
      </c>
      <c r="G178" s="101">
        <f t="shared" si="5"/>
        <v>0</v>
      </c>
    </row>
    <row r="179" spans="1:7" x14ac:dyDescent="0.25">
      <c r="A179" s="96" t="s">
        <v>1874</v>
      </c>
      <c r="B179" s="104">
        <v>534394.35</v>
      </c>
      <c r="D179" s="97" t="str">
        <f t="shared" si="4"/>
        <v>NORTH FAYETTE VALLEY</v>
      </c>
      <c r="E179" t="str">
        <f>INDEX(DistrictsMatchNametoNum!$C$2:$H$326,MATCH(D179,DistrictsMatchNametoNum!$H$2:$H$326,0),1)</f>
        <v>4774</v>
      </c>
      <c r="F179" s="101">
        <f>INDEX(SurtaxPayment!$C$6:$K$330,MATCH('Accounts - DOR Dec Payments'!E179,SurtaxPayment!$C$6:$C$330,0),9)</f>
        <v>534394.35</v>
      </c>
      <c r="G179" s="101">
        <f t="shared" si="5"/>
        <v>0</v>
      </c>
    </row>
    <row r="180" spans="1:7" x14ac:dyDescent="0.25">
      <c r="A180" s="96" t="s">
        <v>1819</v>
      </c>
      <c r="B180" s="104">
        <v>69130.320000000007</v>
      </c>
      <c r="D180" s="97" t="str">
        <f t="shared" si="4"/>
        <v>NORTH IOWA</v>
      </c>
      <c r="E180" t="str">
        <f>INDEX(DistrictsMatchNametoNum!$C$2:$H$326,MATCH(D180,DistrictsMatchNametoNum!$H$2:$H$326,0),1)</f>
        <v>0873</v>
      </c>
      <c r="F180" s="101">
        <f>INDEX(SurtaxPayment!$C$6:$K$330,MATCH('Accounts - DOR Dec Payments'!E180,SurtaxPayment!$C$6:$C$330,0),9)</f>
        <v>69130.320000000007</v>
      </c>
      <c r="G180" s="101">
        <f t="shared" si="5"/>
        <v>0</v>
      </c>
    </row>
    <row r="181" spans="1:7" x14ac:dyDescent="0.25">
      <c r="A181" s="96" t="s">
        <v>1869</v>
      </c>
      <c r="B181" s="104">
        <v>79843.929999999993</v>
      </c>
      <c r="D181" s="97" t="str">
        <f t="shared" si="4"/>
        <v>NORTH KOSSUTH</v>
      </c>
      <c r="E181" t="str">
        <f>INDEX(DistrictsMatchNametoNum!$C$2:$H$326,MATCH(D181,DistrictsMatchNametoNum!$H$2:$H$326,0),1)</f>
        <v>4778</v>
      </c>
      <c r="F181" s="101">
        <f>INDEX(SurtaxPayment!$C$6:$K$330,MATCH('Accounts - DOR Dec Payments'!E181,SurtaxPayment!$C$6:$C$330,0),9)</f>
        <v>79843.929999999993</v>
      </c>
      <c r="G181" s="101">
        <f t="shared" si="5"/>
        <v>0</v>
      </c>
    </row>
    <row r="182" spans="1:7" x14ac:dyDescent="0.25">
      <c r="A182" s="96" t="s">
        <v>1863</v>
      </c>
      <c r="B182" s="104">
        <v>41134.910000000003</v>
      </c>
      <c r="D182" s="97" t="str">
        <f t="shared" si="4"/>
        <v>NORTH LINN</v>
      </c>
      <c r="E182" t="str">
        <f>INDEX(DistrictsMatchNametoNum!$C$2:$H$326,MATCH(D182,DistrictsMatchNametoNum!$H$2:$H$326,0),1)</f>
        <v>4777</v>
      </c>
      <c r="F182" s="101">
        <f>INDEX(SurtaxPayment!$C$6:$K$330,MATCH('Accounts - DOR Dec Payments'!E182,SurtaxPayment!$C$6:$C$330,0),9)</f>
        <v>41134.910000000003</v>
      </c>
      <c r="G182" s="101">
        <f t="shared" si="5"/>
        <v>0</v>
      </c>
    </row>
    <row r="183" spans="1:7" x14ac:dyDescent="0.25">
      <c r="A183" s="96" t="s">
        <v>1884</v>
      </c>
      <c r="B183" s="104">
        <v>65150.33</v>
      </c>
      <c r="D183" s="97" t="str">
        <f t="shared" si="4"/>
        <v>NORTH MAHASKA</v>
      </c>
      <c r="E183" t="str">
        <f>INDEX(DistrictsMatchNametoNum!$C$2:$H$326,MATCH(D183,DistrictsMatchNametoNum!$H$2:$H$326,0),1)</f>
        <v>4776</v>
      </c>
      <c r="F183" s="101">
        <f>INDEX(SurtaxPayment!$C$6:$K$330,MATCH('Accounts - DOR Dec Payments'!E183,SurtaxPayment!$C$6:$C$330,0),9)</f>
        <v>65150.33</v>
      </c>
      <c r="G183" s="101">
        <f t="shared" si="5"/>
        <v>0</v>
      </c>
    </row>
    <row r="184" spans="1:7" x14ac:dyDescent="0.25">
      <c r="A184" s="96" t="s">
        <v>1846</v>
      </c>
      <c r="B184" s="104">
        <v>833275.48</v>
      </c>
      <c r="D184" s="97" t="str">
        <f t="shared" si="4"/>
        <v>NORTH POLK</v>
      </c>
      <c r="E184" t="str">
        <f>INDEX(DistrictsMatchNametoNum!$C$2:$H$326,MATCH(D184,DistrictsMatchNametoNum!$H$2:$H$326,0),1)</f>
        <v>4779</v>
      </c>
      <c r="F184" s="101">
        <f>INDEX(SurtaxPayment!$C$6:$K$330,MATCH('Accounts - DOR Dec Payments'!E184,SurtaxPayment!$C$6:$C$330,0),9)</f>
        <v>833275.48</v>
      </c>
      <c r="G184" s="101">
        <f t="shared" si="5"/>
        <v>0</v>
      </c>
    </row>
    <row r="185" spans="1:7" x14ac:dyDescent="0.25">
      <c r="A185" s="96" t="s">
        <v>1893</v>
      </c>
      <c r="B185" s="104">
        <v>243016.21</v>
      </c>
      <c r="D185" s="97" t="str">
        <f t="shared" si="4"/>
        <v>NORTH SCOTT</v>
      </c>
      <c r="E185" t="str">
        <f>INDEX(DistrictsMatchNametoNum!$C$2:$H$326,MATCH(D185,DistrictsMatchNametoNum!$H$2:$H$326,0),1)</f>
        <v>4784</v>
      </c>
      <c r="F185" s="101">
        <f>INDEX(SurtaxPayment!$C$6:$K$330,MATCH('Accounts - DOR Dec Payments'!E185,SurtaxPayment!$C$6:$C$330,0),9)</f>
        <v>243016.21</v>
      </c>
      <c r="G185" s="101">
        <f t="shared" si="5"/>
        <v>0</v>
      </c>
    </row>
    <row r="186" spans="1:7" x14ac:dyDescent="0.25">
      <c r="A186" s="96" t="s">
        <v>1858</v>
      </c>
      <c r="B186" s="104">
        <v>131232.42000000001</v>
      </c>
      <c r="D186" s="97" t="str">
        <f t="shared" si="4"/>
        <v>NORTH TAMA</v>
      </c>
      <c r="E186" t="str">
        <f>INDEX(DistrictsMatchNametoNum!$C$2:$H$326,MATCH(D186,DistrictsMatchNametoNum!$H$2:$H$326,0),1)</f>
        <v>4785</v>
      </c>
      <c r="F186" s="101">
        <f>INDEX(SurtaxPayment!$C$6:$K$330,MATCH('Accounts - DOR Dec Payments'!E186,SurtaxPayment!$C$6:$C$330,0),9)</f>
        <v>131232.42000000001</v>
      </c>
      <c r="G186" s="101">
        <f t="shared" si="5"/>
        <v>0</v>
      </c>
    </row>
    <row r="187" spans="1:7" x14ac:dyDescent="0.25">
      <c r="A187" s="96" t="s">
        <v>2044</v>
      </c>
      <c r="B187" s="104">
        <v>199662.05</v>
      </c>
      <c r="D187" s="97" t="str">
        <f t="shared" si="4"/>
        <v>NORTH UNION</v>
      </c>
      <c r="E187" t="str">
        <f>INDEX(DistrictsMatchNametoNum!$C$2:$H$326,MATCH(D187,DistrictsMatchNametoNum!$H$2:$H$326,0),1)</f>
        <v>0333</v>
      </c>
      <c r="F187" s="101">
        <f>INDEX(SurtaxPayment!$C$6:$K$330,MATCH('Accounts - DOR Dec Payments'!E187,SurtaxPayment!$C$6:$C$330,0),9)</f>
        <v>199662.05</v>
      </c>
      <c r="G187" s="101">
        <f t="shared" si="5"/>
        <v>0</v>
      </c>
    </row>
    <row r="188" spans="1:7" x14ac:dyDescent="0.25">
      <c r="A188" s="96" t="s">
        <v>1851</v>
      </c>
      <c r="B188" s="104">
        <v>258394.79</v>
      </c>
      <c r="D188" s="97" t="str">
        <f t="shared" si="4"/>
        <v>NORTHEAST</v>
      </c>
      <c r="E188" t="str">
        <f>INDEX(DistrictsMatchNametoNum!$C$2:$H$326,MATCH(D188,DistrictsMatchNametoNum!$H$2:$H$326,0),1)</f>
        <v>4773</v>
      </c>
      <c r="F188" s="101">
        <f>INDEX(SurtaxPayment!$C$6:$K$330,MATCH('Accounts - DOR Dec Payments'!E188,SurtaxPayment!$C$6:$C$330,0),9)</f>
        <v>258394.79</v>
      </c>
      <c r="G188" s="101">
        <f t="shared" si="5"/>
        <v>0</v>
      </c>
    </row>
    <row r="189" spans="1:7" x14ac:dyDescent="0.25">
      <c r="A189" s="96" t="s">
        <v>1836</v>
      </c>
      <c r="B189" s="104">
        <v>142188.54</v>
      </c>
      <c r="D189" s="97" t="str">
        <f t="shared" si="4"/>
        <v>NORTHWOOD-KENSETT</v>
      </c>
      <c r="E189" t="str">
        <f>INDEX(DistrictsMatchNametoNum!$C$2:$H$326,MATCH(D189,DistrictsMatchNametoNum!$H$2:$H$326,0),1)</f>
        <v>4788</v>
      </c>
      <c r="F189" s="101">
        <f>INDEX(SurtaxPayment!$C$6:$K$330,MATCH('Accounts - DOR Dec Payments'!E189,SurtaxPayment!$C$6:$C$330,0),9)</f>
        <v>142188.54</v>
      </c>
      <c r="G189" s="101">
        <f t="shared" si="5"/>
        <v>0</v>
      </c>
    </row>
    <row r="190" spans="1:7" x14ac:dyDescent="0.25">
      <c r="A190" s="96" t="s">
        <v>1870</v>
      </c>
      <c r="B190" s="104">
        <v>140868.14000000001</v>
      </c>
      <c r="D190" s="100" t="s">
        <v>2090</v>
      </c>
      <c r="E190" t="str">
        <f>INDEX(DistrictsMatchNametoNum!$C$2:$H$326,MATCH(D190,DistrictsMatchNametoNum!$H$2:$H$326,0),1)</f>
        <v>4860</v>
      </c>
      <c r="F190" s="101">
        <f>INDEX(SurtaxPayment!$C$6:$K$330,MATCH('Accounts - DOR Dec Payments'!E190,SurtaxPayment!$C$6:$C$330,0),9)</f>
        <v>140868.14000000001</v>
      </c>
      <c r="G190" s="101">
        <f t="shared" si="5"/>
        <v>0</v>
      </c>
    </row>
    <row r="191" spans="1:7" x14ac:dyDescent="0.25">
      <c r="A191" s="96" t="s">
        <v>1847</v>
      </c>
      <c r="B191" s="104">
        <v>505271.77</v>
      </c>
      <c r="D191" s="97" t="str">
        <f t="shared" si="4"/>
        <v>OELWEIN</v>
      </c>
      <c r="E191" t="str">
        <f>INDEX(DistrictsMatchNametoNum!$C$2:$H$326,MATCH(D191,DistrictsMatchNametoNum!$H$2:$H$326,0),1)</f>
        <v>4869</v>
      </c>
      <c r="F191" s="101">
        <f>INDEX(SurtaxPayment!$C$6:$K$330,MATCH('Accounts - DOR Dec Payments'!E191,SurtaxPayment!$C$6:$C$330,0),9)</f>
        <v>505271.77</v>
      </c>
      <c r="G191" s="101">
        <f t="shared" si="5"/>
        <v>0</v>
      </c>
    </row>
    <row r="192" spans="1:7" x14ac:dyDescent="0.25">
      <c r="A192" s="96" t="s">
        <v>1894</v>
      </c>
      <c r="B192" s="104">
        <v>163147.01</v>
      </c>
      <c r="D192" s="97" t="str">
        <f t="shared" si="4"/>
        <v>OGDEN</v>
      </c>
      <c r="E192" t="str">
        <f>INDEX(DistrictsMatchNametoNum!$C$2:$H$326,MATCH(D192,DistrictsMatchNametoNum!$H$2:$H$326,0),1)</f>
        <v>4878</v>
      </c>
      <c r="F192" s="101">
        <f>INDEX(SurtaxPayment!$C$6:$K$330,MATCH('Accounts - DOR Dec Payments'!E192,SurtaxPayment!$C$6:$C$330,0),9)</f>
        <v>163147.01</v>
      </c>
      <c r="G192" s="101">
        <f t="shared" si="5"/>
        <v>0</v>
      </c>
    </row>
    <row r="193" spans="1:7" x14ac:dyDescent="0.25">
      <c r="A193" s="96" t="s">
        <v>1852</v>
      </c>
      <c r="B193" s="104">
        <v>192239.17</v>
      </c>
      <c r="D193" s="97" t="str">
        <f t="shared" si="4"/>
        <v>OKOBOJI</v>
      </c>
      <c r="E193" t="str">
        <f>INDEX(DistrictsMatchNametoNum!$C$2:$H$326,MATCH(D193,DistrictsMatchNametoNum!$H$2:$H$326,0),1)</f>
        <v>4890</v>
      </c>
      <c r="F193" s="101">
        <f>INDEX(SurtaxPayment!$C$6:$K$330,MATCH('Accounts - DOR Dec Payments'!E193,SurtaxPayment!$C$6:$C$330,0),9)</f>
        <v>192239.17</v>
      </c>
      <c r="G193" s="101">
        <f t="shared" si="5"/>
        <v>0</v>
      </c>
    </row>
    <row r="194" spans="1:7" x14ac:dyDescent="0.25">
      <c r="A194" s="96" t="s">
        <v>1875</v>
      </c>
      <c r="B194" s="104">
        <v>11299.71</v>
      </c>
      <c r="D194" s="97" t="str">
        <f t="shared" si="4"/>
        <v>OLIN</v>
      </c>
      <c r="E194" t="str">
        <f>INDEX(DistrictsMatchNametoNum!$C$2:$H$326,MATCH(D194,DistrictsMatchNametoNum!$H$2:$H$326,0),1)</f>
        <v>4905</v>
      </c>
      <c r="F194" s="101">
        <f>INDEX(SurtaxPayment!$C$6:$K$330,MATCH('Accounts - DOR Dec Payments'!E194,SurtaxPayment!$C$6:$C$330,0),9)</f>
        <v>11299.71</v>
      </c>
      <c r="G194" s="101">
        <f t="shared" si="5"/>
        <v>0</v>
      </c>
    </row>
    <row r="195" spans="1:7" x14ac:dyDescent="0.25">
      <c r="A195" s="96" t="s">
        <v>1842</v>
      </c>
      <c r="B195" s="104">
        <v>104774.8</v>
      </c>
      <c r="D195" s="97" t="str">
        <f t="shared" ref="D195:D258" si="6">SUBSTITUTE(A195," - SCHOOL SURTAX PENDING","")</f>
        <v>ORIENT-MACKSBURG</v>
      </c>
      <c r="E195" t="str">
        <f>INDEX(DistrictsMatchNametoNum!$C$2:$H$326,MATCH(D195,DistrictsMatchNametoNum!$H$2:$H$326,0),1)</f>
        <v>4978</v>
      </c>
      <c r="F195" s="101">
        <f>INDEX(SurtaxPayment!$C$6:$K$330,MATCH('Accounts - DOR Dec Payments'!E195,SurtaxPayment!$C$6:$C$330,0),9)</f>
        <v>104774.8</v>
      </c>
      <c r="G195" s="101">
        <f t="shared" ref="G195:G258" si="7">F195-B195</f>
        <v>0</v>
      </c>
    </row>
    <row r="196" spans="1:7" x14ac:dyDescent="0.25">
      <c r="A196" s="96" t="s">
        <v>1885</v>
      </c>
      <c r="B196" s="104">
        <v>135212.37</v>
      </c>
      <c r="D196" s="97" t="str">
        <f t="shared" si="6"/>
        <v>OSAGE</v>
      </c>
      <c r="E196" t="str">
        <f>INDEX(DistrictsMatchNametoNum!$C$2:$H$326,MATCH(D196,DistrictsMatchNametoNum!$H$2:$H$326,0),1)</f>
        <v>4995</v>
      </c>
      <c r="F196" s="101">
        <f>INDEX(SurtaxPayment!$C$6:$K$330,MATCH('Accounts - DOR Dec Payments'!E196,SurtaxPayment!$C$6:$C$330,0),9)</f>
        <v>135212.37</v>
      </c>
      <c r="G196" s="101">
        <f t="shared" si="7"/>
        <v>0</v>
      </c>
    </row>
    <row r="197" spans="1:7" x14ac:dyDescent="0.25">
      <c r="A197" s="96" t="s">
        <v>1821</v>
      </c>
      <c r="B197" s="104">
        <v>622103.26</v>
      </c>
      <c r="D197" s="97" t="str">
        <f t="shared" si="6"/>
        <v>OSKALOOSA</v>
      </c>
      <c r="E197" t="str">
        <f>INDEX(DistrictsMatchNametoNum!$C$2:$H$326,MATCH(D197,DistrictsMatchNametoNum!$H$2:$H$326,0),1)</f>
        <v>5013</v>
      </c>
      <c r="F197" s="101">
        <f>INDEX(SurtaxPayment!$C$6:$K$330,MATCH('Accounts - DOR Dec Payments'!E197,SurtaxPayment!$C$6:$C$330,0),9)</f>
        <v>622103.26</v>
      </c>
      <c r="G197" s="101">
        <f t="shared" si="7"/>
        <v>0</v>
      </c>
    </row>
    <row r="198" spans="1:7" x14ac:dyDescent="0.25">
      <c r="A198" s="96" t="s">
        <v>1800</v>
      </c>
      <c r="B198" s="104">
        <v>663825.78</v>
      </c>
      <c r="D198" s="97" t="str">
        <f t="shared" si="6"/>
        <v>OTTUMWA</v>
      </c>
      <c r="E198" t="str">
        <f>INDEX(DistrictsMatchNametoNum!$C$2:$H$326,MATCH(D198,DistrictsMatchNametoNum!$H$2:$H$326,0),1)</f>
        <v>5049</v>
      </c>
      <c r="F198" s="101">
        <f>INDEX(SurtaxPayment!$C$6:$K$330,MATCH('Accounts - DOR Dec Payments'!E198,SurtaxPayment!$C$6:$C$330,0),9)</f>
        <v>663825.78</v>
      </c>
      <c r="G198" s="101">
        <f t="shared" si="7"/>
        <v>0</v>
      </c>
    </row>
    <row r="199" spans="1:7" x14ac:dyDescent="0.25">
      <c r="A199" s="96" t="s">
        <v>1810</v>
      </c>
      <c r="B199" s="104">
        <v>238018.23</v>
      </c>
      <c r="D199" s="97" t="str">
        <f t="shared" si="6"/>
        <v>PANORAMA</v>
      </c>
      <c r="E199" t="str">
        <f>INDEX(DistrictsMatchNametoNum!$C$2:$H$326,MATCH(D199,DistrictsMatchNametoNum!$H$2:$H$326,0),1)</f>
        <v>5121</v>
      </c>
      <c r="F199" s="101">
        <f>INDEX(SurtaxPayment!$C$6:$K$330,MATCH('Accounts - DOR Dec Payments'!E199,SurtaxPayment!$C$6:$C$330,0),9)</f>
        <v>238018.23</v>
      </c>
      <c r="G199" s="101">
        <f t="shared" si="7"/>
        <v>0</v>
      </c>
    </row>
    <row r="200" spans="1:7" x14ac:dyDescent="0.25">
      <c r="A200" s="96" t="s">
        <v>1791</v>
      </c>
      <c r="B200" s="104">
        <v>11614.85</v>
      </c>
      <c r="D200" s="97" t="str">
        <f t="shared" si="6"/>
        <v>PATON-CHURDAN</v>
      </c>
      <c r="E200" t="str">
        <f>INDEX(DistrictsMatchNametoNum!$C$2:$H$326,MATCH(D200,DistrictsMatchNametoNum!$H$2:$H$326,0),1)</f>
        <v>5139</v>
      </c>
      <c r="F200" s="101">
        <f>INDEX(SurtaxPayment!$C$6:$K$330,MATCH('Accounts - DOR Dec Payments'!E200,SurtaxPayment!$C$6:$C$330,0),9)</f>
        <v>11614.85</v>
      </c>
      <c r="G200" s="101">
        <f t="shared" si="7"/>
        <v>0</v>
      </c>
    </row>
    <row r="201" spans="1:7" x14ac:dyDescent="0.25">
      <c r="A201" s="96" t="s">
        <v>1829</v>
      </c>
      <c r="B201" s="104">
        <v>379663.53</v>
      </c>
      <c r="D201" s="97" t="str">
        <f t="shared" si="6"/>
        <v>PCM</v>
      </c>
      <c r="E201" t="str">
        <f>INDEX(DistrictsMatchNametoNum!$C$2:$H$326,MATCH(D201,DistrictsMatchNametoNum!$H$2:$H$326,0),1)</f>
        <v>5319</v>
      </c>
      <c r="F201" s="101">
        <f>INDEX(SurtaxPayment!$C$6:$K$330,MATCH('Accounts - DOR Dec Payments'!E201,SurtaxPayment!$C$6:$C$330,0),9)</f>
        <v>379663.53</v>
      </c>
      <c r="G201" s="101">
        <f t="shared" si="7"/>
        <v>0</v>
      </c>
    </row>
    <row r="202" spans="1:7" x14ac:dyDescent="0.25">
      <c r="A202" s="96" t="s">
        <v>1794</v>
      </c>
      <c r="B202" s="104">
        <v>222080.76</v>
      </c>
      <c r="D202" s="97" t="str">
        <f t="shared" si="6"/>
        <v>PEKIN</v>
      </c>
      <c r="E202" t="str">
        <f>INDEX(DistrictsMatchNametoNum!$C$2:$H$326,MATCH(D202,DistrictsMatchNametoNum!$H$2:$H$326,0),1)</f>
        <v>5163</v>
      </c>
      <c r="F202" s="101">
        <f>INDEX(SurtaxPayment!$C$6:$K$330,MATCH('Accounts - DOR Dec Payments'!E202,SurtaxPayment!$C$6:$C$330,0),9)</f>
        <v>222080.76</v>
      </c>
      <c r="G202" s="101">
        <f t="shared" si="7"/>
        <v>0</v>
      </c>
    </row>
    <row r="203" spans="1:7" x14ac:dyDescent="0.25">
      <c r="A203" s="96" t="s">
        <v>1813</v>
      </c>
      <c r="B203" s="104">
        <v>1083614.8999999999</v>
      </c>
      <c r="D203" s="97" t="str">
        <f t="shared" si="6"/>
        <v>PELLA</v>
      </c>
      <c r="E203" t="str">
        <f>INDEX(DistrictsMatchNametoNum!$C$2:$H$326,MATCH(D203,DistrictsMatchNametoNum!$H$2:$H$326,0),1)</f>
        <v>5166</v>
      </c>
      <c r="F203" s="101">
        <f>INDEX(SurtaxPayment!$C$6:$K$330,MATCH('Accounts - DOR Dec Payments'!E203,SurtaxPayment!$C$6:$C$330,0),9)</f>
        <v>1083614.8999999999</v>
      </c>
      <c r="G203" s="101">
        <f t="shared" si="7"/>
        <v>0</v>
      </c>
    </row>
    <row r="204" spans="1:7" x14ac:dyDescent="0.25">
      <c r="A204" s="96" t="s">
        <v>1784</v>
      </c>
      <c r="B204" s="104">
        <v>232062.78</v>
      </c>
      <c r="D204" s="97" t="str">
        <f t="shared" si="6"/>
        <v>PERRY</v>
      </c>
      <c r="E204" t="str">
        <f>INDEX(DistrictsMatchNametoNum!$C$2:$H$326,MATCH(D204,DistrictsMatchNametoNum!$H$2:$H$326,0),1)</f>
        <v>5184</v>
      </c>
      <c r="F204" s="101">
        <f>INDEX(SurtaxPayment!$C$6:$K$330,MATCH('Accounts - DOR Dec Payments'!E204,SurtaxPayment!$C$6:$C$330,0),9)</f>
        <v>232062.78</v>
      </c>
      <c r="G204" s="101">
        <f t="shared" si="7"/>
        <v>0</v>
      </c>
    </row>
    <row r="205" spans="1:7" x14ac:dyDescent="0.25">
      <c r="A205" s="96" t="s">
        <v>1803</v>
      </c>
      <c r="B205" s="104">
        <v>330737.03999999998</v>
      </c>
      <c r="D205" s="97" t="str">
        <f t="shared" si="6"/>
        <v>PLEASANTVILLE</v>
      </c>
      <c r="E205" t="str">
        <f>INDEX(DistrictsMatchNametoNum!$C$2:$H$326,MATCH(D205,DistrictsMatchNametoNum!$H$2:$H$326,0),1)</f>
        <v>5256</v>
      </c>
      <c r="F205" s="101">
        <f>INDEX(SurtaxPayment!$C$6:$K$330,MATCH('Accounts - DOR Dec Payments'!E205,SurtaxPayment!$C$6:$C$330,0),9)</f>
        <v>330737.03999999998</v>
      </c>
      <c r="G205" s="101">
        <f t="shared" si="7"/>
        <v>0</v>
      </c>
    </row>
    <row r="206" spans="1:7" x14ac:dyDescent="0.25">
      <c r="A206" s="96" t="s">
        <v>1807</v>
      </c>
      <c r="B206" s="104">
        <v>399534.92</v>
      </c>
      <c r="D206" s="97" t="str">
        <f t="shared" si="6"/>
        <v>POCAHONTAS AREA</v>
      </c>
      <c r="E206" t="str">
        <f>INDEX(DistrictsMatchNametoNum!$C$2:$H$326,MATCH(D206,DistrictsMatchNametoNum!$H$2:$H$326,0),1)</f>
        <v>5283</v>
      </c>
      <c r="F206" s="101">
        <f>INDEX(SurtaxPayment!$C$6:$K$330,MATCH('Accounts - DOR Dec Payments'!E206,SurtaxPayment!$C$6:$C$330,0),9)</f>
        <v>399534.92</v>
      </c>
      <c r="G206" s="101">
        <f t="shared" si="7"/>
        <v>0</v>
      </c>
    </row>
    <row r="207" spans="1:7" x14ac:dyDescent="0.25">
      <c r="A207" s="96" t="s">
        <v>1787</v>
      </c>
      <c r="B207" s="104">
        <v>309053.01</v>
      </c>
      <c r="D207" s="97" t="str">
        <f t="shared" si="6"/>
        <v>POSTVILLE</v>
      </c>
      <c r="E207" t="str">
        <f>INDEX(DistrictsMatchNametoNum!$C$2:$H$326,MATCH(D207,DistrictsMatchNametoNum!$H$2:$H$326,0),1)</f>
        <v>5310</v>
      </c>
      <c r="F207" s="101">
        <f>INDEX(SurtaxPayment!$C$6:$K$330,MATCH('Accounts - DOR Dec Payments'!E207,SurtaxPayment!$C$6:$C$330,0),9)</f>
        <v>309053.01</v>
      </c>
      <c r="G207" s="101">
        <f t="shared" si="7"/>
        <v>0</v>
      </c>
    </row>
    <row r="208" spans="1:7" x14ac:dyDescent="0.25">
      <c r="A208" s="96" t="s">
        <v>1780</v>
      </c>
      <c r="B208" s="104">
        <v>359672.08</v>
      </c>
      <c r="D208" s="97" t="str">
        <f t="shared" si="6"/>
        <v>RED OAK</v>
      </c>
      <c r="E208" t="str">
        <f>INDEX(DistrictsMatchNametoNum!$C$2:$H$326,MATCH(D208,DistrictsMatchNametoNum!$H$2:$H$326,0),1)</f>
        <v>5463</v>
      </c>
      <c r="F208" s="101">
        <f>INDEX(SurtaxPayment!$C$6:$K$330,MATCH('Accounts - DOR Dec Payments'!E208,SurtaxPayment!$C$6:$C$330,0),9)</f>
        <v>359672.08</v>
      </c>
      <c r="G208" s="101">
        <f t="shared" si="7"/>
        <v>0</v>
      </c>
    </row>
    <row r="209" spans="1:7" x14ac:dyDescent="0.25">
      <c r="A209" s="96" t="s">
        <v>1820</v>
      </c>
      <c r="B209" s="104">
        <v>33741.51</v>
      </c>
      <c r="D209" s="97" t="str">
        <f t="shared" si="6"/>
        <v>REMSEN-UNION</v>
      </c>
      <c r="E209" t="str">
        <f>INDEX(DistrictsMatchNametoNum!$C$2:$H$326,MATCH(D209,DistrictsMatchNametoNum!$H$2:$H$326,0),1)</f>
        <v>5486</v>
      </c>
      <c r="F209" s="101">
        <f>INDEX(SurtaxPayment!$C$6:$K$330,MATCH('Accounts - DOR Dec Payments'!E209,SurtaxPayment!$C$6:$C$330,0),9)</f>
        <v>33741.51</v>
      </c>
      <c r="G209" s="101">
        <f t="shared" si="7"/>
        <v>0</v>
      </c>
    </row>
    <row r="210" spans="1:7" x14ac:dyDescent="0.25">
      <c r="A210" s="96" t="s">
        <v>1799</v>
      </c>
      <c r="B210" s="104">
        <v>195858.05</v>
      </c>
      <c r="D210" s="97" t="str">
        <f t="shared" si="6"/>
        <v>RICEVILLE</v>
      </c>
      <c r="E210" t="str">
        <f>INDEX(DistrictsMatchNametoNum!$C$2:$H$326,MATCH(D210,DistrictsMatchNametoNum!$H$2:$H$326,0),1)</f>
        <v>5508</v>
      </c>
      <c r="F210" s="101">
        <f>INDEX(SurtaxPayment!$C$6:$K$330,MATCH('Accounts - DOR Dec Payments'!E210,SurtaxPayment!$C$6:$C$330,0),9)</f>
        <v>195858.05</v>
      </c>
      <c r="G210" s="101">
        <f t="shared" si="7"/>
        <v>0</v>
      </c>
    </row>
    <row r="211" spans="1:7" x14ac:dyDescent="0.25">
      <c r="A211" s="96" t="s">
        <v>1923</v>
      </c>
      <c r="B211" s="104">
        <v>43149.21</v>
      </c>
      <c r="D211" s="97" t="str">
        <f t="shared" si="6"/>
        <v>RIVER VALLEY</v>
      </c>
      <c r="E211" t="str">
        <f>INDEX(DistrictsMatchNametoNum!$C$2:$H$326,MATCH(D211,DistrictsMatchNametoNum!$H$2:$H$326,0),1)</f>
        <v>1975</v>
      </c>
      <c r="F211" s="101">
        <f>INDEX(SurtaxPayment!$C$6:$K$330,MATCH('Accounts - DOR Dec Payments'!E211,SurtaxPayment!$C$6:$C$330,0),9)</f>
        <v>43149.21</v>
      </c>
      <c r="G211" s="101">
        <f t="shared" si="7"/>
        <v>0</v>
      </c>
    </row>
    <row r="212" spans="1:7" x14ac:dyDescent="0.25">
      <c r="A212" s="96" t="s">
        <v>1859</v>
      </c>
      <c r="B212" s="104">
        <v>349166.96</v>
      </c>
      <c r="D212" s="97" t="str">
        <f t="shared" si="6"/>
        <v>RIVERSIDE</v>
      </c>
      <c r="E212" t="str">
        <f>INDEX(DistrictsMatchNametoNum!$C$2:$H$326,MATCH(D212,DistrictsMatchNametoNum!$H$2:$H$326,0),1)</f>
        <v>4824</v>
      </c>
      <c r="F212" s="101">
        <f>INDEX(SurtaxPayment!$C$6:$K$330,MATCH('Accounts - DOR Dec Payments'!E212,SurtaxPayment!$C$6:$C$330,0),9)</f>
        <v>349166.96</v>
      </c>
      <c r="G212" s="101">
        <f t="shared" si="7"/>
        <v>0</v>
      </c>
    </row>
    <row r="213" spans="1:7" x14ac:dyDescent="0.25">
      <c r="A213" s="96" t="s">
        <v>1790</v>
      </c>
      <c r="B213" s="104">
        <v>725120.94</v>
      </c>
      <c r="D213" s="97" t="str">
        <f t="shared" si="6"/>
        <v>ROLAND-STORY</v>
      </c>
      <c r="E213" t="str">
        <f>INDEX(DistrictsMatchNametoNum!$C$2:$H$326,MATCH(D213,DistrictsMatchNametoNum!$H$2:$H$326,0),1)</f>
        <v>5643</v>
      </c>
      <c r="F213" s="101">
        <f>INDEX(SurtaxPayment!$C$6:$K$330,MATCH('Accounts - DOR Dec Payments'!E213,SurtaxPayment!$C$6:$C$330,0),9)</f>
        <v>725120.94</v>
      </c>
      <c r="G213" s="101">
        <f t="shared" si="7"/>
        <v>0</v>
      </c>
    </row>
    <row r="214" spans="1:7" x14ac:dyDescent="0.25">
      <c r="A214" s="96" t="s">
        <v>1832</v>
      </c>
      <c r="B214" s="104">
        <v>87730.4</v>
      </c>
      <c r="D214" s="97" t="str">
        <f t="shared" si="6"/>
        <v>RUDD-ROCKFORD-MARBLE ROCK</v>
      </c>
      <c r="E214" t="str">
        <f>INDEX(DistrictsMatchNametoNum!$C$2:$H$326,MATCH(D214,DistrictsMatchNametoNum!$H$2:$H$326,0),1)</f>
        <v>5697</v>
      </c>
      <c r="F214" s="101">
        <f>INDEX(SurtaxPayment!$C$6:$K$330,MATCH('Accounts - DOR Dec Payments'!E214,SurtaxPayment!$C$6:$C$330,0),9)</f>
        <v>87730.4</v>
      </c>
      <c r="G214" s="101">
        <f t="shared" si="7"/>
        <v>0</v>
      </c>
    </row>
    <row r="215" spans="1:7" x14ac:dyDescent="0.25">
      <c r="A215" s="96" t="s">
        <v>1795</v>
      </c>
      <c r="B215" s="104">
        <v>159939.84</v>
      </c>
      <c r="D215" s="97" t="str">
        <f t="shared" si="6"/>
        <v>RUTHVEN-AYRSHIRE</v>
      </c>
      <c r="E215" t="str">
        <f>INDEX(DistrictsMatchNametoNum!$C$2:$H$326,MATCH(D215,DistrictsMatchNametoNum!$H$2:$H$326,0),1)</f>
        <v>5724</v>
      </c>
      <c r="F215" s="101">
        <f>INDEX(SurtaxPayment!$C$6:$K$330,MATCH('Accounts - DOR Dec Payments'!E215,SurtaxPayment!$C$6:$C$330,0),9)</f>
        <v>159939.84</v>
      </c>
      <c r="G215" s="101">
        <f t="shared" si="7"/>
        <v>0</v>
      </c>
    </row>
    <row r="216" spans="1:7" x14ac:dyDescent="0.25">
      <c r="A216" s="96" t="s">
        <v>1826</v>
      </c>
      <c r="B216" s="104">
        <v>43444.54</v>
      </c>
      <c r="D216" s="97" t="str">
        <f t="shared" si="6"/>
        <v>SCHALLER-CRESTLAND</v>
      </c>
      <c r="E216" t="str">
        <f>INDEX(DistrictsMatchNametoNum!$C$2:$H$326,MATCH(D216,DistrictsMatchNametoNum!$H$2:$H$326,0),1)</f>
        <v>5823</v>
      </c>
      <c r="F216" s="101">
        <f>INDEX(SurtaxPayment!$C$6:$K$330,MATCH('Accounts - DOR Dec Payments'!E216,SurtaxPayment!$C$6:$C$330,0),9)</f>
        <v>43444.54</v>
      </c>
      <c r="G216" s="101">
        <f t="shared" si="7"/>
        <v>0</v>
      </c>
    </row>
    <row r="217" spans="1:7" x14ac:dyDescent="0.25">
      <c r="A217" s="96" t="s">
        <v>1805</v>
      </c>
      <c r="B217" s="104">
        <v>63013.78</v>
      </c>
      <c r="D217" s="97" t="str">
        <f t="shared" si="6"/>
        <v>SCHLESWIG</v>
      </c>
      <c r="E217" t="str">
        <f>INDEX(DistrictsMatchNametoNum!$C$2:$H$326,MATCH(D217,DistrictsMatchNametoNum!$H$2:$H$326,0),1)</f>
        <v>5832</v>
      </c>
      <c r="F217" s="101">
        <f>INDEX(SurtaxPayment!$C$6:$K$330,MATCH('Accounts - DOR Dec Payments'!E217,SurtaxPayment!$C$6:$C$330,0),9)</f>
        <v>63013.78</v>
      </c>
      <c r="G217" s="101">
        <f t="shared" si="7"/>
        <v>0</v>
      </c>
    </row>
    <row r="218" spans="1:7" x14ac:dyDescent="0.25">
      <c r="A218" s="96" t="s">
        <v>1786</v>
      </c>
      <c r="B218" s="104">
        <v>152645.04</v>
      </c>
      <c r="D218" s="97" t="str">
        <f t="shared" si="6"/>
        <v>SEYMOUR</v>
      </c>
      <c r="E218" t="str">
        <f>INDEX(DistrictsMatchNametoNum!$C$2:$H$326,MATCH(D218,DistrictsMatchNametoNum!$H$2:$H$326,0),1)</f>
        <v>5895</v>
      </c>
      <c r="F218" s="101">
        <f>INDEX(SurtaxPayment!$C$6:$K$330,MATCH('Accounts - DOR Dec Payments'!E218,SurtaxPayment!$C$6:$C$330,0),9)</f>
        <v>152645.04</v>
      </c>
      <c r="G218" s="101">
        <f t="shared" si="7"/>
        <v>0</v>
      </c>
    </row>
    <row r="219" spans="1:7" x14ac:dyDescent="0.25">
      <c r="A219" s="96" t="s">
        <v>1797</v>
      </c>
      <c r="B219" s="104">
        <v>554428.74</v>
      </c>
      <c r="D219" s="97" t="str">
        <f t="shared" si="6"/>
        <v>SHELDON</v>
      </c>
      <c r="E219" t="str">
        <f>INDEX(DistrictsMatchNametoNum!$C$2:$H$326,MATCH(D219,DistrictsMatchNametoNum!$H$2:$H$326,0),1)</f>
        <v>5949</v>
      </c>
      <c r="F219" s="101">
        <f>INDEX(SurtaxPayment!$C$6:$K$330,MATCH('Accounts - DOR Dec Payments'!E219,SurtaxPayment!$C$6:$C$330,0),9)</f>
        <v>554428.74</v>
      </c>
      <c r="G219" s="101">
        <f t="shared" si="7"/>
        <v>0</v>
      </c>
    </row>
    <row r="220" spans="1:7" x14ac:dyDescent="0.25">
      <c r="A220" s="96" t="s">
        <v>1817</v>
      </c>
      <c r="B220" s="104">
        <v>429061.56</v>
      </c>
      <c r="D220" s="97" t="str">
        <f t="shared" si="6"/>
        <v>SHENANDOAH</v>
      </c>
      <c r="E220" t="str">
        <f>INDEX(DistrictsMatchNametoNum!$C$2:$H$326,MATCH(D220,DistrictsMatchNametoNum!$H$2:$H$326,0),1)</f>
        <v>5976</v>
      </c>
      <c r="F220" s="101">
        <f>INDEX(SurtaxPayment!$C$6:$K$330,MATCH('Accounts - DOR Dec Payments'!E220,SurtaxPayment!$C$6:$C$330,0),9)</f>
        <v>429061.56</v>
      </c>
      <c r="G220" s="101">
        <f t="shared" si="7"/>
        <v>0</v>
      </c>
    </row>
    <row r="221" spans="1:7" x14ac:dyDescent="0.25">
      <c r="A221" s="96" t="s">
        <v>1782</v>
      </c>
      <c r="B221" s="104">
        <v>358893.39</v>
      </c>
      <c r="D221" s="97" t="str">
        <f t="shared" si="6"/>
        <v>SIBLEY-OCHEYEDAN</v>
      </c>
      <c r="E221" t="str">
        <f>INDEX(DistrictsMatchNametoNum!$C$2:$H$326,MATCH(D221,DistrictsMatchNametoNum!$H$2:$H$326,0),1)</f>
        <v>5994</v>
      </c>
      <c r="F221" s="101">
        <f>INDEX(SurtaxPayment!$C$6:$K$330,MATCH('Accounts - DOR Dec Payments'!E221,SurtaxPayment!$C$6:$C$330,0),9)</f>
        <v>358893.39</v>
      </c>
      <c r="G221" s="101">
        <f t="shared" si="7"/>
        <v>0</v>
      </c>
    </row>
    <row r="222" spans="1:7" x14ac:dyDescent="0.25">
      <c r="A222" s="96" t="s">
        <v>1822</v>
      </c>
      <c r="B222" s="104">
        <v>356022.18</v>
      </c>
      <c r="D222" s="97" t="str">
        <f t="shared" si="6"/>
        <v>SIDNEY</v>
      </c>
      <c r="E222" t="str">
        <f>INDEX(DistrictsMatchNametoNum!$C$2:$H$326,MATCH(D222,DistrictsMatchNametoNum!$H$2:$H$326,0),1)</f>
        <v>6003</v>
      </c>
      <c r="F222" s="101">
        <f>INDEX(SurtaxPayment!$C$6:$K$330,MATCH('Accounts - DOR Dec Payments'!E222,SurtaxPayment!$C$6:$C$330,0),9)</f>
        <v>356022.18</v>
      </c>
      <c r="G222" s="101">
        <f t="shared" si="7"/>
        <v>0</v>
      </c>
    </row>
    <row r="223" spans="1:7" x14ac:dyDescent="0.25">
      <c r="A223" s="96" t="s">
        <v>1936</v>
      </c>
      <c r="B223" s="104">
        <v>27813.58</v>
      </c>
      <c r="D223" s="97" t="str">
        <f t="shared" si="6"/>
        <v>SIGOURNEY</v>
      </c>
      <c r="E223" t="str">
        <f>INDEX(DistrictsMatchNametoNum!$C$2:$H$326,MATCH(D223,DistrictsMatchNametoNum!$H$2:$H$326,0),1)</f>
        <v>6012</v>
      </c>
      <c r="F223" s="101">
        <f>INDEX(SurtaxPayment!$C$6:$K$330,MATCH('Accounts - DOR Dec Payments'!E223,SurtaxPayment!$C$6:$C$330,0),9)</f>
        <v>27813.58</v>
      </c>
      <c r="G223" s="101">
        <f t="shared" si="7"/>
        <v>0</v>
      </c>
    </row>
    <row r="224" spans="1:7" x14ac:dyDescent="0.25">
      <c r="A224" s="96" t="s">
        <v>1995</v>
      </c>
      <c r="B224" s="104">
        <v>703444.59</v>
      </c>
      <c r="D224" s="97" t="str">
        <f t="shared" si="6"/>
        <v>SIOUX CENTER</v>
      </c>
      <c r="E224" t="str">
        <f>INDEX(DistrictsMatchNametoNum!$C$2:$H$326,MATCH(D224,DistrictsMatchNametoNum!$H$2:$H$326,0),1)</f>
        <v>6030</v>
      </c>
      <c r="F224" s="101">
        <f>INDEX(SurtaxPayment!$C$6:$K$330,MATCH('Accounts - DOR Dec Payments'!E224,SurtaxPayment!$C$6:$C$330,0),9)</f>
        <v>703444.59</v>
      </c>
      <c r="G224" s="101">
        <f t="shared" si="7"/>
        <v>0</v>
      </c>
    </row>
    <row r="225" spans="1:7" x14ac:dyDescent="0.25">
      <c r="A225" s="96" t="s">
        <v>2020</v>
      </c>
      <c r="B225" s="104">
        <v>146308.45000000001</v>
      </c>
      <c r="D225" s="97" t="str">
        <f t="shared" si="6"/>
        <v>SIOUX CENTRAL</v>
      </c>
      <c r="E225" t="str">
        <f>INDEX(DistrictsMatchNametoNum!$C$2:$H$326,MATCH(D225,DistrictsMatchNametoNum!$H$2:$H$326,0),1)</f>
        <v>6048</v>
      </c>
      <c r="F225" s="101">
        <f>INDEX(SurtaxPayment!$C$6:$K$330,MATCH('Accounts - DOR Dec Payments'!E225,SurtaxPayment!$C$6:$C$330,0),9)</f>
        <v>146308.45000000001</v>
      </c>
      <c r="G225" s="101">
        <f t="shared" si="7"/>
        <v>0</v>
      </c>
    </row>
    <row r="226" spans="1:7" x14ac:dyDescent="0.25">
      <c r="A226" s="96" t="s">
        <v>1914</v>
      </c>
      <c r="B226" s="104">
        <v>2086372.09</v>
      </c>
      <c r="D226" s="97" t="str">
        <f t="shared" si="6"/>
        <v>SIOUX CITY</v>
      </c>
      <c r="E226" t="str">
        <f>INDEX(DistrictsMatchNametoNum!$C$2:$H$326,MATCH(D226,DistrictsMatchNametoNum!$H$2:$H$326,0),1)</f>
        <v>6039</v>
      </c>
      <c r="F226" s="101">
        <f>INDEX(SurtaxPayment!$C$6:$K$330,MATCH('Accounts - DOR Dec Payments'!E226,SurtaxPayment!$C$6:$C$330,0),9)</f>
        <v>2086372.09</v>
      </c>
      <c r="G226" s="101">
        <f t="shared" si="7"/>
        <v>0</v>
      </c>
    </row>
    <row r="227" spans="1:7" x14ac:dyDescent="0.25">
      <c r="A227" s="96" t="s">
        <v>1968</v>
      </c>
      <c r="B227" s="104">
        <v>157387.04</v>
      </c>
      <c r="D227" s="97" t="str">
        <f t="shared" si="6"/>
        <v>SOLON</v>
      </c>
      <c r="E227" t="str">
        <f>INDEX(DistrictsMatchNametoNum!$C$2:$H$326,MATCH(D227,DistrictsMatchNametoNum!$H$2:$H$326,0),1)</f>
        <v>6093</v>
      </c>
      <c r="F227" s="101">
        <f>INDEX(SurtaxPayment!$C$6:$K$330,MATCH('Accounts - DOR Dec Payments'!E227,SurtaxPayment!$C$6:$C$330,0),9)</f>
        <v>157387.04</v>
      </c>
      <c r="G227" s="101">
        <f t="shared" si="7"/>
        <v>0</v>
      </c>
    </row>
    <row r="228" spans="1:7" x14ac:dyDescent="0.25">
      <c r="A228" s="96" t="s">
        <v>1966</v>
      </c>
      <c r="B228" s="104">
        <v>54219.06</v>
      </c>
      <c r="D228" s="97" t="str">
        <f t="shared" si="6"/>
        <v>SOUTH CENTRAL CALHOUN</v>
      </c>
      <c r="E228" t="str">
        <f>INDEX(DistrictsMatchNametoNum!$C$2:$H$326,MATCH(D228,DistrictsMatchNametoNum!$H$2:$H$326,0),1)</f>
        <v>6091</v>
      </c>
      <c r="F228" s="101">
        <f>INDEX(SurtaxPayment!$C$6:$K$330,MATCH('Accounts - DOR Dec Payments'!E228,SurtaxPayment!$C$6:$C$330,0),9)</f>
        <v>54219.06</v>
      </c>
      <c r="G228" s="101">
        <f t="shared" si="7"/>
        <v>0</v>
      </c>
    </row>
    <row r="229" spans="1:7" x14ac:dyDescent="0.25">
      <c r="A229" s="96" t="s">
        <v>2021</v>
      </c>
      <c r="B229" s="104">
        <v>318648.90999999997</v>
      </c>
      <c r="D229" s="97" t="str">
        <f t="shared" si="6"/>
        <v>SOUTH HAMILTON</v>
      </c>
      <c r="E229" t="str">
        <f>INDEX(DistrictsMatchNametoNum!$C$2:$H$326,MATCH(D229,DistrictsMatchNametoNum!$H$2:$H$326,0),1)</f>
        <v>6095</v>
      </c>
      <c r="F229" s="101">
        <f>INDEX(SurtaxPayment!$C$6:$K$330,MATCH('Accounts - DOR Dec Payments'!E229,SurtaxPayment!$C$6:$C$330,0),9)</f>
        <v>318648.90999999997</v>
      </c>
      <c r="G229" s="101">
        <f t="shared" si="7"/>
        <v>0</v>
      </c>
    </row>
    <row r="230" spans="1:7" x14ac:dyDescent="0.25">
      <c r="A230" s="96" t="s">
        <v>1833</v>
      </c>
      <c r="B230" s="104">
        <v>429307.42</v>
      </c>
      <c r="D230" s="97" t="str">
        <f t="shared" si="6"/>
        <v>SOUTH O'BRIEN</v>
      </c>
      <c r="E230" t="str">
        <f>INDEX(DistrictsMatchNametoNum!$C$2:$H$326,MATCH(D230,DistrictsMatchNametoNum!$H$2:$H$326,0),1)</f>
        <v>5157</v>
      </c>
      <c r="F230" s="101">
        <f>INDEX(SurtaxPayment!$C$6:$K$330,MATCH('Accounts - DOR Dec Payments'!E230,SurtaxPayment!$C$6:$C$330,0),9)</f>
        <v>429307.42</v>
      </c>
      <c r="G230" s="101">
        <f t="shared" si="7"/>
        <v>0</v>
      </c>
    </row>
    <row r="231" spans="1:7" x14ac:dyDescent="0.25">
      <c r="A231" s="96" t="s">
        <v>1997</v>
      </c>
      <c r="B231" s="104">
        <v>46206.68</v>
      </c>
      <c r="D231" s="97" t="str">
        <f t="shared" si="6"/>
        <v>SOUTH PAGE</v>
      </c>
      <c r="E231" t="str">
        <f>INDEX(DistrictsMatchNametoNum!$C$2:$H$326,MATCH(D231,DistrictsMatchNametoNum!$H$2:$H$326,0),1)</f>
        <v>6097</v>
      </c>
      <c r="F231" s="101">
        <f>INDEX(SurtaxPayment!$C$6:$K$330,MATCH('Accounts - DOR Dec Payments'!E231,SurtaxPayment!$C$6:$C$330,0),9)</f>
        <v>46206.68</v>
      </c>
      <c r="G231" s="101">
        <f t="shared" si="7"/>
        <v>0</v>
      </c>
    </row>
    <row r="232" spans="1:7" x14ac:dyDescent="0.25">
      <c r="A232" s="96" t="s">
        <v>1903</v>
      </c>
      <c r="B232" s="104">
        <v>255359.09</v>
      </c>
      <c r="D232" s="97" t="str">
        <f t="shared" si="6"/>
        <v>SOUTH TAMA</v>
      </c>
      <c r="E232" t="str">
        <f>INDEX(DistrictsMatchNametoNum!$C$2:$H$326,MATCH(D232,DistrictsMatchNametoNum!$H$2:$H$326,0),1)</f>
        <v>6098</v>
      </c>
      <c r="F232" s="101">
        <f>INDEX(SurtaxPayment!$C$6:$K$330,MATCH('Accounts - DOR Dec Payments'!E232,SurtaxPayment!$C$6:$C$330,0),9)</f>
        <v>255359.09</v>
      </c>
      <c r="G232" s="101">
        <f t="shared" si="7"/>
        <v>0</v>
      </c>
    </row>
    <row r="233" spans="1:7" x14ac:dyDescent="0.25">
      <c r="A233" s="96" t="s">
        <v>2009</v>
      </c>
      <c r="B233" s="104">
        <v>244609.36</v>
      </c>
      <c r="D233" s="97" t="str">
        <f t="shared" si="6"/>
        <v>SOUTH WINNESHIEK</v>
      </c>
      <c r="E233" t="str">
        <f>INDEX(DistrictsMatchNametoNum!$C$2:$H$326,MATCH(D233,DistrictsMatchNametoNum!$H$2:$H$326,0),1)</f>
        <v>6100</v>
      </c>
      <c r="F233" s="101">
        <f>INDEX(SurtaxPayment!$C$6:$K$330,MATCH('Accounts - DOR Dec Payments'!E233,SurtaxPayment!$C$6:$C$330,0),9)</f>
        <v>244609.36</v>
      </c>
      <c r="G233" s="101">
        <f t="shared" si="7"/>
        <v>0</v>
      </c>
    </row>
    <row r="234" spans="1:7" x14ac:dyDescent="0.25">
      <c r="A234" s="96" t="s">
        <v>1955</v>
      </c>
      <c r="B234" s="104">
        <v>2861507.22</v>
      </c>
      <c r="D234" s="97" t="str">
        <f t="shared" si="6"/>
        <v>SOUTHEAST POLK</v>
      </c>
      <c r="E234" t="str">
        <f>INDEX(DistrictsMatchNametoNum!$C$2:$H$326,MATCH(D234,DistrictsMatchNametoNum!$H$2:$H$326,0),1)</f>
        <v>6101</v>
      </c>
      <c r="F234" s="101">
        <f>INDEX(SurtaxPayment!$C$6:$K$330,MATCH('Accounts - DOR Dec Payments'!E234,SurtaxPayment!$C$6:$C$330,0),9)</f>
        <v>2861507.22</v>
      </c>
      <c r="G234" s="101">
        <f t="shared" si="7"/>
        <v>0</v>
      </c>
    </row>
    <row r="235" spans="1:7" x14ac:dyDescent="0.25">
      <c r="A235" s="96" t="s">
        <v>1938</v>
      </c>
      <c r="B235" s="104">
        <v>360508.47</v>
      </c>
      <c r="D235" s="97" t="str">
        <f t="shared" si="6"/>
        <v>SOUTHEAST VALLEY</v>
      </c>
      <c r="E235" t="str">
        <f>INDEX(DistrictsMatchNametoNum!$C$2:$H$326,MATCH(D235,DistrictsMatchNametoNum!$H$2:$H$326,0),1)</f>
        <v>6096</v>
      </c>
      <c r="F235" s="101">
        <f>INDEX(SurtaxPayment!$C$6:$K$330,MATCH('Accounts - DOR Dec Payments'!E235,SurtaxPayment!$C$6:$C$330,0),9)</f>
        <v>360508.47</v>
      </c>
      <c r="G235" s="101">
        <f t="shared" si="7"/>
        <v>0</v>
      </c>
    </row>
    <row r="236" spans="1:7" x14ac:dyDescent="0.25">
      <c r="A236" s="96" t="s">
        <v>1915</v>
      </c>
      <c r="B236" s="104">
        <v>162289.54</v>
      </c>
      <c r="D236" s="97" t="str">
        <f t="shared" si="6"/>
        <v>SOUTHEAST WARREN</v>
      </c>
      <c r="E236" t="str">
        <f>INDEX(DistrictsMatchNametoNum!$C$2:$H$326,MATCH(D236,DistrictsMatchNametoNum!$H$2:$H$326,0),1)</f>
        <v>6094</v>
      </c>
      <c r="F236" s="101">
        <f>INDEX(SurtaxPayment!$C$6:$K$330,MATCH('Accounts - DOR Dec Payments'!E236,SurtaxPayment!$C$6:$C$330,0),9)</f>
        <v>162289.54</v>
      </c>
      <c r="G236" s="101">
        <f t="shared" si="7"/>
        <v>0</v>
      </c>
    </row>
    <row r="237" spans="1:7" x14ac:dyDescent="0.25">
      <c r="A237" s="96" t="s">
        <v>1983</v>
      </c>
      <c r="B237" s="104">
        <v>549811.74</v>
      </c>
      <c r="D237" s="97" t="str">
        <f t="shared" si="6"/>
        <v>SPENCER</v>
      </c>
      <c r="E237" t="str">
        <f>INDEX(DistrictsMatchNametoNum!$C$2:$H$326,MATCH(D237,DistrictsMatchNametoNum!$H$2:$H$326,0),1)</f>
        <v>6102</v>
      </c>
      <c r="F237" s="101">
        <f>INDEX(SurtaxPayment!$C$6:$K$330,MATCH('Accounts - DOR Dec Payments'!E237,SurtaxPayment!$C$6:$C$330,0),9)</f>
        <v>549811.74</v>
      </c>
      <c r="G237" s="101">
        <f t="shared" si="7"/>
        <v>0</v>
      </c>
    </row>
    <row r="238" spans="1:7" x14ac:dyDescent="0.25">
      <c r="A238" s="96" t="s">
        <v>1927</v>
      </c>
      <c r="B238" s="104">
        <v>126351.47</v>
      </c>
      <c r="D238" s="97" t="str">
        <f t="shared" si="6"/>
        <v>SPIRIT LAKE</v>
      </c>
      <c r="E238" t="str">
        <f>INDEX(DistrictsMatchNametoNum!$C$2:$H$326,MATCH(D238,DistrictsMatchNametoNum!$H$2:$H$326,0),1)</f>
        <v>6120</v>
      </c>
      <c r="F238" s="101">
        <f>INDEX(SurtaxPayment!$C$6:$K$330,MATCH('Accounts - DOR Dec Payments'!E238,SurtaxPayment!$C$6:$C$330,0),9)</f>
        <v>126351.47</v>
      </c>
      <c r="G238" s="101">
        <f t="shared" si="7"/>
        <v>0</v>
      </c>
    </row>
    <row r="239" spans="1:7" x14ac:dyDescent="0.25">
      <c r="A239" s="96" t="s">
        <v>2036</v>
      </c>
      <c r="B239" s="104">
        <v>34611.56</v>
      </c>
      <c r="D239" s="97" t="str">
        <f t="shared" si="6"/>
        <v>SPRINGVILLE</v>
      </c>
      <c r="E239" t="str">
        <f>INDEX(DistrictsMatchNametoNum!$C$2:$H$326,MATCH(D239,DistrictsMatchNametoNum!$H$2:$H$326,0),1)</f>
        <v>6138</v>
      </c>
      <c r="F239" s="101">
        <f>INDEX(SurtaxPayment!$C$6:$K$330,MATCH('Accounts - DOR Dec Payments'!E239,SurtaxPayment!$C$6:$C$330,0),9)</f>
        <v>34611.56</v>
      </c>
      <c r="G239" s="101">
        <f t="shared" si="7"/>
        <v>0</v>
      </c>
    </row>
    <row r="240" spans="1:7" x14ac:dyDescent="0.25">
      <c r="A240" s="96" t="s">
        <v>1815</v>
      </c>
      <c r="B240" s="104">
        <v>288449.05</v>
      </c>
      <c r="D240" s="97" t="str">
        <f t="shared" si="6"/>
        <v>ST ANSGAR</v>
      </c>
      <c r="E240" t="str">
        <f>INDEX(DistrictsMatchNametoNum!$C$2:$H$326,MATCH(D240,DistrictsMatchNametoNum!$H$2:$H$326,0),1)</f>
        <v>5751</v>
      </c>
      <c r="F240" s="101">
        <f>INDEX(SurtaxPayment!$C$6:$K$330,MATCH('Accounts - DOR Dec Payments'!E240,SurtaxPayment!$C$6:$C$330,0),9)</f>
        <v>288449.05</v>
      </c>
      <c r="G240" s="101">
        <f t="shared" si="7"/>
        <v>0</v>
      </c>
    </row>
    <row r="241" spans="1:7" x14ac:dyDescent="0.25">
      <c r="A241" s="96" t="s">
        <v>1931</v>
      </c>
      <c r="B241" s="104">
        <v>23250.12</v>
      </c>
      <c r="D241" s="97" t="str">
        <f t="shared" si="6"/>
        <v>STANTON</v>
      </c>
      <c r="E241" t="str">
        <f>INDEX(DistrictsMatchNametoNum!$C$2:$H$326,MATCH(D241,DistrictsMatchNametoNum!$H$2:$H$326,0),1)</f>
        <v>6165</v>
      </c>
      <c r="F241" s="101">
        <f>INDEX(SurtaxPayment!$C$6:$K$330,MATCH('Accounts - DOR Dec Payments'!E241,SurtaxPayment!$C$6:$C$330,0),9)</f>
        <v>23250.12</v>
      </c>
      <c r="G241" s="101">
        <f t="shared" si="7"/>
        <v>0</v>
      </c>
    </row>
    <row r="242" spans="1:7" x14ac:dyDescent="0.25">
      <c r="A242" s="96" t="s">
        <v>1990</v>
      </c>
      <c r="B242" s="104">
        <v>62022.82</v>
      </c>
      <c r="D242" s="97" t="str">
        <f t="shared" si="6"/>
        <v>STARMONT</v>
      </c>
      <c r="E242" t="str">
        <f>INDEX(DistrictsMatchNametoNum!$C$2:$H$326,MATCH(D242,DistrictsMatchNametoNum!$H$2:$H$326,0),1)</f>
        <v>6175</v>
      </c>
      <c r="F242" s="101">
        <f>INDEX(SurtaxPayment!$C$6:$K$330,MATCH('Accounts - DOR Dec Payments'!E242,SurtaxPayment!$C$6:$C$330,0),9)</f>
        <v>62022.82</v>
      </c>
      <c r="G242" s="101">
        <f t="shared" si="7"/>
        <v>0</v>
      </c>
    </row>
    <row r="243" spans="1:7" x14ac:dyDescent="0.25">
      <c r="A243" s="96" t="s">
        <v>1910</v>
      </c>
      <c r="B243" s="104">
        <v>561275.47</v>
      </c>
      <c r="D243" s="97" t="str">
        <f t="shared" si="6"/>
        <v>STORM LAKE</v>
      </c>
      <c r="E243" t="str">
        <f>INDEX(DistrictsMatchNametoNum!$C$2:$H$326,MATCH(D243,DistrictsMatchNametoNum!$H$2:$H$326,0),1)</f>
        <v>6219</v>
      </c>
      <c r="F243" s="101">
        <f>INDEX(SurtaxPayment!$C$6:$K$330,MATCH('Accounts - DOR Dec Payments'!E243,SurtaxPayment!$C$6:$C$330,0),9)</f>
        <v>561275.47</v>
      </c>
      <c r="G243" s="101">
        <f t="shared" si="7"/>
        <v>0</v>
      </c>
    </row>
    <row r="244" spans="1:7" x14ac:dyDescent="0.25">
      <c r="A244" s="96" t="s">
        <v>2015</v>
      </c>
      <c r="B244" s="104">
        <v>46745.58</v>
      </c>
      <c r="D244" s="97" t="str">
        <f t="shared" si="6"/>
        <v>STRATFORD</v>
      </c>
      <c r="E244" t="str">
        <f>INDEX(DistrictsMatchNametoNum!$C$2:$H$326,MATCH(D244,DistrictsMatchNametoNum!$H$2:$H$326,0),1)</f>
        <v>6246</v>
      </c>
      <c r="F244" s="101">
        <f>INDEX(SurtaxPayment!$C$6:$K$330,MATCH('Accounts - DOR Dec Payments'!E244,SurtaxPayment!$C$6:$C$330,0),9)</f>
        <v>46745.58</v>
      </c>
      <c r="G244" s="101">
        <f t="shared" si="7"/>
        <v>0</v>
      </c>
    </row>
    <row r="245" spans="1:7" x14ac:dyDescent="0.25">
      <c r="A245" s="96" t="s">
        <v>1976</v>
      </c>
      <c r="B245" s="104">
        <v>478658.63</v>
      </c>
      <c r="D245" s="97" t="str">
        <f t="shared" si="6"/>
        <v>SUMNER-FREDERICKSBURG</v>
      </c>
      <c r="E245" t="str">
        <f>INDEX(DistrictsMatchNametoNum!$C$2:$H$326,MATCH(D245,DistrictsMatchNametoNum!$H$2:$H$326,0),1)</f>
        <v>6273</v>
      </c>
      <c r="F245" s="101">
        <f>INDEX(SurtaxPayment!$C$6:$K$330,MATCH('Accounts - DOR Dec Payments'!E245,SurtaxPayment!$C$6:$C$330,0),9)</f>
        <v>478658.63</v>
      </c>
      <c r="G245" s="101">
        <f t="shared" si="7"/>
        <v>0</v>
      </c>
    </row>
    <row r="246" spans="1:7" x14ac:dyDescent="0.25">
      <c r="A246" s="96" t="s">
        <v>1921</v>
      </c>
      <c r="B246" s="104">
        <v>582405.23</v>
      </c>
      <c r="D246" s="97" t="str">
        <f t="shared" si="6"/>
        <v>TIPTON</v>
      </c>
      <c r="E246" t="str">
        <f>INDEX(DistrictsMatchNametoNum!$C$2:$H$326,MATCH(D246,DistrictsMatchNametoNum!$H$2:$H$326,0),1)</f>
        <v>6408</v>
      </c>
      <c r="F246" s="101">
        <f>INDEX(SurtaxPayment!$C$6:$K$330,MATCH('Accounts - DOR Dec Payments'!E246,SurtaxPayment!$C$6:$C$330,0),9)</f>
        <v>582405.23</v>
      </c>
      <c r="G246" s="101">
        <f t="shared" si="7"/>
        <v>0</v>
      </c>
    </row>
    <row r="247" spans="1:7" x14ac:dyDescent="0.25">
      <c r="A247" s="96" t="s">
        <v>2028</v>
      </c>
      <c r="B247" s="104">
        <v>178238.93</v>
      </c>
      <c r="D247" s="97" t="str">
        <f t="shared" si="6"/>
        <v>TREYNOR</v>
      </c>
      <c r="E247" t="str">
        <f>INDEX(DistrictsMatchNametoNum!$C$2:$H$326,MATCH(D247,DistrictsMatchNametoNum!$H$2:$H$326,0),1)</f>
        <v>6453</v>
      </c>
      <c r="F247" s="101">
        <f>INDEX(SurtaxPayment!$C$6:$K$330,MATCH('Accounts - DOR Dec Payments'!E247,SurtaxPayment!$C$6:$C$330,0),9)</f>
        <v>178238.93</v>
      </c>
      <c r="G247" s="101">
        <f t="shared" si="7"/>
        <v>0</v>
      </c>
    </row>
    <row r="248" spans="1:7" x14ac:dyDescent="0.25">
      <c r="A248" s="96" t="s">
        <v>1946</v>
      </c>
      <c r="B248" s="104">
        <v>62618.52</v>
      </c>
      <c r="D248" s="97" t="str">
        <f t="shared" si="6"/>
        <v>TRI-CENTER</v>
      </c>
      <c r="E248" t="str">
        <f>INDEX(DistrictsMatchNametoNum!$C$2:$H$326,MATCH(D248,DistrictsMatchNametoNum!$H$2:$H$326,0),1)</f>
        <v>6460</v>
      </c>
      <c r="F248" s="101">
        <f>INDEX(SurtaxPayment!$C$6:$K$330,MATCH('Accounts - DOR Dec Payments'!E248,SurtaxPayment!$C$6:$C$330,0),9)</f>
        <v>62618.52</v>
      </c>
      <c r="G248" s="101">
        <f t="shared" si="7"/>
        <v>0</v>
      </c>
    </row>
    <row r="249" spans="1:7" x14ac:dyDescent="0.25">
      <c r="A249" s="96" t="s">
        <v>2003</v>
      </c>
      <c r="B249" s="104">
        <v>27016.16</v>
      </c>
      <c r="D249" s="97" t="str">
        <f t="shared" si="6"/>
        <v>TRI-COUNTY</v>
      </c>
      <c r="E249" t="str">
        <f>INDEX(DistrictsMatchNametoNum!$C$2:$H$326,MATCH(D249,DistrictsMatchNametoNum!$H$2:$H$326,0),1)</f>
        <v>6462</v>
      </c>
      <c r="F249" s="101">
        <f>INDEX(SurtaxPayment!$C$6:$K$330,MATCH('Accounts - DOR Dec Payments'!E249,SurtaxPayment!$C$6:$C$330,0),9)</f>
        <v>27016.16</v>
      </c>
      <c r="G249" s="101">
        <f t="shared" si="7"/>
        <v>0</v>
      </c>
    </row>
    <row r="250" spans="1:7" x14ac:dyDescent="0.25">
      <c r="A250" s="96" t="s">
        <v>1897</v>
      </c>
      <c r="B250" s="104">
        <v>163890.46</v>
      </c>
      <c r="D250" s="97" t="str">
        <f t="shared" si="6"/>
        <v>TRIPOLI</v>
      </c>
      <c r="E250" t="str">
        <f>INDEX(DistrictsMatchNametoNum!$C$2:$H$326,MATCH(D250,DistrictsMatchNametoNum!$H$2:$H$326,0),1)</f>
        <v>6471</v>
      </c>
      <c r="F250" s="101">
        <f>INDEX(SurtaxPayment!$C$6:$K$330,MATCH('Accounts - DOR Dec Payments'!E250,SurtaxPayment!$C$6:$C$330,0),9)</f>
        <v>163890.46</v>
      </c>
      <c r="G250" s="101">
        <f t="shared" si="7"/>
        <v>0</v>
      </c>
    </row>
    <row r="251" spans="1:7" x14ac:dyDescent="0.25">
      <c r="A251" s="96" t="s">
        <v>1947</v>
      </c>
      <c r="B251" s="104">
        <v>17676.830000000002</v>
      </c>
      <c r="D251" s="97" t="str">
        <f t="shared" si="6"/>
        <v>TWIN CEDARS</v>
      </c>
      <c r="E251" t="str">
        <f>INDEX(DistrictsMatchNametoNum!$C$2:$H$326,MATCH(D251,DistrictsMatchNametoNum!$H$2:$H$326,0),1)</f>
        <v>6512</v>
      </c>
      <c r="F251" s="101">
        <f>INDEX(SurtaxPayment!$C$6:$K$330,MATCH('Accounts - DOR Dec Payments'!E251,SurtaxPayment!$C$6:$C$330,0),9)</f>
        <v>17676.830000000002</v>
      </c>
      <c r="G251" s="101">
        <f t="shared" si="7"/>
        <v>0</v>
      </c>
    </row>
    <row r="252" spans="1:7" x14ac:dyDescent="0.25">
      <c r="A252" s="96" t="s">
        <v>1977</v>
      </c>
      <c r="B252" s="104">
        <v>59755.48</v>
      </c>
      <c r="D252" s="97" t="str">
        <f t="shared" si="6"/>
        <v>TWIN RIVERS</v>
      </c>
      <c r="E252" t="str">
        <f>INDEX(DistrictsMatchNametoNum!$C$2:$H$326,MATCH(D252,DistrictsMatchNametoNum!$H$2:$H$326,0),1)</f>
        <v>6516</v>
      </c>
      <c r="F252" s="101">
        <f>INDEX(SurtaxPayment!$C$6:$K$330,MATCH('Accounts - DOR Dec Payments'!E252,SurtaxPayment!$C$6:$C$330,0),9)</f>
        <v>59755.48</v>
      </c>
      <c r="G252" s="101">
        <f t="shared" si="7"/>
        <v>0</v>
      </c>
    </row>
    <row r="253" spans="1:7" x14ac:dyDescent="0.25">
      <c r="A253" s="96" t="s">
        <v>1981</v>
      </c>
      <c r="B253" s="104">
        <v>506731.82</v>
      </c>
      <c r="D253" s="97" t="str">
        <f t="shared" si="6"/>
        <v>UNION</v>
      </c>
      <c r="E253" t="str">
        <f>INDEX(DistrictsMatchNametoNum!$C$2:$H$326,MATCH(D253,DistrictsMatchNametoNum!$H$2:$H$326,0),1)</f>
        <v>1935</v>
      </c>
      <c r="F253" s="101">
        <f>INDEX(SurtaxPayment!$C$6:$K$330,MATCH('Accounts - DOR Dec Payments'!E253,SurtaxPayment!$C$6:$C$330,0),9)</f>
        <v>506731.82</v>
      </c>
      <c r="G253" s="101">
        <f t="shared" si="7"/>
        <v>0</v>
      </c>
    </row>
    <row r="254" spans="1:7" x14ac:dyDescent="0.25">
      <c r="A254" s="96" t="s">
        <v>2029</v>
      </c>
      <c r="B254" s="104">
        <v>32995.49</v>
      </c>
      <c r="D254" s="97" t="str">
        <f t="shared" si="6"/>
        <v>UNITED</v>
      </c>
      <c r="E254" t="str">
        <f>INDEX(DistrictsMatchNametoNum!$C$2:$H$326,MATCH(D254,DistrictsMatchNametoNum!$H$2:$H$326,0),1)</f>
        <v>6561</v>
      </c>
      <c r="F254" s="101">
        <f>INDEX(SurtaxPayment!$C$6:$K$330,MATCH('Accounts - DOR Dec Payments'!E254,SurtaxPayment!$C$6:$C$330,0),9)</f>
        <v>32995.49</v>
      </c>
      <c r="G254" s="101">
        <f t="shared" si="7"/>
        <v>0</v>
      </c>
    </row>
    <row r="255" spans="1:7" x14ac:dyDescent="0.25">
      <c r="A255" s="96" t="s">
        <v>1951</v>
      </c>
      <c r="B255" s="104">
        <v>498404.82</v>
      </c>
      <c r="D255" s="100" t="s">
        <v>2091</v>
      </c>
      <c r="E255" t="str">
        <f>INDEX(DistrictsMatchNametoNum!$C$2:$H$326,MATCH(D255,DistrictsMatchNametoNum!$H$2:$H$326,0),1)</f>
        <v>6592</v>
      </c>
      <c r="F255" s="101">
        <f>INDEX(SurtaxPayment!$C$6:$K$330,MATCH('Accounts - DOR Dec Payments'!E255,SurtaxPayment!$C$6:$C$330,0),9)</f>
        <v>498404.82</v>
      </c>
      <c r="G255" s="101">
        <f t="shared" si="7"/>
        <v>0</v>
      </c>
    </row>
    <row r="256" spans="1:7" x14ac:dyDescent="0.25">
      <c r="A256" s="96" t="s">
        <v>1980</v>
      </c>
      <c r="B256" s="104">
        <v>390341.62</v>
      </c>
      <c r="D256" s="97" t="str">
        <f t="shared" si="6"/>
        <v>VAN METER</v>
      </c>
      <c r="E256" t="str">
        <f>INDEX(DistrictsMatchNametoNum!$C$2:$H$326,MATCH(D256,DistrictsMatchNametoNum!$H$2:$H$326,0),1)</f>
        <v>6615</v>
      </c>
      <c r="F256" s="101">
        <f>INDEX(SurtaxPayment!$C$6:$K$330,MATCH('Accounts - DOR Dec Payments'!E256,SurtaxPayment!$C$6:$C$330,0),9)</f>
        <v>390341.62</v>
      </c>
      <c r="G256" s="101">
        <f t="shared" si="7"/>
        <v>0</v>
      </c>
    </row>
    <row r="257" spans="1:7" x14ac:dyDescent="0.25">
      <c r="A257" s="96" t="s">
        <v>1924</v>
      </c>
      <c r="B257" s="104">
        <v>67215.58</v>
      </c>
      <c r="D257" s="97" t="str">
        <f t="shared" si="6"/>
        <v>VILLISCA</v>
      </c>
      <c r="E257" t="str">
        <f>INDEX(DistrictsMatchNametoNum!$C$2:$H$326,MATCH(D257,DistrictsMatchNametoNum!$H$2:$H$326,0),1)</f>
        <v>6651</v>
      </c>
      <c r="F257" s="101">
        <f>INDEX(SurtaxPayment!$C$6:$K$330,MATCH('Accounts - DOR Dec Payments'!E257,SurtaxPayment!$C$6:$C$330,0),9)</f>
        <v>67215.58</v>
      </c>
      <c r="G257" s="101">
        <f t="shared" si="7"/>
        <v>0</v>
      </c>
    </row>
    <row r="258" spans="1:7" x14ac:dyDescent="0.25">
      <c r="A258" s="96" t="s">
        <v>2033</v>
      </c>
      <c r="B258" s="104">
        <v>664416.27</v>
      </c>
      <c r="D258" s="97" t="str">
        <f t="shared" si="6"/>
        <v>VINTON-SHELLSBURG</v>
      </c>
      <c r="E258" t="str">
        <f>INDEX(DistrictsMatchNametoNum!$C$2:$H$326,MATCH(D258,DistrictsMatchNametoNum!$H$2:$H$326,0),1)</f>
        <v>6660</v>
      </c>
      <c r="F258" s="101">
        <f>INDEX(SurtaxPayment!$C$6:$K$330,MATCH('Accounts - DOR Dec Payments'!E258,SurtaxPayment!$C$6:$C$330,0),9)</f>
        <v>664416.27</v>
      </c>
      <c r="G258" s="101">
        <f t="shared" si="7"/>
        <v>0</v>
      </c>
    </row>
    <row r="259" spans="1:7" x14ac:dyDescent="0.25">
      <c r="A259" s="96" t="s">
        <v>2019</v>
      </c>
      <c r="B259" s="104">
        <v>126876.48</v>
      </c>
      <c r="D259" s="97" t="str">
        <f t="shared" ref="D259:D287" si="8">SUBSTITUTE(A259," - SCHOOL SURTAX PENDING","")</f>
        <v>WAPELLO</v>
      </c>
      <c r="E259" t="str">
        <f>INDEX(DistrictsMatchNametoNum!$C$2:$H$326,MATCH(D259,DistrictsMatchNametoNum!$H$2:$H$326,0),1)</f>
        <v>6759</v>
      </c>
      <c r="F259" s="101">
        <f>INDEX(SurtaxPayment!$C$6:$K$330,MATCH('Accounts - DOR Dec Payments'!E259,SurtaxPayment!$C$6:$C$330,0),9)</f>
        <v>126876.48</v>
      </c>
      <c r="G259" s="101">
        <f t="shared" ref="G259:G286" si="9">F259-B259</f>
        <v>0</v>
      </c>
    </row>
    <row r="260" spans="1:7" x14ac:dyDescent="0.25">
      <c r="A260" s="96" t="s">
        <v>1965</v>
      </c>
      <c r="B260" s="104">
        <v>408913.11</v>
      </c>
      <c r="D260" s="97" t="str">
        <f t="shared" si="8"/>
        <v>WAPSIE VALLEY</v>
      </c>
      <c r="E260" t="str">
        <f>INDEX(DistrictsMatchNametoNum!$C$2:$H$326,MATCH(D260,DistrictsMatchNametoNum!$H$2:$H$326,0),1)</f>
        <v>6762</v>
      </c>
      <c r="F260" s="101">
        <f>INDEX(SurtaxPayment!$C$6:$K$330,MATCH('Accounts - DOR Dec Payments'!E260,SurtaxPayment!$C$6:$C$330,0),9)</f>
        <v>408913.11</v>
      </c>
      <c r="G260" s="101">
        <f t="shared" si="9"/>
        <v>0</v>
      </c>
    </row>
    <row r="261" spans="1:7" x14ac:dyDescent="0.25">
      <c r="A261" s="96" t="s">
        <v>1967</v>
      </c>
      <c r="B261" s="104">
        <v>786550.44</v>
      </c>
      <c r="D261" s="97" t="str">
        <f t="shared" si="8"/>
        <v>WASHINGTON</v>
      </c>
      <c r="E261" t="str">
        <f>INDEX(DistrictsMatchNametoNum!$C$2:$H$326,MATCH(D261,DistrictsMatchNametoNum!$H$2:$H$326,0),1)</f>
        <v>6768</v>
      </c>
      <c r="F261" s="101">
        <f>INDEX(SurtaxPayment!$C$6:$K$330,MATCH('Accounts - DOR Dec Payments'!E261,SurtaxPayment!$C$6:$C$330,0),9)</f>
        <v>786550.44</v>
      </c>
      <c r="G261" s="101">
        <f t="shared" si="9"/>
        <v>0</v>
      </c>
    </row>
    <row r="262" spans="1:7" x14ac:dyDescent="0.25">
      <c r="A262" s="96" t="s">
        <v>1937</v>
      </c>
      <c r="B262" s="104">
        <v>1023255.1</v>
      </c>
      <c r="D262" s="97" t="str">
        <f t="shared" si="8"/>
        <v>WAVERLY-SHELL ROCK</v>
      </c>
      <c r="E262" t="str">
        <f>INDEX(DistrictsMatchNametoNum!$C$2:$H$326,MATCH(D262,DistrictsMatchNametoNum!$H$2:$H$326,0),1)</f>
        <v>6840</v>
      </c>
      <c r="F262" s="101">
        <f>INDEX(SurtaxPayment!$C$6:$K$330,MATCH('Accounts - DOR Dec Payments'!E262,SurtaxPayment!$C$6:$C$330,0),9)</f>
        <v>1023255.1</v>
      </c>
      <c r="G262" s="101">
        <f t="shared" si="9"/>
        <v>0</v>
      </c>
    </row>
    <row r="263" spans="1:7" x14ac:dyDescent="0.25">
      <c r="A263" s="96" t="s">
        <v>1996</v>
      </c>
      <c r="B263" s="104">
        <v>79008</v>
      </c>
      <c r="D263" s="97" t="str">
        <f t="shared" si="8"/>
        <v>WAYNE</v>
      </c>
      <c r="E263" t="str">
        <f>INDEX(DistrictsMatchNametoNum!$C$2:$H$326,MATCH(D263,DistrictsMatchNametoNum!$H$2:$H$326,0),1)</f>
        <v>6854</v>
      </c>
      <c r="F263" s="101">
        <f>INDEX(SurtaxPayment!$C$6:$K$330,MATCH('Accounts - DOR Dec Payments'!E263,SurtaxPayment!$C$6:$C$330,0),9)</f>
        <v>79008</v>
      </c>
      <c r="G263" s="101">
        <f t="shared" si="9"/>
        <v>0</v>
      </c>
    </row>
    <row r="264" spans="1:7" s="98" customFormat="1" x14ac:dyDescent="0.25">
      <c r="A264" s="96" t="s">
        <v>1902</v>
      </c>
      <c r="B264" s="104">
        <v>731786.32</v>
      </c>
      <c r="C264" s="97"/>
      <c r="D264" s="97" t="str">
        <f t="shared" si="8"/>
        <v>WEBSTER CITY</v>
      </c>
      <c r="E264" t="str">
        <f>INDEX(DistrictsMatchNametoNum!$C$2:$H$326,MATCH(D264,DistrictsMatchNametoNum!$H$2:$H$326,0),1)</f>
        <v>6867</v>
      </c>
      <c r="F264" s="101">
        <f>INDEX(SurtaxPayment!$C$6:$K$330,MATCH('Accounts - DOR Dec Payments'!E264,SurtaxPayment!$C$6:$C$330,0),9)</f>
        <v>731786.32</v>
      </c>
      <c r="G264" s="101">
        <f t="shared" si="9"/>
        <v>0</v>
      </c>
    </row>
    <row r="265" spans="1:7" x14ac:dyDescent="0.25">
      <c r="A265" s="96" t="s">
        <v>1954</v>
      </c>
      <c r="B265" s="104">
        <v>119636.02</v>
      </c>
      <c r="D265" s="97" t="str">
        <f t="shared" si="8"/>
        <v>WEST BRANCH</v>
      </c>
      <c r="E265" t="str">
        <f>INDEX(DistrictsMatchNametoNum!$C$2:$H$326,MATCH(D265,DistrictsMatchNametoNum!$H$2:$H$326,0),1)</f>
        <v>6930</v>
      </c>
      <c r="F265" s="101">
        <f>INDEX(SurtaxPayment!$C$6:$K$330,MATCH('Accounts - DOR Dec Payments'!E265,SurtaxPayment!$C$6:$C$330,0),9)</f>
        <v>119636.02</v>
      </c>
      <c r="G265" s="101">
        <f t="shared" si="9"/>
        <v>0</v>
      </c>
    </row>
    <row r="266" spans="1:7" x14ac:dyDescent="0.25">
      <c r="A266" s="96" t="s">
        <v>1926</v>
      </c>
      <c r="B266" s="104">
        <v>81967.95</v>
      </c>
      <c r="D266" s="97" t="str">
        <f t="shared" si="8"/>
        <v>WEST CENTRAL</v>
      </c>
      <c r="E266" t="str">
        <f>INDEX(DistrictsMatchNametoNum!$C$2:$H$326,MATCH(D266,DistrictsMatchNametoNum!$H$2:$H$326,0),1)</f>
        <v>6943</v>
      </c>
      <c r="F266" s="101">
        <f>INDEX(SurtaxPayment!$C$6:$K$330,MATCH('Accounts - DOR Dec Payments'!E266,SurtaxPayment!$C$6:$C$330,0),9)</f>
        <v>81967.95</v>
      </c>
      <c r="G266" s="101">
        <f t="shared" si="9"/>
        <v>0</v>
      </c>
    </row>
    <row r="267" spans="1:7" x14ac:dyDescent="0.25">
      <c r="A267" s="96" t="s">
        <v>1961</v>
      </c>
      <c r="B267" s="104">
        <v>297873.64</v>
      </c>
      <c r="D267" s="97" t="str">
        <f t="shared" si="8"/>
        <v>WEST CENTRAL VALLEY</v>
      </c>
      <c r="E267" t="str">
        <f>INDEX(DistrictsMatchNametoNum!$C$2:$H$326,MATCH(D267,DistrictsMatchNametoNum!$H$2:$H$326,0),1)</f>
        <v>6264</v>
      </c>
      <c r="F267" s="101">
        <f>INDEX(SurtaxPayment!$C$6:$K$330,MATCH('Accounts - DOR Dec Payments'!E267,SurtaxPayment!$C$6:$C$330,0),9)</f>
        <v>297873.64</v>
      </c>
      <c r="G267" s="101">
        <f t="shared" si="9"/>
        <v>0</v>
      </c>
    </row>
    <row r="268" spans="1:7" x14ac:dyDescent="0.25">
      <c r="A268" s="96" t="s">
        <v>2035</v>
      </c>
      <c r="B268" s="104">
        <v>695317.82</v>
      </c>
      <c r="D268" s="97" t="str">
        <f t="shared" si="8"/>
        <v>WEST DELAWARE CO</v>
      </c>
      <c r="E268" t="str">
        <f>INDEX(DistrictsMatchNametoNum!$C$2:$H$326,MATCH(D268,DistrictsMatchNametoNum!$H$2:$H$326,0),1)</f>
        <v>6950</v>
      </c>
      <c r="F268" s="101">
        <f>INDEX(SurtaxPayment!$C$6:$K$330,MATCH('Accounts - DOR Dec Payments'!E268,SurtaxPayment!$C$6:$C$330,0),9)</f>
        <v>695317.82</v>
      </c>
      <c r="G268" s="101">
        <f t="shared" si="9"/>
        <v>0</v>
      </c>
    </row>
    <row r="269" spans="1:7" x14ac:dyDescent="0.25">
      <c r="A269" s="96" t="s">
        <v>1828</v>
      </c>
      <c r="B269" s="104">
        <v>52409.74</v>
      </c>
      <c r="D269" s="97" t="str">
        <f t="shared" si="8"/>
        <v>WEST FORK</v>
      </c>
      <c r="E269" t="str">
        <f>INDEX(DistrictsMatchNametoNum!$C$2:$H$326,MATCH(D269,DistrictsMatchNametoNum!$H$2:$H$326,0),1)</f>
        <v>5922</v>
      </c>
      <c r="F269" s="101">
        <f>INDEX(SurtaxPayment!$C$6:$K$330,MATCH('Accounts - DOR Dec Payments'!E269,SurtaxPayment!$C$6:$C$330,0),9)</f>
        <v>52409.74</v>
      </c>
      <c r="G269" s="101">
        <f t="shared" si="9"/>
        <v>0</v>
      </c>
    </row>
    <row r="270" spans="1:7" x14ac:dyDescent="0.25">
      <c r="A270" s="96" t="s">
        <v>1818</v>
      </c>
      <c r="B270" s="104">
        <v>76203.009999999995</v>
      </c>
      <c r="D270" s="97" t="str">
        <f t="shared" si="8"/>
        <v>WEST HANCOCK</v>
      </c>
      <c r="E270" t="str">
        <f>INDEX(DistrictsMatchNametoNum!$C$2:$H$326,MATCH(D270,DistrictsMatchNametoNum!$H$2:$H$326,0),1)</f>
        <v>0819</v>
      </c>
      <c r="F270" s="101">
        <f>INDEX(SurtaxPayment!$C$6:$K$330,MATCH('Accounts - DOR Dec Payments'!E270,SurtaxPayment!$C$6:$C$330,0),9)</f>
        <v>76203.009999999995</v>
      </c>
      <c r="G270" s="101">
        <f t="shared" si="9"/>
        <v>0</v>
      </c>
    </row>
    <row r="271" spans="1:7" x14ac:dyDescent="0.25">
      <c r="A271" s="96" t="s">
        <v>1909</v>
      </c>
      <c r="B271" s="104">
        <v>60592.97</v>
      </c>
      <c r="D271" s="97" t="str">
        <f t="shared" si="8"/>
        <v>WEST HARRISON</v>
      </c>
      <c r="E271" t="str">
        <f>INDEX(DistrictsMatchNametoNum!$C$2:$H$326,MATCH(D271,DistrictsMatchNametoNum!$H$2:$H$326,0),1)</f>
        <v>6969</v>
      </c>
      <c r="F271" s="101">
        <f>INDEX(SurtaxPayment!$C$6:$K$330,MATCH('Accounts - DOR Dec Payments'!E271,SurtaxPayment!$C$6:$C$330,0),9)</f>
        <v>60592.97</v>
      </c>
      <c r="G271" s="101">
        <f t="shared" si="9"/>
        <v>0</v>
      </c>
    </row>
    <row r="272" spans="1:7" x14ac:dyDescent="0.25">
      <c r="A272" s="96" t="s">
        <v>2014</v>
      </c>
      <c r="B272" s="104">
        <v>126613.88</v>
      </c>
      <c r="D272" s="97" t="str">
        <f t="shared" si="8"/>
        <v>WEST LIBERTY</v>
      </c>
      <c r="E272" t="str">
        <f>INDEX(DistrictsMatchNametoNum!$C$2:$H$326,MATCH(D272,DistrictsMatchNametoNum!$H$2:$H$326,0),1)</f>
        <v>6975</v>
      </c>
      <c r="F272" s="101">
        <f>INDEX(SurtaxPayment!$C$6:$K$330,MATCH('Accounts - DOR Dec Payments'!E272,SurtaxPayment!$C$6:$C$330,0),9)</f>
        <v>126613.88</v>
      </c>
      <c r="G272" s="101">
        <f t="shared" si="9"/>
        <v>0</v>
      </c>
    </row>
    <row r="273" spans="1:7" x14ac:dyDescent="0.25">
      <c r="A273" s="96" t="s">
        <v>1960</v>
      </c>
      <c r="B273" s="104">
        <v>402446.14</v>
      </c>
      <c r="D273" s="97" t="str">
        <f t="shared" si="8"/>
        <v>WEST LYON</v>
      </c>
      <c r="E273" t="str">
        <f>INDEX(DistrictsMatchNametoNum!$C$2:$H$326,MATCH(D273,DistrictsMatchNametoNum!$H$2:$H$326,0),1)</f>
        <v>6983</v>
      </c>
      <c r="F273" s="101">
        <f>INDEX(SurtaxPayment!$C$6:$K$330,MATCH('Accounts - DOR Dec Payments'!E273,SurtaxPayment!$C$6:$C$330,0),9)</f>
        <v>402446.14</v>
      </c>
      <c r="G273" s="101">
        <f t="shared" si="9"/>
        <v>0</v>
      </c>
    </row>
    <row r="274" spans="1:7" x14ac:dyDescent="0.25">
      <c r="A274" s="96" t="s">
        <v>1975</v>
      </c>
      <c r="B274" s="104">
        <v>296709.45</v>
      </c>
      <c r="D274" s="97" t="str">
        <f t="shared" si="8"/>
        <v>WEST MARSHALL</v>
      </c>
      <c r="E274" t="str">
        <f>INDEX(DistrictsMatchNametoNum!$C$2:$H$326,MATCH(D274,DistrictsMatchNametoNum!$H$2:$H$326,0),1)</f>
        <v>6985</v>
      </c>
      <c r="F274" s="101">
        <f>INDEX(SurtaxPayment!$C$6:$K$330,MATCH('Accounts - DOR Dec Payments'!E274,SurtaxPayment!$C$6:$C$330,0),9)</f>
        <v>296709.45</v>
      </c>
      <c r="G274" s="101">
        <f t="shared" si="9"/>
        <v>0</v>
      </c>
    </row>
    <row r="275" spans="1:7" x14ac:dyDescent="0.25">
      <c r="A275" s="96" t="s">
        <v>1920</v>
      </c>
      <c r="B275" s="104">
        <v>130108.37</v>
      </c>
      <c r="D275" s="97" t="str">
        <f t="shared" si="8"/>
        <v>WEST MONONA</v>
      </c>
      <c r="E275" t="str">
        <f>INDEX(DistrictsMatchNametoNum!$C$2:$H$326,MATCH(D275,DistrictsMatchNametoNum!$H$2:$H$326,0),1)</f>
        <v>6987</v>
      </c>
      <c r="F275" s="101">
        <f>INDEX(SurtaxPayment!$C$6:$K$330,MATCH('Accounts - DOR Dec Payments'!E275,SurtaxPayment!$C$6:$C$330,0),9)</f>
        <v>130108.37</v>
      </c>
      <c r="G275" s="101">
        <f t="shared" si="9"/>
        <v>0</v>
      </c>
    </row>
    <row r="276" spans="1:7" x14ac:dyDescent="0.25">
      <c r="A276" s="96" t="s">
        <v>2027</v>
      </c>
      <c r="B276" s="104">
        <v>43724.83</v>
      </c>
      <c r="D276" s="97" t="str">
        <f t="shared" si="8"/>
        <v>WEST SIOUX</v>
      </c>
      <c r="E276" t="str">
        <f>INDEX(DistrictsMatchNametoNum!$C$2:$H$326,MATCH(D276,DistrictsMatchNametoNum!$H$2:$H$326,0),1)</f>
        <v>6990</v>
      </c>
      <c r="F276" s="101">
        <f>INDEX(SurtaxPayment!$C$6:$K$330,MATCH('Accounts - DOR Dec Payments'!E276,SurtaxPayment!$C$6:$C$330,0),9)</f>
        <v>43724.83</v>
      </c>
      <c r="G276" s="101">
        <f t="shared" si="9"/>
        <v>0</v>
      </c>
    </row>
    <row r="277" spans="1:7" x14ac:dyDescent="0.25">
      <c r="A277" s="96" t="s">
        <v>1989</v>
      </c>
      <c r="B277" s="104">
        <v>1897285.09</v>
      </c>
      <c r="D277" s="97" t="str">
        <f t="shared" si="8"/>
        <v>WESTERN DUBUQUE CO</v>
      </c>
      <c r="E277" t="str">
        <f>INDEX(DistrictsMatchNametoNum!$C$2:$H$326,MATCH(D277,DistrictsMatchNametoNum!$H$2:$H$326,0),1)</f>
        <v>6961</v>
      </c>
      <c r="F277" s="101">
        <f>INDEX(SurtaxPayment!$C$6:$K$330,MATCH('Accounts - DOR Dec Payments'!E277,SurtaxPayment!$C$6:$C$330,0),9)</f>
        <v>1897285.09</v>
      </c>
      <c r="G277" s="101">
        <f t="shared" si="9"/>
        <v>0</v>
      </c>
    </row>
    <row r="278" spans="1:7" x14ac:dyDescent="0.25">
      <c r="A278" s="96" t="s">
        <v>1945</v>
      </c>
      <c r="B278" s="104">
        <v>131554.12</v>
      </c>
      <c r="D278" s="97" t="str">
        <f t="shared" si="8"/>
        <v>WESTWOOD</v>
      </c>
      <c r="E278" t="str">
        <f>INDEX(DistrictsMatchNametoNum!$C$2:$H$326,MATCH(D278,DistrictsMatchNametoNum!$H$2:$H$326,0),1)</f>
        <v>6992</v>
      </c>
      <c r="F278" s="101">
        <f>INDEX(SurtaxPayment!$C$6:$K$330,MATCH('Accounts - DOR Dec Payments'!E278,SurtaxPayment!$C$6:$C$330,0),9)</f>
        <v>131554.12</v>
      </c>
      <c r="G278" s="101">
        <f t="shared" si="9"/>
        <v>0</v>
      </c>
    </row>
    <row r="279" spans="1:7" x14ac:dyDescent="0.25">
      <c r="A279" s="96" t="s">
        <v>2002</v>
      </c>
      <c r="B279" s="104">
        <v>54014.36</v>
      </c>
      <c r="D279" s="97" t="str">
        <f t="shared" si="8"/>
        <v>WHITING</v>
      </c>
      <c r="E279" t="str">
        <f>INDEX(DistrictsMatchNametoNum!$C$2:$H$326,MATCH(D279,DistrictsMatchNametoNum!$H$2:$H$326,0),1)</f>
        <v>7002</v>
      </c>
      <c r="F279" s="101">
        <f>INDEX(SurtaxPayment!$C$6:$K$330,MATCH('Accounts - DOR Dec Payments'!E279,SurtaxPayment!$C$6:$C$330,0),9)</f>
        <v>54014.36</v>
      </c>
      <c r="G279" s="101">
        <f t="shared" si="9"/>
        <v>0</v>
      </c>
    </row>
    <row r="280" spans="1:7" x14ac:dyDescent="0.25">
      <c r="A280" s="96" t="s">
        <v>1898</v>
      </c>
      <c r="B280" s="104">
        <v>630071.73</v>
      </c>
      <c r="D280" s="97" t="str">
        <f t="shared" si="8"/>
        <v>WILLIAMSBURG</v>
      </c>
      <c r="E280" t="str">
        <f>INDEX(DistrictsMatchNametoNum!$C$2:$H$326,MATCH(D280,DistrictsMatchNametoNum!$H$2:$H$326,0),1)</f>
        <v>7029</v>
      </c>
      <c r="F280" s="101">
        <f>INDEX(SurtaxPayment!$C$6:$K$330,MATCH('Accounts - DOR Dec Payments'!E280,SurtaxPayment!$C$6:$C$330,0),9)</f>
        <v>630071.73</v>
      </c>
      <c r="G280" s="101">
        <f t="shared" si="9"/>
        <v>0</v>
      </c>
    </row>
    <row r="281" spans="1:7" x14ac:dyDescent="0.25">
      <c r="A281" s="96" t="s">
        <v>2005</v>
      </c>
      <c r="B281" s="104">
        <v>200816.66</v>
      </c>
      <c r="D281" s="97" t="str">
        <f t="shared" si="8"/>
        <v>WILTON</v>
      </c>
      <c r="E281" t="str">
        <f>INDEX(DistrictsMatchNametoNum!$C$2:$H$326,MATCH(D281,DistrictsMatchNametoNum!$H$2:$H$326,0),1)</f>
        <v>7038</v>
      </c>
      <c r="F281" s="101">
        <f>INDEX(SurtaxPayment!$C$6:$K$330,MATCH('Accounts - DOR Dec Payments'!E281,SurtaxPayment!$C$6:$C$330,0),9)</f>
        <v>200816.66</v>
      </c>
      <c r="G281" s="101">
        <f t="shared" si="9"/>
        <v>0</v>
      </c>
    </row>
    <row r="282" spans="1:7" x14ac:dyDescent="0.25">
      <c r="A282" s="96" t="s">
        <v>1949</v>
      </c>
      <c r="B282" s="104">
        <v>86228.800000000003</v>
      </c>
      <c r="D282" s="97" t="str">
        <f t="shared" si="8"/>
        <v>WINFIELD-MT UNION</v>
      </c>
      <c r="E282" t="str">
        <f>INDEX(DistrictsMatchNametoNum!$C$2:$H$326,MATCH(D282,DistrictsMatchNametoNum!$H$2:$H$326,0),1)</f>
        <v>7047</v>
      </c>
      <c r="F282" s="101">
        <f>INDEX(SurtaxPayment!$C$6:$K$330,MATCH('Accounts - DOR Dec Payments'!E282,SurtaxPayment!$C$6:$C$330,0),9)</f>
        <v>86228.800000000003</v>
      </c>
      <c r="G282" s="101">
        <f t="shared" si="9"/>
        <v>0</v>
      </c>
    </row>
    <row r="283" spans="1:7" x14ac:dyDescent="0.25">
      <c r="A283" s="96" t="s">
        <v>1857</v>
      </c>
      <c r="B283" s="104">
        <v>525305.92000000004</v>
      </c>
      <c r="D283" s="97" t="str">
        <f t="shared" si="8"/>
        <v>WINTERSET</v>
      </c>
      <c r="E283" t="str">
        <f>INDEX(DistrictsMatchNametoNum!$C$2:$H$326,MATCH(D283,DistrictsMatchNametoNum!$H$2:$H$326,0),1)</f>
        <v>7056</v>
      </c>
      <c r="F283" s="101">
        <f>INDEX(SurtaxPayment!$C$6:$K$330,MATCH('Accounts - DOR Dec Payments'!E283,SurtaxPayment!$C$6:$C$330,0),9)</f>
        <v>525305.92000000004</v>
      </c>
      <c r="G283" s="101">
        <f t="shared" si="9"/>
        <v>0</v>
      </c>
    </row>
    <row r="284" spans="1:7" x14ac:dyDescent="0.25">
      <c r="A284" s="96" t="s">
        <v>1879</v>
      </c>
      <c r="B284" s="104">
        <v>268720.71999999997</v>
      </c>
      <c r="D284" s="97" t="str">
        <f t="shared" si="8"/>
        <v>WOODBINE</v>
      </c>
      <c r="E284" t="str">
        <f>INDEX(DistrictsMatchNametoNum!$C$2:$H$326,MATCH(D284,DistrictsMatchNametoNum!$H$2:$H$326,0),1)</f>
        <v>7092</v>
      </c>
      <c r="F284" s="101">
        <f>INDEX(SurtaxPayment!$C$6:$K$330,MATCH('Accounts - DOR Dec Payments'!E284,SurtaxPayment!$C$6:$C$330,0),9)</f>
        <v>268720.71999999997</v>
      </c>
      <c r="G284" s="101">
        <f t="shared" si="9"/>
        <v>0</v>
      </c>
    </row>
    <row r="285" spans="1:7" x14ac:dyDescent="0.25">
      <c r="A285" s="96" t="s">
        <v>1837</v>
      </c>
      <c r="B285" s="104">
        <v>167745.54</v>
      </c>
      <c r="D285" s="97" t="str">
        <f t="shared" si="8"/>
        <v>WOODBURY CENTRAL</v>
      </c>
      <c r="E285" t="str">
        <f>INDEX(DistrictsMatchNametoNum!$C$2:$H$326,MATCH(D285,DistrictsMatchNametoNum!$H$2:$H$326,0),1)</f>
        <v>7098</v>
      </c>
      <c r="F285" s="101">
        <f>INDEX(SurtaxPayment!$C$6:$K$330,MATCH('Accounts - DOR Dec Payments'!E285,SurtaxPayment!$C$6:$C$330,0),9)</f>
        <v>167745.54</v>
      </c>
      <c r="G285" s="101">
        <f t="shared" si="9"/>
        <v>0</v>
      </c>
    </row>
    <row r="286" spans="1:7" x14ac:dyDescent="0.25">
      <c r="A286" s="96" t="s">
        <v>1880</v>
      </c>
      <c r="B286" s="104">
        <v>96351.15</v>
      </c>
      <c r="D286" s="97" t="str">
        <f t="shared" si="8"/>
        <v>WOODWARD-GRANGER</v>
      </c>
      <c r="E286" t="str">
        <f>INDEX(DistrictsMatchNametoNum!$C$2:$H$326,MATCH(D286,DistrictsMatchNametoNum!$H$2:$H$326,0),1)</f>
        <v>7110</v>
      </c>
      <c r="F286" s="101">
        <f>INDEX(SurtaxPayment!$C$6:$K$330,MATCH('Accounts - DOR Dec Payments'!E286,SurtaxPayment!$C$6:$C$330,0),9)</f>
        <v>96351.15</v>
      </c>
      <c r="G286" s="101">
        <f t="shared" si="9"/>
        <v>0</v>
      </c>
    </row>
    <row r="287" spans="1:7" x14ac:dyDescent="0.25">
      <c r="A287" s="96"/>
      <c r="B287" s="104">
        <v>102235960.09999999</v>
      </c>
      <c r="D287" s="97" t="str">
        <f t="shared" si="8"/>
        <v/>
      </c>
      <c r="E287"/>
      <c r="F287" s="101"/>
      <c r="G287" s="101"/>
    </row>
    <row r="288" spans="1:7" x14ac:dyDescent="0.25">
      <c r="A288" s="99"/>
      <c r="B288" s="106"/>
    </row>
  </sheetData>
  <pageMargins left="0.70000000000000007" right="0.70000000000000007" top="0.75" bottom="0.75" header="0.30000000000000004" footer="0.30000000000000004"/>
  <pageSetup fitToWidth="0"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F1E8B-3BC4-4ACD-9CE7-DA83666E7184}">
  <dimension ref="A1:H326"/>
  <sheetViews>
    <sheetView topLeftCell="A36" workbookViewId="0">
      <selection activeCell="H39" sqref="H39"/>
    </sheetView>
  </sheetViews>
  <sheetFormatPr defaultRowHeight="15" x14ac:dyDescent="0.25"/>
  <cols>
    <col min="7" max="7" width="35.42578125" bestFit="1" customWidth="1"/>
    <col min="8" max="8" width="40.42578125" bestFit="1" customWidth="1"/>
  </cols>
  <sheetData>
    <row r="1" spans="1:8" x14ac:dyDescent="0.25">
      <c r="A1" t="s">
        <v>8</v>
      </c>
      <c r="B1" t="s">
        <v>677</v>
      </c>
      <c r="C1" t="s">
        <v>292</v>
      </c>
      <c r="D1" t="s">
        <v>678</v>
      </c>
      <c r="E1" t="s">
        <v>679</v>
      </c>
      <c r="F1" t="s">
        <v>680</v>
      </c>
      <c r="G1" t="s">
        <v>306</v>
      </c>
      <c r="H1" t="s">
        <v>2087</v>
      </c>
    </row>
    <row r="2" spans="1:8" x14ac:dyDescent="0.25">
      <c r="A2">
        <v>2024</v>
      </c>
      <c r="B2" t="s">
        <v>657</v>
      </c>
      <c r="C2" t="s">
        <v>313</v>
      </c>
      <c r="D2" t="s">
        <v>693</v>
      </c>
      <c r="E2" t="s">
        <v>693</v>
      </c>
      <c r="F2" t="s">
        <v>313</v>
      </c>
      <c r="G2" t="s">
        <v>15</v>
      </c>
      <c r="H2" t="str">
        <f>UPPER(G2)</f>
        <v>ADAIR-CASEY</v>
      </c>
    </row>
    <row r="3" spans="1:8" x14ac:dyDescent="0.25">
      <c r="A3">
        <v>2024</v>
      </c>
      <c r="B3" t="s">
        <v>657</v>
      </c>
      <c r="C3" t="s">
        <v>314</v>
      </c>
      <c r="D3" t="s">
        <v>693</v>
      </c>
      <c r="E3" t="s">
        <v>693</v>
      </c>
      <c r="F3" t="s">
        <v>314</v>
      </c>
      <c r="G3" t="s">
        <v>694</v>
      </c>
      <c r="H3" t="str">
        <f t="shared" ref="H3:H66" si="0">UPPER(G3)</f>
        <v>ADEL-DESOTO-MINBURN</v>
      </c>
    </row>
    <row r="4" spans="1:8" x14ac:dyDescent="0.25">
      <c r="A4">
        <v>2024</v>
      </c>
      <c r="B4" t="s">
        <v>658</v>
      </c>
      <c r="C4" t="s">
        <v>312</v>
      </c>
      <c r="D4" t="s">
        <v>693</v>
      </c>
      <c r="E4" t="s">
        <v>693</v>
      </c>
      <c r="F4" t="s">
        <v>312</v>
      </c>
      <c r="G4" t="s">
        <v>0</v>
      </c>
      <c r="H4" t="str">
        <f t="shared" si="0"/>
        <v>AGWSR</v>
      </c>
    </row>
    <row r="5" spans="1:8" x14ac:dyDescent="0.25">
      <c r="A5">
        <v>2024</v>
      </c>
      <c r="B5" t="s">
        <v>659</v>
      </c>
      <c r="C5" t="s">
        <v>333</v>
      </c>
      <c r="D5" t="s">
        <v>693</v>
      </c>
      <c r="E5" t="s">
        <v>693</v>
      </c>
      <c r="F5" t="s">
        <v>333</v>
      </c>
      <c r="G5" t="s">
        <v>7</v>
      </c>
      <c r="H5" t="str">
        <f t="shared" si="0"/>
        <v>AHSTW</v>
      </c>
    </row>
    <row r="6" spans="1:8" x14ac:dyDescent="0.25">
      <c r="A6">
        <v>2024</v>
      </c>
      <c r="B6" t="s">
        <v>660</v>
      </c>
      <c r="C6" t="s">
        <v>315</v>
      </c>
      <c r="D6" t="s">
        <v>693</v>
      </c>
      <c r="E6" t="s">
        <v>693</v>
      </c>
      <c r="F6" t="s">
        <v>315</v>
      </c>
      <c r="G6" t="s">
        <v>16</v>
      </c>
      <c r="H6" t="str">
        <f t="shared" si="0"/>
        <v>AKRON-WESTFIELD</v>
      </c>
    </row>
    <row r="7" spans="1:8" x14ac:dyDescent="0.25">
      <c r="A7">
        <v>2024</v>
      </c>
      <c r="B7" t="s">
        <v>661</v>
      </c>
      <c r="C7" t="s">
        <v>316</v>
      </c>
      <c r="D7" t="s">
        <v>693</v>
      </c>
      <c r="E7" t="s">
        <v>693</v>
      </c>
      <c r="F7" t="s">
        <v>316</v>
      </c>
      <c r="G7" t="s">
        <v>695</v>
      </c>
      <c r="H7" t="str">
        <f t="shared" si="0"/>
        <v>ALBERT CITY-TRUESDALE</v>
      </c>
    </row>
    <row r="8" spans="1:8" x14ac:dyDescent="0.25">
      <c r="A8">
        <v>2024</v>
      </c>
      <c r="B8" t="s">
        <v>662</v>
      </c>
      <c r="C8" t="s">
        <v>317</v>
      </c>
      <c r="D8" t="s">
        <v>693</v>
      </c>
      <c r="E8" t="s">
        <v>693</v>
      </c>
      <c r="F8" t="s">
        <v>317</v>
      </c>
      <c r="G8" t="s">
        <v>17</v>
      </c>
      <c r="H8" t="str">
        <f t="shared" si="0"/>
        <v>ALBIA</v>
      </c>
    </row>
    <row r="9" spans="1:8" x14ac:dyDescent="0.25">
      <c r="A9">
        <v>2024</v>
      </c>
      <c r="B9" t="s">
        <v>663</v>
      </c>
      <c r="C9" t="s">
        <v>318</v>
      </c>
      <c r="D9" t="s">
        <v>693</v>
      </c>
      <c r="E9" t="s">
        <v>693</v>
      </c>
      <c r="F9" t="s">
        <v>318</v>
      </c>
      <c r="G9" t="s">
        <v>18</v>
      </c>
      <c r="H9" t="str">
        <f t="shared" si="0"/>
        <v>ALBURNETT</v>
      </c>
    </row>
    <row r="10" spans="1:8" x14ac:dyDescent="0.25">
      <c r="A10">
        <v>2024</v>
      </c>
      <c r="B10" t="s">
        <v>658</v>
      </c>
      <c r="C10" t="s">
        <v>319</v>
      </c>
      <c r="D10" t="s">
        <v>693</v>
      </c>
      <c r="E10" t="s">
        <v>693</v>
      </c>
      <c r="F10" t="s">
        <v>319</v>
      </c>
      <c r="G10" t="s">
        <v>19</v>
      </c>
      <c r="H10" t="str">
        <f t="shared" si="0"/>
        <v>ALDEN</v>
      </c>
    </row>
    <row r="11" spans="1:8" x14ac:dyDescent="0.25">
      <c r="A11">
        <v>2024</v>
      </c>
      <c r="B11" t="s">
        <v>661</v>
      </c>
      <c r="C11" t="s">
        <v>320</v>
      </c>
      <c r="D11" t="s">
        <v>664</v>
      </c>
      <c r="E11" t="s">
        <v>482</v>
      </c>
      <c r="F11" t="s">
        <v>320</v>
      </c>
      <c r="G11" t="s">
        <v>20</v>
      </c>
      <c r="H11" t="str">
        <f t="shared" si="0"/>
        <v>ALGONA</v>
      </c>
    </row>
    <row r="12" spans="1:8" x14ac:dyDescent="0.25">
      <c r="A12">
        <v>2024</v>
      </c>
      <c r="B12" t="s">
        <v>665</v>
      </c>
      <c r="C12" t="s">
        <v>321</v>
      </c>
      <c r="D12" t="s">
        <v>693</v>
      </c>
      <c r="E12" t="s">
        <v>693</v>
      </c>
      <c r="F12" t="s">
        <v>321</v>
      </c>
      <c r="G12" t="s">
        <v>21</v>
      </c>
      <c r="H12" t="str">
        <f t="shared" si="0"/>
        <v>ALLAMAKEE</v>
      </c>
    </row>
    <row r="13" spans="1:8" x14ac:dyDescent="0.25">
      <c r="A13">
        <v>2024</v>
      </c>
      <c r="B13" t="s">
        <v>661</v>
      </c>
      <c r="C13" t="s">
        <v>323</v>
      </c>
      <c r="D13" t="s">
        <v>693</v>
      </c>
      <c r="E13" t="s">
        <v>693</v>
      </c>
      <c r="F13" t="s">
        <v>323</v>
      </c>
      <c r="G13" t="s">
        <v>687</v>
      </c>
      <c r="H13" t="str">
        <f t="shared" si="0"/>
        <v>ALTA-AURELIA</v>
      </c>
    </row>
    <row r="14" spans="1:8" x14ac:dyDescent="0.25">
      <c r="A14">
        <v>2024</v>
      </c>
      <c r="B14" t="s">
        <v>657</v>
      </c>
      <c r="C14" t="s">
        <v>324</v>
      </c>
      <c r="D14" t="s">
        <v>693</v>
      </c>
      <c r="E14" t="s">
        <v>693</v>
      </c>
      <c r="F14" t="s">
        <v>324</v>
      </c>
      <c r="G14" t="s">
        <v>23</v>
      </c>
      <c r="H14" t="str">
        <f t="shared" si="0"/>
        <v>AMES</v>
      </c>
    </row>
    <row r="15" spans="1:8" x14ac:dyDescent="0.25">
      <c r="A15">
        <v>2024</v>
      </c>
      <c r="B15" t="s">
        <v>663</v>
      </c>
      <c r="C15" t="s">
        <v>325</v>
      </c>
      <c r="D15" t="s">
        <v>693</v>
      </c>
      <c r="E15" t="s">
        <v>693</v>
      </c>
      <c r="F15" t="s">
        <v>325</v>
      </c>
      <c r="G15" t="s">
        <v>24</v>
      </c>
      <c r="H15" t="str">
        <f t="shared" si="0"/>
        <v>ANAMOSA</v>
      </c>
    </row>
    <row r="16" spans="1:8" x14ac:dyDescent="0.25">
      <c r="A16">
        <v>2024</v>
      </c>
      <c r="B16" t="s">
        <v>666</v>
      </c>
      <c r="C16" t="s">
        <v>326</v>
      </c>
      <c r="D16" t="s">
        <v>693</v>
      </c>
      <c r="E16" t="s">
        <v>693</v>
      </c>
      <c r="F16" t="s">
        <v>326</v>
      </c>
      <c r="G16" t="s">
        <v>25</v>
      </c>
      <c r="H16" t="str">
        <f t="shared" si="0"/>
        <v>ANDREW</v>
      </c>
    </row>
    <row r="17" spans="1:8" x14ac:dyDescent="0.25">
      <c r="A17">
        <v>2024</v>
      </c>
      <c r="B17" t="s">
        <v>657</v>
      </c>
      <c r="C17" t="s">
        <v>327</v>
      </c>
      <c r="D17" t="s">
        <v>693</v>
      </c>
      <c r="E17" t="s">
        <v>693</v>
      </c>
      <c r="F17" t="s">
        <v>327</v>
      </c>
      <c r="G17" t="s">
        <v>696</v>
      </c>
      <c r="H17" t="str">
        <f t="shared" si="0"/>
        <v>ANKENY</v>
      </c>
    </row>
    <row r="18" spans="1:8" x14ac:dyDescent="0.25">
      <c r="A18">
        <v>2024</v>
      </c>
      <c r="B18" t="s">
        <v>658</v>
      </c>
      <c r="C18" t="s">
        <v>328</v>
      </c>
      <c r="D18" t="s">
        <v>693</v>
      </c>
      <c r="E18" t="s">
        <v>693</v>
      </c>
      <c r="F18" t="s">
        <v>328</v>
      </c>
      <c r="G18" t="s">
        <v>26</v>
      </c>
      <c r="H18" t="str">
        <f t="shared" si="0"/>
        <v>APLINGTON-PARKERSBURG</v>
      </c>
    </row>
    <row r="19" spans="1:8" x14ac:dyDescent="0.25">
      <c r="A19">
        <v>2024</v>
      </c>
      <c r="B19" t="s">
        <v>660</v>
      </c>
      <c r="C19" t="s">
        <v>330</v>
      </c>
      <c r="D19" t="s">
        <v>693</v>
      </c>
      <c r="E19" t="s">
        <v>693</v>
      </c>
      <c r="F19" t="s">
        <v>330</v>
      </c>
      <c r="G19" t="s">
        <v>27</v>
      </c>
      <c r="H19" t="str">
        <f t="shared" si="0"/>
        <v>AR-WE-VA</v>
      </c>
    </row>
    <row r="20" spans="1:8" x14ac:dyDescent="0.25">
      <c r="A20">
        <v>2024</v>
      </c>
      <c r="B20" t="s">
        <v>659</v>
      </c>
      <c r="C20" t="s">
        <v>331</v>
      </c>
      <c r="D20" t="s">
        <v>693</v>
      </c>
      <c r="E20" t="s">
        <v>693</v>
      </c>
      <c r="F20" t="s">
        <v>331</v>
      </c>
      <c r="G20" t="s">
        <v>28</v>
      </c>
      <c r="H20" t="str">
        <f t="shared" si="0"/>
        <v>ATLANTIC</v>
      </c>
    </row>
    <row r="21" spans="1:8" x14ac:dyDescent="0.25">
      <c r="A21">
        <v>2024</v>
      </c>
      <c r="B21" t="s">
        <v>657</v>
      </c>
      <c r="C21" t="s">
        <v>332</v>
      </c>
      <c r="D21" t="s">
        <v>693</v>
      </c>
      <c r="E21" t="s">
        <v>693</v>
      </c>
      <c r="F21" t="s">
        <v>332</v>
      </c>
      <c r="G21" t="s">
        <v>29</v>
      </c>
      <c r="H21" t="str">
        <f t="shared" si="0"/>
        <v>AUDUBON</v>
      </c>
    </row>
    <row r="22" spans="1:8" x14ac:dyDescent="0.25">
      <c r="A22">
        <v>2024</v>
      </c>
      <c r="B22" t="s">
        <v>657</v>
      </c>
      <c r="C22" t="s">
        <v>334</v>
      </c>
      <c r="D22" t="s">
        <v>693</v>
      </c>
      <c r="E22" t="s">
        <v>693</v>
      </c>
      <c r="F22" t="s">
        <v>334</v>
      </c>
      <c r="G22" t="s">
        <v>31</v>
      </c>
      <c r="H22" t="str">
        <f t="shared" si="0"/>
        <v>BALLARD</v>
      </c>
    </row>
    <row r="23" spans="1:8" x14ac:dyDescent="0.25">
      <c r="A23">
        <v>2024</v>
      </c>
      <c r="B23" t="s">
        <v>657</v>
      </c>
      <c r="C23" t="s">
        <v>335</v>
      </c>
      <c r="D23" t="s">
        <v>693</v>
      </c>
      <c r="E23" t="s">
        <v>693</v>
      </c>
      <c r="F23" t="s">
        <v>335</v>
      </c>
      <c r="G23" t="s">
        <v>33</v>
      </c>
      <c r="H23" t="str">
        <f t="shared" si="0"/>
        <v>BAXTER</v>
      </c>
    </row>
    <row r="24" spans="1:8" x14ac:dyDescent="0.25">
      <c r="A24">
        <v>2024</v>
      </c>
      <c r="B24" t="s">
        <v>658</v>
      </c>
      <c r="C24" t="s">
        <v>336</v>
      </c>
      <c r="D24" t="s">
        <v>693</v>
      </c>
      <c r="E24" t="s">
        <v>693</v>
      </c>
      <c r="F24" t="s">
        <v>336</v>
      </c>
      <c r="G24" t="s">
        <v>1</v>
      </c>
      <c r="H24" t="str">
        <f t="shared" si="0"/>
        <v>BCLUW</v>
      </c>
    </row>
    <row r="25" spans="1:8" x14ac:dyDescent="0.25">
      <c r="A25">
        <v>2024</v>
      </c>
      <c r="B25" t="s">
        <v>659</v>
      </c>
      <c r="C25" t="s">
        <v>337</v>
      </c>
      <c r="D25" t="s">
        <v>693</v>
      </c>
      <c r="E25" t="s">
        <v>693</v>
      </c>
      <c r="F25" t="s">
        <v>337</v>
      </c>
      <c r="G25" t="s">
        <v>34</v>
      </c>
      <c r="H25" t="str">
        <f t="shared" si="0"/>
        <v>BEDFORD</v>
      </c>
    </row>
    <row r="26" spans="1:8" x14ac:dyDescent="0.25">
      <c r="A26">
        <v>2024</v>
      </c>
      <c r="B26" t="s">
        <v>663</v>
      </c>
      <c r="C26" t="s">
        <v>338</v>
      </c>
      <c r="D26" t="s">
        <v>693</v>
      </c>
      <c r="E26" t="s">
        <v>693</v>
      </c>
      <c r="F26" t="s">
        <v>338</v>
      </c>
      <c r="G26" t="s">
        <v>35</v>
      </c>
      <c r="H26" t="str">
        <f t="shared" si="0"/>
        <v>BELLE PLAINE</v>
      </c>
    </row>
    <row r="27" spans="1:8" x14ac:dyDescent="0.25">
      <c r="A27">
        <v>2024</v>
      </c>
      <c r="B27" t="s">
        <v>666</v>
      </c>
      <c r="C27" t="s">
        <v>339</v>
      </c>
      <c r="D27" t="s">
        <v>693</v>
      </c>
      <c r="E27" t="s">
        <v>693</v>
      </c>
      <c r="F27" t="s">
        <v>339</v>
      </c>
      <c r="G27" t="s">
        <v>36</v>
      </c>
      <c r="H27" t="str">
        <f t="shared" si="0"/>
        <v>BELLEVUE</v>
      </c>
    </row>
    <row r="28" spans="1:8" x14ac:dyDescent="0.25">
      <c r="A28">
        <v>2024</v>
      </c>
      <c r="B28" t="s">
        <v>658</v>
      </c>
      <c r="C28" t="s">
        <v>340</v>
      </c>
      <c r="D28" t="s">
        <v>693</v>
      </c>
      <c r="E28" t="s">
        <v>693</v>
      </c>
      <c r="F28" t="s">
        <v>340</v>
      </c>
      <c r="G28" t="s">
        <v>649</v>
      </c>
      <c r="H28" t="str">
        <f t="shared" si="0"/>
        <v>BELMOND-KLEMME</v>
      </c>
    </row>
    <row r="29" spans="1:8" x14ac:dyDescent="0.25">
      <c r="A29">
        <v>2024</v>
      </c>
      <c r="B29" t="s">
        <v>666</v>
      </c>
      <c r="C29" t="s">
        <v>341</v>
      </c>
      <c r="D29" t="s">
        <v>693</v>
      </c>
      <c r="E29" t="s">
        <v>693</v>
      </c>
      <c r="F29" t="s">
        <v>341</v>
      </c>
      <c r="G29" t="s">
        <v>37</v>
      </c>
      <c r="H29" t="str">
        <f t="shared" si="0"/>
        <v>BENNETT</v>
      </c>
    </row>
    <row r="30" spans="1:8" x14ac:dyDescent="0.25">
      <c r="A30">
        <v>2024</v>
      </c>
      <c r="B30" t="s">
        <v>663</v>
      </c>
      <c r="C30" t="s">
        <v>342</v>
      </c>
      <c r="D30" t="s">
        <v>693</v>
      </c>
      <c r="E30" t="s">
        <v>693</v>
      </c>
      <c r="F30" t="s">
        <v>342</v>
      </c>
      <c r="G30" t="s">
        <v>38</v>
      </c>
      <c r="H30" t="str">
        <f t="shared" si="0"/>
        <v>BENTON</v>
      </c>
    </row>
    <row r="31" spans="1:8" x14ac:dyDescent="0.25">
      <c r="A31">
        <v>2024</v>
      </c>
      <c r="B31" t="s">
        <v>666</v>
      </c>
      <c r="C31" t="s">
        <v>343</v>
      </c>
      <c r="D31" t="s">
        <v>693</v>
      </c>
      <c r="E31" t="s">
        <v>693</v>
      </c>
      <c r="F31" t="s">
        <v>343</v>
      </c>
      <c r="G31" t="s">
        <v>697</v>
      </c>
      <c r="H31" t="str">
        <f t="shared" si="0"/>
        <v>BETTENDORF</v>
      </c>
    </row>
    <row r="32" spans="1:8" x14ac:dyDescent="0.25">
      <c r="A32">
        <v>2024</v>
      </c>
      <c r="B32" t="s">
        <v>657</v>
      </c>
      <c r="C32" t="s">
        <v>345</v>
      </c>
      <c r="D32" t="s">
        <v>693</v>
      </c>
      <c r="E32" t="s">
        <v>693</v>
      </c>
      <c r="F32" t="s">
        <v>345</v>
      </c>
      <c r="G32" t="s">
        <v>39</v>
      </c>
      <c r="H32" t="str">
        <f t="shared" si="0"/>
        <v>BONDURANT-FARRAR</v>
      </c>
    </row>
    <row r="33" spans="1:8" x14ac:dyDescent="0.25">
      <c r="A33">
        <v>2024</v>
      </c>
      <c r="B33" t="s">
        <v>657</v>
      </c>
      <c r="C33" t="s">
        <v>346</v>
      </c>
      <c r="D33" t="s">
        <v>693</v>
      </c>
      <c r="E33" t="s">
        <v>693</v>
      </c>
      <c r="F33" t="s">
        <v>346</v>
      </c>
      <c r="G33" t="s">
        <v>40</v>
      </c>
      <c r="H33" t="str">
        <f t="shared" si="0"/>
        <v>BOONE</v>
      </c>
    </row>
    <row r="34" spans="1:8" x14ac:dyDescent="0.25">
      <c r="A34">
        <v>2024</v>
      </c>
      <c r="B34" t="s">
        <v>660</v>
      </c>
      <c r="C34" t="s">
        <v>347</v>
      </c>
      <c r="D34" t="s">
        <v>693</v>
      </c>
      <c r="E34" t="s">
        <v>693</v>
      </c>
      <c r="F34" t="s">
        <v>347</v>
      </c>
      <c r="G34" t="s">
        <v>41</v>
      </c>
      <c r="H34" t="str">
        <f t="shared" si="0"/>
        <v>BOYDEN-HULL</v>
      </c>
    </row>
    <row r="35" spans="1:8" x14ac:dyDescent="0.25">
      <c r="A35">
        <v>2024</v>
      </c>
      <c r="B35" t="s">
        <v>659</v>
      </c>
      <c r="C35" t="s">
        <v>403</v>
      </c>
      <c r="D35" t="s">
        <v>693</v>
      </c>
      <c r="E35" t="s">
        <v>693</v>
      </c>
      <c r="F35" t="s">
        <v>403</v>
      </c>
      <c r="G35" t="s">
        <v>42</v>
      </c>
      <c r="H35" t="str">
        <f t="shared" si="0"/>
        <v>BOYER VALLEY</v>
      </c>
    </row>
    <row r="36" spans="1:8" x14ac:dyDescent="0.25">
      <c r="A36">
        <v>2024</v>
      </c>
      <c r="B36" t="s">
        <v>658</v>
      </c>
      <c r="C36" t="s">
        <v>349</v>
      </c>
      <c r="D36" t="s">
        <v>693</v>
      </c>
      <c r="E36" t="s">
        <v>693</v>
      </c>
      <c r="F36" t="s">
        <v>349</v>
      </c>
      <c r="G36" t="s">
        <v>43</v>
      </c>
      <c r="H36" t="str">
        <f t="shared" si="0"/>
        <v>BROOKLYN-GUERNSEY-MALCOM</v>
      </c>
    </row>
    <row r="37" spans="1:8" x14ac:dyDescent="0.25">
      <c r="A37">
        <v>2024</v>
      </c>
      <c r="B37" t="s">
        <v>662</v>
      </c>
      <c r="C37" t="s">
        <v>351</v>
      </c>
      <c r="D37" t="s">
        <v>693</v>
      </c>
      <c r="E37" t="s">
        <v>693</v>
      </c>
      <c r="F37" t="s">
        <v>351</v>
      </c>
      <c r="G37" t="s">
        <v>698</v>
      </c>
      <c r="H37" t="str">
        <f t="shared" si="0"/>
        <v>BURLINGTON</v>
      </c>
    </row>
    <row r="38" spans="1:8" x14ac:dyDescent="0.25">
      <c r="A38">
        <v>2024</v>
      </c>
      <c r="B38" t="s">
        <v>658</v>
      </c>
      <c r="C38" t="s">
        <v>353</v>
      </c>
      <c r="D38" t="s">
        <v>693</v>
      </c>
      <c r="E38" t="s">
        <v>693</v>
      </c>
      <c r="F38" t="s">
        <v>353</v>
      </c>
      <c r="G38" t="s">
        <v>2</v>
      </c>
      <c r="H38" t="str">
        <f t="shared" si="0"/>
        <v>CAL</v>
      </c>
    </row>
    <row r="39" spans="1:8" x14ac:dyDescent="0.25">
      <c r="A39">
        <v>2024</v>
      </c>
      <c r="B39" t="s">
        <v>666</v>
      </c>
      <c r="C39" t="s">
        <v>354</v>
      </c>
      <c r="D39" t="s">
        <v>693</v>
      </c>
      <c r="E39" t="s">
        <v>693</v>
      </c>
      <c r="F39" t="s">
        <v>354</v>
      </c>
      <c r="G39" t="s">
        <v>688</v>
      </c>
      <c r="H39" t="str">
        <f t="shared" si="0"/>
        <v>CALAMUS-WHEATLAND</v>
      </c>
    </row>
    <row r="40" spans="1:8" x14ac:dyDescent="0.25">
      <c r="A40">
        <v>2024</v>
      </c>
      <c r="B40" t="s">
        <v>659</v>
      </c>
      <c r="C40" t="s">
        <v>352</v>
      </c>
      <c r="D40" t="s">
        <v>693</v>
      </c>
      <c r="E40" t="s">
        <v>693</v>
      </c>
      <c r="F40" t="s">
        <v>352</v>
      </c>
      <c r="G40" t="s">
        <v>3</v>
      </c>
      <c r="H40" t="str">
        <f t="shared" si="0"/>
        <v>CAM</v>
      </c>
    </row>
    <row r="41" spans="1:8" x14ac:dyDescent="0.25">
      <c r="A41">
        <v>2024</v>
      </c>
      <c r="B41" t="s">
        <v>666</v>
      </c>
      <c r="C41" t="s">
        <v>355</v>
      </c>
      <c r="D41" t="s">
        <v>693</v>
      </c>
      <c r="E41" t="s">
        <v>693</v>
      </c>
      <c r="F41" t="s">
        <v>355</v>
      </c>
      <c r="G41" t="s">
        <v>699</v>
      </c>
      <c r="H41" t="str">
        <f t="shared" si="0"/>
        <v>CAMANCHE</v>
      </c>
    </row>
    <row r="42" spans="1:8" x14ac:dyDescent="0.25">
      <c r="A42">
        <v>2024</v>
      </c>
      <c r="B42" t="s">
        <v>662</v>
      </c>
      <c r="C42" t="s">
        <v>356</v>
      </c>
      <c r="D42" t="s">
        <v>693</v>
      </c>
      <c r="E42" t="s">
        <v>693</v>
      </c>
      <c r="F42" t="s">
        <v>356</v>
      </c>
      <c r="G42" t="s">
        <v>45</v>
      </c>
      <c r="H42" t="str">
        <f t="shared" si="0"/>
        <v>CARDINAL</v>
      </c>
    </row>
    <row r="43" spans="1:8" x14ac:dyDescent="0.25">
      <c r="A43">
        <v>2024</v>
      </c>
      <c r="B43" t="s">
        <v>657</v>
      </c>
      <c r="C43" t="s">
        <v>357</v>
      </c>
      <c r="D43" t="s">
        <v>693</v>
      </c>
      <c r="E43" t="s">
        <v>693</v>
      </c>
      <c r="F43" t="s">
        <v>357</v>
      </c>
      <c r="G43" t="s">
        <v>700</v>
      </c>
      <c r="H43" t="str">
        <f t="shared" si="0"/>
        <v>CARLISLE</v>
      </c>
    </row>
    <row r="44" spans="1:8" x14ac:dyDescent="0.25">
      <c r="A44">
        <v>2024</v>
      </c>
      <c r="B44" t="s">
        <v>657</v>
      </c>
      <c r="C44" t="s">
        <v>358</v>
      </c>
      <c r="D44" t="s">
        <v>693</v>
      </c>
      <c r="E44" t="s">
        <v>693</v>
      </c>
      <c r="F44" t="s">
        <v>358</v>
      </c>
      <c r="G44" t="s">
        <v>46</v>
      </c>
      <c r="H44" t="str">
        <f t="shared" si="0"/>
        <v>CARROLL</v>
      </c>
    </row>
    <row r="45" spans="1:8" x14ac:dyDescent="0.25">
      <c r="A45">
        <v>2024</v>
      </c>
      <c r="B45" t="s">
        <v>658</v>
      </c>
      <c r="C45" t="s">
        <v>359</v>
      </c>
      <c r="D45" t="s">
        <v>693</v>
      </c>
      <c r="E45" t="s">
        <v>693</v>
      </c>
      <c r="F45" t="s">
        <v>359</v>
      </c>
      <c r="G45" t="s">
        <v>701</v>
      </c>
      <c r="H45" t="str">
        <f t="shared" si="0"/>
        <v>CEDAR FALLS</v>
      </c>
    </row>
    <row r="46" spans="1:8" x14ac:dyDescent="0.25">
      <c r="A46">
        <v>2024</v>
      </c>
      <c r="B46" t="s">
        <v>663</v>
      </c>
      <c r="C46" t="s">
        <v>360</v>
      </c>
      <c r="D46" t="s">
        <v>693</v>
      </c>
      <c r="E46" t="s">
        <v>693</v>
      </c>
      <c r="F46" t="s">
        <v>360</v>
      </c>
      <c r="G46" t="s">
        <v>47</v>
      </c>
      <c r="H46" t="str">
        <f t="shared" si="0"/>
        <v>CEDAR RAPIDS</v>
      </c>
    </row>
    <row r="47" spans="1:8" x14ac:dyDescent="0.25">
      <c r="A47">
        <v>2024</v>
      </c>
      <c r="B47" t="s">
        <v>663</v>
      </c>
      <c r="C47" t="s">
        <v>361</v>
      </c>
      <c r="D47" t="s">
        <v>693</v>
      </c>
      <c r="E47" t="s">
        <v>693</v>
      </c>
      <c r="F47" t="s">
        <v>361</v>
      </c>
      <c r="G47" t="s">
        <v>48</v>
      </c>
      <c r="H47" t="str">
        <f t="shared" si="0"/>
        <v>CENTER POINT-URBANA</v>
      </c>
    </row>
    <row r="48" spans="1:8" x14ac:dyDescent="0.25">
      <c r="A48">
        <v>2024</v>
      </c>
      <c r="B48" t="s">
        <v>662</v>
      </c>
      <c r="C48" t="s">
        <v>362</v>
      </c>
      <c r="D48" t="s">
        <v>693</v>
      </c>
      <c r="E48" t="s">
        <v>693</v>
      </c>
      <c r="F48" t="s">
        <v>362</v>
      </c>
      <c r="G48" t="s">
        <v>49</v>
      </c>
      <c r="H48" t="str">
        <f t="shared" si="0"/>
        <v>CENTERVILLE</v>
      </c>
    </row>
    <row r="49" spans="1:8" x14ac:dyDescent="0.25">
      <c r="A49">
        <v>2024</v>
      </c>
      <c r="B49" t="s">
        <v>663</v>
      </c>
      <c r="C49" t="s">
        <v>366</v>
      </c>
      <c r="D49" t="s">
        <v>693</v>
      </c>
      <c r="E49" t="s">
        <v>693</v>
      </c>
      <c r="F49" t="s">
        <v>366</v>
      </c>
      <c r="G49" t="s">
        <v>702</v>
      </c>
      <c r="H49" t="str">
        <f t="shared" si="0"/>
        <v>CENTRAL CITY</v>
      </c>
    </row>
    <row r="50" spans="1:8" x14ac:dyDescent="0.25">
      <c r="A50">
        <v>2024</v>
      </c>
      <c r="B50" t="s">
        <v>665</v>
      </c>
      <c r="C50" t="s">
        <v>364</v>
      </c>
      <c r="D50" t="s">
        <v>693</v>
      </c>
      <c r="E50" t="s">
        <v>693</v>
      </c>
      <c r="F50" t="s">
        <v>364</v>
      </c>
      <c r="G50" t="s">
        <v>50</v>
      </c>
      <c r="H50" t="str">
        <f t="shared" si="0"/>
        <v>CENTRAL CLAYTON</v>
      </c>
    </row>
    <row r="51" spans="1:8" x14ac:dyDescent="0.25">
      <c r="A51">
        <v>2024</v>
      </c>
      <c r="B51" t="s">
        <v>666</v>
      </c>
      <c r="C51" t="s">
        <v>365</v>
      </c>
      <c r="D51" t="s">
        <v>693</v>
      </c>
      <c r="E51" t="s">
        <v>693</v>
      </c>
      <c r="F51" t="s">
        <v>365</v>
      </c>
      <c r="G51" t="s">
        <v>51</v>
      </c>
      <c r="H51" t="str">
        <f t="shared" si="0"/>
        <v>CENTRAL DE WITT</v>
      </c>
    </row>
    <row r="52" spans="1:8" x14ac:dyDescent="0.25">
      <c r="A52">
        <v>2024</v>
      </c>
      <c r="B52" t="s">
        <v>659</v>
      </c>
      <c r="C52" t="s">
        <v>367</v>
      </c>
      <c r="D52" t="s">
        <v>693</v>
      </c>
      <c r="E52" t="s">
        <v>693</v>
      </c>
      <c r="F52" t="s">
        <v>367</v>
      </c>
      <c r="G52" t="s">
        <v>52</v>
      </c>
      <c r="H52" t="str">
        <f t="shared" si="0"/>
        <v>CENTRAL DECATUR</v>
      </c>
    </row>
    <row r="53" spans="1:8" x14ac:dyDescent="0.25">
      <c r="A53">
        <v>2024</v>
      </c>
      <c r="B53" t="s">
        <v>662</v>
      </c>
      <c r="C53" t="s">
        <v>363</v>
      </c>
      <c r="D53" t="s">
        <v>693</v>
      </c>
      <c r="E53" t="s">
        <v>693</v>
      </c>
      <c r="F53" t="s">
        <v>363</v>
      </c>
      <c r="G53" t="s">
        <v>53</v>
      </c>
      <c r="H53" t="str">
        <f t="shared" si="0"/>
        <v>CENTRAL LEE</v>
      </c>
    </row>
    <row r="54" spans="1:8" x14ac:dyDescent="0.25">
      <c r="A54">
        <v>2024</v>
      </c>
      <c r="B54" t="s">
        <v>660</v>
      </c>
      <c r="C54" t="s">
        <v>368</v>
      </c>
      <c r="D54" t="s">
        <v>693</v>
      </c>
      <c r="E54" t="s">
        <v>693</v>
      </c>
      <c r="F54" t="s">
        <v>368</v>
      </c>
      <c r="G54" t="s">
        <v>54</v>
      </c>
      <c r="H54" t="str">
        <f t="shared" si="0"/>
        <v>CENTRAL LYON</v>
      </c>
    </row>
    <row r="55" spans="1:8" x14ac:dyDescent="0.25">
      <c r="A55">
        <v>2024</v>
      </c>
      <c r="B55" t="s">
        <v>658</v>
      </c>
      <c r="C55" t="s">
        <v>519</v>
      </c>
      <c r="D55" t="s">
        <v>693</v>
      </c>
      <c r="E55" t="s">
        <v>693</v>
      </c>
      <c r="F55" t="s">
        <v>519</v>
      </c>
      <c r="G55" t="s">
        <v>55</v>
      </c>
      <c r="H55" t="str">
        <f t="shared" si="0"/>
        <v>CENTRAL SPRINGS</v>
      </c>
    </row>
    <row r="56" spans="1:8" x14ac:dyDescent="0.25">
      <c r="A56">
        <v>2024</v>
      </c>
      <c r="B56" t="s">
        <v>662</v>
      </c>
      <c r="C56" t="s">
        <v>369</v>
      </c>
      <c r="D56" t="s">
        <v>693</v>
      </c>
      <c r="E56" t="s">
        <v>693</v>
      </c>
      <c r="F56" t="s">
        <v>369</v>
      </c>
      <c r="G56" t="s">
        <v>56</v>
      </c>
      <c r="H56" t="str">
        <f t="shared" si="0"/>
        <v>CHARITON</v>
      </c>
    </row>
    <row r="57" spans="1:8" x14ac:dyDescent="0.25">
      <c r="A57">
        <v>2024</v>
      </c>
      <c r="B57" t="s">
        <v>658</v>
      </c>
      <c r="C57" t="s">
        <v>370</v>
      </c>
      <c r="D57" t="s">
        <v>693</v>
      </c>
      <c r="E57" t="s">
        <v>693</v>
      </c>
      <c r="F57" t="s">
        <v>370</v>
      </c>
      <c r="G57" t="s">
        <v>57</v>
      </c>
      <c r="H57" t="str">
        <f t="shared" si="0"/>
        <v>CHARLES CITY</v>
      </c>
    </row>
    <row r="58" spans="1:8" x14ac:dyDescent="0.25">
      <c r="A58">
        <v>2024</v>
      </c>
      <c r="B58" t="s">
        <v>660</v>
      </c>
      <c r="C58" t="s">
        <v>371</v>
      </c>
      <c r="D58" t="s">
        <v>693</v>
      </c>
      <c r="E58" t="s">
        <v>693</v>
      </c>
      <c r="F58" t="s">
        <v>371</v>
      </c>
      <c r="G58" t="s">
        <v>58</v>
      </c>
      <c r="H58" t="str">
        <f t="shared" si="0"/>
        <v>CHARTER OAK-UTE</v>
      </c>
    </row>
    <row r="59" spans="1:8" x14ac:dyDescent="0.25">
      <c r="A59">
        <v>2024</v>
      </c>
      <c r="B59" t="s">
        <v>660</v>
      </c>
      <c r="C59" t="s">
        <v>372</v>
      </c>
      <c r="D59" t="s">
        <v>693</v>
      </c>
      <c r="E59" t="s">
        <v>693</v>
      </c>
      <c r="F59" t="s">
        <v>372</v>
      </c>
      <c r="G59" t="s">
        <v>59</v>
      </c>
      <c r="H59" t="str">
        <f t="shared" si="0"/>
        <v>CHEROKEE</v>
      </c>
    </row>
    <row r="60" spans="1:8" x14ac:dyDescent="0.25">
      <c r="A60">
        <v>2024</v>
      </c>
      <c r="B60" t="s">
        <v>659</v>
      </c>
      <c r="C60" t="s">
        <v>373</v>
      </c>
      <c r="D60" t="s">
        <v>693</v>
      </c>
      <c r="E60" t="s">
        <v>693</v>
      </c>
      <c r="F60" t="s">
        <v>373</v>
      </c>
      <c r="G60" t="s">
        <v>60</v>
      </c>
      <c r="H60" t="str">
        <f t="shared" si="0"/>
        <v>CLARINDA</v>
      </c>
    </row>
    <row r="61" spans="1:8" x14ac:dyDescent="0.25">
      <c r="A61">
        <v>2024</v>
      </c>
      <c r="B61" t="s">
        <v>661</v>
      </c>
      <c r="C61" t="s">
        <v>374</v>
      </c>
      <c r="D61" t="s">
        <v>667</v>
      </c>
      <c r="E61" t="s">
        <v>693</v>
      </c>
      <c r="F61" t="s">
        <v>374</v>
      </c>
      <c r="G61" t="s">
        <v>703</v>
      </c>
      <c r="H61" t="str">
        <f t="shared" si="0"/>
        <v>CLARION-GOLDFIELD-DOWS</v>
      </c>
    </row>
    <row r="62" spans="1:8" x14ac:dyDescent="0.25">
      <c r="A62">
        <v>2024</v>
      </c>
      <c r="B62" t="s">
        <v>659</v>
      </c>
      <c r="C62" t="s">
        <v>375</v>
      </c>
      <c r="D62" t="s">
        <v>693</v>
      </c>
      <c r="E62" t="s">
        <v>693</v>
      </c>
      <c r="F62" t="s">
        <v>375</v>
      </c>
      <c r="G62" t="s">
        <v>61</v>
      </c>
      <c r="H62" t="str">
        <f t="shared" si="0"/>
        <v>CLARKE</v>
      </c>
    </row>
    <row r="63" spans="1:8" x14ac:dyDescent="0.25">
      <c r="A63">
        <v>2024</v>
      </c>
      <c r="B63" t="s">
        <v>658</v>
      </c>
      <c r="C63" t="s">
        <v>376</v>
      </c>
      <c r="D63" t="s">
        <v>693</v>
      </c>
      <c r="E63" t="s">
        <v>693</v>
      </c>
      <c r="F63" t="s">
        <v>376</v>
      </c>
      <c r="G63" t="s">
        <v>62</v>
      </c>
      <c r="H63" t="str">
        <f t="shared" si="0"/>
        <v>CLARKSVILLE</v>
      </c>
    </row>
    <row r="64" spans="1:8" x14ac:dyDescent="0.25">
      <c r="A64">
        <v>2024</v>
      </c>
      <c r="B64" t="s">
        <v>661</v>
      </c>
      <c r="C64" t="s">
        <v>377</v>
      </c>
      <c r="D64" t="s">
        <v>693</v>
      </c>
      <c r="E64" t="s">
        <v>693</v>
      </c>
      <c r="F64" t="s">
        <v>377</v>
      </c>
      <c r="G64" t="s">
        <v>63</v>
      </c>
      <c r="H64" t="str">
        <f t="shared" si="0"/>
        <v>CLAY CENTRAL-EVERLY</v>
      </c>
    </row>
    <row r="65" spans="1:8" x14ac:dyDescent="0.25">
      <c r="A65">
        <v>2024</v>
      </c>
      <c r="B65" t="s">
        <v>665</v>
      </c>
      <c r="C65" t="s">
        <v>440</v>
      </c>
      <c r="D65" t="s">
        <v>693</v>
      </c>
      <c r="E65" t="s">
        <v>693</v>
      </c>
      <c r="F65" t="s">
        <v>440</v>
      </c>
      <c r="G65" t="s">
        <v>704</v>
      </c>
      <c r="H65" t="str">
        <f t="shared" si="0"/>
        <v>CLAYTON RIDGE</v>
      </c>
    </row>
    <row r="66" spans="1:8" x14ac:dyDescent="0.25">
      <c r="A66">
        <v>2024</v>
      </c>
      <c r="B66" t="s">
        <v>663</v>
      </c>
      <c r="C66" t="s">
        <v>378</v>
      </c>
      <c r="D66" t="s">
        <v>668</v>
      </c>
      <c r="E66" t="s">
        <v>693</v>
      </c>
      <c r="F66" t="s">
        <v>378</v>
      </c>
      <c r="G66" t="s">
        <v>64</v>
      </c>
      <c r="H66" t="str">
        <f t="shared" si="0"/>
        <v>CLEAR CREEK-AMANA</v>
      </c>
    </row>
    <row r="67" spans="1:8" x14ac:dyDescent="0.25">
      <c r="A67">
        <v>2024</v>
      </c>
      <c r="B67" t="s">
        <v>658</v>
      </c>
      <c r="C67" t="s">
        <v>379</v>
      </c>
      <c r="D67" t="s">
        <v>693</v>
      </c>
      <c r="E67" t="s">
        <v>693</v>
      </c>
      <c r="F67" t="s">
        <v>379</v>
      </c>
      <c r="G67" t="s">
        <v>65</v>
      </c>
      <c r="H67" t="str">
        <f t="shared" ref="H67:H130" si="1">UPPER(G67)</f>
        <v>CLEAR LAKE</v>
      </c>
    </row>
    <row r="68" spans="1:8" x14ac:dyDescent="0.25">
      <c r="A68">
        <v>2024</v>
      </c>
      <c r="B68" t="s">
        <v>666</v>
      </c>
      <c r="C68" t="s">
        <v>380</v>
      </c>
      <c r="D68" t="s">
        <v>693</v>
      </c>
      <c r="E68" t="s">
        <v>693</v>
      </c>
      <c r="F68" t="s">
        <v>380</v>
      </c>
      <c r="G68" t="s">
        <v>66</v>
      </c>
      <c r="H68" t="str">
        <f t="shared" si="1"/>
        <v>CLINTON</v>
      </c>
    </row>
    <row r="69" spans="1:8" x14ac:dyDescent="0.25">
      <c r="A69">
        <v>2024</v>
      </c>
      <c r="B69" t="s">
        <v>657</v>
      </c>
      <c r="C69" t="s">
        <v>381</v>
      </c>
      <c r="D69" t="s">
        <v>693</v>
      </c>
      <c r="E69" t="s">
        <v>693</v>
      </c>
      <c r="F69" t="s">
        <v>381</v>
      </c>
      <c r="G69" t="s">
        <v>67</v>
      </c>
      <c r="H69" t="str">
        <f t="shared" si="1"/>
        <v>COLFAX-MINGO</v>
      </c>
    </row>
    <row r="70" spans="1:8" x14ac:dyDescent="0.25">
      <c r="A70">
        <v>2024</v>
      </c>
      <c r="B70" t="s">
        <v>663</v>
      </c>
      <c r="C70" t="s">
        <v>382</v>
      </c>
      <c r="D70" t="s">
        <v>693</v>
      </c>
      <c r="E70" t="s">
        <v>693</v>
      </c>
      <c r="F70" t="s">
        <v>382</v>
      </c>
      <c r="G70" t="s">
        <v>705</v>
      </c>
      <c r="H70" t="str">
        <f t="shared" si="1"/>
        <v>COLLEGE COMMUNITY</v>
      </c>
    </row>
    <row r="71" spans="1:8" x14ac:dyDescent="0.25">
      <c r="A71">
        <v>2024</v>
      </c>
      <c r="B71" t="s">
        <v>657</v>
      </c>
      <c r="C71" t="s">
        <v>383</v>
      </c>
      <c r="D71" t="s">
        <v>693</v>
      </c>
      <c r="E71" t="s">
        <v>693</v>
      </c>
      <c r="F71" t="s">
        <v>383</v>
      </c>
      <c r="G71" t="s">
        <v>68</v>
      </c>
      <c r="H71" t="str">
        <f t="shared" si="1"/>
        <v>COLLINS-MAXWELL</v>
      </c>
    </row>
    <row r="72" spans="1:8" x14ac:dyDescent="0.25">
      <c r="A72">
        <v>2024</v>
      </c>
      <c r="B72" t="s">
        <v>657</v>
      </c>
      <c r="C72" t="s">
        <v>384</v>
      </c>
      <c r="D72" t="s">
        <v>693</v>
      </c>
      <c r="E72" t="s">
        <v>693</v>
      </c>
      <c r="F72" t="s">
        <v>384</v>
      </c>
      <c r="G72" t="s">
        <v>69</v>
      </c>
      <c r="H72" t="str">
        <f t="shared" si="1"/>
        <v>COLO-NESCO</v>
      </c>
    </row>
    <row r="73" spans="1:8" x14ac:dyDescent="0.25">
      <c r="A73">
        <v>2024</v>
      </c>
      <c r="B73" t="s">
        <v>666</v>
      </c>
      <c r="C73" t="s">
        <v>385</v>
      </c>
      <c r="D73" t="s">
        <v>693</v>
      </c>
      <c r="E73" t="s">
        <v>693</v>
      </c>
      <c r="F73" t="s">
        <v>385</v>
      </c>
      <c r="G73" t="s">
        <v>70</v>
      </c>
      <c r="H73" t="str">
        <f t="shared" si="1"/>
        <v>COLUMBUS</v>
      </c>
    </row>
    <row r="74" spans="1:8" x14ac:dyDescent="0.25">
      <c r="A74">
        <v>2024</v>
      </c>
      <c r="B74" t="s">
        <v>657</v>
      </c>
      <c r="C74" t="s">
        <v>386</v>
      </c>
      <c r="D74" t="s">
        <v>693</v>
      </c>
      <c r="E74" t="s">
        <v>693</v>
      </c>
      <c r="F74" t="s">
        <v>386</v>
      </c>
      <c r="G74" t="s">
        <v>71</v>
      </c>
      <c r="H74" t="str">
        <f t="shared" si="1"/>
        <v>COON RAPIDS-BAYARD</v>
      </c>
    </row>
    <row r="75" spans="1:8" x14ac:dyDescent="0.25">
      <c r="A75">
        <v>2024</v>
      </c>
      <c r="B75" t="s">
        <v>659</v>
      </c>
      <c r="C75" t="s">
        <v>387</v>
      </c>
      <c r="D75" t="s">
        <v>693</v>
      </c>
      <c r="E75" t="s">
        <v>693</v>
      </c>
      <c r="F75" t="s">
        <v>387</v>
      </c>
      <c r="G75" t="s">
        <v>72</v>
      </c>
      <c r="H75" t="str">
        <f t="shared" si="1"/>
        <v>CORNING</v>
      </c>
    </row>
    <row r="76" spans="1:8" x14ac:dyDescent="0.25">
      <c r="A76">
        <v>2024</v>
      </c>
      <c r="B76" t="s">
        <v>659</v>
      </c>
      <c r="C76" t="s">
        <v>388</v>
      </c>
      <c r="D76" t="s">
        <v>693</v>
      </c>
      <c r="E76" t="s">
        <v>693</v>
      </c>
      <c r="F76" t="s">
        <v>388</v>
      </c>
      <c r="G76" t="s">
        <v>706</v>
      </c>
      <c r="H76" t="str">
        <f t="shared" si="1"/>
        <v>COUNCIL BLUFFS</v>
      </c>
    </row>
    <row r="77" spans="1:8" x14ac:dyDescent="0.25">
      <c r="A77">
        <v>2024</v>
      </c>
      <c r="B77" t="s">
        <v>659</v>
      </c>
      <c r="C77" t="s">
        <v>389</v>
      </c>
      <c r="D77" t="s">
        <v>693</v>
      </c>
      <c r="E77" t="s">
        <v>693</v>
      </c>
      <c r="F77" t="s">
        <v>389</v>
      </c>
      <c r="G77" t="s">
        <v>73</v>
      </c>
      <c r="H77" t="str">
        <f t="shared" si="1"/>
        <v>CRESTON</v>
      </c>
    </row>
    <row r="78" spans="1:8" x14ac:dyDescent="0.25">
      <c r="A78">
        <v>2024</v>
      </c>
      <c r="B78" t="s">
        <v>657</v>
      </c>
      <c r="C78" t="s">
        <v>390</v>
      </c>
      <c r="D78" t="s">
        <v>693</v>
      </c>
      <c r="E78" t="s">
        <v>693</v>
      </c>
      <c r="F78" t="s">
        <v>390</v>
      </c>
      <c r="G78" t="s">
        <v>707</v>
      </c>
      <c r="H78" t="str">
        <f t="shared" si="1"/>
        <v>DALLAS CENTER-GRIMES</v>
      </c>
    </row>
    <row r="79" spans="1:8" x14ac:dyDescent="0.25">
      <c r="A79">
        <v>2024</v>
      </c>
      <c r="B79" t="s">
        <v>662</v>
      </c>
      <c r="C79" t="s">
        <v>391</v>
      </c>
      <c r="D79" t="s">
        <v>693</v>
      </c>
      <c r="E79" t="s">
        <v>693</v>
      </c>
      <c r="F79" t="s">
        <v>391</v>
      </c>
      <c r="G79" t="s">
        <v>74</v>
      </c>
      <c r="H79" t="str">
        <f t="shared" si="1"/>
        <v>DANVILLE</v>
      </c>
    </row>
    <row r="80" spans="1:8" x14ac:dyDescent="0.25">
      <c r="A80">
        <v>2024</v>
      </c>
      <c r="B80" t="s">
        <v>666</v>
      </c>
      <c r="C80" t="s">
        <v>392</v>
      </c>
      <c r="D80" t="s">
        <v>693</v>
      </c>
      <c r="E80" t="s">
        <v>693</v>
      </c>
      <c r="F80" t="s">
        <v>392</v>
      </c>
      <c r="G80" t="s">
        <v>708</v>
      </c>
      <c r="H80" t="str">
        <f t="shared" si="1"/>
        <v>DAVENPORT</v>
      </c>
    </row>
    <row r="81" spans="1:8" x14ac:dyDescent="0.25">
      <c r="A81">
        <v>2024</v>
      </c>
      <c r="B81" t="s">
        <v>662</v>
      </c>
      <c r="C81" t="s">
        <v>393</v>
      </c>
      <c r="D81" t="s">
        <v>693</v>
      </c>
      <c r="E81" t="s">
        <v>693</v>
      </c>
      <c r="F81" t="s">
        <v>393</v>
      </c>
      <c r="G81" t="s">
        <v>75</v>
      </c>
      <c r="H81" t="str">
        <f t="shared" si="1"/>
        <v>DAVIS COUNTY</v>
      </c>
    </row>
    <row r="82" spans="1:8" x14ac:dyDescent="0.25">
      <c r="A82">
        <v>2024</v>
      </c>
      <c r="B82" t="s">
        <v>665</v>
      </c>
      <c r="C82" t="s">
        <v>394</v>
      </c>
      <c r="D82" t="s">
        <v>693</v>
      </c>
      <c r="E82" t="s">
        <v>693</v>
      </c>
      <c r="F82" t="s">
        <v>394</v>
      </c>
      <c r="G82" t="s">
        <v>76</v>
      </c>
      <c r="H82" t="str">
        <f t="shared" si="1"/>
        <v>DECORAH</v>
      </c>
    </row>
    <row r="83" spans="1:8" x14ac:dyDescent="0.25">
      <c r="A83">
        <v>2024</v>
      </c>
      <c r="B83" t="s">
        <v>666</v>
      </c>
      <c r="C83" t="s">
        <v>395</v>
      </c>
      <c r="D83" t="s">
        <v>693</v>
      </c>
      <c r="E83" t="s">
        <v>693</v>
      </c>
      <c r="F83" t="s">
        <v>395</v>
      </c>
      <c r="G83" t="s">
        <v>77</v>
      </c>
      <c r="H83" t="str">
        <f t="shared" si="1"/>
        <v>DELWOOD</v>
      </c>
    </row>
    <row r="84" spans="1:8" x14ac:dyDescent="0.25">
      <c r="A84">
        <v>2024</v>
      </c>
      <c r="B84" t="s">
        <v>660</v>
      </c>
      <c r="C84" t="s">
        <v>396</v>
      </c>
      <c r="D84" t="s">
        <v>693</v>
      </c>
      <c r="E84" t="s">
        <v>693</v>
      </c>
      <c r="F84" t="s">
        <v>396</v>
      </c>
      <c r="G84" t="s">
        <v>78</v>
      </c>
      <c r="H84" t="str">
        <f t="shared" si="1"/>
        <v>DENISON</v>
      </c>
    </row>
    <row r="85" spans="1:8" x14ac:dyDescent="0.25">
      <c r="A85">
        <v>2024</v>
      </c>
      <c r="B85" t="s">
        <v>658</v>
      </c>
      <c r="C85" t="s">
        <v>397</v>
      </c>
      <c r="D85" t="s">
        <v>693</v>
      </c>
      <c r="E85" t="s">
        <v>693</v>
      </c>
      <c r="F85" t="s">
        <v>397</v>
      </c>
      <c r="G85" t="s">
        <v>79</v>
      </c>
      <c r="H85" t="str">
        <f t="shared" si="1"/>
        <v>DENVER</v>
      </c>
    </row>
    <row r="86" spans="1:8" x14ac:dyDescent="0.25">
      <c r="A86">
        <v>2024</v>
      </c>
      <c r="B86" t="s">
        <v>657</v>
      </c>
      <c r="C86" t="s">
        <v>398</v>
      </c>
      <c r="D86" t="s">
        <v>693</v>
      </c>
      <c r="E86" t="s">
        <v>693</v>
      </c>
      <c r="F86" t="s">
        <v>398</v>
      </c>
      <c r="G86" t="s">
        <v>709</v>
      </c>
      <c r="H86" t="str">
        <f t="shared" si="1"/>
        <v>DES MOINES</v>
      </c>
    </row>
    <row r="87" spans="1:8" x14ac:dyDescent="0.25">
      <c r="A87">
        <v>2024</v>
      </c>
      <c r="B87" t="s">
        <v>659</v>
      </c>
      <c r="C87" t="s">
        <v>399</v>
      </c>
      <c r="D87" t="s">
        <v>693</v>
      </c>
      <c r="E87" t="s">
        <v>693</v>
      </c>
      <c r="F87" t="s">
        <v>399</v>
      </c>
      <c r="G87" t="s">
        <v>80</v>
      </c>
      <c r="H87" t="str">
        <f t="shared" si="1"/>
        <v>DIAGONAL</v>
      </c>
    </row>
    <row r="88" spans="1:8" x14ac:dyDescent="0.25">
      <c r="A88">
        <v>2024</v>
      </c>
      <c r="B88" t="s">
        <v>658</v>
      </c>
      <c r="C88" t="s">
        <v>400</v>
      </c>
      <c r="D88" t="s">
        <v>693</v>
      </c>
      <c r="E88" t="s">
        <v>693</v>
      </c>
      <c r="F88" t="s">
        <v>400</v>
      </c>
      <c r="G88" t="s">
        <v>81</v>
      </c>
      <c r="H88" t="str">
        <f t="shared" si="1"/>
        <v>DIKE-NEW HARTFORD</v>
      </c>
    </row>
    <row r="89" spans="1:8" x14ac:dyDescent="0.25">
      <c r="A89">
        <v>2024</v>
      </c>
      <c r="B89" t="s">
        <v>665</v>
      </c>
      <c r="C89" t="s">
        <v>401</v>
      </c>
      <c r="D89" t="s">
        <v>693</v>
      </c>
      <c r="E89" t="s">
        <v>693</v>
      </c>
      <c r="F89" t="s">
        <v>401</v>
      </c>
      <c r="G89" t="s">
        <v>710</v>
      </c>
      <c r="H89" t="str">
        <f t="shared" si="1"/>
        <v>DUBUQUE</v>
      </c>
    </row>
    <row r="90" spans="1:8" x14ac:dyDescent="0.25">
      <c r="A90">
        <v>2024</v>
      </c>
      <c r="B90" t="s">
        <v>658</v>
      </c>
      <c r="C90" t="s">
        <v>402</v>
      </c>
      <c r="D90" t="s">
        <v>693</v>
      </c>
      <c r="E90" t="s">
        <v>693</v>
      </c>
      <c r="F90" t="s">
        <v>402</v>
      </c>
      <c r="G90" t="s">
        <v>82</v>
      </c>
      <c r="H90" t="str">
        <f t="shared" si="1"/>
        <v>DUNKERTON</v>
      </c>
    </row>
    <row r="91" spans="1:8" x14ac:dyDescent="0.25">
      <c r="A91">
        <v>2024</v>
      </c>
      <c r="B91" t="s">
        <v>666</v>
      </c>
      <c r="C91" t="s">
        <v>404</v>
      </c>
      <c r="D91" t="s">
        <v>693</v>
      </c>
      <c r="E91" t="s">
        <v>693</v>
      </c>
      <c r="F91" t="s">
        <v>404</v>
      </c>
      <c r="G91" t="s">
        <v>83</v>
      </c>
      <c r="H91" t="str">
        <f t="shared" si="1"/>
        <v>DURANT</v>
      </c>
    </row>
    <row r="92" spans="1:8" x14ac:dyDescent="0.25">
      <c r="A92">
        <v>2024</v>
      </c>
      <c r="B92" t="s">
        <v>661</v>
      </c>
      <c r="C92" t="s">
        <v>406</v>
      </c>
      <c r="D92" t="s">
        <v>693</v>
      </c>
      <c r="E92" t="s">
        <v>693</v>
      </c>
      <c r="F92" t="s">
        <v>406</v>
      </c>
      <c r="G92" t="s">
        <v>84</v>
      </c>
      <c r="H92" t="str">
        <f t="shared" si="1"/>
        <v>EAGLE GROVE</v>
      </c>
    </row>
    <row r="93" spans="1:8" x14ac:dyDescent="0.25">
      <c r="A93">
        <v>2024</v>
      </c>
      <c r="B93" t="s">
        <v>657</v>
      </c>
      <c r="C93" t="s">
        <v>407</v>
      </c>
      <c r="D93" t="s">
        <v>693</v>
      </c>
      <c r="E93" t="s">
        <v>693</v>
      </c>
      <c r="F93" t="s">
        <v>407</v>
      </c>
      <c r="G93" t="s">
        <v>711</v>
      </c>
      <c r="H93" t="str">
        <f t="shared" si="1"/>
        <v>EARLHAM</v>
      </c>
    </row>
    <row r="94" spans="1:8" x14ac:dyDescent="0.25">
      <c r="A94">
        <v>2024</v>
      </c>
      <c r="B94" t="s">
        <v>658</v>
      </c>
      <c r="C94" t="s">
        <v>408</v>
      </c>
      <c r="D94" t="s">
        <v>693</v>
      </c>
      <c r="E94" t="s">
        <v>693</v>
      </c>
      <c r="F94" t="s">
        <v>408</v>
      </c>
      <c r="G94" t="s">
        <v>85</v>
      </c>
      <c r="H94" t="str">
        <f t="shared" si="1"/>
        <v>EAST BUCHANAN</v>
      </c>
    </row>
    <row r="95" spans="1:8" x14ac:dyDescent="0.25">
      <c r="A95">
        <v>2024</v>
      </c>
      <c r="B95" t="s">
        <v>658</v>
      </c>
      <c r="C95" t="s">
        <v>472</v>
      </c>
      <c r="D95" t="s">
        <v>693</v>
      </c>
      <c r="E95" t="s">
        <v>693</v>
      </c>
      <c r="F95" t="s">
        <v>670</v>
      </c>
      <c r="G95" t="s">
        <v>86</v>
      </c>
      <c r="H95" t="str">
        <f t="shared" si="1"/>
        <v>EAST MARSHALL</v>
      </c>
    </row>
    <row r="96" spans="1:8" x14ac:dyDescent="0.25">
      <c r="A96">
        <v>2024</v>
      </c>
      <c r="B96" t="s">
        <v>659</v>
      </c>
      <c r="C96" t="s">
        <v>485</v>
      </c>
      <c r="D96" t="s">
        <v>693</v>
      </c>
      <c r="E96" t="s">
        <v>693</v>
      </c>
      <c r="F96" t="s">
        <v>485</v>
      </c>
      <c r="G96" t="s">
        <v>87</v>
      </c>
      <c r="H96" t="str">
        <f t="shared" si="1"/>
        <v>EAST MILLS</v>
      </c>
    </row>
    <row r="97" spans="1:8" x14ac:dyDescent="0.25">
      <c r="A97">
        <v>2024</v>
      </c>
      <c r="B97" t="s">
        <v>661</v>
      </c>
      <c r="C97" t="s">
        <v>608</v>
      </c>
      <c r="D97" t="s">
        <v>693</v>
      </c>
      <c r="E97" t="s">
        <v>693</v>
      </c>
      <c r="F97" t="s">
        <v>608</v>
      </c>
      <c r="G97" t="s">
        <v>88</v>
      </c>
      <c r="H97" t="str">
        <f t="shared" si="1"/>
        <v>EAST SAC COUNTY</v>
      </c>
    </row>
    <row r="98" spans="1:8" x14ac:dyDescent="0.25">
      <c r="A98">
        <v>2024</v>
      </c>
      <c r="B98" t="s">
        <v>659</v>
      </c>
      <c r="C98" t="s">
        <v>410</v>
      </c>
      <c r="D98" t="s">
        <v>693</v>
      </c>
      <c r="E98" t="s">
        <v>693</v>
      </c>
      <c r="F98" t="s">
        <v>410</v>
      </c>
      <c r="G98" t="s">
        <v>89</v>
      </c>
      <c r="H98" t="str">
        <f t="shared" si="1"/>
        <v>EAST UNION</v>
      </c>
    </row>
    <row r="99" spans="1:8" x14ac:dyDescent="0.25">
      <c r="A99">
        <v>2024</v>
      </c>
      <c r="B99" t="s">
        <v>665</v>
      </c>
      <c r="C99" t="s">
        <v>411</v>
      </c>
      <c r="D99" t="s">
        <v>693</v>
      </c>
      <c r="E99" t="s">
        <v>693</v>
      </c>
      <c r="F99" t="s">
        <v>411</v>
      </c>
      <c r="G99" t="s">
        <v>90</v>
      </c>
      <c r="H99" t="str">
        <f t="shared" si="1"/>
        <v>EASTERN ALLAMAKEE</v>
      </c>
    </row>
    <row r="100" spans="1:8" x14ac:dyDescent="0.25">
      <c r="A100">
        <v>2024</v>
      </c>
      <c r="B100" t="s">
        <v>666</v>
      </c>
      <c r="C100" t="s">
        <v>409</v>
      </c>
      <c r="D100" t="s">
        <v>693</v>
      </c>
      <c r="E100" t="s">
        <v>693</v>
      </c>
      <c r="F100" t="s">
        <v>409</v>
      </c>
      <c r="G100" t="s">
        <v>639</v>
      </c>
      <c r="H100" t="str">
        <f t="shared" si="1"/>
        <v>EASTON VALLEY</v>
      </c>
    </row>
    <row r="101" spans="1:8" x14ac:dyDescent="0.25">
      <c r="A101">
        <v>2024</v>
      </c>
      <c r="B101" t="s">
        <v>662</v>
      </c>
      <c r="C101" t="s">
        <v>344</v>
      </c>
      <c r="D101" t="s">
        <v>693</v>
      </c>
      <c r="E101" t="s">
        <v>693</v>
      </c>
      <c r="F101" t="s">
        <v>344</v>
      </c>
      <c r="G101" t="s">
        <v>91</v>
      </c>
      <c r="H101" t="str">
        <f t="shared" si="1"/>
        <v>EDDYVILLE-BLAKESBURG-FREMONT</v>
      </c>
    </row>
    <row r="102" spans="1:8" x14ac:dyDescent="0.25">
      <c r="A102">
        <v>2024</v>
      </c>
      <c r="B102" t="s">
        <v>665</v>
      </c>
      <c r="C102" t="s">
        <v>413</v>
      </c>
      <c r="D102" t="s">
        <v>693</v>
      </c>
      <c r="E102" t="s">
        <v>693</v>
      </c>
      <c r="F102" t="s">
        <v>413</v>
      </c>
      <c r="G102" t="s">
        <v>92</v>
      </c>
      <c r="H102" t="str">
        <f t="shared" si="1"/>
        <v>EDGEWOOD-COLESBURG</v>
      </c>
    </row>
    <row r="103" spans="1:8" x14ac:dyDescent="0.25">
      <c r="A103">
        <v>2024</v>
      </c>
      <c r="B103" t="s">
        <v>658</v>
      </c>
      <c r="C103" t="s">
        <v>414</v>
      </c>
      <c r="D103" t="s">
        <v>693</v>
      </c>
      <c r="E103" t="s">
        <v>693</v>
      </c>
      <c r="F103" t="s">
        <v>414</v>
      </c>
      <c r="G103" t="s">
        <v>93</v>
      </c>
      <c r="H103" t="str">
        <f t="shared" si="1"/>
        <v>ELDORA-NEW PROVIDENCE</v>
      </c>
    </row>
    <row r="104" spans="1:8" x14ac:dyDescent="0.25">
      <c r="A104">
        <v>2024</v>
      </c>
      <c r="B104" t="s">
        <v>661</v>
      </c>
      <c r="C104" t="s">
        <v>415</v>
      </c>
      <c r="D104" t="s">
        <v>693</v>
      </c>
      <c r="E104" t="s">
        <v>693</v>
      </c>
      <c r="F104" t="s">
        <v>415</v>
      </c>
      <c r="G104" t="s">
        <v>94</v>
      </c>
      <c r="H104" t="str">
        <f t="shared" si="1"/>
        <v>EMMETSBURG</v>
      </c>
    </row>
    <row r="105" spans="1:8" x14ac:dyDescent="0.25">
      <c r="A105">
        <v>2024</v>
      </c>
      <c r="B105" t="s">
        <v>663</v>
      </c>
      <c r="C105" t="s">
        <v>416</v>
      </c>
      <c r="D105" t="s">
        <v>693</v>
      </c>
      <c r="E105" t="s">
        <v>693</v>
      </c>
      <c r="F105" t="s">
        <v>416</v>
      </c>
      <c r="G105" t="s">
        <v>95</v>
      </c>
      <c r="H105" t="str">
        <f t="shared" si="1"/>
        <v>ENGLISH VALLEYS</v>
      </c>
    </row>
    <row r="106" spans="1:8" x14ac:dyDescent="0.25">
      <c r="A106">
        <v>2024</v>
      </c>
      <c r="B106" t="s">
        <v>659</v>
      </c>
      <c r="C106" t="s">
        <v>417</v>
      </c>
      <c r="D106" t="s">
        <v>693</v>
      </c>
      <c r="E106" t="s">
        <v>693</v>
      </c>
      <c r="F106" t="s">
        <v>417</v>
      </c>
      <c r="G106" t="s">
        <v>96</v>
      </c>
      <c r="H106" t="str">
        <f t="shared" si="1"/>
        <v>ESSEX</v>
      </c>
    </row>
    <row r="107" spans="1:8" x14ac:dyDescent="0.25">
      <c r="A107">
        <v>2024</v>
      </c>
      <c r="B107" t="s">
        <v>661</v>
      </c>
      <c r="C107" t="s">
        <v>418</v>
      </c>
      <c r="D107" t="s">
        <v>693</v>
      </c>
      <c r="E107" t="s">
        <v>693</v>
      </c>
      <c r="F107" t="s">
        <v>418</v>
      </c>
      <c r="G107" t="s">
        <v>640</v>
      </c>
      <c r="H107" t="str">
        <f t="shared" si="1"/>
        <v>ESTHERVILLE-LINCOLN CENTRAL</v>
      </c>
    </row>
    <row r="108" spans="1:8" x14ac:dyDescent="0.25">
      <c r="A108">
        <v>2024</v>
      </c>
      <c r="B108" t="s">
        <v>657</v>
      </c>
      <c r="C108" t="s">
        <v>419</v>
      </c>
      <c r="D108" t="s">
        <v>693</v>
      </c>
      <c r="E108" t="s">
        <v>693</v>
      </c>
      <c r="F108" t="s">
        <v>419</v>
      </c>
      <c r="G108" t="s">
        <v>98</v>
      </c>
      <c r="H108" t="str">
        <f t="shared" si="1"/>
        <v>EXIRA-ELK HORN-KIMBALLTON</v>
      </c>
    </row>
    <row r="109" spans="1:8" x14ac:dyDescent="0.25">
      <c r="A109">
        <v>2024</v>
      </c>
      <c r="B109" t="s">
        <v>662</v>
      </c>
      <c r="C109" t="s">
        <v>420</v>
      </c>
      <c r="D109" t="s">
        <v>693</v>
      </c>
      <c r="E109" t="s">
        <v>693</v>
      </c>
      <c r="F109" t="s">
        <v>420</v>
      </c>
      <c r="G109" t="s">
        <v>99</v>
      </c>
      <c r="H109" t="str">
        <f t="shared" si="1"/>
        <v>FAIRFIELD</v>
      </c>
    </row>
    <row r="110" spans="1:8" x14ac:dyDescent="0.25">
      <c r="A110">
        <v>2024</v>
      </c>
      <c r="B110" t="s">
        <v>658</v>
      </c>
      <c r="C110" t="s">
        <v>421</v>
      </c>
      <c r="D110" t="s">
        <v>693</v>
      </c>
      <c r="E110" t="s">
        <v>693</v>
      </c>
      <c r="F110" t="s">
        <v>421</v>
      </c>
      <c r="G110" t="s">
        <v>101</v>
      </c>
      <c r="H110" t="str">
        <f t="shared" si="1"/>
        <v>FOREST CITY</v>
      </c>
    </row>
    <row r="111" spans="1:8" x14ac:dyDescent="0.25">
      <c r="A111">
        <v>2024</v>
      </c>
      <c r="B111" t="s">
        <v>661</v>
      </c>
      <c r="C111" t="s">
        <v>422</v>
      </c>
      <c r="D111" t="s">
        <v>693</v>
      </c>
      <c r="E111" t="s">
        <v>693</v>
      </c>
      <c r="F111" t="s">
        <v>422</v>
      </c>
      <c r="G111" t="s">
        <v>102</v>
      </c>
      <c r="H111" t="str">
        <f t="shared" si="1"/>
        <v>FORT DODGE</v>
      </c>
    </row>
    <row r="112" spans="1:8" x14ac:dyDescent="0.25">
      <c r="A112">
        <v>2024</v>
      </c>
      <c r="B112" t="s">
        <v>662</v>
      </c>
      <c r="C112" t="s">
        <v>423</v>
      </c>
      <c r="D112" t="s">
        <v>693</v>
      </c>
      <c r="E112" t="s">
        <v>693</v>
      </c>
      <c r="F112" t="s">
        <v>423</v>
      </c>
      <c r="G112" t="s">
        <v>650</v>
      </c>
      <c r="H112" t="str">
        <f t="shared" si="1"/>
        <v>FORT MADISON</v>
      </c>
    </row>
    <row r="113" spans="1:8" x14ac:dyDescent="0.25">
      <c r="A113">
        <v>2024</v>
      </c>
      <c r="B113" t="s">
        <v>659</v>
      </c>
      <c r="C113" t="s">
        <v>424</v>
      </c>
      <c r="D113" t="s">
        <v>693</v>
      </c>
      <c r="E113" t="s">
        <v>693</v>
      </c>
      <c r="F113" t="s">
        <v>424</v>
      </c>
      <c r="G113" t="s">
        <v>103</v>
      </c>
      <c r="H113" t="str">
        <f t="shared" si="1"/>
        <v>FREMONT-MILLS</v>
      </c>
    </row>
    <row r="114" spans="1:8" x14ac:dyDescent="0.25">
      <c r="A114">
        <v>2024</v>
      </c>
      <c r="B114" t="s">
        <v>660</v>
      </c>
      <c r="C114" t="s">
        <v>425</v>
      </c>
      <c r="D114" t="s">
        <v>693</v>
      </c>
      <c r="E114" t="s">
        <v>693</v>
      </c>
      <c r="F114" t="s">
        <v>425</v>
      </c>
      <c r="G114" t="s">
        <v>104</v>
      </c>
      <c r="H114" t="str">
        <f t="shared" si="1"/>
        <v>GALVA-HOLSTEIN</v>
      </c>
    </row>
    <row r="115" spans="1:8" x14ac:dyDescent="0.25">
      <c r="A115">
        <v>2024</v>
      </c>
      <c r="B115" t="s">
        <v>658</v>
      </c>
      <c r="C115" t="s">
        <v>426</v>
      </c>
      <c r="D115" t="s">
        <v>693</v>
      </c>
      <c r="E115" t="s">
        <v>693</v>
      </c>
      <c r="F115" t="s">
        <v>426</v>
      </c>
      <c r="G115" t="s">
        <v>105</v>
      </c>
      <c r="H115" t="str">
        <f t="shared" si="1"/>
        <v>GARNER-HAYFIELD-VENTURA</v>
      </c>
    </row>
    <row r="116" spans="1:8" x14ac:dyDescent="0.25">
      <c r="A116">
        <v>2024</v>
      </c>
      <c r="B116" t="s">
        <v>660</v>
      </c>
      <c r="C116" t="s">
        <v>427</v>
      </c>
      <c r="D116" t="s">
        <v>693</v>
      </c>
      <c r="E116" t="s">
        <v>693</v>
      </c>
      <c r="F116" t="s">
        <v>427</v>
      </c>
      <c r="G116" t="s">
        <v>106</v>
      </c>
      <c r="H116" t="str">
        <f t="shared" si="1"/>
        <v>GEORGE-LITTLE ROCK</v>
      </c>
    </row>
    <row r="117" spans="1:8" x14ac:dyDescent="0.25">
      <c r="A117">
        <v>2024</v>
      </c>
      <c r="B117" t="s">
        <v>657</v>
      </c>
      <c r="C117" t="s">
        <v>428</v>
      </c>
      <c r="D117" t="s">
        <v>693</v>
      </c>
      <c r="E117" t="s">
        <v>693</v>
      </c>
      <c r="F117" t="s">
        <v>428</v>
      </c>
      <c r="G117" t="s">
        <v>712</v>
      </c>
      <c r="H117" t="str">
        <f t="shared" si="1"/>
        <v>GILBERT</v>
      </c>
    </row>
    <row r="118" spans="1:8" x14ac:dyDescent="0.25">
      <c r="A118">
        <v>2024</v>
      </c>
      <c r="B118" t="s">
        <v>661</v>
      </c>
      <c r="C118" t="s">
        <v>429</v>
      </c>
      <c r="D118" t="s">
        <v>693</v>
      </c>
      <c r="E118" t="s">
        <v>693</v>
      </c>
      <c r="F118" t="s">
        <v>429</v>
      </c>
      <c r="G118" t="s">
        <v>107</v>
      </c>
      <c r="H118" t="str">
        <f t="shared" si="1"/>
        <v>GILMORE CITY-BRADGATE</v>
      </c>
    </row>
    <row r="119" spans="1:8" x14ac:dyDescent="0.25">
      <c r="A119">
        <v>2024</v>
      </c>
      <c r="B119" t="s">
        <v>658</v>
      </c>
      <c r="C119" t="s">
        <v>430</v>
      </c>
      <c r="D119" t="s">
        <v>693</v>
      </c>
      <c r="E119" t="s">
        <v>693</v>
      </c>
      <c r="F119" t="s">
        <v>430</v>
      </c>
      <c r="G119" t="s">
        <v>108</v>
      </c>
      <c r="H119" t="str">
        <f t="shared" si="1"/>
        <v>GLADBROOK-REINBECK</v>
      </c>
    </row>
    <row r="120" spans="1:8" x14ac:dyDescent="0.25">
      <c r="A120">
        <v>2024</v>
      </c>
      <c r="B120" t="s">
        <v>659</v>
      </c>
      <c r="C120" t="s">
        <v>431</v>
      </c>
      <c r="D120" t="s">
        <v>693</v>
      </c>
      <c r="E120" t="s">
        <v>693</v>
      </c>
      <c r="F120" t="s">
        <v>431</v>
      </c>
      <c r="G120" t="s">
        <v>109</v>
      </c>
      <c r="H120" t="str">
        <f t="shared" si="1"/>
        <v>GLENWOOD</v>
      </c>
    </row>
    <row r="121" spans="1:8" x14ac:dyDescent="0.25">
      <c r="A121">
        <v>2024</v>
      </c>
      <c r="B121" t="s">
        <v>657</v>
      </c>
      <c r="C121" t="s">
        <v>432</v>
      </c>
      <c r="D121" t="s">
        <v>693</v>
      </c>
      <c r="E121" t="s">
        <v>693</v>
      </c>
      <c r="F121" t="s">
        <v>432</v>
      </c>
      <c r="G121" t="s">
        <v>110</v>
      </c>
      <c r="H121" t="str">
        <f t="shared" si="1"/>
        <v>GLIDDEN-RALSTON</v>
      </c>
    </row>
    <row r="122" spans="1:8" x14ac:dyDescent="0.25">
      <c r="A122">
        <v>2024</v>
      </c>
      <c r="B122" t="s">
        <v>658</v>
      </c>
      <c r="C122" t="s">
        <v>435</v>
      </c>
      <c r="D122" t="s">
        <v>693</v>
      </c>
      <c r="E122" t="s">
        <v>693</v>
      </c>
      <c r="F122" t="s">
        <v>435</v>
      </c>
      <c r="G122" t="s">
        <v>4</v>
      </c>
      <c r="H122" t="str">
        <f t="shared" si="1"/>
        <v>GMG</v>
      </c>
    </row>
    <row r="123" spans="1:8" x14ac:dyDescent="0.25">
      <c r="A123">
        <v>2024</v>
      </c>
      <c r="B123" t="s">
        <v>661</v>
      </c>
      <c r="C123" t="s">
        <v>433</v>
      </c>
      <c r="D123" t="s">
        <v>693</v>
      </c>
      <c r="E123" t="s">
        <v>693</v>
      </c>
      <c r="F123" t="s">
        <v>433</v>
      </c>
      <c r="G123" t="s">
        <v>111</v>
      </c>
      <c r="H123" t="str">
        <f t="shared" si="1"/>
        <v>GRAETTINGER-TERRIL</v>
      </c>
    </row>
    <row r="124" spans="1:8" x14ac:dyDescent="0.25">
      <c r="A124">
        <v>2024</v>
      </c>
      <c r="B124" t="s">
        <v>661</v>
      </c>
      <c r="C124" t="s">
        <v>461</v>
      </c>
      <c r="D124" t="s">
        <v>693</v>
      </c>
      <c r="E124" t="s">
        <v>693</v>
      </c>
      <c r="F124" t="s">
        <v>461</v>
      </c>
      <c r="G124" t="s">
        <v>112</v>
      </c>
      <c r="H124" t="str">
        <f t="shared" si="1"/>
        <v>GREENE COUNTY</v>
      </c>
    </row>
    <row r="125" spans="1:8" x14ac:dyDescent="0.25">
      <c r="A125">
        <v>2024</v>
      </c>
      <c r="B125" t="s">
        <v>658</v>
      </c>
      <c r="C125" t="s">
        <v>436</v>
      </c>
      <c r="D125" t="s">
        <v>693</v>
      </c>
      <c r="E125" t="s">
        <v>693</v>
      </c>
      <c r="F125" t="s">
        <v>436</v>
      </c>
      <c r="G125" t="s">
        <v>113</v>
      </c>
      <c r="H125" t="str">
        <f t="shared" si="1"/>
        <v>GRINNELL-NEWBURG</v>
      </c>
    </row>
    <row r="126" spans="1:8" x14ac:dyDescent="0.25">
      <c r="A126">
        <v>2024</v>
      </c>
      <c r="B126" t="s">
        <v>659</v>
      </c>
      <c r="C126" t="s">
        <v>437</v>
      </c>
      <c r="D126" t="s">
        <v>693</v>
      </c>
      <c r="E126" t="s">
        <v>693</v>
      </c>
      <c r="F126" t="s">
        <v>437</v>
      </c>
      <c r="G126" t="s">
        <v>114</v>
      </c>
      <c r="H126" t="str">
        <f t="shared" si="1"/>
        <v>GRISWOLD</v>
      </c>
    </row>
    <row r="127" spans="1:8" x14ac:dyDescent="0.25">
      <c r="A127">
        <v>2024</v>
      </c>
      <c r="B127" t="s">
        <v>658</v>
      </c>
      <c r="C127" t="s">
        <v>438</v>
      </c>
      <c r="D127" t="s">
        <v>693</v>
      </c>
      <c r="E127" t="s">
        <v>693</v>
      </c>
      <c r="F127" t="s">
        <v>438</v>
      </c>
      <c r="G127" t="s">
        <v>115</v>
      </c>
      <c r="H127" t="str">
        <f t="shared" si="1"/>
        <v>GRUNDY CENTER</v>
      </c>
    </row>
    <row r="128" spans="1:8" x14ac:dyDescent="0.25">
      <c r="A128">
        <v>2024</v>
      </c>
      <c r="B128" t="s">
        <v>657</v>
      </c>
      <c r="C128" t="s">
        <v>439</v>
      </c>
      <c r="D128" t="s">
        <v>693</v>
      </c>
      <c r="E128" t="s">
        <v>693</v>
      </c>
      <c r="F128" t="s">
        <v>439</v>
      </c>
      <c r="G128" t="s">
        <v>116</v>
      </c>
      <c r="H128" t="str">
        <f t="shared" si="1"/>
        <v>GUTHRIE CENTER</v>
      </c>
    </row>
    <row r="129" spans="1:8" x14ac:dyDescent="0.25">
      <c r="A129">
        <v>2024</v>
      </c>
      <c r="B129" t="s">
        <v>659</v>
      </c>
      <c r="C129" t="s">
        <v>442</v>
      </c>
      <c r="D129" t="s">
        <v>693</v>
      </c>
      <c r="E129" t="s">
        <v>693</v>
      </c>
      <c r="F129" t="s">
        <v>442</v>
      </c>
      <c r="G129" t="s">
        <v>117</v>
      </c>
      <c r="H129" t="str">
        <f t="shared" si="1"/>
        <v>HAMBURG</v>
      </c>
    </row>
    <row r="130" spans="1:8" x14ac:dyDescent="0.25">
      <c r="A130">
        <v>2024</v>
      </c>
      <c r="B130" t="s">
        <v>658</v>
      </c>
      <c r="C130" t="s">
        <v>443</v>
      </c>
      <c r="D130" t="s">
        <v>693</v>
      </c>
      <c r="E130" t="s">
        <v>693</v>
      </c>
      <c r="F130" t="s">
        <v>443</v>
      </c>
      <c r="G130" t="s">
        <v>118</v>
      </c>
      <c r="H130" t="str">
        <f t="shared" si="1"/>
        <v>HAMPTON-DUMONT</v>
      </c>
    </row>
    <row r="131" spans="1:8" x14ac:dyDescent="0.25">
      <c r="A131">
        <v>2024</v>
      </c>
      <c r="B131" t="s">
        <v>659</v>
      </c>
      <c r="C131" t="s">
        <v>444</v>
      </c>
      <c r="D131" t="s">
        <v>693</v>
      </c>
      <c r="E131" t="s">
        <v>693</v>
      </c>
      <c r="F131" t="s">
        <v>444</v>
      </c>
      <c r="G131" t="s">
        <v>119</v>
      </c>
      <c r="H131" t="str">
        <f t="shared" ref="H131:H194" si="2">UPPER(G131)</f>
        <v>HARLAN</v>
      </c>
    </row>
    <row r="132" spans="1:8" x14ac:dyDescent="0.25">
      <c r="A132">
        <v>2024</v>
      </c>
      <c r="B132" t="s">
        <v>661</v>
      </c>
      <c r="C132" t="s">
        <v>445</v>
      </c>
      <c r="D132" t="s">
        <v>693</v>
      </c>
      <c r="E132" t="s">
        <v>693</v>
      </c>
      <c r="F132" t="s">
        <v>445</v>
      </c>
      <c r="G132" t="s">
        <v>713</v>
      </c>
      <c r="H132" t="str">
        <f t="shared" si="2"/>
        <v>HARRIS-LAKE PARK</v>
      </c>
    </row>
    <row r="133" spans="1:8" x14ac:dyDescent="0.25">
      <c r="A133">
        <v>2024</v>
      </c>
      <c r="B133" t="s">
        <v>660</v>
      </c>
      <c r="C133" t="s">
        <v>446</v>
      </c>
      <c r="D133" t="s">
        <v>693</v>
      </c>
      <c r="E133" t="s">
        <v>693</v>
      </c>
      <c r="F133" t="s">
        <v>446</v>
      </c>
      <c r="G133" t="s">
        <v>121</v>
      </c>
      <c r="H133" t="str">
        <f t="shared" si="2"/>
        <v>HARTLEY-MELVIN-SANBORN</v>
      </c>
    </row>
    <row r="134" spans="1:8" x14ac:dyDescent="0.25">
      <c r="A134">
        <v>2024</v>
      </c>
      <c r="B134" t="s">
        <v>663</v>
      </c>
      <c r="C134" t="s">
        <v>447</v>
      </c>
      <c r="D134" t="s">
        <v>693</v>
      </c>
      <c r="E134" t="s">
        <v>693</v>
      </c>
      <c r="F134" t="s">
        <v>447</v>
      </c>
      <c r="G134" t="s">
        <v>122</v>
      </c>
      <c r="H134" t="str">
        <f t="shared" si="2"/>
        <v>HIGHLAND</v>
      </c>
    </row>
    <row r="135" spans="1:8" x14ac:dyDescent="0.25">
      <c r="A135">
        <v>2024</v>
      </c>
      <c r="B135" t="s">
        <v>660</v>
      </c>
      <c r="C135" t="s">
        <v>448</v>
      </c>
      <c r="D135" t="s">
        <v>693</v>
      </c>
      <c r="E135" t="s">
        <v>693</v>
      </c>
      <c r="F135" t="s">
        <v>448</v>
      </c>
      <c r="G135" t="s">
        <v>123</v>
      </c>
      <c r="H135" t="str">
        <f t="shared" si="2"/>
        <v>HINTON</v>
      </c>
    </row>
    <row r="136" spans="1:8" x14ac:dyDescent="0.25">
      <c r="A136">
        <v>2024</v>
      </c>
      <c r="B136" t="s">
        <v>663</v>
      </c>
      <c r="C136" t="s">
        <v>441</v>
      </c>
      <c r="D136" t="s">
        <v>693</v>
      </c>
      <c r="E136" t="s">
        <v>693</v>
      </c>
      <c r="F136" t="s">
        <v>441</v>
      </c>
      <c r="G136" t="s">
        <v>5</v>
      </c>
      <c r="H136" t="str">
        <f t="shared" si="2"/>
        <v>HLV</v>
      </c>
    </row>
    <row r="137" spans="1:8" x14ac:dyDescent="0.25">
      <c r="A137">
        <v>2024</v>
      </c>
      <c r="B137" t="s">
        <v>665</v>
      </c>
      <c r="C137" t="s">
        <v>449</v>
      </c>
      <c r="D137" t="s">
        <v>693</v>
      </c>
      <c r="E137" t="s">
        <v>693</v>
      </c>
      <c r="F137" t="s">
        <v>449</v>
      </c>
      <c r="G137" t="s">
        <v>124</v>
      </c>
      <c r="H137" t="str">
        <f t="shared" si="2"/>
        <v>HOWARD-WINNESHIEK</v>
      </c>
    </row>
    <row r="138" spans="1:8" x14ac:dyDescent="0.25">
      <c r="A138">
        <v>2024</v>
      </c>
      <c r="B138" t="s">
        <v>658</v>
      </c>
      <c r="C138" t="s">
        <v>450</v>
      </c>
      <c r="D138" t="s">
        <v>693</v>
      </c>
      <c r="E138" t="s">
        <v>693</v>
      </c>
      <c r="F138" t="s">
        <v>450</v>
      </c>
      <c r="G138" t="s">
        <v>714</v>
      </c>
      <c r="H138" t="str">
        <f t="shared" si="2"/>
        <v>HUBBARD-RADCLIFFE</v>
      </c>
    </row>
    <row r="139" spans="1:8" x14ac:dyDescent="0.25">
      <c r="A139">
        <v>2024</v>
      </c>
      <c r="B139" t="s">
        <v>658</v>
      </c>
      <c r="C139" t="s">
        <v>451</v>
      </c>
      <c r="D139" t="s">
        <v>693</v>
      </c>
      <c r="E139" t="s">
        <v>693</v>
      </c>
      <c r="F139" t="s">
        <v>451</v>
      </c>
      <c r="G139" t="s">
        <v>125</v>
      </c>
      <c r="H139" t="str">
        <f t="shared" si="2"/>
        <v>HUDSON</v>
      </c>
    </row>
    <row r="140" spans="1:8" x14ac:dyDescent="0.25">
      <c r="A140">
        <v>2024</v>
      </c>
      <c r="B140" t="s">
        <v>661</v>
      </c>
      <c r="C140" t="s">
        <v>452</v>
      </c>
      <c r="D140" t="s">
        <v>693</v>
      </c>
      <c r="E140" t="s">
        <v>693</v>
      </c>
      <c r="F140" t="s">
        <v>452</v>
      </c>
      <c r="G140" t="s">
        <v>126</v>
      </c>
      <c r="H140" t="str">
        <f t="shared" si="2"/>
        <v>HUMBOLDT</v>
      </c>
    </row>
    <row r="141" spans="1:8" x14ac:dyDescent="0.25">
      <c r="A141">
        <v>2024</v>
      </c>
      <c r="B141" t="s">
        <v>659</v>
      </c>
      <c r="C141" t="s">
        <v>459</v>
      </c>
      <c r="D141" t="s">
        <v>693</v>
      </c>
      <c r="E141" t="s">
        <v>693</v>
      </c>
      <c r="F141" t="s">
        <v>459</v>
      </c>
      <c r="G141" t="s">
        <v>127</v>
      </c>
      <c r="H141" t="str">
        <f t="shared" si="2"/>
        <v>IKM-MANNING</v>
      </c>
    </row>
    <row r="142" spans="1:8" x14ac:dyDescent="0.25">
      <c r="A142">
        <v>2024</v>
      </c>
      <c r="B142" t="s">
        <v>658</v>
      </c>
      <c r="C142" t="s">
        <v>453</v>
      </c>
      <c r="D142" t="s">
        <v>693</v>
      </c>
      <c r="E142" t="s">
        <v>693</v>
      </c>
      <c r="F142" t="s">
        <v>453</v>
      </c>
      <c r="G142" t="s">
        <v>128</v>
      </c>
      <c r="H142" t="str">
        <f t="shared" si="2"/>
        <v>INDEPENDENCE</v>
      </c>
    </row>
    <row r="143" spans="1:8" x14ac:dyDescent="0.25">
      <c r="A143">
        <v>2024</v>
      </c>
      <c r="B143" t="s">
        <v>657</v>
      </c>
      <c r="C143" t="s">
        <v>454</v>
      </c>
      <c r="D143" t="s">
        <v>693</v>
      </c>
      <c r="E143" t="s">
        <v>693</v>
      </c>
      <c r="F143" t="s">
        <v>454</v>
      </c>
      <c r="G143" t="s">
        <v>129</v>
      </c>
      <c r="H143" t="str">
        <f t="shared" si="2"/>
        <v>INDIANOLA</v>
      </c>
    </row>
    <row r="144" spans="1:8" x14ac:dyDescent="0.25">
      <c r="A144">
        <v>2024</v>
      </c>
      <c r="B144" t="s">
        <v>657</v>
      </c>
      <c r="C144" t="s">
        <v>455</v>
      </c>
      <c r="D144" t="s">
        <v>693</v>
      </c>
      <c r="E144" t="s">
        <v>693</v>
      </c>
      <c r="F144" t="s">
        <v>455</v>
      </c>
      <c r="G144" t="s">
        <v>715</v>
      </c>
      <c r="H144" t="str">
        <f t="shared" si="2"/>
        <v>INTERSTATE 35</v>
      </c>
    </row>
    <row r="145" spans="1:8" x14ac:dyDescent="0.25">
      <c r="A145">
        <v>2024</v>
      </c>
      <c r="B145" t="s">
        <v>663</v>
      </c>
      <c r="C145" t="s">
        <v>456</v>
      </c>
      <c r="D145" t="s">
        <v>693</v>
      </c>
      <c r="E145" t="s">
        <v>693</v>
      </c>
      <c r="F145" t="s">
        <v>456</v>
      </c>
      <c r="G145" t="s">
        <v>130</v>
      </c>
      <c r="H145" t="str">
        <f t="shared" si="2"/>
        <v>IOWA CITY</v>
      </c>
    </row>
    <row r="146" spans="1:8" x14ac:dyDescent="0.25">
      <c r="A146">
        <v>2024</v>
      </c>
      <c r="B146" t="s">
        <v>658</v>
      </c>
      <c r="C146" t="s">
        <v>457</v>
      </c>
      <c r="D146" t="s">
        <v>693</v>
      </c>
      <c r="E146" t="s">
        <v>693</v>
      </c>
      <c r="F146" t="s">
        <v>457</v>
      </c>
      <c r="G146" t="s">
        <v>131</v>
      </c>
      <c r="H146" t="str">
        <f t="shared" si="2"/>
        <v>IOWA FALLS</v>
      </c>
    </row>
    <row r="147" spans="1:8" x14ac:dyDescent="0.25">
      <c r="A147">
        <v>2024</v>
      </c>
      <c r="B147" t="s">
        <v>663</v>
      </c>
      <c r="C147" t="s">
        <v>458</v>
      </c>
      <c r="D147" t="s">
        <v>693</v>
      </c>
      <c r="E147" t="s">
        <v>693</v>
      </c>
      <c r="F147" t="s">
        <v>458</v>
      </c>
      <c r="G147" t="s">
        <v>132</v>
      </c>
      <c r="H147" t="str">
        <f t="shared" si="2"/>
        <v>IOWA VALLEY</v>
      </c>
    </row>
    <row r="148" spans="1:8" x14ac:dyDescent="0.25">
      <c r="A148">
        <v>2024</v>
      </c>
      <c r="B148" t="s">
        <v>658</v>
      </c>
      <c r="C148" t="s">
        <v>460</v>
      </c>
      <c r="D148" t="s">
        <v>693</v>
      </c>
      <c r="E148" t="s">
        <v>693</v>
      </c>
      <c r="F148" t="s">
        <v>460</v>
      </c>
      <c r="G148" t="s">
        <v>133</v>
      </c>
      <c r="H148" t="str">
        <f t="shared" si="2"/>
        <v>JANESVILLE</v>
      </c>
    </row>
    <row r="149" spans="1:8" x14ac:dyDescent="0.25">
      <c r="A149">
        <v>2024</v>
      </c>
      <c r="B149" t="s">
        <v>658</v>
      </c>
      <c r="C149" t="s">
        <v>462</v>
      </c>
      <c r="D149" t="s">
        <v>693</v>
      </c>
      <c r="E149" t="s">
        <v>693</v>
      </c>
      <c r="F149" t="s">
        <v>462</v>
      </c>
      <c r="G149" t="s">
        <v>716</v>
      </c>
      <c r="H149" t="str">
        <f t="shared" si="2"/>
        <v>JESUP</v>
      </c>
    </row>
    <row r="150" spans="1:8" x14ac:dyDescent="0.25">
      <c r="A150">
        <v>2024</v>
      </c>
      <c r="B150" t="s">
        <v>657</v>
      </c>
      <c r="C150" t="s">
        <v>463</v>
      </c>
      <c r="D150" t="s">
        <v>693</v>
      </c>
      <c r="E150" t="s">
        <v>693</v>
      </c>
      <c r="F150" t="s">
        <v>463</v>
      </c>
      <c r="G150" t="s">
        <v>717</v>
      </c>
      <c r="H150" t="str">
        <f t="shared" si="2"/>
        <v>JOHNSTON</v>
      </c>
    </row>
    <row r="151" spans="1:8" x14ac:dyDescent="0.25">
      <c r="A151">
        <v>2024</v>
      </c>
      <c r="B151" t="s">
        <v>662</v>
      </c>
      <c r="C151" t="s">
        <v>464</v>
      </c>
      <c r="D151" t="s">
        <v>693</v>
      </c>
      <c r="E151" t="s">
        <v>693</v>
      </c>
      <c r="F151" t="s">
        <v>464</v>
      </c>
      <c r="G151" t="s">
        <v>718</v>
      </c>
      <c r="H151" t="str">
        <f t="shared" si="2"/>
        <v>KEOKUK</v>
      </c>
    </row>
    <row r="152" spans="1:8" x14ac:dyDescent="0.25">
      <c r="A152">
        <v>2024</v>
      </c>
      <c r="B152" t="s">
        <v>662</v>
      </c>
      <c r="C152" t="s">
        <v>465</v>
      </c>
      <c r="D152" t="s">
        <v>693</v>
      </c>
      <c r="E152" t="s">
        <v>693</v>
      </c>
      <c r="F152" t="s">
        <v>465</v>
      </c>
      <c r="G152" t="s">
        <v>134</v>
      </c>
      <c r="H152" t="str">
        <f t="shared" si="2"/>
        <v>KEOTA</v>
      </c>
    </row>
    <row r="153" spans="1:8" x14ac:dyDescent="0.25">
      <c r="A153">
        <v>2024</v>
      </c>
      <c r="B153" t="s">
        <v>660</v>
      </c>
      <c r="C153" t="s">
        <v>466</v>
      </c>
      <c r="D153" t="s">
        <v>693</v>
      </c>
      <c r="E153" t="s">
        <v>693</v>
      </c>
      <c r="F153" t="s">
        <v>466</v>
      </c>
      <c r="G153" t="s">
        <v>135</v>
      </c>
      <c r="H153" t="str">
        <f t="shared" si="2"/>
        <v>KINGSLEY-PIERSON</v>
      </c>
    </row>
    <row r="154" spans="1:8" x14ac:dyDescent="0.25">
      <c r="A154">
        <v>2024</v>
      </c>
      <c r="B154" t="s">
        <v>657</v>
      </c>
      <c r="C154" t="s">
        <v>467</v>
      </c>
      <c r="D154" t="s">
        <v>693</v>
      </c>
      <c r="E154" t="s">
        <v>693</v>
      </c>
      <c r="F154" t="s">
        <v>467</v>
      </c>
      <c r="G154" t="s">
        <v>136</v>
      </c>
      <c r="H154" t="str">
        <f t="shared" si="2"/>
        <v>KNOXVILLE</v>
      </c>
    </row>
    <row r="155" spans="1:8" x14ac:dyDescent="0.25">
      <c r="A155">
        <v>2024</v>
      </c>
      <c r="B155" t="s">
        <v>658</v>
      </c>
      <c r="C155" t="s">
        <v>468</v>
      </c>
      <c r="D155" t="s">
        <v>693</v>
      </c>
      <c r="E155" t="s">
        <v>693</v>
      </c>
      <c r="F155" t="s">
        <v>468</v>
      </c>
      <c r="G155" t="s">
        <v>137</v>
      </c>
      <c r="H155" t="str">
        <f t="shared" si="2"/>
        <v>LAKE MILLS</v>
      </c>
    </row>
    <row r="156" spans="1:8" x14ac:dyDescent="0.25">
      <c r="A156">
        <v>2024</v>
      </c>
      <c r="B156" t="s">
        <v>659</v>
      </c>
      <c r="C156" t="s">
        <v>469</v>
      </c>
      <c r="D156" t="s">
        <v>693</v>
      </c>
      <c r="E156" t="s">
        <v>693</v>
      </c>
      <c r="F156" t="s">
        <v>469</v>
      </c>
      <c r="G156" t="s">
        <v>138</v>
      </c>
      <c r="H156" t="str">
        <f t="shared" si="2"/>
        <v>LAMONI</v>
      </c>
    </row>
    <row r="157" spans="1:8" x14ac:dyDescent="0.25">
      <c r="A157">
        <v>2024</v>
      </c>
      <c r="B157" t="s">
        <v>661</v>
      </c>
      <c r="C157" t="s">
        <v>470</v>
      </c>
      <c r="D157" t="s">
        <v>693</v>
      </c>
      <c r="E157" t="s">
        <v>693</v>
      </c>
      <c r="F157" t="s">
        <v>470</v>
      </c>
      <c r="G157" t="s">
        <v>139</v>
      </c>
      <c r="H157" t="str">
        <f t="shared" si="2"/>
        <v>LAURENS-MARATHON</v>
      </c>
    </row>
    <row r="158" spans="1:8" x14ac:dyDescent="0.25">
      <c r="A158">
        <v>2024</v>
      </c>
      <c r="B158" t="s">
        <v>660</v>
      </c>
      <c r="C158" t="s">
        <v>471</v>
      </c>
      <c r="D158" t="s">
        <v>693</v>
      </c>
      <c r="E158" t="s">
        <v>693</v>
      </c>
      <c r="F158" t="s">
        <v>471</v>
      </c>
      <c r="G158" t="s">
        <v>140</v>
      </c>
      <c r="H158" t="str">
        <f t="shared" si="2"/>
        <v>LAWTON-BRONSON</v>
      </c>
    </row>
    <row r="159" spans="1:8" x14ac:dyDescent="0.25">
      <c r="A159">
        <v>2024</v>
      </c>
      <c r="B159" t="s">
        <v>660</v>
      </c>
      <c r="C159" t="s">
        <v>473</v>
      </c>
      <c r="D159" t="s">
        <v>693</v>
      </c>
      <c r="E159" t="s">
        <v>693</v>
      </c>
      <c r="F159" t="s">
        <v>473</v>
      </c>
      <c r="G159" t="s">
        <v>719</v>
      </c>
      <c r="H159" t="str">
        <f t="shared" si="2"/>
        <v>LE MARS</v>
      </c>
    </row>
    <row r="160" spans="1:8" x14ac:dyDescent="0.25">
      <c r="A160">
        <v>2024</v>
      </c>
      <c r="B160" t="s">
        <v>659</v>
      </c>
      <c r="C160" t="s">
        <v>474</v>
      </c>
      <c r="D160" t="s">
        <v>693</v>
      </c>
      <c r="E160" t="s">
        <v>693</v>
      </c>
      <c r="F160" t="s">
        <v>474</v>
      </c>
      <c r="G160" t="s">
        <v>141</v>
      </c>
      <c r="H160" t="str">
        <f t="shared" si="2"/>
        <v>LENOX</v>
      </c>
    </row>
    <row r="161" spans="1:8" x14ac:dyDescent="0.25">
      <c r="A161">
        <v>2024</v>
      </c>
      <c r="B161" t="s">
        <v>659</v>
      </c>
      <c r="C161" t="s">
        <v>475</v>
      </c>
      <c r="D161" t="s">
        <v>693</v>
      </c>
      <c r="E161" t="s">
        <v>693</v>
      </c>
      <c r="F161" t="s">
        <v>475</v>
      </c>
      <c r="G161" t="s">
        <v>142</v>
      </c>
      <c r="H161" t="str">
        <f t="shared" si="2"/>
        <v>LEWIS CENTRAL</v>
      </c>
    </row>
    <row r="162" spans="1:8" x14ac:dyDescent="0.25">
      <c r="A162">
        <v>2024</v>
      </c>
      <c r="B162" t="s">
        <v>663</v>
      </c>
      <c r="C162" t="s">
        <v>477</v>
      </c>
      <c r="D162" t="s">
        <v>693</v>
      </c>
      <c r="E162" t="s">
        <v>693</v>
      </c>
      <c r="F162" t="s">
        <v>477</v>
      </c>
      <c r="G162" t="s">
        <v>720</v>
      </c>
      <c r="H162" t="str">
        <f t="shared" si="2"/>
        <v>LINN-MAR</v>
      </c>
    </row>
    <row r="163" spans="1:8" x14ac:dyDescent="0.25">
      <c r="A163">
        <v>2024</v>
      </c>
      <c r="B163" t="s">
        <v>663</v>
      </c>
      <c r="C163" t="s">
        <v>478</v>
      </c>
      <c r="D163" t="s">
        <v>693</v>
      </c>
      <c r="E163" t="s">
        <v>693</v>
      </c>
      <c r="F163" t="s">
        <v>478</v>
      </c>
      <c r="G163" t="s">
        <v>143</v>
      </c>
      <c r="H163" t="str">
        <f t="shared" si="2"/>
        <v>LISBON</v>
      </c>
    </row>
    <row r="164" spans="1:8" x14ac:dyDescent="0.25">
      <c r="A164">
        <v>2024</v>
      </c>
      <c r="B164" t="s">
        <v>659</v>
      </c>
      <c r="C164" t="s">
        <v>479</v>
      </c>
      <c r="D164" t="s">
        <v>693</v>
      </c>
      <c r="E164" t="s">
        <v>693</v>
      </c>
      <c r="F164" t="s">
        <v>479</v>
      </c>
      <c r="G164" t="s">
        <v>144</v>
      </c>
      <c r="H164" t="str">
        <f t="shared" si="2"/>
        <v>LOGAN-MAGNOLIA</v>
      </c>
    </row>
    <row r="165" spans="1:8" x14ac:dyDescent="0.25">
      <c r="A165">
        <v>2024</v>
      </c>
      <c r="B165" t="s">
        <v>663</v>
      </c>
      <c r="C165" t="s">
        <v>480</v>
      </c>
      <c r="D165" t="s">
        <v>693</v>
      </c>
      <c r="E165" t="s">
        <v>693</v>
      </c>
      <c r="F165" t="s">
        <v>480</v>
      </c>
      <c r="G165" t="s">
        <v>145</v>
      </c>
      <c r="H165" t="str">
        <f t="shared" si="2"/>
        <v>LONE TREE</v>
      </c>
    </row>
    <row r="166" spans="1:8" x14ac:dyDescent="0.25">
      <c r="A166">
        <v>2024</v>
      </c>
      <c r="B166" t="s">
        <v>666</v>
      </c>
      <c r="C166" t="s">
        <v>481</v>
      </c>
      <c r="D166" t="s">
        <v>693</v>
      </c>
      <c r="E166" t="s">
        <v>693</v>
      </c>
      <c r="F166" t="s">
        <v>481</v>
      </c>
      <c r="G166" t="s">
        <v>146</v>
      </c>
      <c r="H166" t="str">
        <f t="shared" si="2"/>
        <v>LOUISA-MUSCATINE</v>
      </c>
    </row>
    <row r="167" spans="1:8" x14ac:dyDescent="0.25">
      <c r="A167">
        <v>2024</v>
      </c>
      <c r="B167" t="s">
        <v>657</v>
      </c>
      <c r="C167" t="s">
        <v>483</v>
      </c>
      <c r="D167" t="s">
        <v>693</v>
      </c>
      <c r="E167" t="s">
        <v>693</v>
      </c>
      <c r="F167" t="s">
        <v>483</v>
      </c>
      <c r="G167" t="s">
        <v>148</v>
      </c>
      <c r="H167" t="str">
        <f t="shared" si="2"/>
        <v>LYNNVILLE-SULLY</v>
      </c>
    </row>
    <row r="168" spans="1:8" x14ac:dyDescent="0.25">
      <c r="A168">
        <v>2024</v>
      </c>
      <c r="B168" t="s">
        <v>657</v>
      </c>
      <c r="C168" t="s">
        <v>484</v>
      </c>
      <c r="D168" t="s">
        <v>693</v>
      </c>
      <c r="E168" t="s">
        <v>693</v>
      </c>
      <c r="F168" t="s">
        <v>484</v>
      </c>
      <c r="G168" t="s">
        <v>149</v>
      </c>
      <c r="H168" t="str">
        <f t="shared" si="2"/>
        <v>MADRID</v>
      </c>
    </row>
    <row r="169" spans="1:8" x14ac:dyDescent="0.25">
      <c r="A169">
        <v>2024</v>
      </c>
      <c r="B169" t="s">
        <v>661</v>
      </c>
      <c r="C169" t="s">
        <v>486</v>
      </c>
      <c r="D169" t="s">
        <v>693</v>
      </c>
      <c r="E169" t="s">
        <v>693</v>
      </c>
      <c r="F169" t="s">
        <v>486</v>
      </c>
      <c r="G169" t="s">
        <v>150</v>
      </c>
      <c r="H169" t="str">
        <f t="shared" si="2"/>
        <v>MANSON-NORTHWEST WEBSTER</v>
      </c>
    </row>
    <row r="170" spans="1:8" x14ac:dyDescent="0.25">
      <c r="A170">
        <v>2024</v>
      </c>
      <c r="B170" t="s">
        <v>660</v>
      </c>
      <c r="C170" t="s">
        <v>487</v>
      </c>
      <c r="D170" t="s">
        <v>693</v>
      </c>
      <c r="E170" t="s">
        <v>693</v>
      </c>
      <c r="F170" t="s">
        <v>487</v>
      </c>
      <c r="G170" t="s">
        <v>151</v>
      </c>
      <c r="H170" t="str">
        <f t="shared" si="2"/>
        <v>MAPLE VALLEY-ANTHON OTO</v>
      </c>
    </row>
    <row r="171" spans="1:8" x14ac:dyDescent="0.25">
      <c r="A171">
        <v>2024</v>
      </c>
      <c r="B171" t="s">
        <v>666</v>
      </c>
      <c r="C171" t="s">
        <v>488</v>
      </c>
      <c r="D171" t="s">
        <v>693</v>
      </c>
      <c r="E171" t="s">
        <v>693</v>
      </c>
      <c r="F171" t="s">
        <v>488</v>
      </c>
      <c r="G171" t="s">
        <v>152</v>
      </c>
      <c r="H171" t="str">
        <f t="shared" si="2"/>
        <v>MAQUOKETA</v>
      </c>
    </row>
    <row r="172" spans="1:8" x14ac:dyDescent="0.25">
      <c r="A172">
        <v>2024</v>
      </c>
      <c r="B172" t="s">
        <v>665</v>
      </c>
      <c r="C172" t="s">
        <v>489</v>
      </c>
      <c r="D172" t="s">
        <v>693</v>
      </c>
      <c r="E172" t="s">
        <v>693</v>
      </c>
      <c r="F172" t="s">
        <v>489</v>
      </c>
      <c r="G172" t="s">
        <v>721</v>
      </c>
      <c r="H172" t="str">
        <f t="shared" si="2"/>
        <v>MAQUOKETA VALLEY</v>
      </c>
    </row>
    <row r="173" spans="1:8" x14ac:dyDescent="0.25">
      <c r="A173">
        <v>2024</v>
      </c>
      <c r="B173" t="s">
        <v>660</v>
      </c>
      <c r="C173" t="s">
        <v>490</v>
      </c>
      <c r="D173" t="s">
        <v>693</v>
      </c>
      <c r="E173" t="s">
        <v>693</v>
      </c>
      <c r="F173" t="s">
        <v>490</v>
      </c>
      <c r="G173" t="s">
        <v>153</v>
      </c>
      <c r="H173" t="str">
        <f t="shared" si="2"/>
        <v>MARCUS-MERIDEN CLEGHORN</v>
      </c>
    </row>
    <row r="174" spans="1:8" x14ac:dyDescent="0.25">
      <c r="A174">
        <v>2024</v>
      </c>
      <c r="B174" t="s">
        <v>663</v>
      </c>
      <c r="C174" t="s">
        <v>491</v>
      </c>
      <c r="D174" t="s">
        <v>693</v>
      </c>
      <c r="E174" t="s">
        <v>693</v>
      </c>
      <c r="F174" t="s">
        <v>491</v>
      </c>
      <c r="G174" t="s">
        <v>154</v>
      </c>
      <c r="H174" t="str">
        <f t="shared" si="2"/>
        <v>MARION</v>
      </c>
    </row>
    <row r="175" spans="1:8" x14ac:dyDescent="0.25">
      <c r="A175">
        <v>2024</v>
      </c>
      <c r="B175" t="s">
        <v>658</v>
      </c>
      <c r="C175" t="s">
        <v>492</v>
      </c>
      <c r="D175" t="s">
        <v>693</v>
      </c>
      <c r="E175" t="s">
        <v>693</v>
      </c>
      <c r="F175" t="s">
        <v>492</v>
      </c>
      <c r="G175" t="s">
        <v>722</v>
      </c>
      <c r="H175" t="str">
        <f t="shared" si="2"/>
        <v>MARSHALLTOWN</v>
      </c>
    </row>
    <row r="176" spans="1:8" x14ac:dyDescent="0.25">
      <c r="A176">
        <v>2024</v>
      </c>
      <c r="B176" t="s">
        <v>657</v>
      </c>
      <c r="C176" t="s">
        <v>493</v>
      </c>
      <c r="D176" t="s">
        <v>693</v>
      </c>
      <c r="E176" t="s">
        <v>693</v>
      </c>
      <c r="F176" t="s">
        <v>493</v>
      </c>
      <c r="G176" t="s">
        <v>155</v>
      </c>
      <c r="H176" t="str">
        <f t="shared" si="2"/>
        <v>MARTENSDALE-ST MARYS</v>
      </c>
    </row>
    <row r="177" spans="1:8" x14ac:dyDescent="0.25">
      <c r="A177">
        <v>2024</v>
      </c>
      <c r="B177" t="s">
        <v>658</v>
      </c>
      <c r="C177" t="s">
        <v>494</v>
      </c>
      <c r="D177" t="s">
        <v>693</v>
      </c>
      <c r="E177" t="s">
        <v>693</v>
      </c>
      <c r="F177" t="s">
        <v>494</v>
      </c>
      <c r="G177" t="s">
        <v>156</v>
      </c>
      <c r="H177" t="str">
        <f t="shared" si="2"/>
        <v>MASON CITY</v>
      </c>
    </row>
    <row r="178" spans="1:8" x14ac:dyDescent="0.25">
      <c r="A178">
        <v>2024</v>
      </c>
      <c r="B178" t="s">
        <v>662</v>
      </c>
      <c r="C178" t="s">
        <v>496</v>
      </c>
      <c r="D178" t="s">
        <v>693</v>
      </c>
      <c r="E178" t="s">
        <v>693</v>
      </c>
      <c r="F178" t="s">
        <v>496</v>
      </c>
      <c r="G178" t="s">
        <v>157</v>
      </c>
      <c r="H178" t="str">
        <f t="shared" si="2"/>
        <v>MEDIAPOLIS</v>
      </c>
    </row>
    <row r="179" spans="1:8" x14ac:dyDescent="0.25">
      <c r="A179">
        <v>2024</v>
      </c>
      <c r="B179" t="s">
        <v>657</v>
      </c>
      <c r="C179" t="s">
        <v>497</v>
      </c>
      <c r="D179" t="s">
        <v>693</v>
      </c>
      <c r="E179" t="s">
        <v>693</v>
      </c>
      <c r="F179" t="s">
        <v>497</v>
      </c>
      <c r="G179" t="s">
        <v>158</v>
      </c>
      <c r="H179" t="str">
        <f t="shared" si="2"/>
        <v>MELCHER-DALLAS</v>
      </c>
    </row>
    <row r="180" spans="1:8" x14ac:dyDescent="0.25">
      <c r="A180">
        <v>2024</v>
      </c>
      <c r="B180" t="s">
        <v>665</v>
      </c>
      <c r="C180" t="s">
        <v>501</v>
      </c>
      <c r="D180" t="s">
        <v>693</v>
      </c>
      <c r="E180" t="s">
        <v>693</v>
      </c>
      <c r="F180" t="s">
        <v>501</v>
      </c>
      <c r="G180" t="s">
        <v>689</v>
      </c>
      <c r="H180" t="str">
        <f t="shared" si="2"/>
        <v>MFL MAR MAC</v>
      </c>
    </row>
    <row r="181" spans="1:8" x14ac:dyDescent="0.25">
      <c r="A181">
        <v>2024</v>
      </c>
      <c r="B181" t="s">
        <v>663</v>
      </c>
      <c r="C181" t="s">
        <v>498</v>
      </c>
      <c r="D181" t="s">
        <v>693</v>
      </c>
      <c r="E181" t="s">
        <v>693</v>
      </c>
      <c r="F181" t="s">
        <v>498</v>
      </c>
      <c r="G181" t="s">
        <v>161</v>
      </c>
      <c r="H181" t="str">
        <f t="shared" si="2"/>
        <v>MIDLAND</v>
      </c>
    </row>
    <row r="182" spans="1:8" x14ac:dyDescent="0.25">
      <c r="A182">
        <v>2024</v>
      </c>
      <c r="B182" t="s">
        <v>663</v>
      </c>
      <c r="C182" t="s">
        <v>499</v>
      </c>
      <c r="D182" t="s">
        <v>693</v>
      </c>
      <c r="E182" t="s">
        <v>693</v>
      </c>
      <c r="F182" t="s">
        <v>499</v>
      </c>
      <c r="G182" t="s">
        <v>160</v>
      </c>
      <c r="H182" t="str">
        <f t="shared" si="2"/>
        <v>MID-PRAIRIE</v>
      </c>
    </row>
    <row r="183" spans="1:8" x14ac:dyDescent="0.25">
      <c r="A183">
        <v>2024</v>
      </c>
      <c r="B183" t="s">
        <v>659</v>
      </c>
      <c r="C183" t="s">
        <v>500</v>
      </c>
      <c r="D183" t="s">
        <v>693</v>
      </c>
      <c r="E183" t="s">
        <v>693</v>
      </c>
      <c r="F183" t="s">
        <v>500</v>
      </c>
      <c r="G183" t="s">
        <v>162</v>
      </c>
      <c r="H183" t="str">
        <f t="shared" si="2"/>
        <v>MISSOURI VALLEY</v>
      </c>
    </row>
    <row r="184" spans="1:8" x14ac:dyDescent="0.25">
      <c r="A184">
        <v>2024</v>
      </c>
      <c r="B184" t="s">
        <v>660</v>
      </c>
      <c r="C184" t="s">
        <v>495</v>
      </c>
      <c r="D184" t="s">
        <v>693</v>
      </c>
      <c r="E184" t="s">
        <v>693</v>
      </c>
      <c r="F184" t="s">
        <v>495</v>
      </c>
      <c r="G184" t="s">
        <v>163</v>
      </c>
      <c r="H184" t="str">
        <f t="shared" si="2"/>
        <v>MOC-FLOYD VALLEY</v>
      </c>
    </row>
    <row r="185" spans="1:8" x14ac:dyDescent="0.25">
      <c r="A185">
        <v>2024</v>
      </c>
      <c r="B185" t="s">
        <v>658</v>
      </c>
      <c r="C185" t="s">
        <v>502</v>
      </c>
      <c r="D185" t="s">
        <v>693</v>
      </c>
      <c r="E185" t="s">
        <v>693</v>
      </c>
      <c r="F185" t="s">
        <v>502</v>
      </c>
      <c r="G185" t="s">
        <v>164</v>
      </c>
      <c r="H185" t="str">
        <f t="shared" si="2"/>
        <v>MONTEZUMA</v>
      </c>
    </row>
    <row r="186" spans="1:8" x14ac:dyDescent="0.25">
      <c r="A186">
        <v>2024</v>
      </c>
      <c r="B186" t="s">
        <v>663</v>
      </c>
      <c r="C186" t="s">
        <v>503</v>
      </c>
      <c r="D186" t="s">
        <v>693</v>
      </c>
      <c r="E186" t="s">
        <v>693</v>
      </c>
      <c r="F186" t="s">
        <v>503</v>
      </c>
      <c r="G186" t="s">
        <v>165</v>
      </c>
      <c r="H186" t="str">
        <f t="shared" si="2"/>
        <v>MONTICELLO</v>
      </c>
    </row>
    <row r="187" spans="1:8" x14ac:dyDescent="0.25">
      <c r="A187">
        <v>2024</v>
      </c>
      <c r="B187" t="s">
        <v>662</v>
      </c>
      <c r="C187" t="s">
        <v>504</v>
      </c>
      <c r="D187" t="s">
        <v>693</v>
      </c>
      <c r="E187" t="s">
        <v>693</v>
      </c>
      <c r="F187" t="s">
        <v>504</v>
      </c>
      <c r="G187" t="s">
        <v>166</v>
      </c>
      <c r="H187" t="str">
        <f t="shared" si="2"/>
        <v>MORAVIA</v>
      </c>
    </row>
    <row r="188" spans="1:8" x14ac:dyDescent="0.25">
      <c r="A188">
        <v>2024</v>
      </c>
      <c r="B188" t="s">
        <v>659</v>
      </c>
      <c r="C188" t="s">
        <v>505</v>
      </c>
      <c r="D188" t="s">
        <v>693</v>
      </c>
      <c r="E188" t="s">
        <v>693</v>
      </c>
      <c r="F188" t="s">
        <v>505</v>
      </c>
      <c r="G188" t="s">
        <v>167</v>
      </c>
      <c r="H188" t="str">
        <f t="shared" si="2"/>
        <v>MORMON TRAIL</v>
      </c>
    </row>
    <row r="189" spans="1:8" x14ac:dyDescent="0.25">
      <c r="A189">
        <v>2024</v>
      </c>
      <c r="B189" t="s">
        <v>662</v>
      </c>
      <c r="C189" t="s">
        <v>506</v>
      </c>
      <c r="D189" t="s">
        <v>693</v>
      </c>
      <c r="E189" t="s">
        <v>693</v>
      </c>
      <c r="F189" t="s">
        <v>506</v>
      </c>
      <c r="G189" t="s">
        <v>168</v>
      </c>
      <c r="H189" t="str">
        <f t="shared" si="2"/>
        <v>MORNING SUN</v>
      </c>
    </row>
    <row r="190" spans="1:8" x14ac:dyDescent="0.25">
      <c r="A190">
        <v>2024</v>
      </c>
      <c r="B190" t="s">
        <v>662</v>
      </c>
      <c r="C190" t="s">
        <v>507</v>
      </c>
      <c r="D190" t="s">
        <v>693</v>
      </c>
      <c r="E190" t="s">
        <v>693</v>
      </c>
      <c r="F190" t="s">
        <v>507</v>
      </c>
      <c r="G190" t="s">
        <v>169</v>
      </c>
      <c r="H190" t="str">
        <f t="shared" si="2"/>
        <v>MOULTON-UDELL</v>
      </c>
    </row>
    <row r="191" spans="1:8" x14ac:dyDescent="0.25">
      <c r="A191">
        <v>2024</v>
      </c>
      <c r="B191" t="s">
        <v>659</v>
      </c>
      <c r="C191" t="s">
        <v>508</v>
      </c>
      <c r="D191" t="s">
        <v>693</v>
      </c>
      <c r="E191" t="s">
        <v>693</v>
      </c>
      <c r="F191" t="s">
        <v>508</v>
      </c>
      <c r="G191" t="s">
        <v>170</v>
      </c>
      <c r="H191" t="str">
        <f t="shared" si="2"/>
        <v>MOUNT AYR</v>
      </c>
    </row>
    <row r="192" spans="1:8" x14ac:dyDescent="0.25">
      <c r="A192">
        <v>2024</v>
      </c>
      <c r="B192" t="s">
        <v>662</v>
      </c>
      <c r="C192" t="s">
        <v>509</v>
      </c>
      <c r="D192" t="s">
        <v>693</v>
      </c>
      <c r="E192" t="s">
        <v>693</v>
      </c>
      <c r="F192" t="s">
        <v>509</v>
      </c>
      <c r="G192" t="s">
        <v>171</v>
      </c>
      <c r="H192" t="str">
        <f t="shared" si="2"/>
        <v>MOUNT PLEASANT</v>
      </c>
    </row>
    <row r="193" spans="1:8" x14ac:dyDescent="0.25">
      <c r="A193">
        <v>2024</v>
      </c>
      <c r="B193" t="s">
        <v>663</v>
      </c>
      <c r="C193" t="s">
        <v>510</v>
      </c>
      <c r="D193" t="s">
        <v>693</v>
      </c>
      <c r="E193" t="s">
        <v>693</v>
      </c>
      <c r="F193" t="s">
        <v>510</v>
      </c>
      <c r="G193" t="s">
        <v>172</v>
      </c>
      <c r="H193" t="str">
        <f t="shared" si="2"/>
        <v>MOUNT VERNON</v>
      </c>
    </row>
    <row r="194" spans="1:8" x14ac:dyDescent="0.25">
      <c r="A194">
        <v>2024</v>
      </c>
      <c r="B194" t="s">
        <v>659</v>
      </c>
      <c r="C194" t="s">
        <v>511</v>
      </c>
      <c r="D194" t="s">
        <v>693</v>
      </c>
      <c r="E194" t="s">
        <v>693</v>
      </c>
      <c r="F194" t="s">
        <v>511</v>
      </c>
      <c r="G194" t="s">
        <v>173</v>
      </c>
      <c r="H194" t="str">
        <f t="shared" si="2"/>
        <v>MURRAY</v>
      </c>
    </row>
    <row r="195" spans="1:8" x14ac:dyDescent="0.25">
      <c r="A195">
        <v>2024</v>
      </c>
      <c r="B195" t="s">
        <v>666</v>
      </c>
      <c r="C195" t="s">
        <v>512</v>
      </c>
      <c r="D195" t="s">
        <v>693</v>
      </c>
      <c r="E195" t="s">
        <v>693</v>
      </c>
      <c r="F195" t="s">
        <v>512</v>
      </c>
      <c r="G195" t="s">
        <v>174</v>
      </c>
      <c r="H195" t="str">
        <f t="shared" ref="H195:H258" si="3">UPPER(G195)</f>
        <v>MUSCATINE</v>
      </c>
    </row>
    <row r="196" spans="1:8" x14ac:dyDescent="0.25">
      <c r="A196">
        <v>2024</v>
      </c>
      <c r="B196" t="s">
        <v>658</v>
      </c>
      <c r="C196" t="s">
        <v>513</v>
      </c>
      <c r="D196" t="s">
        <v>693</v>
      </c>
      <c r="E196" t="s">
        <v>693</v>
      </c>
      <c r="F196" t="s">
        <v>513</v>
      </c>
      <c r="G196" t="s">
        <v>175</v>
      </c>
      <c r="H196" t="str">
        <f t="shared" si="3"/>
        <v>NASHUA-PLAINFIELD</v>
      </c>
    </row>
    <row r="197" spans="1:8" x14ac:dyDescent="0.25">
      <c r="A197">
        <v>2024</v>
      </c>
      <c r="B197" t="s">
        <v>657</v>
      </c>
      <c r="C197" t="s">
        <v>514</v>
      </c>
      <c r="D197" t="s">
        <v>693</v>
      </c>
      <c r="E197" t="s">
        <v>693</v>
      </c>
      <c r="F197" t="s">
        <v>514</v>
      </c>
      <c r="G197" t="s">
        <v>176</v>
      </c>
      <c r="H197" t="str">
        <f t="shared" si="3"/>
        <v>NEVADA</v>
      </c>
    </row>
    <row r="198" spans="1:8" x14ac:dyDescent="0.25">
      <c r="A198">
        <v>2024</v>
      </c>
      <c r="B198" t="s">
        <v>665</v>
      </c>
      <c r="C198" t="s">
        <v>516</v>
      </c>
      <c r="D198" t="s">
        <v>693</v>
      </c>
      <c r="E198" t="s">
        <v>693</v>
      </c>
      <c r="F198" t="s">
        <v>516</v>
      </c>
      <c r="G198" t="s">
        <v>177</v>
      </c>
      <c r="H198" t="str">
        <f t="shared" si="3"/>
        <v>NEW HAMPTON</v>
      </c>
    </row>
    <row r="199" spans="1:8" x14ac:dyDescent="0.25">
      <c r="A199">
        <v>2024</v>
      </c>
      <c r="B199" t="s">
        <v>662</v>
      </c>
      <c r="C199" t="s">
        <v>517</v>
      </c>
      <c r="D199" t="s">
        <v>693</v>
      </c>
      <c r="E199" t="s">
        <v>693</v>
      </c>
      <c r="F199" t="s">
        <v>517</v>
      </c>
      <c r="G199" t="s">
        <v>178</v>
      </c>
      <c r="H199" t="str">
        <f t="shared" si="3"/>
        <v>NEW LONDON</v>
      </c>
    </row>
    <row r="200" spans="1:8" x14ac:dyDescent="0.25">
      <c r="A200">
        <v>2024</v>
      </c>
      <c r="B200" t="s">
        <v>661</v>
      </c>
      <c r="C200" t="s">
        <v>515</v>
      </c>
      <c r="D200" t="s">
        <v>693</v>
      </c>
      <c r="E200" t="s">
        <v>693</v>
      </c>
      <c r="F200" t="s">
        <v>515</v>
      </c>
      <c r="G200" t="s">
        <v>179</v>
      </c>
      <c r="H200" t="str">
        <f t="shared" si="3"/>
        <v>NEWELL-FONDA</v>
      </c>
    </row>
    <row r="201" spans="1:8" x14ac:dyDescent="0.25">
      <c r="A201">
        <v>2024</v>
      </c>
      <c r="B201" t="s">
        <v>657</v>
      </c>
      <c r="C201" t="s">
        <v>518</v>
      </c>
      <c r="D201" t="s">
        <v>693</v>
      </c>
      <c r="E201" t="s">
        <v>693</v>
      </c>
      <c r="F201" t="s">
        <v>518</v>
      </c>
      <c r="G201" t="s">
        <v>180</v>
      </c>
      <c r="H201" t="str">
        <f t="shared" si="3"/>
        <v>NEWTON</v>
      </c>
    </row>
    <row r="202" spans="1:8" x14ac:dyDescent="0.25">
      <c r="A202">
        <v>2024</v>
      </c>
      <c r="B202" t="s">
        <v>659</v>
      </c>
      <c r="C202" t="s">
        <v>434</v>
      </c>
      <c r="D202" t="s">
        <v>693</v>
      </c>
      <c r="E202" t="s">
        <v>693</v>
      </c>
      <c r="F202" t="s">
        <v>434</v>
      </c>
      <c r="G202" t="s">
        <v>181</v>
      </c>
      <c r="H202" t="str">
        <f t="shared" si="3"/>
        <v>NODAWAY VALLEY</v>
      </c>
    </row>
    <row r="203" spans="1:8" x14ac:dyDescent="0.25">
      <c r="A203">
        <v>2024</v>
      </c>
      <c r="B203" t="s">
        <v>658</v>
      </c>
      <c r="C203" t="s">
        <v>322</v>
      </c>
      <c r="D203" t="s">
        <v>693</v>
      </c>
      <c r="E203" t="s">
        <v>693</v>
      </c>
      <c r="F203" t="s">
        <v>322</v>
      </c>
      <c r="G203" t="s">
        <v>182</v>
      </c>
      <c r="H203" t="str">
        <f t="shared" si="3"/>
        <v>NORTH BUTLER</v>
      </c>
    </row>
    <row r="204" spans="1:8" x14ac:dyDescent="0.25">
      <c r="A204">
        <v>2024</v>
      </c>
      <c r="B204" t="s">
        <v>663</v>
      </c>
      <c r="C204" t="s">
        <v>476</v>
      </c>
      <c r="D204" t="s">
        <v>693</v>
      </c>
      <c r="E204" t="s">
        <v>693</v>
      </c>
      <c r="F204" t="s">
        <v>476</v>
      </c>
      <c r="G204" t="s">
        <v>183</v>
      </c>
      <c r="H204" t="str">
        <f t="shared" si="3"/>
        <v>NORTH CEDAR</v>
      </c>
    </row>
    <row r="205" spans="1:8" x14ac:dyDescent="0.25">
      <c r="A205">
        <v>2024</v>
      </c>
      <c r="B205" t="s">
        <v>665</v>
      </c>
      <c r="C205" t="s">
        <v>521</v>
      </c>
      <c r="D205" t="s">
        <v>693</v>
      </c>
      <c r="E205" t="s">
        <v>693</v>
      </c>
      <c r="F205" t="s">
        <v>521</v>
      </c>
      <c r="G205" t="s">
        <v>690</v>
      </c>
      <c r="H205" t="str">
        <f t="shared" si="3"/>
        <v>NORTH FAYETTE VALLEY</v>
      </c>
    </row>
    <row r="206" spans="1:8" x14ac:dyDescent="0.25">
      <c r="A206">
        <v>2024</v>
      </c>
      <c r="B206" t="s">
        <v>658</v>
      </c>
      <c r="C206" t="s">
        <v>350</v>
      </c>
      <c r="D206" t="s">
        <v>693</v>
      </c>
      <c r="E206" t="s">
        <v>693</v>
      </c>
      <c r="F206" t="s">
        <v>350</v>
      </c>
      <c r="G206" t="s">
        <v>185</v>
      </c>
      <c r="H206" t="str">
        <f t="shared" si="3"/>
        <v>NORTH IOWA</v>
      </c>
    </row>
    <row r="207" spans="1:8" x14ac:dyDescent="0.25">
      <c r="A207">
        <v>2024</v>
      </c>
      <c r="B207" t="s">
        <v>661</v>
      </c>
      <c r="C207" t="s">
        <v>525</v>
      </c>
      <c r="D207" t="s">
        <v>693</v>
      </c>
      <c r="E207" t="s">
        <v>693</v>
      </c>
      <c r="F207" t="s">
        <v>525</v>
      </c>
      <c r="G207" t="s">
        <v>186</v>
      </c>
      <c r="H207" t="str">
        <f t="shared" si="3"/>
        <v>NORTH KOSSUTH</v>
      </c>
    </row>
    <row r="208" spans="1:8" x14ac:dyDescent="0.25">
      <c r="A208">
        <v>2024</v>
      </c>
      <c r="B208" t="s">
        <v>663</v>
      </c>
      <c r="C208" t="s">
        <v>524</v>
      </c>
      <c r="D208" t="s">
        <v>693</v>
      </c>
      <c r="E208" t="s">
        <v>693</v>
      </c>
      <c r="F208" t="s">
        <v>524</v>
      </c>
      <c r="G208" t="s">
        <v>187</v>
      </c>
      <c r="H208" t="str">
        <f t="shared" si="3"/>
        <v>NORTH LINN</v>
      </c>
    </row>
    <row r="209" spans="1:8" x14ac:dyDescent="0.25">
      <c r="A209">
        <v>2024</v>
      </c>
      <c r="B209" t="s">
        <v>662</v>
      </c>
      <c r="C209" t="s">
        <v>523</v>
      </c>
      <c r="D209" t="s">
        <v>693</v>
      </c>
      <c r="E209" t="s">
        <v>693</v>
      </c>
      <c r="F209" t="s">
        <v>523</v>
      </c>
      <c r="G209" t="s">
        <v>188</v>
      </c>
      <c r="H209" t="str">
        <f t="shared" si="3"/>
        <v>NORTH MAHASKA</v>
      </c>
    </row>
    <row r="210" spans="1:8" x14ac:dyDescent="0.25">
      <c r="A210">
        <v>2024</v>
      </c>
      <c r="B210" t="s">
        <v>657</v>
      </c>
      <c r="C210" t="s">
        <v>526</v>
      </c>
      <c r="D210" t="s">
        <v>693</v>
      </c>
      <c r="E210" t="s">
        <v>693</v>
      </c>
      <c r="F210" t="s">
        <v>526</v>
      </c>
      <c r="G210" t="s">
        <v>189</v>
      </c>
      <c r="H210" t="str">
        <f t="shared" si="3"/>
        <v>NORTH POLK</v>
      </c>
    </row>
    <row r="211" spans="1:8" x14ac:dyDescent="0.25">
      <c r="A211">
        <v>2024</v>
      </c>
      <c r="B211" t="s">
        <v>666</v>
      </c>
      <c r="C211" t="s">
        <v>527</v>
      </c>
      <c r="D211" t="s">
        <v>693</v>
      </c>
      <c r="E211" t="s">
        <v>693</v>
      </c>
      <c r="F211" t="s">
        <v>527</v>
      </c>
      <c r="G211" t="s">
        <v>190</v>
      </c>
      <c r="H211" t="str">
        <f t="shared" si="3"/>
        <v>NORTH SCOTT</v>
      </c>
    </row>
    <row r="212" spans="1:8" x14ac:dyDescent="0.25">
      <c r="A212">
        <v>2024</v>
      </c>
      <c r="B212" t="s">
        <v>658</v>
      </c>
      <c r="C212" t="s">
        <v>528</v>
      </c>
      <c r="D212" t="s">
        <v>693</v>
      </c>
      <c r="E212" t="s">
        <v>693</v>
      </c>
      <c r="F212" t="s">
        <v>528</v>
      </c>
      <c r="G212" t="s">
        <v>191</v>
      </c>
      <c r="H212" t="str">
        <f t="shared" si="3"/>
        <v>NORTH TAMA</v>
      </c>
    </row>
    <row r="213" spans="1:8" x14ac:dyDescent="0.25">
      <c r="A213">
        <v>2024</v>
      </c>
      <c r="B213" t="s">
        <v>661</v>
      </c>
      <c r="C213" t="s">
        <v>329</v>
      </c>
      <c r="D213" t="s">
        <v>693</v>
      </c>
      <c r="E213" t="s">
        <v>693</v>
      </c>
      <c r="F213" t="s">
        <v>329</v>
      </c>
      <c r="G213" t="s">
        <v>192</v>
      </c>
      <c r="H213" t="str">
        <f t="shared" si="3"/>
        <v>NORTH UNION</v>
      </c>
    </row>
    <row r="214" spans="1:8" x14ac:dyDescent="0.25">
      <c r="A214">
        <v>2024</v>
      </c>
      <c r="B214" t="s">
        <v>666</v>
      </c>
      <c r="C214" t="s">
        <v>520</v>
      </c>
      <c r="D214" t="s">
        <v>693</v>
      </c>
      <c r="E214" t="s">
        <v>693</v>
      </c>
      <c r="F214" t="s">
        <v>520</v>
      </c>
      <c r="G214" t="s">
        <v>194</v>
      </c>
      <c r="H214" t="str">
        <f t="shared" si="3"/>
        <v>NORTHEAST</v>
      </c>
    </row>
    <row r="215" spans="1:8" x14ac:dyDescent="0.25">
      <c r="A215">
        <v>2024</v>
      </c>
      <c r="B215" t="s">
        <v>658</v>
      </c>
      <c r="C215" t="s">
        <v>529</v>
      </c>
      <c r="D215" t="s">
        <v>693</v>
      </c>
      <c r="E215" t="s">
        <v>693</v>
      </c>
      <c r="F215" t="s">
        <v>529</v>
      </c>
      <c r="G215" t="s">
        <v>196</v>
      </c>
      <c r="H215" t="str">
        <f t="shared" si="3"/>
        <v>NORTHWOOD-KENSETT</v>
      </c>
    </row>
    <row r="216" spans="1:8" x14ac:dyDescent="0.25">
      <c r="A216">
        <v>2024</v>
      </c>
      <c r="B216" t="s">
        <v>657</v>
      </c>
      <c r="C216" t="s">
        <v>530</v>
      </c>
      <c r="D216" t="s">
        <v>693</v>
      </c>
      <c r="E216" t="s">
        <v>693</v>
      </c>
      <c r="F216" t="s">
        <v>530</v>
      </c>
      <c r="G216" t="s">
        <v>723</v>
      </c>
      <c r="H216" t="str">
        <f t="shared" si="3"/>
        <v>NORWALK</v>
      </c>
    </row>
    <row r="217" spans="1:8" x14ac:dyDescent="0.25">
      <c r="A217">
        <v>2024</v>
      </c>
      <c r="B217" t="s">
        <v>660</v>
      </c>
      <c r="C217" t="s">
        <v>532</v>
      </c>
      <c r="D217" t="s">
        <v>693</v>
      </c>
      <c r="E217" t="s">
        <v>693</v>
      </c>
      <c r="F217" t="s">
        <v>532</v>
      </c>
      <c r="G217" t="s">
        <v>724</v>
      </c>
      <c r="H217" t="str">
        <f t="shared" si="3"/>
        <v>ODEBOLT ARTHUR BATTLE CREEK IDA GROVE</v>
      </c>
    </row>
    <row r="218" spans="1:8" x14ac:dyDescent="0.25">
      <c r="A218">
        <v>2024</v>
      </c>
      <c r="B218" t="s">
        <v>665</v>
      </c>
      <c r="C218" t="s">
        <v>533</v>
      </c>
      <c r="D218" t="s">
        <v>693</v>
      </c>
      <c r="E218" t="s">
        <v>693</v>
      </c>
      <c r="F218" t="s">
        <v>533</v>
      </c>
      <c r="G218" t="s">
        <v>198</v>
      </c>
      <c r="H218" t="str">
        <f t="shared" si="3"/>
        <v>OELWEIN</v>
      </c>
    </row>
    <row r="219" spans="1:8" x14ac:dyDescent="0.25">
      <c r="A219">
        <v>2024</v>
      </c>
      <c r="B219" t="s">
        <v>657</v>
      </c>
      <c r="C219" t="s">
        <v>534</v>
      </c>
      <c r="D219" t="s">
        <v>693</v>
      </c>
      <c r="E219" t="s">
        <v>693</v>
      </c>
      <c r="F219" t="s">
        <v>534</v>
      </c>
      <c r="G219" t="s">
        <v>199</v>
      </c>
      <c r="H219" t="str">
        <f t="shared" si="3"/>
        <v>OGDEN</v>
      </c>
    </row>
    <row r="220" spans="1:8" x14ac:dyDescent="0.25">
      <c r="A220">
        <v>2024</v>
      </c>
      <c r="B220" t="s">
        <v>661</v>
      </c>
      <c r="C220" t="s">
        <v>535</v>
      </c>
      <c r="D220" t="s">
        <v>693</v>
      </c>
      <c r="E220" t="s">
        <v>693</v>
      </c>
      <c r="F220" t="s">
        <v>535</v>
      </c>
      <c r="G220" t="s">
        <v>200</v>
      </c>
      <c r="H220" t="str">
        <f t="shared" si="3"/>
        <v>OKOBOJI</v>
      </c>
    </row>
    <row r="221" spans="1:8" x14ac:dyDescent="0.25">
      <c r="A221">
        <v>2024</v>
      </c>
      <c r="B221" t="s">
        <v>663</v>
      </c>
      <c r="C221" t="s">
        <v>536</v>
      </c>
      <c r="D221" t="s">
        <v>693</v>
      </c>
      <c r="E221" t="s">
        <v>693</v>
      </c>
      <c r="F221" t="s">
        <v>536</v>
      </c>
      <c r="G221" t="s">
        <v>201</v>
      </c>
      <c r="H221" t="str">
        <f t="shared" si="3"/>
        <v>OLIN</v>
      </c>
    </row>
    <row r="222" spans="1:8" x14ac:dyDescent="0.25">
      <c r="A222">
        <v>2024</v>
      </c>
      <c r="B222" t="s">
        <v>659</v>
      </c>
      <c r="C222" t="s">
        <v>537</v>
      </c>
      <c r="D222" t="s">
        <v>693</v>
      </c>
      <c r="E222" t="s">
        <v>693</v>
      </c>
      <c r="F222" t="s">
        <v>537</v>
      </c>
      <c r="G222" t="s">
        <v>202</v>
      </c>
      <c r="H222" t="str">
        <f t="shared" si="3"/>
        <v>ORIENT-MACKSBURG</v>
      </c>
    </row>
    <row r="223" spans="1:8" x14ac:dyDescent="0.25">
      <c r="A223">
        <v>2024</v>
      </c>
      <c r="B223" t="s">
        <v>658</v>
      </c>
      <c r="C223" t="s">
        <v>538</v>
      </c>
      <c r="D223" t="s">
        <v>693</v>
      </c>
      <c r="E223" t="s">
        <v>693</v>
      </c>
      <c r="F223" t="s">
        <v>538</v>
      </c>
      <c r="G223" t="s">
        <v>203</v>
      </c>
      <c r="H223" t="str">
        <f t="shared" si="3"/>
        <v>OSAGE</v>
      </c>
    </row>
    <row r="224" spans="1:8" x14ac:dyDescent="0.25">
      <c r="A224">
        <v>2024</v>
      </c>
      <c r="B224" t="s">
        <v>662</v>
      </c>
      <c r="C224" t="s">
        <v>539</v>
      </c>
      <c r="D224" t="s">
        <v>693</v>
      </c>
      <c r="E224" t="s">
        <v>693</v>
      </c>
      <c r="F224" t="s">
        <v>539</v>
      </c>
      <c r="G224" t="s">
        <v>204</v>
      </c>
      <c r="H224" t="str">
        <f t="shared" si="3"/>
        <v>OSKALOOSA</v>
      </c>
    </row>
    <row r="225" spans="1:8" x14ac:dyDescent="0.25">
      <c r="A225">
        <v>2024</v>
      </c>
      <c r="B225" t="s">
        <v>662</v>
      </c>
      <c r="C225" t="s">
        <v>540</v>
      </c>
      <c r="D225" t="s">
        <v>693</v>
      </c>
      <c r="E225" t="s">
        <v>693</v>
      </c>
      <c r="F225" t="s">
        <v>540</v>
      </c>
      <c r="G225" t="s">
        <v>725</v>
      </c>
      <c r="H225" t="str">
        <f t="shared" si="3"/>
        <v>OTTUMWA</v>
      </c>
    </row>
    <row r="226" spans="1:8" x14ac:dyDescent="0.25">
      <c r="A226">
        <v>2024</v>
      </c>
      <c r="B226" t="s">
        <v>657</v>
      </c>
      <c r="C226" t="s">
        <v>541</v>
      </c>
      <c r="D226" t="s">
        <v>693</v>
      </c>
      <c r="E226" t="s">
        <v>693</v>
      </c>
      <c r="F226" t="s">
        <v>541</v>
      </c>
      <c r="G226" t="s">
        <v>205</v>
      </c>
      <c r="H226" t="str">
        <f t="shared" si="3"/>
        <v>PANORAMA</v>
      </c>
    </row>
    <row r="227" spans="1:8" x14ac:dyDescent="0.25">
      <c r="A227">
        <v>2024</v>
      </c>
      <c r="B227" t="s">
        <v>661</v>
      </c>
      <c r="C227" t="s">
        <v>542</v>
      </c>
      <c r="D227" t="s">
        <v>693</v>
      </c>
      <c r="E227" t="s">
        <v>693</v>
      </c>
      <c r="F227" t="s">
        <v>542</v>
      </c>
      <c r="G227" t="s">
        <v>206</v>
      </c>
      <c r="H227" t="str">
        <f t="shared" si="3"/>
        <v>PATON-CHURDAN</v>
      </c>
    </row>
    <row r="228" spans="1:8" x14ac:dyDescent="0.25">
      <c r="A228">
        <v>2024</v>
      </c>
      <c r="B228" t="s">
        <v>657</v>
      </c>
      <c r="C228" t="s">
        <v>551</v>
      </c>
      <c r="D228" t="s">
        <v>693</v>
      </c>
      <c r="E228" t="s">
        <v>693</v>
      </c>
      <c r="F228" t="s">
        <v>671</v>
      </c>
      <c r="G228" t="s">
        <v>6</v>
      </c>
      <c r="H228" t="str">
        <f t="shared" si="3"/>
        <v>PCM</v>
      </c>
    </row>
    <row r="229" spans="1:8" x14ac:dyDescent="0.25">
      <c r="A229">
        <v>2024</v>
      </c>
      <c r="B229" t="s">
        <v>662</v>
      </c>
      <c r="C229" t="s">
        <v>544</v>
      </c>
      <c r="D229" t="s">
        <v>693</v>
      </c>
      <c r="E229" t="s">
        <v>693</v>
      </c>
      <c r="F229" t="s">
        <v>544</v>
      </c>
      <c r="G229" t="s">
        <v>207</v>
      </c>
      <c r="H229" t="str">
        <f t="shared" si="3"/>
        <v>PEKIN</v>
      </c>
    </row>
    <row r="230" spans="1:8" x14ac:dyDescent="0.25">
      <c r="A230">
        <v>2024</v>
      </c>
      <c r="B230" t="s">
        <v>657</v>
      </c>
      <c r="C230" t="s">
        <v>545</v>
      </c>
      <c r="D230" t="s">
        <v>693</v>
      </c>
      <c r="E230" t="s">
        <v>693</v>
      </c>
      <c r="F230" t="s">
        <v>545</v>
      </c>
      <c r="G230" t="s">
        <v>208</v>
      </c>
      <c r="H230" t="str">
        <f t="shared" si="3"/>
        <v>PELLA</v>
      </c>
    </row>
    <row r="231" spans="1:8" x14ac:dyDescent="0.25">
      <c r="A231">
        <v>2024</v>
      </c>
      <c r="B231" t="s">
        <v>657</v>
      </c>
      <c r="C231" t="s">
        <v>546</v>
      </c>
      <c r="D231" t="s">
        <v>693</v>
      </c>
      <c r="E231" t="s">
        <v>693</v>
      </c>
      <c r="F231" t="s">
        <v>546</v>
      </c>
      <c r="G231" t="s">
        <v>209</v>
      </c>
      <c r="H231" t="str">
        <f t="shared" si="3"/>
        <v>PERRY</v>
      </c>
    </row>
    <row r="232" spans="1:8" x14ac:dyDescent="0.25">
      <c r="A232">
        <v>2024</v>
      </c>
      <c r="B232" t="s">
        <v>666</v>
      </c>
      <c r="C232" t="s">
        <v>547</v>
      </c>
      <c r="D232" t="s">
        <v>693</v>
      </c>
      <c r="E232" t="s">
        <v>693</v>
      </c>
      <c r="F232" t="s">
        <v>547</v>
      </c>
      <c r="G232" t="s">
        <v>726</v>
      </c>
      <c r="H232" t="str">
        <f t="shared" si="3"/>
        <v>PLEASANT VALLEY</v>
      </c>
    </row>
    <row r="233" spans="1:8" x14ac:dyDescent="0.25">
      <c r="A233">
        <v>2024</v>
      </c>
      <c r="B233" t="s">
        <v>657</v>
      </c>
      <c r="C233" t="s">
        <v>548</v>
      </c>
      <c r="D233" t="s">
        <v>693</v>
      </c>
      <c r="E233" t="s">
        <v>693</v>
      </c>
      <c r="F233" t="s">
        <v>548</v>
      </c>
      <c r="G233" t="s">
        <v>210</v>
      </c>
      <c r="H233" t="str">
        <f t="shared" si="3"/>
        <v>PLEASANTVILLE</v>
      </c>
    </row>
    <row r="234" spans="1:8" x14ac:dyDescent="0.25">
      <c r="A234">
        <v>2024</v>
      </c>
      <c r="B234" t="s">
        <v>661</v>
      </c>
      <c r="C234" t="s">
        <v>549</v>
      </c>
      <c r="D234" t="s">
        <v>693</v>
      </c>
      <c r="E234" t="s">
        <v>693</v>
      </c>
      <c r="F234" t="s">
        <v>549</v>
      </c>
      <c r="G234" t="s">
        <v>211</v>
      </c>
      <c r="H234" t="str">
        <f t="shared" si="3"/>
        <v>POCAHONTAS AREA</v>
      </c>
    </row>
    <row r="235" spans="1:8" x14ac:dyDescent="0.25">
      <c r="A235">
        <v>2024</v>
      </c>
      <c r="B235" t="s">
        <v>665</v>
      </c>
      <c r="C235" t="s">
        <v>550</v>
      </c>
      <c r="D235" t="s">
        <v>693</v>
      </c>
      <c r="E235" t="s">
        <v>693</v>
      </c>
      <c r="F235" t="s">
        <v>550</v>
      </c>
      <c r="G235" t="s">
        <v>212</v>
      </c>
      <c r="H235" t="str">
        <f t="shared" si="3"/>
        <v>POSTVILLE</v>
      </c>
    </row>
    <row r="236" spans="1:8" x14ac:dyDescent="0.25">
      <c r="A236">
        <v>2024</v>
      </c>
      <c r="B236" t="s">
        <v>659</v>
      </c>
      <c r="C236" t="s">
        <v>553</v>
      </c>
      <c r="D236" t="s">
        <v>693</v>
      </c>
      <c r="E236" t="s">
        <v>693</v>
      </c>
      <c r="F236" t="s">
        <v>553</v>
      </c>
      <c r="G236" t="s">
        <v>214</v>
      </c>
      <c r="H236" t="str">
        <f t="shared" si="3"/>
        <v>RED OAK</v>
      </c>
    </row>
    <row r="237" spans="1:8" x14ac:dyDescent="0.25">
      <c r="A237">
        <v>2024</v>
      </c>
      <c r="B237" t="s">
        <v>660</v>
      </c>
      <c r="C237" t="s">
        <v>554</v>
      </c>
      <c r="D237" t="s">
        <v>693</v>
      </c>
      <c r="E237" t="s">
        <v>693</v>
      </c>
      <c r="F237" t="s">
        <v>554</v>
      </c>
      <c r="G237" t="s">
        <v>215</v>
      </c>
      <c r="H237" t="str">
        <f t="shared" si="3"/>
        <v>REMSEN-UNION</v>
      </c>
    </row>
    <row r="238" spans="1:8" x14ac:dyDescent="0.25">
      <c r="A238">
        <v>2024</v>
      </c>
      <c r="B238" t="s">
        <v>665</v>
      </c>
      <c r="C238" t="s">
        <v>555</v>
      </c>
      <c r="D238" t="s">
        <v>693</v>
      </c>
      <c r="E238" t="s">
        <v>693</v>
      </c>
      <c r="F238" t="s">
        <v>555</v>
      </c>
      <c r="G238" t="s">
        <v>216</v>
      </c>
      <c r="H238" t="str">
        <f t="shared" si="3"/>
        <v>RICEVILLE</v>
      </c>
    </row>
    <row r="239" spans="1:8" x14ac:dyDescent="0.25">
      <c r="A239">
        <v>2024</v>
      </c>
      <c r="B239" t="s">
        <v>660</v>
      </c>
      <c r="C239" t="s">
        <v>412</v>
      </c>
      <c r="D239" t="s">
        <v>693</v>
      </c>
      <c r="E239" t="s">
        <v>693</v>
      </c>
      <c r="F239" t="s">
        <v>412</v>
      </c>
      <c r="G239" t="s">
        <v>217</v>
      </c>
      <c r="H239" t="str">
        <f t="shared" si="3"/>
        <v>RIVER VALLEY</v>
      </c>
    </row>
    <row r="240" spans="1:8" x14ac:dyDescent="0.25">
      <c r="A240">
        <v>2024</v>
      </c>
      <c r="B240" t="s">
        <v>659</v>
      </c>
      <c r="C240" t="s">
        <v>531</v>
      </c>
      <c r="D240" t="s">
        <v>693</v>
      </c>
      <c r="E240" t="s">
        <v>693</v>
      </c>
      <c r="F240" t="s">
        <v>673</v>
      </c>
      <c r="G240" t="s">
        <v>218</v>
      </c>
      <c r="H240" t="str">
        <f t="shared" si="3"/>
        <v>RIVERSIDE</v>
      </c>
    </row>
    <row r="241" spans="1:8" x14ac:dyDescent="0.25">
      <c r="A241">
        <v>2024</v>
      </c>
      <c r="B241" t="s">
        <v>660</v>
      </c>
      <c r="C241" t="s">
        <v>556</v>
      </c>
      <c r="D241" t="s">
        <v>693</v>
      </c>
      <c r="E241" t="s">
        <v>693</v>
      </c>
      <c r="F241" t="s">
        <v>556</v>
      </c>
      <c r="G241" t="s">
        <v>727</v>
      </c>
      <c r="H241" t="str">
        <f t="shared" si="3"/>
        <v>ROCK VALLEY</v>
      </c>
    </row>
    <row r="242" spans="1:8" x14ac:dyDescent="0.25">
      <c r="A242">
        <v>2024</v>
      </c>
      <c r="B242" t="s">
        <v>657</v>
      </c>
      <c r="C242" t="s">
        <v>557</v>
      </c>
      <c r="D242" t="s">
        <v>693</v>
      </c>
      <c r="E242" t="s">
        <v>693</v>
      </c>
      <c r="F242" t="s">
        <v>557</v>
      </c>
      <c r="G242" t="s">
        <v>219</v>
      </c>
      <c r="H242" t="str">
        <f t="shared" si="3"/>
        <v>ROLAND-STORY</v>
      </c>
    </row>
    <row r="243" spans="1:8" x14ac:dyDescent="0.25">
      <c r="A243">
        <v>2024</v>
      </c>
      <c r="B243" t="s">
        <v>658</v>
      </c>
      <c r="C243" t="s">
        <v>558</v>
      </c>
      <c r="D243" t="s">
        <v>693</v>
      </c>
      <c r="E243" t="s">
        <v>693</v>
      </c>
      <c r="F243" t="s">
        <v>558</v>
      </c>
      <c r="G243" t="s">
        <v>220</v>
      </c>
      <c r="H243" t="str">
        <f t="shared" si="3"/>
        <v>RUDD-ROCKFORD-MARBLE ROCK</v>
      </c>
    </row>
    <row r="244" spans="1:8" x14ac:dyDescent="0.25">
      <c r="A244">
        <v>2024</v>
      </c>
      <c r="B244" t="s">
        <v>661</v>
      </c>
      <c r="C244" t="s">
        <v>559</v>
      </c>
      <c r="D244" t="s">
        <v>693</v>
      </c>
      <c r="E244" t="s">
        <v>693</v>
      </c>
      <c r="F244" t="s">
        <v>559</v>
      </c>
      <c r="G244" t="s">
        <v>221</v>
      </c>
      <c r="H244" t="str">
        <f t="shared" si="3"/>
        <v>RUTHVEN-AYRSHIRE</v>
      </c>
    </row>
    <row r="245" spans="1:8" x14ac:dyDescent="0.25">
      <c r="A245">
        <v>2024</v>
      </c>
      <c r="B245" t="s">
        <v>657</v>
      </c>
      <c r="C245" t="s">
        <v>561</v>
      </c>
      <c r="D245" t="s">
        <v>693</v>
      </c>
      <c r="E245" t="s">
        <v>693</v>
      </c>
      <c r="F245" t="s">
        <v>561</v>
      </c>
      <c r="G245" t="s">
        <v>728</v>
      </c>
      <c r="H245" t="str">
        <f t="shared" si="3"/>
        <v>SAYDEL</v>
      </c>
    </row>
    <row r="246" spans="1:8" x14ac:dyDescent="0.25">
      <c r="A246">
        <v>2024</v>
      </c>
      <c r="B246" t="s">
        <v>661</v>
      </c>
      <c r="C246" t="s">
        <v>562</v>
      </c>
      <c r="D246" t="s">
        <v>693</v>
      </c>
      <c r="E246" t="s">
        <v>693</v>
      </c>
      <c r="F246" t="s">
        <v>562</v>
      </c>
      <c r="G246" t="s">
        <v>222</v>
      </c>
      <c r="H246" t="str">
        <f t="shared" si="3"/>
        <v>SCHALLER-CRESTLAND</v>
      </c>
    </row>
    <row r="247" spans="1:8" x14ac:dyDescent="0.25">
      <c r="A247">
        <v>2024</v>
      </c>
      <c r="B247" t="s">
        <v>660</v>
      </c>
      <c r="C247" t="s">
        <v>563</v>
      </c>
      <c r="D247" t="s">
        <v>693</v>
      </c>
      <c r="E247" t="s">
        <v>693</v>
      </c>
      <c r="F247" t="s">
        <v>563</v>
      </c>
      <c r="G247" t="s">
        <v>223</v>
      </c>
      <c r="H247" t="str">
        <f t="shared" si="3"/>
        <v>SCHLESWIG</v>
      </c>
    </row>
    <row r="248" spans="1:8" x14ac:dyDescent="0.25">
      <c r="A248">
        <v>2024</v>
      </c>
      <c r="B248" t="s">
        <v>660</v>
      </c>
      <c r="C248" t="s">
        <v>564</v>
      </c>
      <c r="D248" t="s">
        <v>693</v>
      </c>
      <c r="E248" t="s">
        <v>693</v>
      </c>
      <c r="F248" t="s">
        <v>564</v>
      </c>
      <c r="G248" t="s">
        <v>729</v>
      </c>
      <c r="H248" t="str">
        <f t="shared" si="3"/>
        <v>SERGEANT BLUFF-LUTON</v>
      </c>
    </row>
    <row r="249" spans="1:8" x14ac:dyDescent="0.25">
      <c r="A249">
        <v>2024</v>
      </c>
      <c r="B249" t="s">
        <v>662</v>
      </c>
      <c r="C249" t="s">
        <v>565</v>
      </c>
      <c r="D249" t="s">
        <v>693</v>
      </c>
      <c r="E249" t="s">
        <v>693</v>
      </c>
      <c r="F249" t="s">
        <v>565</v>
      </c>
      <c r="G249" t="s">
        <v>224</v>
      </c>
      <c r="H249" t="str">
        <f t="shared" si="3"/>
        <v>SEYMOUR</v>
      </c>
    </row>
    <row r="250" spans="1:8" x14ac:dyDescent="0.25">
      <c r="A250">
        <v>2024</v>
      </c>
      <c r="B250" t="s">
        <v>660</v>
      </c>
      <c r="C250" t="s">
        <v>567</v>
      </c>
      <c r="D250" t="s">
        <v>693</v>
      </c>
      <c r="E250" t="s">
        <v>693</v>
      </c>
      <c r="F250" t="s">
        <v>567</v>
      </c>
      <c r="G250" t="s">
        <v>225</v>
      </c>
      <c r="H250" t="str">
        <f t="shared" si="3"/>
        <v>SHELDON</v>
      </c>
    </row>
    <row r="251" spans="1:8" x14ac:dyDescent="0.25">
      <c r="A251">
        <v>2024</v>
      </c>
      <c r="B251" t="s">
        <v>659</v>
      </c>
      <c r="C251" t="s">
        <v>568</v>
      </c>
      <c r="D251" t="s">
        <v>693</v>
      </c>
      <c r="E251" t="s">
        <v>693</v>
      </c>
      <c r="F251" t="s">
        <v>568</v>
      </c>
      <c r="G251" t="s">
        <v>226</v>
      </c>
      <c r="H251" t="str">
        <f t="shared" si="3"/>
        <v>SHENANDOAH</v>
      </c>
    </row>
    <row r="252" spans="1:8" x14ac:dyDescent="0.25">
      <c r="A252">
        <v>2024</v>
      </c>
      <c r="B252" t="s">
        <v>660</v>
      </c>
      <c r="C252" t="s">
        <v>569</v>
      </c>
      <c r="D252" t="s">
        <v>693</v>
      </c>
      <c r="E252" t="s">
        <v>693</v>
      </c>
      <c r="F252" t="s">
        <v>569</v>
      </c>
      <c r="G252" t="s">
        <v>227</v>
      </c>
      <c r="H252" t="str">
        <f t="shared" si="3"/>
        <v>SIBLEY-OCHEYEDAN</v>
      </c>
    </row>
    <row r="253" spans="1:8" x14ac:dyDescent="0.25">
      <c r="A253">
        <v>2024</v>
      </c>
      <c r="B253" t="s">
        <v>659</v>
      </c>
      <c r="C253" t="s">
        <v>570</v>
      </c>
      <c r="D253" t="s">
        <v>693</v>
      </c>
      <c r="E253" t="s">
        <v>693</v>
      </c>
      <c r="F253" t="s">
        <v>570</v>
      </c>
      <c r="G253" t="s">
        <v>228</v>
      </c>
      <c r="H253" t="str">
        <f t="shared" si="3"/>
        <v>SIDNEY</v>
      </c>
    </row>
    <row r="254" spans="1:8" x14ac:dyDescent="0.25">
      <c r="A254">
        <v>2024</v>
      </c>
      <c r="B254" t="s">
        <v>662</v>
      </c>
      <c r="C254" t="s">
        <v>571</v>
      </c>
      <c r="D254" t="s">
        <v>693</v>
      </c>
      <c r="E254" t="s">
        <v>693</v>
      </c>
      <c r="F254" t="s">
        <v>571</v>
      </c>
      <c r="G254" t="s">
        <v>229</v>
      </c>
      <c r="H254" t="str">
        <f t="shared" si="3"/>
        <v>SIGOURNEY</v>
      </c>
    </row>
    <row r="255" spans="1:8" x14ac:dyDescent="0.25">
      <c r="A255">
        <v>2024</v>
      </c>
      <c r="B255" t="s">
        <v>660</v>
      </c>
      <c r="C255" t="s">
        <v>572</v>
      </c>
      <c r="D255" t="s">
        <v>693</v>
      </c>
      <c r="E255" t="s">
        <v>693</v>
      </c>
      <c r="F255" t="s">
        <v>572</v>
      </c>
      <c r="G255" t="s">
        <v>230</v>
      </c>
      <c r="H255" t="str">
        <f t="shared" si="3"/>
        <v>SIOUX CENTER</v>
      </c>
    </row>
    <row r="256" spans="1:8" x14ac:dyDescent="0.25">
      <c r="A256">
        <v>2024</v>
      </c>
      <c r="B256" t="s">
        <v>661</v>
      </c>
      <c r="C256" t="s">
        <v>574</v>
      </c>
      <c r="D256" t="s">
        <v>693</v>
      </c>
      <c r="E256" t="s">
        <v>693</v>
      </c>
      <c r="F256" t="s">
        <v>674</v>
      </c>
      <c r="G256" t="s">
        <v>692</v>
      </c>
      <c r="H256" t="str">
        <f t="shared" si="3"/>
        <v>SIOUX CENTRAL</v>
      </c>
    </row>
    <row r="257" spans="1:8" x14ac:dyDescent="0.25">
      <c r="A257">
        <v>2024</v>
      </c>
      <c r="B257" t="s">
        <v>660</v>
      </c>
      <c r="C257" t="s">
        <v>573</v>
      </c>
      <c r="D257" t="s">
        <v>693</v>
      </c>
      <c r="E257" t="s">
        <v>693</v>
      </c>
      <c r="F257" t="s">
        <v>573</v>
      </c>
      <c r="G257" t="s">
        <v>231</v>
      </c>
      <c r="H257" t="str">
        <f t="shared" si="3"/>
        <v>SIOUX CITY</v>
      </c>
    </row>
    <row r="258" spans="1:8" x14ac:dyDescent="0.25">
      <c r="A258">
        <v>2024</v>
      </c>
      <c r="B258" t="s">
        <v>663</v>
      </c>
      <c r="C258" t="s">
        <v>575</v>
      </c>
      <c r="D258" t="s">
        <v>693</v>
      </c>
      <c r="E258" t="s">
        <v>693</v>
      </c>
      <c r="F258" t="s">
        <v>575</v>
      </c>
      <c r="G258" t="s">
        <v>232</v>
      </c>
      <c r="H258" t="str">
        <f t="shared" si="3"/>
        <v>SOLON</v>
      </c>
    </row>
    <row r="259" spans="1:8" x14ac:dyDescent="0.25">
      <c r="A259">
        <v>2024</v>
      </c>
      <c r="B259" t="s">
        <v>661</v>
      </c>
      <c r="C259" t="s">
        <v>651</v>
      </c>
      <c r="D259" t="s">
        <v>693</v>
      </c>
      <c r="E259" t="s">
        <v>693</v>
      </c>
      <c r="F259" t="s">
        <v>651</v>
      </c>
      <c r="G259" t="s">
        <v>730</v>
      </c>
      <c r="H259" t="str">
        <f t="shared" ref="H259:H322" si="4">UPPER(G259)</f>
        <v>SOUTH CENTRAL CALHOUN</v>
      </c>
    </row>
    <row r="260" spans="1:8" x14ac:dyDescent="0.25">
      <c r="A260">
        <v>2024</v>
      </c>
      <c r="B260" t="s">
        <v>661</v>
      </c>
      <c r="C260" t="s">
        <v>577</v>
      </c>
      <c r="D260" t="s">
        <v>693</v>
      </c>
      <c r="E260" t="s">
        <v>693</v>
      </c>
      <c r="F260" t="s">
        <v>577</v>
      </c>
      <c r="G260" t="s">
        <v>233</v>
      </c>
      <c r="H260" t="str">
        <f t="shared" si="4"/>
        <v>SOUTH HAMILTON</v>
      </c>
    </row>
    <row r="261" spans="1:8" x14ac:dyDescent="0.25">
      <c r="A261">
        <v>2024</v>
      </c>
      <c r="B261" t="s">
        <v>660</v>
      </c>
      <c r="C261" t="s">
        <v>543</v>
      </c>
      <c r="D261" t="s">
        <v>693</v>
      </c>
      <c r="E261" t="s">
        <v>693</v>
      </c>
      <c r="F261" t="s">
        <v>675</v>
      </c>
      <c r="G261" t="s">
        <v>234</v>
      </c>
      <c r="H261" t="str">
        <f t="shared" si="4"/>
        <v>SOUTH O'BRIEN</v>
      </c>
    </row>
    <row r="262" spans="1:8" x14ac:dyDescent="0.25">
      <c r="A262">
        <v>2024</v>
      </c>
      <c r="B262" t="s">
        <v>659</v>
      </c>
      <c r="C262" t="s">
        <v>579</v>
      </c>
      <c r="D262" t="s">
        <v>693</v>
      </c>
      <c r="E262" t="s">
        <v>693</v>
      </c>
      <c r="F262" t="s">
        <v>579</v>
      </c>
      <c r="G262" t="s">
        <v>235</v>
      </c>
      <c r="H262" t="str">
        <f t="shared" si="4"/>
        <v>SOUTH PAGE</v>
      </c>
    </row>
    <row r="263" spans="1:8" x14ac:dyDescent="0.25">
      <c r="A263">
        <v>2024</v>
      </c>
      <c r="B263" t="s">
        <v>658</v>
      </c>
      <c r="C263" t="s">
        <v>580</v>
      </c>
      <c r="D263" t="s">
        <v>693</v>
      </c>
      <c r="E263" t="s">
        <v>693</v>
      </c>
      <c r="F263" t="s">
        <v>580</v>
      </c>
      <c r="G263" t="s">
        <v>236</v>
      </c>
      <c r="H263" t="str">
        <f t="shared" si="4"/>
        <v>SOUTH TAMA</v>
      </c>
    </row>
    <row r="264" spans="1:8" x14ac:dyDescent="0.25">
      <c r="A264">
        <v>2024</v>
      </c>
      <c r="B264" t="s">
        <v>665</v>
      </c>
      <c r="C264" t="s">
        <v>581</v>
      </c>
      <c r="D264" t="s">
        <v>693</v>
      </c>
      <c r="E264" t="s">
        <v>693</v>
      </c>
      <c r="F264" t="s">
        <v>581</v>
      </c>
      <c r="G264" t="s">
        <v>237</v>
      </c>
      <c r="H264" t="str">
        <f t="shared" si="4"/>
        <v>SOUTH WINNESHIEK</v>
      </c>
    </row>
    <row r="265" spans="1:8" x14ac:dyDescent="0.25">
      <c r="A265">
        <v>2024</v>
      </c>
      <c r="B265" t="s">
        <v>657</v>
      </c>
      <c r="C265" t="s">
        <v>582</v>
      </c>
      <c r="D265" t="s">
        <v>693</v>
      </c>
      <c r="E265" t="s">
        <v>693</v>
      </c>
      <c r="F265" t="s">
        <v>582</v>
      </c>
      <c r="G265" t="s">
        <v>238</v>
      </c>
      <c r="H265" t="str">
        <f t="shared" si="4"/>
        <v>SOUTHEAST POLK</v>
      </c>
    </row>
    <row r="266" spans="1:8" x14ac:dyDescent="0.25">
      <c r="A266">
        <v>2024</v>
      </c>
      <c r="B266" t="s">
        <v>657</v>
      </c>
      <c r="C266" t="s">
        <v>576</v>
      </c>
      <c r="D266" t="s">
        <v>693</v>
      </c>
      <c r="E266" t="s">
        <v>693</v>
      </c>
      <c r="F266" t="s">
        <v>576</v>
      </c>
      <c r="G266" t="s">
        <v>239</v>
      </c>
      <c r="H266" t="str">
        <f t="shared" si="4"/>
        <v>SOUTHEAST WARREN</v>
      </c>
    </row>
    <row r="267" spans="1:8" x14ac:dyDescent="0.25">
      <c r="A267">
        <v>2024</v>
      </c>
      <c r="B267" t="s">
        <v>661</v>
      </c>
      <c r="C267" t="s">
        <v>578</v>
      </c>
      <c r="D267" t="s">
        <v>552</v>
      </c>
      <c r="E267" t="s">
        <v>693</v>
      </c>
      <c r="F267" t="s">
        <v>578</v>
      </c>
      <c r="G267" t="s">
        <v>1681</v>
      </c>
      <c r="H267" t="str">
        <f t="shared" si="4"/>
        <v>SOUTHEAST VALLEY</v>
      </c>
    </row>
    <row r="268" spans="1:8" x14ac:dyDescent="0.25">
      <c r="A268">
        <v>2024</v>
      </c>
      <c r="B268" t="s">
        <v>661</v>
      </c>
      <c r="C268" t="s">
        <v>583</v>
      </c>
      <c r="D268" t="s">
        <v>693</v>
      </c>
      <c r="E268" t="s">
        <v>693</v>
      </c>
      <c r="F268" t="s">
        <v>583</v>
      </c>
      <c r="G268" t="s">
        <v>241</v>
      </c>
      <c r="H268" t="str">
        <f t="shared" si="4"/>
        <v>SPENCER</v>
      </c>
    </row>
    <row r="269" spans="1:8" x14ac:dyDescent="0.25">
      <c r="A269">
        <v>2024</v>
      </c>
      <c r="B269" t="s">
        <v>661</v>
      </c>
      <c r="C269" t="s">
        <v>584</v>
      </c>
      <c r="D269" t="s">
        <v>693</v>
      </c>
      <c r="E269" t="s">
        <v>693</v>
      </c>
      <c r="F269" t="s">
        <v>584</v>
      </c>
      <c r="G269" t="s">
        <v>242</v>
      </c>
      <c r="H269" t="str">
        <f t="shared" si="4"/>
        <v>SPIRIT LAKE</v>
      </c>
    </row>
    <row r="270" spans="1:8" x14ac:dyDescent="0.25">
      <c r="A270">
        <v>2024</v>
      </c>
      <c r="B270" t="s">
        <v>663</v>
      </c>
      <c r="C270" t="s">
        <v>585</v>
      </c>
      <c r="D270" t="s">
        <v>693</v>
      </c>
      <c r="E270" t="s">
        <v>693</v>
      </c>
      <c r="F270" t="s">
        <v>585</v>
      </c>
      <c r="G270" t="s">
        <v>243</v>
      </c>
      <c r="H270" t="str">
        <f t="shared" si="4"/>
        <v>SPRINGVILLE</v>
      </c>
    </row>
    <row r="271" spans="1:8" x14ac:dyDescent="0.25">
      <c r="A271">
        <v>2024</v>
      </c>
      <c r="B271" t="s">
        <v>658</v>
      </c>
      <c r="C271" t="s">
        <v>560</v>
      </c>
      <c r="D271" t="s">
        <v>693</v>
      </c>
      <c r="E271" t="s">
        <v>693</v>
      </c>
      <c r="F271" t="s">
        <v>560</v>
      </c>
      <c r="G271" t="s">
        <v>244</v>
      </c>
      <c r="H271" t="str">
        <f t="shared" si="4"/>
        <v>ST ANSGAR</v>
      </c>
    </row>
    <row r="272" spans="1:8" x14ac:dyDescent="0.25">
      <c r="A272">
        <v>2024</v>
      </c>
      <c r="B272" t="s">
        <v>659</v>
      </c>
      <c r="C272" t="s">
        <v>586</v>
      </c>
      <c r="D272" t="s">
        <v>693</v>
      </c>
      <c r="E272" t="s">
        <v>693</v>
      </c>
      <c r="F272" t="s">
        <v>586</v>
      </c>
      <c r="G272" t="s">
        <v>245</v>
      </c>
      <c r="H272" t="str">
        <f t="shared" si="4"/>
        <v>STANTON</v>
      </c>
    </row>
    <row r="273" spans="1:8" x14ac:dyDescent="0.25">
      <c r="A273">
        <v>2024</v>
      </c>
      <c r="B273" t="s">
        <v>665</v>
      </c>
      <c r="C273" t="s">
        <v>587</v>
      </c>
      <c r="D273" t="s">
        <v>693</v>
      </c>
      <c r="E273" t="s">
        <v>693</v>
      </c>
      <c r="F273" t="s">
        <v>587</v>
      </c>
      <c r="G273" t="s">
        <v>641</v>
      </c>
      <c r="H273" t="str">
        <f t="shared" si="4"/>
        <v>STARMONT</v>
      </c>
    </row>
    <row r="274" spans="1:8" x14ac:dyDescent="0.25">
      <c r="A274">
        <v>2024</v>
      </c>
      <c r="B274" t="s">
        <v>661</v>
      </c>
      <c r="C274" t="s">
        <v>588</v>
      </c>
      <c r="D274" t="s">
        <v>693</v>
      </c>
      <c r="E274" t="s">
        <v>693</v>
      </c>
      <c r="F274" t="s">
        <v>588</v>
      </c>
      <c r="G274" t="s">
        <v>246</v>
      </c>
      <c r="H274" t="str">
        <f t="shared" si="4"/>
        <v>STORM LAKE</v>
      </c>
    </row>
    <row r="275" spans="1:8" x14ac:dyDescent="0.25">
      <c r="A275">
        <v>2024</v>
      </c>
      <c r="B275" t="s">
        <v>661</v>
      </c>
      <c r="C275" t="s">
        <v>589</v>
      </c>
      <c r="D275" t="s">
        <v>693</v>
      </c>
      <c r="E275" t="s">
        <v>693</v>
      </c>
      <c r="F275" t="s">
        <v>589</v>
      </c>
      <c r="G275" t="s">
        <v>247</v>
      </c>
      <c r="H275" t="str">
        <f t="shared" si="4"/>
        <v>STRATFORD</v>
      </c>
    </row>
    <row r="276" spans="1:8" x14ac:dyDescent="0.25">
      <c r="A276">
        <v>2024</v>
      </c>
      <c r="B276" t="s">
        <v>658</v>
      </c>
      <c r="C276" t="s">
        <v>591</v>
      </c>
      <c r="D276" t="s">
        <v>693</v>
      </c>
      <c r="E276" t="s">
        <v>693</v>
      </c>
      <c r="F276" t="s">
        <v>591</v>
      </c>
      <c r="G276" t="s">
        <v>248</v>
      </c>
      <c r="H276" t="str">
        <f t="shared" si="4"/>
        <v>SUMNER-FREDERICKSBURG</v>
      </c>
    </row>
    <row r="277" spans="1:8" x14ac:dyDescent="0.25">
      <c r="A277">
        <v>2024</v>
      </c>
      <c r="B277" t="s">
        <v>663</v>
      </c>
      <c r="C277" t="s">
        <v>592</v>
      </c>
      <c r="D277" t="s">
        <v>693</v>
      </c>
      <c r="E277" t="s">
        <v>693</v>
      </c>
      <c r="F277" t="s">
        <v>592</v>
      </c>
      <c r="G277" t="s">
        <v>249</v>
      </c>
      <c r="H277" t="str">
        <f t="shared" si="4"/>
        <v>TIPTON</v>
      </c>
    </row>
    <row r="278" spans="1:8" x14ac:dyDescent="0.25">
      <c r="A278">
        <v>2024</v>
      </c>
      <c r="B278" t="s">
        <v>659</v>
      </c>
      <c r="C278" t="s">
        <v>593</v>
      </c>
      <c r="D278" t="s">
        <v>693</v>
      </c>
      <c r="E278" t="s">
        <v>693</v>
      </c>
      <c r="F278" t="s">
        <v>593</v>
      </c>
      <c r="G278" t="s">
        <v>250</v>
      </c>
      <c r="H278" t="str">
        <f t="shared" si="4"/>
        <v>TREYNOR</v>
      </c>
    </row>
    <row r="279" spans="1:8" x14ac:dyDescent="0.25">
      <c r="A279">
        <v>2024</v>
      </c>
      <c r="B279" t="s">
        <v>659</v>
      </c>
      <c r="C279" t="s">
        <v>594</v>
      </c>
      <c r="D279" t="s">
        <v>693</v>
      </c>
      <c r="E279" t="s">
        <v>693</v>
      </c>
      <c r="F279" t="s">
        <v>594</v>
      </c>
      <c r="G279" t="s">
        <v>251</v>
      </c>
      <c r="H279" t="str">
        <f t="shared" si="4"/>
        <v>TRI-CENTER</v>
      </c>
    </row>
    <row r="280" spans="1:8" x14ac:dyDescent="0.25">
      <c r="A280">
        <v>2024</v>
      </c>
      <c r="B280" t="s">
        <v>662</v>
      </c>
      <c r="C280" t="s">
        <v>595</v>
      </c>
      <c r="D280" t="s">
        <v>693</v>
      </c>
      <c r="E280" t="s">
        <v>693</v>
      </c>
      <c r="F280" t="s">
        <v>595</v>
      </c>
      <c r="G280" t="s">
        <v>252</v>
      </c>
      <c r="H280" t="str">
        <f t="shared" si="4"/>
        <v>TRI-COUNTY</v>
      </c>
    </row>
    <row r="281" spans="1:8" x14ac:dyDescent="0.25">
      <c r="A281">
        <v>2024</v>
      </c>
      <c r="B281" t="s">
        <v>658</v>
      </c>
      <c r="C281" t="s">
        <v>596</v>
      </c>
      <c r="D281" t="s">
        <v>693</v>
      </c>
      <c r="E281" t="s">
        <v>693</v>
      </c>
      <c r="F281" t="s">
        <v>596</v>
      </c>
      <c r="G281" t="s">
        <v>642</v>
      </c>
      <c r="H281" t="str">
        <f t="shared" si="4"/>
        <v>TRIPOLI</v>
      </c>
    </row>
    <row r="282" spans="1:8" x14ac:dyDescent="0.25">
      <c r="A282">
        <v>2024</v>
      </c>
      <c r="B282" t="s">
        <v>665</v>
      </c>
      <c r="C282" t="s">
        <v>597</v>
      </c>
      <c r="D282" t="s">
        <v>693</v>
      </c>
      <c r="E282" t="s">
        <v>693</v>
      </c>
      <c r="F282" t="s">
        <v>597</v>
      </c>
      <c r="G282" t="s">
        <v>731</v>
      </c>
      <c r="H282" t="str">
        <f t="shared" si="4"/>
        <v>TURKEY VALLEY</v>
      </c>
    </row>
    <row r="283" spans="1:8" x14ac:dyDescent="0.25">
      <c r="A283">
        <v>2024</v>
      </c>
      <c r="B283" t="s">
        <v>657</v>
      </c>
      <c r="C283" t="s">
        <v>598</v>
      </c>
      <c r="D283" t="s">
        <v>693</v>
      </c>
      <c r="E283" t="s">
        <v>693</v>
      </c>
      <c r="F283" t="s">
        <v>598</v>
      </c>
      <c r="G283" t="s">
        <v>253</v>
      </c>
      <c r="H283" t="str">
        <f t="shared" si="4"/>
        <v>TWIN CEDARS</v>
      </c>
    </row>
    <row r="284" spans="1:8" x14ac:dyDescent="0.25">
      <c r="A284">
        <v>2024</v>
      </c>
      <c r="B284" t="s">
        <v>661</v>
      </c>
      <c r="C284" t="s">
        <v>599</v>
      </c>
      <c r="D284" t="s">
        <v>693</v>
      </c>
      <c r="E284" t="s">
        <v>693</v>
      </c>
      <c r="F284" t="s">
        <v>599</v>
      </c>
      <c r="G284" t="s">
        <v>254</v>
      </c>
      <c r="H284" t="str">
        <f t="shared" si="4"/>
        <v>TWIN RIVERS</v>
      </c>
    </row>
    <row r="285" spans="1:8" x14ac:dyDescent="0.25">
      <c r="A285">
        <v>2024</v>
      </c>
      <c r="B285" t="s">
        <v>659</v>
      </c>
      <c r="C285" t="s">
        <v>600</v>
      </c>
      <c r="D285" t="s">
        <v>693</v>
      </c>
      <c r="E285" t="s">
        <v>693</v>
      </c>
      <c r="F285" t="s">
        <v>600</v>
      </c>
      <c r="G285" t="s">
        <v>732</v>
      </c>
      <c r="H285" t="str">
        <f t="shared" si="4"/>
        <v>UNDERWOOD</v>
      </c>
    </row>
    <row r="286" spans="1:8" x14ac:dyDescent="0.25">
      <c r="A286">
        <v>2024</v>
      </c>
      <c r="B286" t="s">
        <v>658</v>
      </c>
      <c r="C286" t="s">
        <v>405</v>
      </c>
      <c r="D286" t="s">
        <v>693</v>
      </c>
      <c r="E286" t="s">
        <v>693</v>
      </c>
      <c r="F286" t="s">
        <v>676</v>
      </c>
      <c r="G286" t="s">
        <v>255</v>
      </c>
      <c r="H286" t="str">
        <f t="shared" si="4"/>
        <v>UNION</v>
      </c>
    </row>
    <row r="287" spans="1:8" x14ac:dyDescent="0.25">
      <c r="A287">
        <v>2024</v>
      </c>
      <c r="B287" t="s">
        <v>657</v>
      </c>
      <c r="C287" t="s">
        <v>601</v>
      </c>
      <c r="D287" t="s">
        <v>693</v>
      </c>
      <c r="E287" t="s">
        <v>693</v>
      </c>
      <c r="F287" t="s">
        <v>601</v>
      </c>
      <c r="G287" t="s">
        <v>256</v>
      </c>
      <c r="H287" t="str">
        <f t="shared" si="4"/>
        <v>UNITED</v>
      </c>
    </row>
    <row r="288" spans="1:8" x14ac:dyDescent="0.25">
      <c r="A288">
        <v>2024</v>
      </c>
      <c r="B288" t="s">
        <v>657</v>
      </c>
      <c r="C288" t="s">
        <v>602</v>
      </c>
      <c r="D288" t="s">
        <v>693</v>
      </c>
      <c r="E288" t="s">
        <v>693</v>
      </c>
      <c r="F288" t="s">
        <v>602</v>
      </c>
      <c r="G288" t="s">
        <v>733</v>
      </c>
      <c r="H288" t="str">
        <f t="shared" si="4"/>
        <v>URBANDALE</v>
      </c>
    </row>
    <row r="289" spans="1:8" x14ac:dyDescent="0.25">
      <c r="A289">
        <v>2024</v>
      </c>
      <c r="B289" t="s">
        <v>662</v>
      </c>
      <c r="C289" t="s">
        <v>603</v>
      </c>
      <c r="D289" t="s">
        <v>693</v>
      </c>
      <c r="E289" t="s">
        <v>693</v>
      </c>
      <c r="F289" t="s">
        <v>603</v>
      </c>
      <c r="G289" t="s">
        <v>734</v>
      </c>
      <c r="H289" t="str">
        <f t="shared" si="4"/>
        <v>VAN BUREN COUNTY</v>
      </c>
    </row>
    <row r="290" spans="1:8" x14ac:dyDescent="0.25">
      <c r="A290">
        <v>2024</v>
      </c>
      <c r="B290" t="s">
        <v>657</v>
      </c>
      <c r="C290" t="s">
        <v>604</v>
      </c>
      <c r="D290" t="s">
        <v>693</v>
      </c>
      <c r="E290" t="s">
        <v>693</v>
      </c>
      <c r="F290" t="s">
        <v>604</v>
      </c>
      <c r="G290" t="s">
        <v>259</v>
      </c>
      <c r="H290" t="str">
        <f t="shared" si="4"/>
        <v>VAN METER</v>
      </c>
    </row>
    <row r="291" spans="1:8" x14ac:dyDescent="0.25">
      <c r="A291">
        <v>2024</v>
      </c>
      <c r="B291" t="s">
        <v>659</v>
      </c>
      <c r="C291" t="s">
        <v>605</v>
      </c>
      <c r="D291" t="s">
        <v>693</v>
      </c>
      <c r="E291" t="s">
        <v>693</v>
      </c>
      <c r="F291" t="s">
        <v>605</v>
      </c>
      <c r="G291" t="s">
        <v>260</v>
      </c>
      <c r="H291" t="str">
        <f t="shared" si="4"/>
        <v>VILLISCA</v>
      </c>
    </row>
    <row r="292" spans="1:8" x14ac:dyDescent="0.25">
      <c r="A292">
        <v>2024</v>
      </c>
      <c r="B292" t="s">
        <v>663</v>
      </c>
      <c r="C292" t="s">
        <v>606</v>
      </c>
      <c r="D292" t="s">
        <v>693</v>
      </c>
      <c r="E292" t="s">
        <v>693</v>
      </c>
      <c r="F292" t="s">
        <v>606</v>
      </c>
      <c r="G292" t="s">
        <v>261</v>
      </c>
      <c r="H292" t="str">
        <f t="shared" si="4"/>
        <v>VINTON-SHELLSBURG</v>
      </c>
    </row>
    <row r="293" spans="1:8" x14ac:dyDescent="0.25">
      <c r="A293">
        <v>2024</v>
      </c>
      <c r="B293" t="s">
        <v>662</v>
      </c>
      <c r="C293" t="s">
        <v>607</v>
      </c>
      <c r="D293" t="s">
        <v>693</v>
      </c>
      <c r="E293" t="s">
        <v>693</v>
      </c>
      <c r="F293" t="s">
        <v>607</v>
      </c>
      <c r="G293" t="s">
        <v>735</v>
      </c>
      <c r="H293" t="str">
        <f t="shared" si="4"/>
        <v>WACO</v>
      </c>
    </row>
    <row r="294" spans="1:8" x14ac:dyDescent="0.25">
      <c r="A294">
        <v>2024</v>
      </c>
      <c r="B294" t="s">
        <v>662</v>
      </c>
      <c r="C294" t="s">
        <v>609</v>
      </c>
      <c r="D294" t="s">
        <v>693</v>
      </c>
      <c r="E294" t="s">
        <v>693</v>
      </c>
      <c r="F294" t="s">
        <v>609</v>
      </c>
      <c r="G294" t="s">
        <v>263</v>
      </c>
      <c r="H294" t="str">
        <f t="shared" si="4"/>
        <v>WAPELLO</v>
      </c>
    </row>
    <row r="295" spans="1:8" x14ac:dyDescent="0.25">
      <c r="A295">
        <v>2024</v>
      </c>
      <c r="B295" t="s">
        <v>658</v>
      </c>
      <c r="C295" t="s">
        <v>610</v>
      </c>
      <c r="D295" t="s">
        <v>693</v>
      </c>
      <c r="E295" t="s">
        <v>693</v>
      </c>
      <c r="F295" t="s">
        <v>610</v>
      </c>
      <c r="G295" t="s">
        <v>264</v>
      </c>
      <c r="H295" t="str">
        <f t="shared" si="4"/>
        <v>WAPSIE VALLEY</v>
      </c>
    </row>
    <row r="296" spans="1:8" x14ac:dyDescent="0.25">
      <c r="A296">
        <v>2024</v>
      </c>
      <c r="B296" t="s">
        <v>663</v>
      </c>
      <c r="C296" t="s">
        <v>611</v>
      </c>
      <c r="D296" t="s">
        <v>693</v>
      </c>
      <c r="E296" t="s">
        <v>693</v>
      </c>
      <c r="F296" t="s">
        <v>611</v>
      </c>
      <c r="G296" t="s">
        <v>265</v>
      </c>
      <c r="H296" t="str">
        <f t="shared" si="4"/>
        <v>WASHINGTON</v>
      </c>
    </row>
    <row r="297" spans="1:8" x14ac:dyDescent="0.25">
      <c r="A297">
        <v>2024</v>
      </c>
      <c r="B297" t="s">
        <v>658</v>
      </c>
      <c r="C297" t="s">
        <v>612</v>
      </c>
      <c r="D297" t="s">
        <v>693</v>
      </c>
      <c r="E297" t="s">
        <v>693</v>
      </c>
      <c r="F297" t="s">
        <v>612</v>
      </c>
      <c r="G297" t="s">
        <v>736</v>
      </c>
      <c r="H297" t="str">
        <f t="shared" si="4"/>
        <v>WATERLOO</v>
      </c>
    </row>
    <row r="298" spans="1:8" x14ac:dyDescent="0.25">
      <c r="A298">
        <v>2024</v>
      </c>
      <c r="B298" t="s">
        <v>657</v>
      </c>
      <c r="C298" t="s">
        <v>613</v>
      </c>
      <c r="D298" t="s">
        <v>693</v>
      </c>
      <c r="E298" t="s">
        <v>693</v>
      </c>
      <c r="F298" t="s">
        <v>613</v>
      </c>
      <c r="G298" t="s">
        <v>737</v>
      </c>
      <c r="H298" t="str">
        <f t="shared" si="4"/>
        <v>WAUKEE</v>
      </c>
    </row>
    <row r="299" spans="1:8" x14ac:dyDescent="0.25">
      <c r="A299">
        <v>2024</v>
      </c>
      <c r="B299" t="s">
        <v>658</v>
      </c>
      <c r="C299" t="s">
        <v>614</v>
      </c>
      <c r="D299" t="s">
        <v>693</v>
      </c>
      <c r="E299" t="s">
        <v>693</v>
      </c>
      <c r="F299" t="s">
        <v>614</v>
      </c>
      <c r="G299" t="s">
        <v>266</v>
      </c>
      <c r="H299" t="str">
        <f t="shared" si="4"/>
        <v>WAVERLY-SHELL ROCK</v>
      </c>
    </row>
    <row r="300" spans="1:8" x14ac:dyDescent="0.25">
      <c r="A300">
        <v>2024</v>
      </c>
      <c r="B300" t="s">
        <v>662</v>
      </c>
      <c r="C300" t="s">
        <v>615</v>
      </c>
      <c r="D300" t="s">
        <v>693</v>
      </c>
      <c r="E300" t="s">
        <v>693</v>
      </c>
      <c r="F300" t="s">
        <v>615</v>
      </c>
      <c r="G300" t="s">
        <v>267</v>
      </c>
      <c r="H300" t="str">
        <f t="shared" si="4"/>
        <v>WAYNE</v>
      </c>
    </row>
    <row r="301" spans="1:8" x14ac:dyDescent="0.25">
      <c r="A301">
        <v>2024</v>
      </c>
      <c r="B301" t="s">
        <v>661</v>
      </c>
      <c r="C301" t="s">
        <v>616</v>
      </c>
      <c r="D301" t="s">
        <v>522</v>
      </c>
      <c r="E301" t="s">
        <v>693</v>
      </c>
      <c r="F301" t="s">
        <v>616</v>
      </c>
      <c r="G301" t="s">
        <v>268</v>
      </c>
      <c r="H301" t="str">
        <f t="shared" si="4"/>
        <v>WEBSTER CITY</v>
      </c>
    </row>
    <row r="302" spans="1:8" x14ac:dyDescent="0.25">
      <c r="A302">
        <v>2024</v>
      </c>
      <c r="B302" t="s">
        <v>661</v>
      </c>
      <c r="C302" t="s">
        <v>617</v>
      </c>
      <c r="D302" t="s">
        <v>693</v>
      </c>
      <c r="E302" t="s">
        <v>693</v>
      </c>
      <c r="F302" t="s">
        <v>617</v>
      </c>
      <c r="G302" t="s">
        <v>738</v>
      </c>
      <c r="H302" t="str">
        <f t="shared" si="4"/>
        <v>WEST BEND-MALLARD</v>
      </c>
    </row>
    <row r="303" spans="1:8" x14ac:dyDescent="0.25">
      <c r="A303">
        <v>2024</v>
      </c>
      <c r="B303" t="s">
        <v>663</v>
      </c>
      <c r="C303" t="s">
        <v>618</v>
      </c>
      <c r="D303" t="s">
        <v>693</v>
      </c>
      <c r="E303" t="s">
        <v>693</v>
      </c>
      <c r="F303" t="s">
        <v>618</v>
      </c>
      <c r="G303" t="s">
        <v>269</v>
      </c>
      <c r="H303" t="str">
        <f t="shared" si="4"/>
        <v>WEST BRANCH</v>
      </c>
    </row>
    <row r="304" spans="1:8" x14ac:dyDescent="0.25">
      <c r="A304">
        <v>2024</v>
      </c>
      <c r="B304" t="s">
        <v>662</v>
      </c>
      <c r="C304" t="s">
        <v>619</v>
      </c>
      <c r="D304" t="s">
        <v>693</v>
      </c>
      <c r="E304" t="s">
        <v>693</v>
      </c>
      <c r="F304" t="s">
        <v>619</v>
      </c>
      <c r="G304" t="s">
        <v>739</v>
      </c>
      <c r="H304" t="str">
        <f t="shared" si="4"/>
        <v>WEST BURLINGTON</v>
      </c>
    </row>
    <row r="305" spans="1:8" x14ac:dyDescent="0.25">
      <c r="A305">
        <v>2024</v>
      </c>
      <c r="B305" t="s">
        <v>665</v>
      </c>
      <c r="C305" t="s">
        <v>620</v>
      </c>
      <c r="D305" t="s">
        <v>693</v>
      </c>
      <c r="E305" t="s">
        <v>693</v>
      </c>
      <c r="F305" t="s">
        <v>620</v>
      </c>
      <c r="G305" t="s">
        <v>270</v>
      </c>
      <c r="H305" t="str">
        <f t="shared" si="4"/>
        <v>WEST CENTRAL</v>
      </c>
    </row>
    <row r="306" spans="1:8" x14ac:dyDescent="0.25">
      <c r="A306">
        <v>2024</v>
      </c>
      <c r="B306" t="s">
        <v>657</v>
      </c>
      <c r="C306" t="s">
        <v>590</v>
      </c>
      <c r="D306" t="s">
        <v>693</v>
      </c>
      <c r="E306" t="s">
        <v>693</v>
      </c>
      <c r="F306" t="s">
        <v>590</v>
      </c>
      <c r="G306" t="s">
        <v>271</v>
      </c>
      <c r="H306" t="str">
        <f t="shared" si="4"/>
        <v>WEST CENTRAL VALLEY</v>
      </c>
    </row>
    <row r="307" spans="1:8" x14ac:dyDescent="0.25">
      <c r="A307">
        <v>2024</v>
      </c>
      <c r="B307" t="s">
        <v>665</v>
      </c>
      <c r="C307" t="s">
        <v>621</v>
      </c>
      <c r="D307" t="s">
        <v>693</v>
      </c>
      <c r="E307" t="s">
        <v>693</v>
      </c>
      <c r="F307" t="s">
        <v>621</v>
      </c>
      <c r="G307" t="s">
        <v>643</v>
      </c>
      <c r="H307" t="str">
        <f t="shared" si="4"/>
        <v>WEST DELAWARE CO</v>
      </c>
    </row>
    <row r="308" spans="1:8" x14ac:dyDescent="0.25">
      <c r="A308">
        <v>2024</v>
      </c>
      <c r="B308" t="s">
        <v>657</v>
      </c>
      <c r="C308" t="s">
        <v>622</v>
      </c>
      <c r="D308" t="s">
        <v>693</v>
      </c>
      <c r="E308" t="s">
        <v>693</v>
      </c>
      <c r="F308" t="s">
        <v>622</v>
      </c>
      <c r="G308" t="s">
        <v>740</v>
      </c>
      <c r="H308" t="str">
        <f t="shared" si="4"/>
        <v>WEST DES MOINES</v>
      </c>
    </row>
    <row r="309" spans="1:8" x14ac:dyDescent="0.25">
      <c r="A309">
        <v>2024</v>
      </c>
      <c r="B309" t="s">
        <v>658</v>
      </c>
      <c r="C309" t="s">
        <v>566</v>
      </c>
      <c r="D309" t="s">
        <v>693</v>
      </c>
      <c r="E309" t="s">
        <v>693</v>
      </c>
      <c r="F309" t="s">
        <v>566</v>
      </c>
      <c r="G309" t="s">
        <v>273</v>
      </c>
      <c r="H309" t="str">
        <f t="shared" si="4"/>
        <v>WEST FORK</v>
      </c>
    </row>
    <row r="310" spans="1:8" x14ac:dyDescent="0.25">
      <c r="A310">
        <v>2024</v>
      </c>
      <c r="B310" t="s">
        <v>658</v>
      </c>
      <c r="C310" t="s">
        <v>348</v>
      </c>
      <c r="D310" t="s">
        <v>693</v>
      </c>
      <c r="E310" t="s">
        <v>693</v>
      </c>
      <c r="F310" t="s">
        <v>348</v>
      </c>
      <c r="G310" t="s">
        <v>274</v>
      </c>
      <c r="H310" t="str">
        <f t="shared" si="4"/>
        <v>WEST HANCOCK</v>
      </c>
    </row>
    <row r="311" spans="1:8" x14ac:dyDescent="0.25">
      <c r="A311">
        <v>2024</v>
      </c>
      <c r="B311" t="s">
        <v>659</v>
      </c>
      <c r="C311" t="s">
        <v>624</v>
      </c>
      <c r="D311" t="s">
        <v>693</v>
      </c>
      <c r="E311" t="s">
        <v>693</v>
      </c>
      <c r="F311" t="s">
        <v>624</v>
      </c>
      <c r="G311" t="s">
        <v>275</v>
      </c>
      <c r="H311" t="str">
        <f t="shared" si="4"/>
        <v>WEST HARRISON</v>
      </c>
    </row>
    <row r="312" spans="1:8" x14ac:dyDescent="0.25">
      <c r="A312">
        <v>2024</v>
      </c>
      <c r="B312" t="s">
        <v>666</v>
      </c>
      <c r="C312" t="s">
        <v>625</v>
      </c>
      <c r="D312" t="s">
        <v>693</v>
      </c>
      <c r="E312" t="s">
        <v>693</v>
      </c>
      <c r="F312" t="s">
        <v>625</v>
      </c>
      <c r="G312" t="s">
        <v>276</v>
      </c>
      <c r="H312" t="str">
        <f t="shared" si="4"/>
        <v>WEST LIBERTY</v>
      </c>
    </row>
    <row r="313" spans="1:8" x14ac:dyDescent="0.25">
      <c r="A313">
        <v>2024</v>
      </c>
      <c r="B313" t="s">
        <v>660</v>
      </c>
      <c r="C313" t="s">
        <v>626</v>
      </c>
      <c r="D313" t="s">
        <v>693</v>
      </c>
      <c r="E313" t="s">
        <v>693</v>
      </c>
      <c r="F313" t="s">
        <v>626</v>
      </c>
      <c r="G313" t="s">
        <v>277</v>
      </c>
      <c r="H313" t="str">
        <f t="shared" si="4"/>
        <v>WEST LYON</v>
      </c>
    </row>
    <row r="314" spans="1:8" x14ac:dyDescent="0.25">
      <c r="A314">
        <v>2024</v>
      </c>
      <c r="B314" t="s">
        <v>658</v>
      </c>
      <c r="C314" t="s">
        <v>627</v>
      </c>
      <c r="D314" t="s">
        <v>693</v>
      </c>
      <c r="E314" t="s">
        <v>693</v>
      </c>
      <c r="F314" t="s">
        <v>627</v>
      </c>
      <c r="G314" t="s">
        <v>278</v>
      </c>
      <c r="H314" t="str">
        <f t="shared" si="4"/>
        <v>WEST MARSHALL</v>
      </c>
    </row>
    <row r="315" spans="1:8" x14ac:dyDescent="0.25">
      <c r="A315">
        <v>2024</v>
      </c>
      <c r="B315" t="s">
        <v>660</v>
      </c>
      <c r="C315" t="s">
        <v>628</v>
      </c>
      <c r="D315" t="s">
        <v>693</v>
      </c>
      <c r="E315" t="s">
        <v>693</v>
      </c>
      <c r="F315" t="s">
        <v>628</v>
      </c>
      <c r="G315" t="s">
        <v>279</v>
      </c>
      <c r="H315" t="str">
        <f t="shared" si="4"/>
        <v>WEST MONONA</v>
      </c>
    </row>
    <row r="316" spans="1:8" x14ac:dyDescent="0.25">
      <c r="A316">
        <v>2024</v>
      </c>
      <c r="B316" t="s">
        <v>660</v>
      </c>
      <c r="C316" t="s">
        <v>629</v>
      </c>
      <c r="D316" t="s">
        <v>693</v>
      </c>
      <c r="E316" t="s">
        <v>693</v>
      </c>
      <c r="F316" t="s">
        <v>629</v>
      </c>
      <c r="G316" t="s">
        <v>280</v>
      </c>
      <c r="H316" t="str">
        <f t="shared" si="4"/>
        <v>WEST SIOUX</v>
      </c>
    </row>
    <row r="317" spans="1:8" x14ac:dyDescent="0.25">
      <c r="A317">
        <v>2024</v>
      </c>
      <c r="B317" t="s">
        <v>665</v>
      </c>
      <c r="C317" t="s">
        <v>623</v>
      </c>
      <c r="D317" t="s">
        <v>693</v>
      </c>
      <c r="E317" t="s">
        <v>693</v>
      </c>
      <c r="F317" t="s">
        <v>623</v>
      </c>
      <c r="G317" t="s">
        <v>644</v>
      </c>
      <c r="H317" t="str">
        <f t="shared" si="4"/>
        <v>WESTERN DUBUQUE CO</v>
      </c>
    </row>
    <row r="318" spans="1:8" x14ac:dyDescent="0.25">
      <c r="A318">
        <v>2024</v>
      </c>
      <c r="B318" t="s">
        <v>660</v>
      </c>
      <c r="C318" t="s">
        <v>630</v>
      </c>
      <c r="D318" t="s">
        <v>693</v>
      </c>
      <c r="E318" t="s">
        <v>693</v>
      </c>
      <c r="F318" t="s">
        <v>630</v>
      </c>
      <c r="G318" t="s">
        <v>282</v>
      </c>
      <c r="H318" t="str">
        <f t="shared" si="4"/>
        <v>WESTWOOD</v>
      </c>
    </row>
    <row r="319" spans="1:8" x14ac:dyDescent="0.25">
      <c r="A319">
        <v>2024</v>
      </c>
      <c r="B319" t="s">
        <v>660</v>
      </c>
      <c r="C319" t="s">
        <v>631</v>
      </c>
      <c r="D319" t="s">
        <v>693</v>
      </c>
      <c r="E319" t="s">
        <v>693</v>
      </c>
      <c r="F319" t="s">
        <v>631</v>
      </c>
      <c r="G319" t="s">
        <v>283</v>
      </c>
      <c r="H319" t="str">
        <f t="shared" si="4"/>
        <v>WHITING</v>
      </c>
    </row>
    <row r="320" spans="1:8" x14ac:dyDescent="0.25">
      <c r="A320">
        <v>2024</v>
      </c>
      <c r="B320" t="s">
        <v>663</v>
      </c>
      <c r="C320" t="s">
        <v>632</v>
      </c>
      <c r="D320" t="s">
        <v>693</v>
      </c>
      <c r="E320" t="s">
        <v>693</v>
      </c>
      <c r="F320" t="s">
        <v>632</v>
      </c>
      <c r="G320" t="s">
        <v>284</v>
      </c>
      <c r="H320" t="str">
        <f t="shared" si="4"/>
        <v>WILLIAMSBURG</v>
      </c>
    </row>
    <row r="321" spans="1:8" x14ac:dyDescent="0.25">
      <c r="A321">
        <v>2024</v>
      </c>
      <c r="B321" t="s">
        <v>666</v>
      </c>
      <c r="C321" t="s">
        <v>633</v>
      </c>
      <c r="D321" t="s">
        <v>693</v>
      </c>
      <c r="E321" t="s">
        <v>693</v>
      </c>
      <c r="F321" t="s">
        <v>633</v>
      </c>
      <c r="G321" t="s">
        <v>285</v>
      </c>
      <c r="H321" t="str">
        <f t="shared" si="4"/>
        <v>WILTON</v>
      </c>
    </row>
    <row r="322" spans="1:8" x14ac:dyDescent="0.25">
      <c r="A322">
        <v>2024</v>
      </c>
      <c r="B322" t="s">
        <v>662</v>
      </c>
      <c r="C322" t="s">
        <v>634</v>
      </c>
      <c r="D322" t="s">
        <v>693</v>
      </c>
      <c r="E322" t="s">
        <v>693</v>
      </c>
      <c r="F322" t="s">
        <v>634</v>
      </c>
      <c r="G322" t="s">
        <v>286</v>
      </c>
      <c r="H322" t="str">
        <f t="shared" si="4"/>
        <v>WINFIELD-MT UNION</v>
      </c>
    </row>
    <row r="323" spans="1:8" x14ac:dyDescent="0.25">
      <c r="A323">
        <v>2024</v>
      </c>
      <c r="B323" t="s">
        <v>657</v>
      </c>
      <c r="C323" t="s">
        <v>635</v>
      </c>
      <c r="D323" t="s">
        <v>693</v>
      </c>
      <c r="E323" t="s">
        <v>693</v>
      </c>
      <c r="F323" t="s">
        <v>635</v>
      </c>
      <c r="G323" t="s">
        <v>287</v>
      </c>
      <c r="H323" t="str">
        <f t="shared" ref="H323:H326" si="5">UPPER(G323)</f>
        <v>WINTERSET</v>
      </c>
    </row>
    <row r="324" spans="1:8" x14ac:dyDescent="0.25">
      <c r="A324">
        <v>2024</v>
      </c>
      <c r="B324" t="s">
        <v>659</v>
      </c>
      <c r="C324" t="s">
        <v>636</v>
      </c>
      <c r="D324" t="s">
        <v>693</v>
      </c>
      <c r="E324" t="s">
        <v>693</v>
      </c>
      <c r="F324" t="s">
        <v>636</v>
      </c>
      <c r="G324" t="s">
        <v>288</v>
      </c>
      <c r="H324" t="str">
        <f t="shared" si="5"/>
        <v>WOODBINE</v>
      </c>
    </row>
    <row r="325" spans="1:8" x14ac:dyDescent="0.25">
      <c r="A325">
        <v>2024</v>
      </c>
      <c r="B325" t="s">
        <v>660</v>
      </c>
      <c r="C325" t="s">
        <v>637</v>
      </c>
      <c r="D325" t="s">
        <v>693</v>
      </c>
      <c r="E325" t="s">
        <v>693</v>
      </c>
      <c r="F325" t="s">
        <v>637</v>
      </c>
      <c r="G325" t="s">
        <v>289</v>
      </c>
      <c r="H325" t="str">
        <f t="shared" si="5"/>
        <v>WOODBURY CENTRAL</v>
      </c>
    </row>
    <row r="326" spans="1:8" x14ac:dyDescent="0.25">
      <c r="A326">
        <v>2024</v>
      </c>
      <c r="B326" t="s">
        <v>657</v>
      </c>
      <c r="C326" t="s">
        <v>638</v>
      </c>
      <c r="D326" t="s">
        <v>693</v>
      </c>
      <c r="E326" t="s">
        <v>693</v>
      </c>
      <c r="F326" t="s">
        <v>638</v>
      </c>
      <c r="G326" t="s">
        <v>290</v>
      </c>
      <c r="H326" t="str">
        <f t="shared" si="5"/>
        <v>WOODWARD-GRANGER</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M336"/>
  <sheetViews>
    <sheetView workbookViewId="0">
      <pane xSplit="3" ySplit="1" topLeftCell="D281" activePane="bottomRight" state="frozen"/>
      <selection activeCell="K7" sqref="K7"/>
      <selection pane="topRight" activeCell="K7" sqref="K7"/>
      <selection pane="bottomLeft" activeCell="K7" sqref="K7"/>
      <selection pane="bottomRight" activeCell="K7" sqref="K7"/>
    </sheetView>
  </sheetViews>
  <sheetFormatPr defaultRowHeight="15" x14ac:dyDescent="0.25"/>
  <cols>
    <col min="2" max="2" width="6.7109375" customWidth="1"/>
    <col min="3" max="3" width="28.42578125" bestFit="1" customWidth="1"/>
    <col min="4" max="4" width="7.85546875" customWidth="1"/>
    <col min="5" max="5" width="12.42578125" bestFit="1" customWidth="1"/>
    <col min="7" max="7" width="11.7109375" bestFit="1" customWidth="1"/>
    <col min="8" max="8" width="11.7109375" customWidth="1"/>
    <col min="9" max="9" width="12.85546875" bestFit="1" customWidth="1"/>
    <col min="10" max="10" width="21" bestFit="1" customWidth="1"/>
    <col min="13" max="13" width="11" bestFit="1" customWidth="1"/>
  </cols>
  <sheetData>
    <row r="1" spans="1:13" x14ac:dyDescent="0.25">
      <c r="A1" t="s">
        <v>8</v>
      </c>
      <c r="B1" t="s">
        <v>9</v>
      </c>
      <c r="C1" t="s">
        <v>10</v>
      </c>
      <c r="D1" t="s">
        <v>11</v>
      </c>
      <c r="E1" t="s">
        <v>12</v>
      </c>
      <c r="F1" t="s">
        <v>291</v>
      </c>
      <c r="G1" s="14">
        <v>0.75</v>
      </c>
      <c r="H1" t="s">
        <v>11</v>
      </c>
      <c r="I1" t="s">
        <v>294</v>
      </c>
      <c r="J1" t="s">
        <v>295</v>
      </c>
      <c r="L1" t="s">
        <v>292</v>
      </c>
      <c r="M1" t="s">
        <v>293</v>
      </c>
    </row>
    <row r="2" spans="1:13" x14ac:dyDescent="0.25">
      <c r="A2" s="5" t="s">
        <v>13</v>
      </c>
      <c r="B2" s="15">
        <v>441</v>
      </c>
      <c r="C2" s="5" t="s">
        <v>14</v>
      </c>
      <c r="D2" s="7">
        <v>3</v>
      </c>
      <c r="E2" s="7">
        <v>9</v>
      </c>
      <c r="F2" s="6">
        <v>379238</v>
      </c>
      <c r="G2" s="21">
        <f>ROUND(F2*0.75,2)</f>
        <v>284428.5</v>
      </c>
      <c r="H2" s="21">
        <f>ROUND((D2/(D2+E2))*$G2,2)</f>
        <v>71107.13</v>
      </c>
      <c r="I2" s="21">
        <f>G2-H2</f>
        <v>213321.37</v>
      </c>
      <c r="J2" s="1">
        <f>H2+I2-G2</f>
        <v>0</v>
      </c>
      <c r="K2" s="1"/>
      <c r="L2" s="2">
        <v>9</v>
      </c>
      <c r="M2">
        <v>308383</v>
      </c>
    </row>
    <row r="3" spans="1:13" x14ac:dyDescent="0.25">
      <c r="A3" s="3" t="s">
        <v>13</v>
      </c>
      <c r="B3" s="2">
        <v>18</v>
      </c>
      <c r="C3" s="3" t="s">
        <v>15</v>
      </c>
      <c r="D3" s="4">
        <v>4</v>
      </c>
      <c r="E3" s="4">
        <v>4</v>
      </c>
      <c r="F3">
        <f t="shared" ref="F3:F66" si="0">INDEX($L$2:$M$336,MATCH(B3,$L$2:$L$336,0),2)</f>
        <v>153328</v>
      </c>
      <c r="G3" s="1">
        <f t="shared" ref="G3:G55" si="1">ROUND(F3*0.75,2)</f>
        <v>114996</v>
      </c>
      <c r="H3" s="1">
        <f t="shared" ref="H3:H55" si="2">ROUND((D3/(D3+E3))*$G3,2)</f>
        <v>57498</v>
      </c>
      <c r="I3" s="1">
        <f t="shared" ref="I3:I41" si="3">G3-H3</f>
        <v>57498</v>
      </c>
      <c r="J3" s="1">
        <f t="shared" ref="J3:J66" si="4">H3+I3-G3</f>
        <v>0</v>
      </c>
      <c r="K3" s="1"/>
      <c r="L3" s="2">
        <v>18</v>
      </c>
      <c r="M3">
        <v>153328</v>
      </c>
    </row>
    <row r="4" spans="1:13" x14ac:dyDescent="0.25">
      <c r="A4" s="3" t="s">
        <v>13</v>
      </c>
      <c r="B4" s="2">
        <v>9</v>
      </c>
      <c r="C4" s="3" t="s">
        <v>0</v>
      </c>
      <c r="D4" s="4">
        <v>8</v>
      </c>
      <c r="E4" s="4">
        <v>0</v>
      </c>
      <c r="F4">
        <f t="shared" si="0"/>
        <v>308383</v>
      </c>
      <c r="G4" s="1">
        <f t="shared" si="1"/>
        <v>231287.25</v>
      </c>
      <c r="H4" s="1">
        <f t="shared" si="2"/>
        <v>231287.25</v>
      </c>
      <c r="I4" s="1">
        <f t="shared" si="3"/>
        <v>0</v>
      </c>
      <c r="J4" s="1">
        <f t="shared" si="4"/>
        <v>0</v>
      </c>
      <c r="K4" s="1"/>
      <c r="L4" s="2">
        <v>27</v>
      </c>
      <c r="M4">
        <v>0</v>
      </c>
    </row>
    <row r="5" spans="1:13" x14ac:dyDescent="0.25">
      <c r="A5" s="3" t="s">
        <v>13</v>
      </c>
      <c r="B5" s="2">
        <v>63</v>
      </c>
      <c r="C5" s="3" t="s">
        <v>16</v>
      </c>
      <c r="D5" s="4">
        <v>0</v>
      </c>
      <c r="E5" s="4">
        <v>4</v>
      </c>
      <c r="F5">
        <f t="shared" si="0"/>
        <v>115121</v>
      </c>
      <c r="G5" s="1">
        <f t="shared" si="1"/>
        <v>86340.75</v>
      </c>
      <c r="H5" s="1">
        <f t="shared" si="2"/>
        <v>0</v>
      </c>
      <c r="I5" s="1">
        <f t="shared" si="3"/>
        <v>86340.75</v>
      </c>
      <c r="J5" s="1">
        <f t="shared" si="4"/>
        <v>0</v>
      </c>
      <c r="K5" s="1"/>
      <c r="L5" s="2">
        <v>63</v>
      </c>
      <c r="M5">
        <v>115121</v>
      </c>
    </row>
    <row r="6" spans="1:13" x14ac:dyDescent="0.25">
      <c r="A6" s="3" t="s">
        <v>13</v>
      </c>
      <c r="B6" s="2">
        <v>81</v>
      </c>
      <c r="C6" s="3" t="s">
        <v>17</v>
      </c>
      <c r="D6" s="4">
        <v>0</v>
      </c>
      <c r="E6" s="4">
        <v>9</v>
      </c>
      <c r="F6">
        <f t="shared" si="0"/>
        <v>470638</v>
      </c>
      <c r="G6" s="1">
        <f t="shared" si="1"/>
        <v>352978.5</v>
      </c>
      <c r="H6" s="1">
        <f t="shared" si="2"/>
        <v>0</v>
      </c>
      <c r="I6" s="1">
        <f t="shared" si="3"/>
        <v>352978.5</v>
      </c>
      <c r="J6" s="1">
        <f t="shared" si="4"/>
        <v>0</v>
      </c>
      <c r="K6" s="1"/>
      <c r="L6" s="2">
        <v>72</v>
      </c>
      <c r="M6">
        <v>0</v>
      </c>
    </row>
    <row r="7" spans="1:13" x14ac:dyDescent="0.25">
      <c r="A7" s="3" t="s">
        <v>13</v>
      </c>
      <c r="B7" s="2">
        <v>99</v>
      </c>
      <c r="C7" s="3" t="s">
        <v>18</v>
      </c>
      <c r="D7" s="4">
        <v>2</v>
      </c>
      <c r="E7" s="4">
        <v>0</v>
      </c>
      <c r="F7">
        <f t="shared" si="0"/>
        <v>80053</v>
      </c>
      <c r="G7" s="1">
        <f t="shared" si="1"/>
        <v>60039.75</v>
      </c>
      <c r="H7" s="1">
        <f t="shared" si="2"/>
        <v>60039.75</v>
      </c>
      <c r="I7" s="1">
        <f>G7-H7</f>
        <v>0</v>
      </c>
      <c r="J7" s="1">
        <f t="shared" si="4"/>
        <v>0</v>
      </c>
      <c r="K7" s="1"/>
      <c r="L7" s="2">
        <v>81</v>
      </c>
      <c r="M7">
        <v>470638</v>
      </c>
    </row>
    <row r="8" spans="1:13" x14ac:dyDescent="0.25">
      <c r="A8" s="3" t="s">
        <v>13</v>
      </c>
      <c r="B8" s="2">
        <v>108</v>
      </c>
      <c r="C8" s="3" t="s">
        <v>19</v>
      </c>
      <c r="D8" s="4">
        <v>0</v>
      </c>
      <c r="E8" s="4">
        <v>9</v>
      </c>
      <c r="F8">
        <f t="shared" si="0"/>
        <v>108240</v>
      </c>
      <c r="G8" s="1">
        <f t="shared" si="1"/>
        <v>81180</v>
      </c>
      <c r="H8" s="1">
        <f t="shared" si="2"/>
        <v>0</v>
      </c>
      <c r="I8" s="1">
        <f t="shared" si="3"/>
        <v>81180</v>
      </c>
      <c r="J8" s="1">
        <f t="shared" si="4"/>
        <v>0</v>
      </c>
      <c r="K8" s="1"/>
      <c r="L8" s="2">
        <v>99</v>
      </c>
      <c r="M8">
        <v>80053</v>
      </c>
    </row>
    <row r="9" spans="1:13" x14ac:dyDescent="0.25">
      <c r="A9" s="3" t="s">
        <v>13</v>
      </c>
      <c r="B9" s="2">
        <v>126</v>
      </c>
      <c r="C9" s="3" t="s">
        <v>20</v>
      </c>
      <c r="D9" s="4">
        <v>0</v>
      </c>
      <c r="E9" s="4">
        <v>6</v>
      </c>
      <c r="F9">
        <f t="shared" si="0"/>
        <v>679704</v>
      </c>
      <c r="G9" s="1">
        <f t="shared" si="1"/>
        <v>509778</v>
      </c>
      <c r="H9" s="1">
        <f t="shared" si="2"/>
        <v>0</v>
      </c>
      <c r="I9" s="1">
        <f t="shared" si="3"/>
        <v>509778</v>
      </c>
      <c r="J9" s="1">
        <f t="shared" si="4"/>
        <v>0</v>
      </c>
      <c r="K9" s="1"/>
      <c r="L9" s="2">
        <v>108</v>
      </c>
      <c r="M9">
        <v>108240</v>
      </c>
    </row>
    <row r="10" spans="1:13" x14ac:dyDescent="0.25">
      <c r="A10" s="3" t="s">
        <v>13</v>
      </c>
      <c r="B10" s="2">
        <v>135</v>
      </c>
      <c r="C10" s="3" t="s">
        <v>21</v>
      </c>
      <c r="D10" s="4">
        <v>8</v>
      </c>
      <c r="E10" s="4">
        <v>0</v>
      </c>
      <c r="F10">
        <f t="shared" si="0"/>
        <v>468372</v>
      </c>
      <c r="G10" s="1">
        <f t="shared" si="1"/>
        <v>351279</v>
      </c>
      <c r="H10" s="1">
        <f t="shared" si="2"/>
        <v>351279</v>
      </c>
      <c r="I10" s="1">
        <f t="shared" si="3"/>
        <v>0</v>
      </c>
      <c r="J10" s="1">
        <f t="shared" si="4"/>
        <v>0</v>
      </c>
      <c r="K10" s="1"/>
      <c r="L10" s="2">
        <v>126</v>
      </c>
      <c r="M10">
        <v>679704</v>
      </c>
    </row>
    <row r="11" spans="1:13" x14ac:dyDescent="0.25">
      <c r="A11" s="3" t="s">
        <v>13</v>
      </c>
      <c r="B11" s="2">
        <v>171</v>
      </c>
      <c r="C11" s="3" t="s">
        <v>22</v>
      </c>
      <c r="D11" s="4">
        <v>0</v>
      </c>
      <c r="E11" s="4">
        <v>8</v>
      </c>
      <c r="F11">
        <f t="shared" si="0"/>
        <v>226490</v>
      </c>
      <c r="G11" s="1">
        <f t="shared" si="1"/>
        <v>169867.5</v>
      </c>
      <c r="H11" s="1">
        <f t="shared" si="2"/>
        <v>0</v>
      </c>
      <c r="I11" s="1">
        <f>G11-H11</f>
        <v>169867.5</v>
      </c>
      <c r="J11" s="1">
        <f t="shared" si="4"/>
        <v>0</v>
      </c>
      <c r="K11" s="1"/>
      <c r="L11" s="2">
        <v>135</v>
      </c>
      <c r="M11">
        <v>468372</v>
      </c>
    </row>
    <row r="12" spans="1:13" x14ac:dyDescent="0.25">
      <c r="A12" s="3" t="s">
        <v>13</v>
      </c>
      <c r="B12" s="2">
        <v>225</v>
      </c>
      <c r="C12" s="3" t="s">
        <v>23</v>
      </c>
      <c r="D12" s="4">
        <v>0</v>
      </c>
      <c r="E12" s="4">
        <v>4</v>
      </c>
      <c r="F12">
        <f t="shared" si="0"/>
        <v>1896133</v>
      </c>
      <c r="G12" s="1">
        <f t="shared" si="1"/>
        <v>1422099.75</v>
      </c>
      <c r="H12" s="1">
        <f t="shared" si="2"/>
        <v>0</v>
      </c>
      <c r="I12" s="1">
        <f t="shared" si="3"/>
        <v>1422099.75</v>
      </c>
      <c r="J12" s="1">
        <f t="shared" si="4"/>
        <v>0</v>
      </c>
      <c r="K12" s="1"/>
      <c r="L12" s="2">
        <v>153</v>
      </c>
      <c r="M12">
        <v>155803</v>
      </c>
    </row>
    <row r="13" spans="1:13" x14ac:dyDescent="0.25">
      <c r="A13" s="3" t="s">
        <v>13</v>
      </c>
      <c r="B13" s="2">
        <v>234</v>
      </c>
      <c r="C13" s="3" t="s">
        <v>24</v>
      </c>
      <c r="D13" s="4">
        <v>0</v>
      </c>
      <c r="E13" s="4">
        <v>7.0000000000000009</v>
      </c>
      <c r="F13">
        <f t="shared" si="0"/>
        <v>548096</v>
      </c>
      <c r="G13" s="1">
        <f t="shared" si="1"/>
        <v>411072</v>
      </c>
      <c r="H13" s="1">
        <f t="shared" si="2"/>
        <v>0</v>
      </c>
      <c r="I13" s="1">
        <f t="shared" si="3"/>
        <v>411072</v>
      </c>
      <c r="J13" s="1">
        <f t="shared" si="4"/>
        <v>0</v>
      </c>
      <c r="K13" s="1"/>
      <c r="L13" s="2">
        <v>171</v>
      </c>
      <c r="M13">
        <v>226490</v>
      </c>
    </row>
    <row r="14" spans="1:13" x14ac:dyDescent="0.25">
      <c r="A14" s="3" t="s">
        <v>13</v>
      </c>
      <c r="B14" s="2">
        <v>243</v>
      </c>
      <c r="C14" s="3" t="s">
        <v>25</v>
      </c>
      <c r="D14" s="4">
        <v>0</v>
      </c>
      <c r="E14" s="4">
        <v>13</v>
      </c>
      <c r="F14">
        <f t="shared" si="0"/>
        <v>162744</v>
      </c>
      <c r="G14" s="1">
        <f t="shared" si="1"/>
        <v>122058</v>
      </c>
      <c r="H14" s="1">
        <f t="shared" si="2"/>
        <v>0</v>
      </c>
      <c r="I14" s="1">
        <f t="shared" si="3"/>
        <v>122058</v>
      </c>
      <c r="J14" s="1">
        <f t="shared" si="4"/>
        <v>0</v>
      </c>
      <c r="K14" s="1"/>
      <c r="L14" s="2">
        <v>225</v>
      </c>
      <c r="M14">
        <v>1896133</v>
      </c>
    </row>
    <row r="15" spans="1:13" x14ac:dyDescent="0.25">
      <c r="A15" s="3" t="s">
        <v>13</v>
      </c>
      <c r="B15" s="2">
        <v>279</v>
      </c>
      <c r="C15" s="3" t="s">
        <v>26</v>
      </c>
      <c r="D15" s="4">
        <v>0</v>
      </c>
      <c r="E15" s="4">
        <v>7.0000000000000009</v>
      </c>
      <c r="F15">
        <f t="shared" si="0"/>
        <v>285769</v>
      </c>
      <c r="G15" s="1">
        <f t="shared" si="1"/>
        <v>214326.75</v>
      </c>
      <c r="H15" s="1">
        <f t="shared" si="2"/>
        <v>0</v>
      </c>
      <c r="I15" s="1">
        <f t="shared" si="3"/>
        <v>214326.75</v>
      </c>
      <c r="J15" s="1">
        <f t="shared" si="4"/>
        <v>0</v>
      </c>
      <c r="K15" s="1"/>
      <c r="L15" s="2">
        <v>234</v>
      </c>
      <c r="M15">
        <v>548096</v>
      </c>
    </row>
    <row r="16" spans="1:13" x14ac:dyDescent="0.25">
      <c r="A16" s="3" t="s">
        <v>13</v>
      </c>
      <c r="B16" s="2">
        <v>355</v>
      </c>
      <c r="C16" s="3" t="s">
        <v>27</v>
      </c>
      <c r="D16" s="4">
        <v>0</v>
      </c>
      <c r="E16" s="4">
        <v>8</v>
      </c>
      <c r="F16">
        <f t="shared" si="0"/>
        <v>149111</v>
      </c>
      <c r="G16" s="1">
        <f t="shared" si="1"/>
        <v>111833.25</v>
      </c>
      <c r="H16" s="1">
        <f t="shared" si="2"/>
        <v>0</v>
      </c>
      <c r="I16" s="1">
        <f t="shared" si="3"/>
        <v>111833.25</v>
      </c>
      <c r="J16" s="1">
        <f t="shared" si="4"/>
        <v>0</v>
      </c>
      <c r="K16" s="1"/>
      <c r="L16" s="2">
        <v>243</v>
      </c>
      <c r="M16">
        <v>162744</v>
      </c>
    </row>
    <row r="17" spans="1:13" x14ac:dyDescent="0.25">
      <c r="A17" s="3" t="s">
        <v>13</v>
      </c>
      <c r="B17" s="2">
        <v>387</v>
      </c>
      <c r="C17" s="3" t="s">
        <v>28</v>
      </c>
      <c r="D17" s="4">
        <v>0</v>
      </c>
      <c r="E17" s="4">
        <v>9</v>
      </c>
      <c r="F17">
        <f t="shared" si="0"/>
        <v>622988</v>
      </c>
      <c r="G17" s="1">
        <f t="shared" si="1"/>
        <v>467241</v>
      </c>
      <c r="H17" s="1">
        <f t="shared" si="2"/>
        <v>0</v>
      </c>
      <c r="I17" s="1">
        <f t="shared" si="3"/>
        <v>467241</v>
      </c>
      <c r="J17" s="1">
        <f t="shared" si="4"/>
        <v>0</v>
      </c>
      <c r="K17" s="1"/>
      <c r="L17" s="2">
        <v>261</v>
      </c>
      <c r="M17">
        <v>0</v>
      </c>
    </row>
    <row r="18" spans="1:13" x14ac:dyDescent="0.25">
      <c r="A18" s="3" t="s">
        <v>13</v>
      </c>
      <c r="B18" s="2">
        <v>414</v>
      </c>
      <c r="C18" s="3" t="s">
        <v>29</v>
      </c>
      <c r="D18" s="4">
        <v>0</v>
      </c>
      <c r="E18" s="4">
        <v>8</v>
      </c>
      <c r="F18">
        <f t="shared" si="0"/>
        <v>283362</v>
      </c>
      <c r="G18" s="1">
        <f t="shared" si="1"/>
        <v>212521.5</v>
      </c>
      <c r="H18" s="1">
        <f t="shared" si="2"/>
        <v>0</v>
      </c>
      <c r="I18" s="1">
        <f t="shared" si="3"/>
        <v>212521.5</v>
      </c>
      <c r="J18" s="1">
        <f t="shared" si="4"/>
        <v>0</v>
      </c>
      <c r="K18" s="1"/>
      <c r="L18" s="2">
        <v>279</v>
      </c>
      <c r="M18">
        <v>285769</v>
      </c>
    </row>
    <row r="19" spans="1:13" x14ac:dyDescent="0.25">
      <c r="A19" s="3" t="s">
        <v>13</v>
      </c>
      <c r="B19" s="2">
        <v>423</v>
      </c>
      <c r="C19" s="3" t="s">
        <v>30</v>
      </c>
      <c r="D19" s="4">
        <v>0</v>
      </c>
      <c r="E19" s="4">
        <v>6</v>
      </c>
      <c r="F19">
        <f t="shared" si="0"/>
        <v>86845</v>
      </c>
      <c r="G19" s="1">
        <f t="shared" si="1"/>
        <v>65133.75</v>
      </c>
      <c r="H19" s="1">
        <f t="shared" si="2"/>
        <v>0</v>
      </c>
      <c r="I19" s="1">
        <f t="shared" si="3"/>
        <v>65133.75</v>
      </c>
      <c r="J19" s="1">
        <f t="shared" si="4"/>
        <v>0</v>
      </c>
      <c r="K19" s="1"/>
      <c r="L19" s="2">
        <v>333</v>
      </c>
      <c r="M19">
        <v>302831</v>
      </c>
    </row>
    <row r="20" spans="1:13" x14ac:dyDescent="0.25">
      <c r="A20" s="3" t="s">
        <v>13</v>
      </c>
      <c r="B20" s="2">
        <v>472</v>
      </c>
      <c r="C20" s="3" t="s">
        <v>31</v>
      </c>
      <c r="D20" s="4">
        <v>2</v>
      </c>
      <c r="E20" s="4">
        <v>0</v>
      </c>
      <c r="F20">
        <f t="shared" si="0"/>
        <v>188686</v>
      </c>
      <c r="G20" s="1">
        <f t="shared" si="1"/>
        <v>141514.5</v>
      </c>
      <c r="H20" s="1">
        <f t="shared" si="2"/>
        <v>141514.5</v>
      </c>
      <c r="I20" s="1">
        <f t="shared" si="3"/>
        <v>0</v>
      </c>
      <c r="J20" s="1">
        <f t="shared" si="4"/>
        <v>0</v>
      </c>
      <c r="K20" s="1"/>
      <c r="L20" s="2">
        <v>355</v>
      </c>
      <c r="M20">
        <v>149111</v>
      </c>
    </row>
    <row r="21" spans="1:13" x14ac:dyDescent="0.25">
      <c r="A21" s="3" t="s">
        <v>13</v>
      </c>
      <c r="B21" s="2">
        <v>504</v>
      </c>
      <c r="C21" s="3" t="s">
        <v>32</v>
      </c>
      <c r="D21" s="4">
        <v>0</v>
      </c>
      <c r="E21" s="4">
        <v>1</v>
      </c>
      <c r="F21">
        <f t="shared" si="0"/>
        <v>40753</v>
      </c>
      <c r="G21" s="1">
        <f t="shared" si="1"/>
        <v>30564.75</v>
      </c>
      <c r="H21" s="1">
        <f t="shared" si="2"/>
        <v>0</v>
      </c>
      <c r="I21" s="1">
        <f t="shared" si="3"/>
        <v>30564.75</v>
      </c>
      <c r="J21" s="1">
        <f t="shared" si="4"/>
        <v>0</v>
      </c>
      <c r="K21" s="1"/>
      <c r="L21" s="2">
        <v>387</v>
      </c>
      <c r="M21">
        <v>622988</v>
      </c>
    </row>
    <row r="22" spans="1:13" x14ac:dyDescent="0.25">
      <c r="A22" s="3" t="s">
        <v>13</v>
      </c>
      <c r="B22" s="2">
        <v>513</v>
      </c>
      <c r="C22" s="3" t="s">
        <v>33</v>
      </c>
      <c r="D22" s="4">
        <v>2</v>
      </c>
      <c r="E22" s="4">
        <v>7.0000000000000009</v>
      </c>
      <c r="F22">
        <f t="shared" si="0"/>
        <v>159593</v>
      </c>
      <c r="G22" s="1">
        <f t="shared" si="1"/>
        <v>119694.75</v>
      </c>
      <c r="H22" s="1">
        <f t="shared" si="2"/>
        <v>26598.83</v>
      </c>
      <c r="I22" s="1">
        <f t="shared" si="3"/>
        <v>93095.92</v>
      </c>
      <c r="J22" s="1">
        <f t="shared" si="4"/>
        <v>0</v>
      </c>
      <c r="K22" s="1"/>
      <c r="L22" s="2">
        <v>414</v>
      </c>
      <c r="M22">
        <v>283362</v>
      </c>
    </row>
    <row r="23" spans="1:13" x14ac:dyDescent="0.25">
      <c r="A23" s="3" t="s">
        <v>13</v>
      </c>
      <c r="B23" s="2">
        <v>540</v>
      </c>
      <c r="C23" s="3" t="s">
        <v>1</v>
      </c>
      <c r="D23" s="4">
        <v>0</v>
      </c>
      <c r="E23" s="4">
        <v>8</v>
      </c>
      <c r="F23">
        <f t="shared" si="0"/>
        <v>277946</v>
      </c>
      <c r="G23" s="1">
        <f t="shared" si="1"/>
        <v>208459.5</v>
      </c>
      <c r="H23" s="1">
        <f t="shared" si="2"/>
        <v>0</v>
      </c>
      <c r="I23" s="1">
        <f t="shared" si="3"/>
        <v>208459.5</v>
      </c>
      <c r="J23" s="1">
        <f t="shared" si="4"/>
        <v>0</v>
      </c>
      <c r="K23" s="1"/>
      <c r="L23" s="2">
        <v>423</v>
      </c>
      <c r="M23">
        <v>86845</v>
      </c>
    </row>
    <row r="24" spans="1:13" x14ac:dyDescent="0.25">
      <c r="A24" s="3" t="s">
        <v>13</v>
      </c>
      <c r="B24" s="2">
        <v>549</v>
      </c>
      <c r="C24" s="3" t="s">
        <v>34</v>
      </c>
      <c r="D24" s="4">
        <v>0</v>
      </c>
      <c r="E24" s="4">
        <v>10</v>
      </c>
      <c r="F24">
        <f t="shared" si="0"/>
        <v>183841</v>
      </c>
      <c r="G24" s="1">
        <f t="shared" si="1"/>
        <v>137880.75</v>
      </c>
      <c r="H24" s="1">
        <f t="shared" si="2"/>
        <v>0</v>
      </c>
      <c r="I24" s="1">
        <f t="shared" si="3"/>
        <v>137880.75</v>
      </c>
      <c r="J24" s="1">
        <f t="shared" si="4"/>
        <v>0</v>
      </c>
      <c r="K24" s="1"/>
      <c r="L24" s="2">
        <v>441</v>
      </c>
      <c r="M24">
        <v>388722</v>
      </c>
    </row>
    <row r="25" spans="1:13" x14ac:dyDescent="0.25">
      <c r="A25" s="3" t="s">
        <v>13</v>
      </c>
      <c r="B25" s="2">
        <v>576</v>
      </c>
      <c r="C25" s="3" t="s">
        <v>35</v>
      </c>
      <c r="D25" s="4">
        <v>1</v>
      </c>
      <c r="E25" s="4">
        <v>8</v>
      </c>
      <c r="F25">
        <f t="shared" si="0"/>
        <v>245375</v>
      </c>
      <c r="G25" s="1">
        <f t="shared" si="1"/>
        <v>184031.25</v>
      </c>
      <c r="H25" s="1">
        <f t="shared" si="2"/>
        <v>20447.919999999998</v>
      </c>
      <c r="I25" s="1">
        <f t="shared" si="3"/>
        <v>163583.33000000002</v>
      </c>
      <c r="J25" s="1">
        <f t="shared" si="4"/>
        <v>0</v>
      </c>
      <c r="K25" s="1"/>
      <c r="L25" s="2">
        <v>472</v>
      </c>
      <c r="M25">
        <v>188686</v>
      </c>
    </row>
    <row r="26" spans="1:13" x14ac:dyDescent="0.25">
      <c r="A26" s="3" t="s">
        <v>13</v>
      </c>
      <c r="B26" s="2">
        <v>585</v>
      </c>
      <c r="C26" s="3" t="s">
        <v>36</v>
      </c>
      <c r="D26" s="4">
        <v>4</v>
      </c>
      <c r="E26" s="4">
        <v>0</v>
      </c>
      <c r="F26">
        <f t="shared" si="0"/>
        <v>189713</v>
      </c>
      <c r="G26" s="1">
        <f t="shared" si="1"/>
        <v>142284.75</v>
      </c>
      <c r="H26" s="1">
        <f t="shared" si="2"/>
        <v>142284.75</v>
      </c>
      <c r="I26" s="1">
        <f t="shared" si="3"/>
        <v>0</v>
      </c>
      <c r="J26" s="1">
        <f t="shared" si="4"/>
        <v>0</v>
      </c>
      <c r="K26" s="1"/>
      <c r="L26" s="2">
        <v>504</v>
      </c>
      <c r="M26">
        <v>40753</v>
      </c>
    </row>
    <row r="27" spans="1:13" x14ac:dyDescent="0.25">
      <c r="A27" s="3" t="s">
        <v>13</v>
      </c>
      <c r="B27" s="2">
        <v>603</v>
      </c>
      <c r="C27" s="3" t="s">
        <v>37</v>
      </c>
      <c r="D27" s="4">
        <v>0</v>
      </c>
      <c r="E27" s="4">
        <v>1</v>
      </c>
      <c r="F27">
        <f t="shared" si="0"/>
        <v>11726</v>
      </c>
      <c r="G27" s="1">
        <f t="shared" si="1"/>
        <v>8794.5</v>
      </c>
      <c r="H27" s="1">
        <f t="shared" si="2"/>
        <v>0</v>
      </c>
      <c r="I27" s="1">
        <f t="shared" si="3"/>
        <v>8794.5</v>
      </c>
      <c r="J27" s="1">
        <f t="shared" si="4"/>
        <v>0</v>
      </c>
      <c r="K27" s="1"/>
      <c r="L27" s="2">
        <v>513</v>
      </c>
      <c r="M27">
        <v>159593</v>
      </c>
    </row>
    <row r="28" spans="1:13" x14ac:dyDescent="0.25">
      <c r="A28" s="3" t="s">
        <v>13</v>
      </c>
      <c r="B28" s="2">
        <v>609</v>
      </c>
      <c r="C28" s="3" t="s">
        <v>38</v>
      </c>
      <c r="D28" s="4">
        <v>0</v>
      </c>
      <c r="E28" s="4">
        <v>4</v>
      </c>
      <c r="F28">
        <f t="shared" si="0"/>
        <v>429211</v>
      </c>
      <c r="G28" s="1">
        <f t="shared" si="1"/>
        <v>321908.25</v>
      </c>
      <c r="H28" s="1">
        <f t="shared" si="2"/>
        <v>0</v>
      </c>
      <c r="I28" s="1">
        <f t="shared" si="3"/>
        <v>321908.25</v>
      </c>
      <c r="J28" s="1">
        <f t="shared" si="4"/>
        <v>0</v>
      </c>
      <c r="K28" s="1"/>
      <c r="L28" s="2">
        <v>540</v>
      </c>
      <c r="M28">
        <v>277946</v>
      </c>
    </row>
    <row r="29" spans="1:13" x14ac:dyDescent="0.25">
      <c r="A29" s="3" t="s">
        <v>13</v>
      </c>
      <c r="B29" s="2">
        <v>720</v>
      </c>
      <c r="C29" s="3" t="s">
        <v>39</v>
      </c>
      <c r="D29" s="4">
        <v>0</v>
      </c>
      <c r="E29" s="4">
        <v>3</v>
      </c>
      <c r="F29">
        <f t="shared" si="0"/>
        <v>289560</v>
      </c>
      <c r="G29" s="1">
        <f t="shared" si="1"/>
        <v>217170</v>
      </c>
      <c r="H29" s="1">
        <f t="shared" si="2"/>
        <v>0</v>
      </c>
      <c r="I29" s="1">
        <f t="shared" si="3"/>
        <v>217170</v>
      </c>
      <c r="J29" s="1">
        <f t="shared" si="4"/>
        <v>0</v>
      </c>
      <c r="K29" s="1"/>
      <c r="L29" s="2">
        <v>549</v>
      </c>
      <c r="M29">
        <v>183841</v>
      </c>
    </row>
    <row r="30" spans="1:13" x14ac:dyDescent="0.25">
      <c r="A30" s="3" t="s">
        <v>13</v>
      </c>
      <c r="B30" s="2">
        <v>729</v>
      </c>
      <c r="C30" s="3" t="s">
        <v>40</v>
      </c>
      <c r="D30" s="4">
        <v>0</v>
      </c>
      <c r="E30" s="4">
        <v>6</v>
      </c>
      <c r="F30">
        <f t="shared" si="0"/>
        <v>807410</v>
      </c>
      <c r="G30" s="1">
        <f t="shared" si="1"/>
        <v>605557.5</v>
      </c>
      <c r="H30" s="1">
        <f t="shared" si="2"/>
        <v>0</v>
      </c>
      <c r="I30" s="1">
        <f t="shared" si="3"/>
        <v>605557.5</v>
      </c>
      <c r="J30" s="1">
        <f t="shared" si="4"/>
        <v>0</v>
      </c>
      <c r="K30" s="1"/>
      <c r="L30" s="2">
        <v>576</v>
      </c>
      <c r="M30">
        <v>245375</v>
      </c>
    </row>
    <row r="31" spans="1:13" x14ac:dyDescent="0.25">
      <c r="A31" s="3" t="s">
        <v>13</v>
      </c>
      <c r="B31" s="2">
        <v>747</v>
      </c>
      <c r="C31" s="3" t="s">
        <v>41</v>
      </c>
      <c r="D31" s="4">
        <v>0</v>
      </c>
      <c r="E31" s="4">
        <v>5</v>
      </c>
      <c r="F31">
        <f t="shared" si="0"/>
        <v>218971</v>
      </c>
      <c r="G31" s="1">
        <f t="shared" si="1"/>
        <v>164228.25</v>
      </c>
      <c r="H31" s="1">
        <f t="shared" si="2"/>
        <v>0</v>
      </c>
      <c r="I31" s="1">
        <f t="shared" si="3"/>
        <v>164228.25</v>
      </c>
      <c r="J31" s="1">
        <f t="shared" si="4"/>
        <v>0</v>
      </c>
      <c r="K31" s="1"/>
      <c r="L31" s="2">
        <v>585</v>
      </c>
      <c r="M31">
        <v>189713</v>
      </c>
    </row>
    <row r="32" spans="1:13" x14ac:dyDescent="0.25">
      <c r="A32" s="3" t="s">
        <v>13</v>
      </c>
      <c r="B32" s="2">
        <v>1917</v>
      </c>
      <c r="C32" s="3" t="s">
        <v>42</v>
      </c>
      <c r="D32" s="4">
        <v>0</v>
      </c>
      <c r="E32" s="4">
        <v>8</v>
      </c>
      <c r="F32">
        <f t="shared" si="0"/>
        <v>169595</v>
      </c>
      <c r="G32" s="1">
        <f t="shared" si="1"/>
        <v>127196.25</v>
      </c>
      <c r="H32" s="1">
        <f t="shared" si="2"/>
        <v>0</v>
      </c>
      <c r="I32" s="1">
        <f t="shared" si="3"/>
        <v>127196.25</v>
      </c>
      <c r="J32" s="1">
        <f t="shared" si="4"/>
        <v>0</v>
      </c>
      <c r="K32" s="1"/>
      <c r="L32" s="2">
        <v>594</v>
      </c>
      <c r="M32">
        <v>0</v>
      </c>
    </row>
    <row r="33" spans="1:13" x14ac:dyDescent="0.25">
      <c r="A33" s="3" t="s">
        <v>13</v>
      </c>
      <c r="B33" s="2">
        <v>846</v>
      </c>
      <c r="C33" s="3" t="s">
        <v>43</v>
      </c>
      <c r="D33" s="4">
        <v>3</v>
      </c>
      <c r="E33" s="4">
        <v>2</v>
      </c>
      <c r="F33">
        <f t="shared" si="0"/>
        <v>147776</v>
      </c>
      <c r="G33" s="1">
        <f t="shared" si="1"/>
        <v>110832</v>
      </c>
      <c r="H33" s="1">
        <f t="shared" si="2"/>
        <v>66499.199999999997</v>
      </c>
      <c r="I33" s="1">
        <f t="shared" si="3"/>
        <v>44332.800000000003</v>
      </c>
      <c r="J33" s="1">
        <f t="shared" si="4"/>
        <v>0</v>
      </c>
      <c r="K33" s="1"/>
      <c r="L33" s="2">
        <v>603</v>
      </c>
      <c r="M33">
        <v>11726</v>
      </c>
    </row>
    <row r="34" spans="1:13" x14ac:dyDescent="0.25">
      <c r="A34" s="3" t="s">
        <v>13</v>
      </c>
      <c r="B34" s="2">
        <v>916</v>
      </c>
      <c r="C34" s="3" t="s">
        <v>2</v>
      </c>
      <c r="D34" s="4">
        <v>3</v>
      </c>
      <c r="E34" s="4">
        <v>13</v>
      </c>
      <c r="F34">
        <f t="shared" si="0"/>
        <v>178447</v>
      </c>
      <c r="G34" s="1">
        <f t="shared" si="1"/>
        <v>133835.25</v>
      </c>
      <c r="H34" s="1">
        <f t="shared" si="2"/>
        <v>25094.11</v>
      </c>
      <c r="I34" s="1">
        <f t="shared" si="3"/>
        <v>108741.14</v>
      </c>
      <c r="J34" s="1">
        <f t="shared" si="4"/>
        <v>0</v>
      </c>
      <c r="K34" s="1"/>
      <c r="L34" s="2">
        <v>609</v>
      </c>
      <c r="M34">
        <v>429211</v>
      </c>
    </row>
    <row r="35" spans="1:13" x14ac:dyDescent="0.25">
      <c r="A35" s="3" t="s">
        <v>13</v>
      </c>
      <c r="B35" s="2">
        <v>918</v>
      </c>
      <c r="C35" s="3" t="s">
        <v>44</v>
      </c>
      <c r="D35" s="4">
        <v>0</v>
      </c>
      <c r="E35" s="4">
        <v>6</v>
      </c>
      <c r="F35">
        <f t="shared" si="0"/>
        <v>135148</v>
      </c>
      <c r="G35" s="1">
        <f t="shared" si="1"/>
        <v>101361</v>
      </c>
      <c r="H35" s="1">
        <f t="shared" si="2"/>
        <v>0</v>
      </c>
      <c r="I35" s="1">
        <f t="shared" si="3"/>
        <v>101361</v>
      </c>
      <c r="J35" s="1">
        <f t="shared" si="4"/>
        <v>0</v>
      </c>
      <c r="K35" s="1"/>
      <c r="L35" s="2">
        <v>621</v>
      </c>
      <c r="M35">
        <v>0</v>
      </c>
    </row>
    <row r="36" spans="1:13" x14ac:dyDescent="0.25">
      <c r="A36" s="3" t="s">
        <v>13</v>
      </c>
      <c r="B36" s="2">
        <v>914</v>
      </c>
      <c r="C36" s="3" t="s">
        <v>3</v>
      </c>
      <c r="D36" s="4">
        <v>0</v>
      </c>
      <c r="E36" s="4">
        <v>9</v>
      </c>
      <c r="F36">
        <f t="shared" si="0"/>
        <v>204031</v>
      </c>
      <c r="G36" s="1">
        <f t="shared" si="1"/>
        <v>153023.25</v>
      </c>
      <c r="H36" s="1">
        <f t="shared" si="2"/>
        <v>0</v>
      </c>
      <c r="I36" s="1">
        <f t="shared" si="3"/>
        <v>153023.25</v>
      </c>
      <c r="J36" s="1">
        <f t="shared" si="4"/>
        <v>0</v>
      </c>
      <c r="K36" s="1"/>
      <c r="L36" s="2">
        <v>657</v>
      </c>
      <c r="M36">
        <v>175348</v>
      </c>
    </row>
    <row r="37" spans="1:13" x14ac:dyDescent="0.25">
      <c r="A37" s="3" t="s">
        <v>13</v>
      </c>
      <c r="B37" s="2">
        <v>977</v>
      </c>
      <c r="C37" s="3" t="s">
        <v>45</v>
      </c>
      <c r="D37" s="4">
        <v>0</v>
      </c>
      <c r="E37" s="4">
        <v>10</v>
      </c>
      <c r="F37">
        <f t="shared" si="0"/>
        <v>252405</v>
      </c>
      <c r="G37" s="1">
        <f t="shared" si="1"/>
        <v>189303.75</v>
      </c>
      <c r="H37" s="1">
        <f t="shared" si="2"/>
        <v>0</v>
      </c>
      <c r="I37" s="1">
        <f t="shared" si="3"/>
        <v>189303.75</v>
      </c>
      <c r="J37" s="1">
        <f t="shared" si="4"/>
        <v>0</v>
      </c>
      <c r="K37" s="1"/>
      <c r="L37" s="2">
        <v>720</v>
      </c>
      <c r="M37">
        <v>289560</v>
      </c>
    </row>
    <row r="38" spans="1:13" x14ac:dyDescent="0.25">
      <c r="A38" s="3" t="s">
        <v>13</v>
      </c>
      <c r="B38" s="2">
        <v>999</v>
      </c>
      <c r="C38" s="3" t="s">
        <v>46</v>
      </c>
      <c r="D38" s="4">
        <v>0</v>
      </c>
      <c r="E38" s="4">
        <v>3</v>
      </c>
      <c r="F38">
        <f t="shared" si="0"/>
        <v>477041</v>
      </c>
      <c r="G38" s="1">
        <f t="shared" si="1"/>
        <v>357780.75</v>
      </c>
      <c r="H38" s="1">
        <f t="shared" si="2"/>
        <v>0</v>
      </c>
      <c r="I38" s="1">
        <f t="shared" si="3"/>
        <v>357780.75</v>
      </c>
      <c r="J38" s="1">
        <f t="shared" si="4"/>
        <v>0</v>
      </c>
      <c r="K38" s="1"/>
      <c r="L38" s="2">
        <v>729</v>
      </c>
      <c r="M38">
        <v>807410</v>
      </c>
    </row>
    <row r="39" spans="1:13" x14ac:dyDescent="0.25">
      <c r="A39" s="3" t="s">
        <v>13</v>
      </c>
      <c r="B39" s="2">
        <v>1053</v>
      </c>
      <c r="C39" s="3" t="s">
        <v>47</v>
      </c>
      <c r="D39" s="4">
        <v>0</v>
      </c>
      <c r="E39" s="4">
        <v>5</v>
      </c>
      <c r="F39">
        <f t="shared" si="0"/>
        <v>7238558</v>
      </c>
      <c r="G39" s="1">
        <f t="shared" si="1"/>
        <v>5428918.5</v>
      </c>
      <c r="H39" s="1">
        <f t="shared" si="2"/>
        <v>0</v>
      </c>
      <c r="I39" s="1">
        <f t="shared" si="3"/>
        <v>5428918.5</v>
      </c>
      <c r="J39" s="1">
        <f t="shared" si="4"/>
        <v>0</v>
      </c>
      <c r="K39" s="1"/>
      <c r="L39" s="2">
        <v>747</v>
      </c>
      <c r="M39">
        <v>218971</v>
      </c>
    </row>
    <row r="40" spans="1:13" x14ac:dyDescent="0.25">
      <c r="A40" s="3" t="s">
        <v>13</v>
      </c>
      <c r="B40" s="2">
        <v>1062</v>
      </c>
      <c r="C40" s="3" t="s">
        <v>48</v>
      </c>
      <c r="D40" s="4">
        <v>0</v>
      </c>
      <c r="E40" s="4">
        <v>7.0000000000000009</v>
      </c>
      <c r="F40">
        <f t="shared" si="0"/>
        <v>588037</v>
      </c>
      <c r="G40" s="1">
        <f t="shared" si="1"/>
        <v>441027.75</v>
      </c>
      <c r="H40" s="1">
        <f t="shared" si="2"/>
        <v>0</v>
      </c>
      <c r="I40" s="1">
        <f t="shared" si="3"/>
        <v>441027.75</v>
      </c>
      <c r="J40" s="1">
        <f t="shared" si="4"/>
        <v>0</v>
      </c>
      <c r="K40" s="1"/>
      <c r="L40" s="2">
        <v>819</v>
      </c>
      <c r="M40">
        <v>326871</v>
      </c>
    </row>
    <row r="41" spans="1:13" x14ac:dyDescent="0.25">
      <c r="A41" s="3" t="s">
        <v>13</v>
      </c>
      <c r="B41" s="2">
        <v>1071</v>
      </c>
      <c r="C41" s="3" t="s">
        <v>49</v>
      </c>
      <c r="D41" s="4">
        <v>2</v>
      </c>
      <c r="E41" s="4">
        <v>1</v>
      </c>
      <c r="F41">
        <f t="shared" si="0"/>
        <v>151050</v>
      </c>
      <c r="G41" s="1">
        <f t="shared" si="1"/>
        <v>113287.5</v>
      </c>
      <c r="H41" s="1">
        <f t="shared" si="2"/>
        <v>75525</v>
      </c>
      <c r="I41" s="1">
        <f t="shared" si="3"/>
        <v>37762.5</v>
      </c>
      <c r="J41" s="1">
        <f t="shared" si="4"/>
        <v>0</v>
      </c>
      <c r="K41" s="1"/>
      <c r="L41" s="2">
        <v>846</v>
      </c>
      <c r="M41">
        <v>147776</v>
      </c>
    </row>
    <row r="42" spans="1:13" x14ac:dyDescent="0.25">
      <c r="A42" s="3" t="s">
        <v>13</v>
      </c>
      <c r="B42" s="2">
        <v>1080</v>
      </c>
      <c r="C42" s="3" t="s">
        <v>50</v>
      </c>
      <c r="D42" s="4">
        <v>1</v>
      </c>
      <c r="E42" s="4">
        <v>1</v>
      </c>
      <c r="F42">
        <f t="shared" si="0"/>
        <v>56435</v>
      </c>
      <c r="G42" s="1">
        <f t="shared" si="1"/>
        <v>42326.25</v>
      </c>
      <c r="H42" s="1">
        <f t="shared" si="2"/>
        <v>21163.13</v>
      </c>
      <c r="I42" s="1">
        <f>G42-H42</f>
        <v>21163.119999999999</v>
      </c>
      <c r="J42" s="1">
        <f t="shared" si="4"/>
        <v>0</v>
      </c>
      <c r="K42" s="1"/>
      <c r="L42" s="2">
        <v>873</v>
      </c>
      <c r="M42">
        <v>210755</v>
      </c>
    </row>
    <row r="43" spans="1:13" x14ac:dyDescent="0.25">
      <c r="A43" s="3" t="s">
        <v>13</v>
      </c>
      <c r="B43" s="2">
        <v>1082</v>
      </c>
      <c r="C43" s="3" t="s">
        <v>51</v>
      </c>
      <c r="D43" s="4">
        <v>0</v>
      </c>
      <c r="E43" s="4">
        <v>7.0000000000000009</v>
      </c>
      <c r="F43">
        <f t="shared" si="0"/>
        <v>658080</v>
      </c>
      <c r="G43" s="1">
        <f t="shared" si="1"/>
        <v>493560</v>
      </c>
      <c r="H43" s="1">
        <f t="shared" si="2"/>
        <v>0</v>
      </c>
      <c r="I43" s="1">
        <f>G43-H43</f>
        <v>493560</v>
      </c>
      <c r="J43" s="1">
        <f t="shared" si="4"/>
        <v>0</v>
      </c>
      <c r="K43" s="1"/>
      <c r="L43" s="2">
        <v>882</v>
      </c>
      <c r="M43">
        <v>0</v>
      </c>
    </row>
    <row r="44" spans="1:13" x14ac:dyDescent="0.25">
      <c r="A44" s="3" t="s">
        <v>13</v>
      </c>
      <c r="B44" s="2">
        <v>1093</v>
      </c>
      <c r="C44" s="3" t="s">
        <v>52</v>
      </c>
      <c r="D44" s="4">
        <v>0</v>
      </c>
      <c r="E44" s="4">
        <v>12</v>
      </c>
      <c r="F44">
        <f t="shared" si="0"/>
        <v>246695</v>
      </c>
      <c r="G44" s="1">
        <f t="shared" si="1"/>
        <v>185021.25</v>
      </c>
      <c r="H44" s="1">
        <f t="shared" si="2"/>
        <v>0</v>
      </c>
      <c r="I44" s="1">
        <f t="shared" ref="I44:I107" si="5">G44-H44</f>
        <v>185021.25</v>
      </c>
      <c r="J44" s="1">
        <f t="shared" si="4"/>
        <v>0</v>
      </c>
      <c r="K44" s="1"/>
      <c r="L44" s="2">
        <v>914</v>
      </c>
      <c r="M44">
        <v>204031</v>
      </c>
    </row>
    <row r="45" spans="1:13" x14ac:dyDescent="0.25">
      <c r="A45" s="3" t="s">
        <v>13</v>
      </c>
      <c r="B45" s="2">
        <v>1079</v>
      </c>
      <c r="C45" s="3" t="s">
        <v>53</v>
      </c>
      <c r="D45" s="4">
        <v>0</v>
      </c>
      <c r="E45" s="4">
        <v>3</v>
      </c>
      <c r="F45">
        <f t="shared" si="0"/>
        <v>124417</v>
      </c>
      <c r="G45" s="1">
        <f t="shared" si="1"/>
        <v>93312.75</v>
      </c>
      <c r="H45" s="1">
        <f t="shared" si="2"/>
        <v>0</v>
      </c>
      <c r="I45" s="1">
        <f t="shared" si="5"/>
        <v>93312.75</v>
      </c>
      <c r="J45" s="1">
        <f t="shared" si="4"/>
        <v>0</v>
      </c>
      <c r="K45" s="1"/>
      <c r="L45" s="2">
        <v>916</v>
      </c>
      <c r="M45">
        <v>178447</v>
      </c>
    </row>
    <row r="46" spans="1:13" x14ac:dyDescent="0.25">
      <c r="A46" s="3" t="s">
        <v>13</v>
      </c>
      <c r="B46" s="2">
        <v>1095</v>
      </c>
      <c r="C46" s="3" t="s">
        <v>54</v>
      </c>
      <c r="D46" s="4">
        <v>0</v>
      </c>
      <c r="E46" s="4">
        <v>7.0000000000000009</v>
      </c>
      <c r="F46">
        <f t="shared" si="0"/>
        <v>295751</v>
      </c>
      <c r="G46" s="1">
        <f t="shared" si="1"/>
        <v>221813.25</v>
      </c>
      <c r="H46" s="1">
        <f t="shared" si="2"/>
        <v>0</v>
      </c>
      <c r="I46" s="1">
        <f t="shared" si="5"/>
        <v>221813.25</v>
      </c>
      <c r="J46" s="1">
        <f t="shared" si="4"/>
        <v>0</v>
      </c>
      <c r="K46" s="1"/>
      <c r="L46" s="2">
        <v>918</v>
      </c>
      <c r="M46">
        <v>135148</v>
      </c>
    </row>
    <row r="47" spans="1:13" x14ac:dyDescent="0.25">
      <c r="A47" s="3" t="s">
        <v>13</v>
      </c>
      <c r="B47" s="2">
        <v>4772</v>
      </c>
      <c r="C47" s="3" t="s">
        <v>55</v>
      </c>
      <c r="D47" s="4">
        <v>0</v>
      </c>
      <c r="E47" s="4">
        <v>7.0000000000000009</v>
      </c>
      <c r="F47">
        <f t="shared" si="0"/>
        <v>323486</v>
      </c>
      <c r="G47" s="1">
        <f t="shared" si="1"/>
        <v>242614.5</v>
      </c>
      <c r="H47" s="1">
        <f t="shared" si="2"/>
        <v>0</v>
      </c>
      <c r="I47" s="1">
        <f t="shared" si="5"/>
        <v>242614.5</v>
      </c>
      <c r="J47" s="1">
        <f t="shared" si="4"/>
        <v>0</v>
      </c>
      <c r="K47" s="1"/>
      <c r="L47" s="2">
        <v>936</v>
      </c>
      <c r="M47">
        <v>0</v>
      </c>
    </row>
    <row r="48" spans="1:13" x14ac:dyDescent="0.25">
      <c r="A48" s="3" t="s">
        <v>13</v>
      </c>
      <c r="B48" s="2">
        <v>1107</v>
      </c>
      <c r="C48" s="3" t="s">
        <v>56</v>
      </c>
      <c r="D48" s="4">
        <v>1</v>
      </c>
      <c r="E48" s="4">
        <v>2</v>
      </c>
      <c r="F48">
        <f t="shared" si="0"/>
        <v>171874</v>
      </c>
      <c r="G48" s="1">
        <f t="shared" si="1"/>
        <v>128905.5</v>
      </c>
      <c r="H48" s="1">
        <f t="shared" si="2"/>
        <v>42968.5</v>
      </c>
      <c r="I48" s="1">
        <f>G48-H48</f>
        <v>85937</v>
      </c>
      <c r="J48" s="1">
        <f t="shared" si="4"/>
        <v>0</v>
      </c>
      <c r="K48" s="1"/>
      <c r="L48" s="2">
        <v>977</v>
      </c>
      <c r="M48">
        <v>252405</v>
      </c>
    </row>
    <row r="49" spans="1:13" x14ac:dyDescent="0.25">
      <c r="A49" s="3" t="s">
        <v>13</v>
      </c>
      <c r="B49" s="2">
        <v>1116</v>
      </c>
      <c r="C49" s="3" t="s">
        <v>57</v>
      </c>
      <c r="D49" s="4">
        <v>1</v>
      </c>
      <c r="E49" s="4">
        <v>6</v>
      </c>
      <c r="F49">
        <f t="shared" si="0"/>
        <v>622982</v>
      </c>
      <c r="G49" s="1">
        <f t="shared" si="1"/>
        <v>467236.5</v>
      </c>
      <c r="H49" s="1">
        <f t="shared" si="2"/>
        <v>66748.070000000007</v>
      </c>
      <c r="I49" s="1">
        <f t="shared" si="5"/>
        <v>400488.43</v>
      </c>
      <c r="J49" s="1">
        <f t="shared" si="4"/>
        <v>0</v>
      </c>
      <c r="K49" s="1"/>
      <c r="L49" s="2">
        <v>981</v>
      </c>
      <c r="M49">
        <v>0</v>
      </c>
    </row>
    <row r="50" spans="1:13" x14ac:dyDescent="0.25">
      <c r="A50" s="3" t="s">
        <v>13</v>
      </c>
      <c r="B50" s="2">
        <v>1134</v>
      </c>
      <c r="C50" s="3" t="s">
        <v>58</v>
      </c>
      <c r="D50" s="4">
        <v>5</v>
      </c>
      <c r="E50" s="4">
        <v>5</v>
      </c>
      <c r="F50">
        <f t="shared" si="0"/>
        <v>154786</v>
      </c>
      <c r="G50" s="1">
        <f t="shared" si="1"/>
        <v>116089.5</v>
      </c>
      <c r="H50" s="1">
        <f t="shared" si="2"/>
        <v>58044.75</v>
      </c>
      <c r="I50" s="1">
        <f t="shared" si="5"/>
        <v>58044.75</v>
      </c>
      <c r="J50" s="1">
        <f t="shared" si="4"/>
        <v>0</v>
      </c>
      <c r="K50" s="1"/>
      <c r="L50" s="2">
        <v>999</v>
      </c>
      <c r="M50">
        <v>477041</v>
      </c>
    </row>
    <row r="51" spans="1:13" x14ac:dyDescent="0.25">
      <c r="A51" s="3" t="s">
        <v>13</v>
      </c>
      <c r="B51" s="2">
        <v>1152</v>
      </c>
      <c r="C51" s="3" t="s">
        <v>59</v>
      </c>
      <c r="D51" s="4">
        <v>0</v>
      </c>
      <c r="E51" s="4">
        <v>5</v>
      </c>
      <c r="F51">
        <f t="shared" si="0"/>
        <v>276532</v>
      </c>
      <c r="G51" s="1">
        <f t="shared" si="1"/>
        <v>207399</v>
      </c>
      <c r="H51" s="1">
        <f t="shared" si="2"/>
        <v>0</v>
      </c>
      <c r="I51" s="1">
        <f t="shared" si="5"/>
        <v>207399</v>
      </c>
      <c r="J51" s="1">
        <f t="shared" si="4"/>
        <v>0</v>
      </c>
      <c r="K51" s="1"/>
      <c r="L51" s="2">
        <v>1044</v>
      </c>
      <c r="M51">
        <v>0</v>
      </c>
    </row>
    <row r="52" spans="1:13" x14ac:dyDescent="0.25">
      <c r="A52" s="3" t="s">
        <v>13</v>
      </c>
      <c r="B52" s="2">
        <v>1197</v>
      </c>
      <c r="C52" s="3" t="s">
        <v>60</v>
      </c>
      <c r="D52" s="4">
        <v>0</v>
      </c>
      <c r="E52" s="4">
        <v>4</v>
      </c>
      <c r="F52">
        <f t="shared" si="0"/>
        <v>187125</v>
      </c>
      <c r="G52" s="1">
        <f t="shared" si="1"/>
        <v>140343.75</v>
      </c>
      <c r="H52" s="1">
        <f t="shared" si="2"/>
        <v>0</v>
      </c>
      <c r="I52" s="1">
        <f>G52-H52</f>
        <v>140343.75</v>
      </c>
      <c r="J52" s="1">
        <f t="shared" si="4"/>
        <v>0</v>
      </c>
      <c r="K52" s="1"/>
      <c r="L52" s="2">
        <v>1053</v>
      </c>
      <c r="M52">
        <v>7238558</v>
      </c>
    </row>
    <row r="53" spans="1:13" x14ac:dyDescent="0.25">
      <c r="A53" s="3" t="s">
        <v>13</v>
      </c>
      <c r="B53" s="2">
        <v>1211</v>
      </c>
      <c r="C53" s="3" t="s">
        <v>61</v>
      </c>
      <c r="D53" s="4">
        <v>5</v>
      </c>
      <c r="E53" s="4">
        <v>0</v>
      </c>
      <c r="F53">
        <f t="shared" si="0"/>
        <v>270886</v>
      </c>
      <c r="G53" s="1">
        <f t="shared" si="1"/>
        <v>203164.5</v>
      </c>
      <c r="H53" s="1">
        <f t="shared" si="2"/>
        <v>203164.5</v>
      </c>
      <c r="I53" s="1">
        <f t="shared" si="5"/>
        <v>0</v>
      </c>
      <c r="J53" s="1">
        <f t="shared" si="4"/>
        <v>0</v>
      </c>
      <c r="K53" s="1"/>
      <c r="L53" s="2">
        <v>1062</v>
      </c>
      <c r="M53">
        <v>588037</v>
      </c>
    </row>
    <row r="54" spans="1:13" x14ac:dyDescent="0.25">
      <c r="A54" s="3" t="s">
        <v>13</v>
      </c>
      <c r="B54" s="2">
        <v>1215</v>
      </c>
      <c r="C54" s="3" t="s">
        <v>62</v>
      </c>
      <c r="D54" s="4">
        <v>3</v>
      </c>
      <c r="E54" s="4">
        <v>6</v>
      </c>
      <c r="F54">
        <f t="shared" si="0"/>
        <v>144990</v>
      </c>
      <c r="G54" s="1">
        <f t="shared" si="1"/>
        <v>108742.5</v>
      </c>
      <c r="H54" s="1">
        <f t="shared" si="2"/>
        <v>36247.5</v>
      </c>
      <c r="I54" s="1">
        <f t="shared" si="5"/>
        <v>72495</v>
      </c>
      <c r="J54" s="1">
        <f t="shared" si="4"/>
        <v>0</v>
      </c>
      <c r="K54" s="1"/>
      <c r="L54" s="2">
        <v>1071</v>
      </c>
      <c r="M54">
        <v>151050</v>
      </c>
    </row>
    <row r="55" spans="1:13" x14ac:dyDescent="0.25">
      <c r="A55" s="3" t="s">
        <v>13</v>
      </c>
      <c r="B55" s="2">
        <v>1218</v>
      </c>
      <c r="C55" s="3" t="s">
        <v>63</v>
      </c>
      <c r="D55" s="4">
        <v>0</v>
      </c>
      <c r="E55" s="4">
        <v>1</v>
      </c>
      <c r="F55">
        <f t="shared" si="0"/>
        <v>22463</v>
      </c>
      <c r="G55" s="1">
        <f t="shared" si="1"/>
        <v>16847.25</v>
      </c>
      <c r="H55" s="1">
        <f t="shared" si="2"/>
        <v>0</v>
      </c>
      <c r="I55" s="1">
        <f t="shared" si="5"/>
        <v>16847.25</v>
      </c>
      <c r="J55" s="1">
        <f t="shared" si="4"/>
        <v>0</v>
      </c>
      <c r="K55" s="1"/>
      <c r="L55" s="2">
        <v>1079</v>
      </c>
      <c r="M55">
        <v>124417</v>
      </c>
    </row>
    <row r="56" spans="1:13" x14ac:dyDescent="0.25">
      <c r="A56" s="3" t="s">
        <v>13</v>
      </c>
      <c r="B56" s="2">
        <v>1221</v>
      </c>
      <c r="C56" s="3" t="s">
        <v>64</v>
      </c>
      <c r="D56" s="4">
        <v>6</v>
      </c>
      <c r="E56" s="4">
        <v>7.0000000000000009</v>
      </c>
      <c r="F56">
        <f t="shared" si="0"/>
        <v>1841852</v>
      </c>
      <c r="G56" s="1">
        <f t="shared" ref="G56:G108" si="6">ROUND(F56*0.75,2)</f>
        <v>1381389</v>
      </c>
      <c r="H56" s="1">
        <f t="shared" ref="H56:H108" si="7">ROUND((D56/(D56+E56))*$G56,2)</f>
        <v>637564.15</v>
      </c>
      <c r="I56" s="1">
        <f t="shared" si="5"/>
        <v>743824.85</v>
      </c>
      <c r="J56" s="1">
        <f t="shared" si="4"/>
        <v>0</v>
      </c>
      <c r="K56" s="1"/>
      <c r="L56" s="2">
        <v>1080</v>
      </c>
      <c r="M56">
        <v>56435</v>
      </c>
    </row>
    <row r="57" spans="1:13" x14ac:dyDescent="0.25">
      <c r="A57" s="3" t="s">
        <v>13</v>
      </c>
      <c r="B57" s="2">
        <v>1233</v>
      </c>
      <c r="C57" s="3" t="s">
        <v>65</v>
      </c>
      <c r="D57" s="4">
        <v>0</v>
      </c>
      <c r="E57" s="4">
        <v>5</v>
      </c>
      <c r="F57">
        <f t="shared" si="0"/>
        <v>544137</v>
      </c>
      <c r="G57" s="1">
        <f t="shared" si="6"/>
        <v>408102.75</v>
      </c>
      <c r="H57" s="1">
        <f t="shared" si="7"/>
        <v>0</v>
      </c>
      <c r="I57" s="1">
        <f t="shared" si="5"/>
        <v>408102.75</v>
      </c>
      <c r="J57" s="1">
        <f t="shared" si="4"/>
        <v>0</v>
      </c>
      <c r="K57" s="1"/>
      <c r="L57" s="2">
        <v>1082</v>
      </c>
      <c r="M57">
        <v>658080</v>
      </c>
    </row>
    <row r="58" spans="1:13" x14ac:dyDescent="0.25">
      <c r="A58" s="3" t="s">
        <v>13</v>
      </c>
      <c r="B58" s="2">
        <v>1278</v>
      </c>
      <c r="C58" s="3" t="s">
        <v>66</v>
      </c>
      <c r="D58" s="4">
        <v>0</v>
      </c>
      <c r="E58" s="4">
        <v>8</v>
      </c>
      <c r="F58">
        <f t="shared" si="0"/>
        <v>1448990</v>
      </c>
      <c r="G58" s="1">
        <f t="shared" si="6"/>
        <v>1086742.5</v>
      </c>
      <c r="H58" s="1">
        <f t="shared" si="7"/>
        <v>0</v>
      </c>
      <c r="I58" s="1">
        <f t="shared" si="5"/>
        <v>1086742.5</v>
      </c>
      <c r="J58" s="1">
        <f t="shared" si="4"/>
        <v>0</v>
      </c>
      <c r="K58" s="1"/>
      <c r="L58" s="2">
        <v>1089</v>
      </c>
      <c r="M58">
        <v>0</v>
      </c>
    </row>
    <row r="59" spans="1:13" x14ac:dyDescent="0.25">
      <c r="A59" s="3" t="s">
        <v>13</v>
      </c>
      <c r="B59" s="2">
        <v>1332</v>
      </c>
      <c r="C59" s="3" t="s">
        <v>67</v>
      </c>
      <c r="D59" s="4">
        <v>0</v>
      </c>
      <c r="E59" s="4">
        <v>8</v>
      </c>
      <c r="F59">
        <f t="shared" si="0"/>
        <v>304444</v>
      </c>
      <c r="G59" s="1">
        <f t="shared" si="6"/>
        <v>228333</v>
      </c>
      <c r="H59" s="1">
        <f t="shared" si="7"/>
        <v>0</v>
      </c>
      <c r="I59" s="1">
        <f t="shared" si="5"/>
        <v>228333</v>
      </c>
      <c r="J59" s="1">
        <f t="shared" si="4"/>
        <v>0</v>
      </c>
      <c r="K59" s="1"/>
      <c r="L59" s="2">
        <v>1093</v>
      </c>
      <c r="M59">
        <v>246695</v>
      </c>
    </row>
    <row r="60" spans="1:13" x14ac:dyDescent="0.25">
      <c r="A60" s="3" t="s">
        <v>13</v>
      </c>
      <c r="B60" s="2">
        <v>1350</v>
      </c>
      <c r="C60" s="3" t="s">
        <v>68</v>
      </c>
      <c r="D60" s="4">
        <v>0</v>
      </c>
      <c r="E60" s="4">
        <v>7.0000000000000009</v>
      </c>
      <c r="F60">
        <f t="shared" si="0"/>
        <v>189726</v>
      </c>
      <c r="G60" s="1">
        <f t="shared" si="6"/>
        <v>142294.5</v>
      </c>
      <c r="H60" s="1">
        <f t="shared" si="7"/>
        <v>0</v>
      </c>
      <c r="I60" s="1">
        <f t="shared" si="5"/>
        <v>142294.5</v>
      </c>
      <c r="J60" s="1">
        <f t="shared" si="4"/>
        <v>0</v>
      </c>
      <c r="K60" s="1"/>
      <c r="L60" s="2">
        <v>1095</v>
      </c>
      <c r="M60">
        <v>295751</v>
      </c>
    </row>
    <row r="61" spans="1:13" x14ac:dyDescent="0.25">
      <c r="A61" s="3" t="s">
        <v>13</v>
      </c>
      <c r="B61" s="2">
        <v>1359</v>
      </c>
      <c r="C61" s="3" t="s">
        <v>69</v>
      </c>
      <c r="D61" s="4">
        <v>0</v>
      </c>
      <c r="E61" s="4">
        <v>8</v>
      </c>
      <c r="F61">
        <f t="shared" si="0"/>
        <v>210591</v>
      </c>
      <c r="G61" s="1">
        <f t="shared" si="6"/>
        <v>157943.25</v>
      </c>
      <c r="H61" s="1">
        <f t="shared" si="7"/>
        <v>0</v>
      </c>
      <c r="I61" s="1">
        <f t="shared" si="5"/>
        <v>157943.25</v>
      </c>
      <c r="J61" s="1">
        <f t="shared" si="4"/>
        <v>0</v>
      </c>
      <c r="K61" s="1"/>
      <c r="L61" s="2">
        <v>1107</v>
      </c>
      <c r="M61">
        <v>171874</v>
      </c>
    </row>
    <row r="62" spans="1:13" x14ac:dyDescent="0.25">
      <c r="A62" s="3" t="s">
        <v>13</v>
      </c>
      <c r="B62" s="2">
        <v>1368</v>
      </c>
      <c r="C62" s="3" t="s">
        <v>70</v>
      </c>
      <c r="D62" s="4">
        <v>0</v>
      </c>
      <c r="E62" s="4">
        <v>12</v>
      </c>
      <c r="F62">
        <f t="shared" si="0"/>
        <v>387229</v>
      </c>
      <c r="G62" s="1">
        <f t="shared" si="6"/>
        <v>290421.75</v>
      </c>
      <c r="H62" s="1">
        <f t="shared" si="7"/>
        <v>0</v>
      </c>
      <c r="I62" s="1">
        <f t="shared" si="5"/>
        <v>290421.75</v>
      </c>
      <c r="J62" s="1">
        <f t="shared" si="4"/>
        <v>0</v>
      </c>
      <c r="K62" s="1"/>
      <c r="L62" s="2">
        <v>1116</v>
      </c>
      <c r="M62">
        <v>622982</v>
      </c>
    </row>
    <row r="63" spans="1:13" x14ac:dyDescent="0.25">
      <c r="A63" s="3" t="s">
        <v>13</v>
      </c>
      <c r="B63" s="2">
        <v>1413</v>
      </c>
      <c r="C63" s="3" t="s">
        <v>71</v>
      </c>
      <c r="D63" s="4">
        <v>0</v>
      </c>
      <c r="E63" s="4">
        <v>7.0000000000000009</v>
      </c>
      <c r="F63">
        <f t="shared" si="0"/>
        <v>130948</v>
      </c>
      <c r="G63" s="1">
        <f t="shared" si="6"/>
        <v>98211</v>
      </c>
      <c r="H63" s="1">
        <f t="shared" si="7"/>
        <v>0</v>
      </c>
      <c r="I63" s="1">
        <f t="shared" si="5"/>
        <v>98211</v>
      </c>
      <c r="J63" s="1">
        <f t="shared" si="4"/>
        <v>0</v>
      </c>
      <c r="K63" s="1"/>
      <c r="L63" s="2">
        <v>1134</v>
      </c>
      <c r="M63">
        <v>154786</v>
      </c>
    </row>
    <row r="64" spans="1:13" x14ac:dyDescent="0.25">
      <c r="A64" s="3" t="s">
        <v>13</v>
      </c>
      <c r="B64" s="2">
        <v>1431</v>
      </c>
      <c r="C64" s="3" t="s">
        <v>72</v>
      </c>
      <c r="D64" s="4">
        <v>0</v>
      </c>
      <c r="E64" s="4">
        <v>7.0000000000000009</v>
      </c>
      <c r="F64">
        <f t="shared" si="0"/>
        <v>151151</v>
      </c>
      <c r="G64" s="1">
        <f t="shared" si="6"/>
        <v>113363.25</v>
      </c>
      <c r="H64" s="1">
        <f t="shared" si="7"/>
        <v>0</v>
      </c>
      <c r="I64" s="1">
        <f t="shared" si="5"/>
        <v>113363.25</v>
      </c>
      <c r="J64" s="1">
        <f t="shared" si="4"/>
        <v>0</v>
      </c>
      <c r="K64" s="1"/>
      <c r="L64" s="2">
        <v>1152</v>
      </c>
      <c r="M64">
        <v>276532</v>
      </c>
    </row>
    <row r="65" spans="1:13" x14ac:dyDescent="0.25">
      <c r="A65" s="3" t="s">
        <v>13</v>
      </c>
      <c r="B65" s="2">
        <v>1503</v>
      </c>
      <c r="C65" s="3" t="s">
        <v>73</v>
      </c>
      <c r="D65" s="4">
        <v>2</v>
      </c>
      <c r="E65" s="4">
        <v>0</v>
      </c>
      <c r="F65">
        <f t="shared" si="0"/>
        <v>145425</v>
      </c>
      <c r="G65" s="1">
        <f t="shared" si="6"/>
        <v>109068.75</v>
      </c>
      <c r="H65" s="1">
        <f t="shared" si="7"/>
        <v>109068.75</v>
      </c>
      <c r="I65" s="1">
        <f t="shared" si="5"/>
        <v>0</v>
      </c>
      <c r="J65" s="1">
        <f t="shared" si="4"/>
        <v>0</v>
      </c>
      <c r="K65" s="1"/>
      <c r="L65" s="2">
        <v>1197</v>
      </c>
      <c r="M65">
        <v>187125</v>
      </c>
    </row>
    <row r="66" spans="1:13" x14ac:dyDescent="0.25">
      <c r="A66" s="3" t="s">
        <v>13</v>
      </c>
      <c r="B66" s="2">
        <v>1602</v>
      </c>
      <c r="C66" s="3" t="s">
        <v>74</v>
      </c>
      <c r="D66" s="4">
        <v>0</v>
      </c>
      <c r="E66" s="4">
        <v>8</v>
      </c>
      <c r="F66">
        <f t="shared" si="0"/>
        <v>229116</v>
      </c>
      <c r="G66" s="1">
        <f t="shared" si="6"/>
        <v>171837</v>
      </c>
      <c r="H66" s="1">
        <f t="shared" si="7"/>
        <v>0</v>
      </c>
      <c r="I66" s="1">
        <f t="shared" si="5"/>
        <v>171837</v>
      </c>
      <c r="J66" s="1">
        <f t="shared" si="4"/>
        <v>0</v>
      </c>
      <c r="K66" s="1"/>
      <c r="L66" s="2">
        <v>1206</v>
      </c>
      <c r="M66">
        <v>0</v>
      </c>
    </row>
    <row r="67" spans="1:13" x14ac:dyDescent="0.25">
      <c r="A67" s="3" t="s">
        <v>13</v>
      </c>
      <c r="B67" s="2">
        <v>1619</v>
      </c>
      <c r="C67" s="3" t="s">
        <v>75</v>
      </c>
      <c r="D67" s="4">
        <v>0</v>
      </c>
      <c r="E67" s="4">
        <v>1</v>
      </c>
      <c r="F67">
        <f t="shared" ref="F67:F130" si="8">INDEX($L$2:$M$336,MATCH(B67,$L$2:$L$336,0),2)</f>
        <v>54488</v>
      </c>
      <c r="G67" s="1">
        <f t="shared" si="6"/>
        <v>40866</v>
      </c>
      <c r="H67" s="1">
        <f t="shared" si="7"/>
        <v>0</v>
      </c>
      <c r="I67" s="1">
        <f t="shared" si="5"/>
        <v>40866</v>
      </c>
      <c r="J67" s="1">
        <f t="shared" ref="J67:J130" si="9">H67+I67-G67</f>
        <v>0</v>
      </c>
      <c r="K67" s="1"/>
      <c r="L67" s="2">
        <v>1211</v>
      </c>
      <c r="M67">
        <v>270886</v>
      </c>
    </row>
    <row r="68" spans="1:13" x14ac:dyDescent="0.25">
      <c r="A68" s="3" t="s">
        <v>13</v>
      </c>
      <c r="B68" s="2">
        <v>1638</v>
      </c>
      <c r="C68" s="3" t="s">
        <v>76</v>
      </c>
      <c r="D68" s="4">
        <v>0</v>
      </c>
      <c r="E68" s="4">
        <v>6</v>
      </c>
      <c r="F68">
        <f t="shared" si="8"/>
        <v>631557</v>
      </c>
      <c r="G68" s="1">
        <f t="shared" si="6"/>
        <v>473667.75</v>
      </c>
      <c r="H68" s="1">
        <f t="shared" si="7"/>
        <v>0</v>
      </c>
      <c r="I68" s="1">
        <f t="shared" si="5"/>
        <v>473667.75</v>
      </c>
      <c r="J68" s="1">
        <f t="shared" si="9"/>
        <v>0</v>
      </c>
      <c r="K68" s="1"/>
      <c r="L68" s="2">
        <v>1215</v>
      </c>
      <c r="M68">
        <v>144990</v>
      </c>
    </row>
    <row r="69" spans="1:13" x14ac:dyDescent="0.25">
      <c r="A69" s="3" t="s">
        <v>13</v>
      </c>
      <c r="B69" s="2">
        <v>1675</v>
      </c>
      <c r="C69" s="3" t="s">
        <v>77</v>
      </c>
      <c r="D69" s="4">
        <v>0</v>
      </c>
      <c r="E69" s="4">
        <v>10</v>
      </c>
      <c r="F69">
        <f t="shared" si="8"/>
        <v>98335</v>
      </c>
      <c r="G69" s="1">
        <f t="shared" si="6"/>
        <v>73751.25</v>
      </c>
      <c r="H69" s="1">
        <f t="shared" si="7"/>
        <v>0</v>
      </c>
      <c r="I69" s="1">
        <f t="shared" si="5"/>
        <v>73751.25</v>
      </c>
      <c r="J69" s="1">
        <f t="shared" si="9"/>
        <v>0</v>
      </c>
      <c r="K69" s="1"/>
      <c r="L69" s="2">
        <v>1218</v>
      </c>
      <c r="M69">
        <v>22463</v>
      </c>
    </row>
    <row r="70" spans="1:13" x14ac:dyDescent="0.25">
      <c r="A70" s="3" t="s">
        <v>13</v>
      </c>
      <c r="B70" s="2">
        <v>1701</v>
      </c>
      <c r="C70" s="3" t="s">
        <v>78</v>
      </c>
      <c r="D70" s="4">
        <v>0</v>
      </c>
      <c r="E70" s="4">
        <v>8</v>
      </c>
      <c r="F70">
        <f t="shared" si="8"/>
        <v>681011</v>
      </c>
      <c r="G70" s="1">
        <f t="shared" si="6"/>
        <v>510758.25</v>
      </c>
      <c r="H70" s="1">
        <f t="shared" si="7"/>
        <v>0</v>
      </c>
      <c r="I70" s="1">
        <f t="shared" si="5"/>
        <v>510758.25</v>
      </c>
      <c r="J70" s="1">
        <f t="shared" si="9"/>
        <v>0</v>
      </c>
      <c r="K70" s="1"/>
      <c r="L70" s="2">
        <v>1221</v>
      </c>
      <c r="M70">
        <v>1841852</v>
      </c>
    </row>
    <row r="71" spans="1:13" x14ac:dyDescent="0.25">
      <c r="A71" s="3" t="s">
        <v>13</v>
      </c>
      <c r="B71" s="2">
        <v>1719</v>
      </c>
      <c r="C71" s="3" t="s">
        <v>79</v>
      </c>
      <c r="D71" s="4">
        <v>0</v>
      </c>
      <c r="E71" s="4">
        <v>6</v>
      </c>
      <c r="F71">
        <f t="shared" si="8"/>
        <v>319675</v>
      </c>
      <c r="G71" s="1">
        <f t="shared" si="6"/>
        <v>239756.25</v>
      </c>
      <c r="H71" s="1">
        <f t="shared" si="7"/>
        <v>0</v>
      </c>
      <c r="I71" s="1">
        <f t="shared" si="5"/>
        <v>239756.25</v>
      </c>
      <c r="J71" s="1">
        <f t="shared" si="9"/>
        <v>0</v>
      </c>
      <c r="K71" s="1"/>
      <c r="L71" s="2">
        <v>1233</v>
      </c>
      <c r="M71">
        <v>544137</v>
      </c>
    </row>
    <row r="72" spans="1:13" x14ac:dyDescent="0.25">
      <c r="A72" s="3" t="s">
        <v>13</v>
      </c>
      <c r="B72" s="2">
        <v>1782</v>
      </c>
      <c r="C72" s="3" t="s">
        <v>80</v>
      </c>
      <c r="D72" s="4">
        <v>0</v>
      </c>
      <c r="E72" s="4">
        <v>9</v>
      </c>
      <c r="F72">
        <f t="shared" si="8"/>
        <v>36841</v>
      </c>
      <c r="G72" s="1">
        <f t="shared" si="6"/>
        <v>27630.75</v>
      </c>
      <c r="H72" s="1">
        <f t="shared" si="7"/>
        <v>0</v>
      </c>
      <c r="I72" s="1">
        <f t="shared" si="5"/>
        <v>27630.75</v>
      </c>
      <c r="J72" s="1">
        <f t="shared" si="9"/>
        <v>0</v>
      </c>
      <c r="K72" s="1"/>
      <c r="L72" s="2">
        <v>1278</v>
      </c>
      <c r="M72">
        <v>1448990</v>
      </c>
    </row>
    <row r="73" spans="1:13" x14ac:dyDescent="0.25">
      <c r="A73" s="3" t="s">
        <v>13</v>
      </c>
      <c r="B73" s="2">
        <v>1791</v>
      </c>
      <c r="C73" s="3" t="s">
        <v>81</v>
      </c>
      <c r="D73" s="4">
        <v>0</v>
      </c>
      <c r="E73" s="4">
        <v>8</v>
      </c>
      <c r="F73">
        <f t="shared" si="8"/>
        <v>386924</v>
      </c>
      <c r="G73" s="1">
        <f t="shared" si="6"/>
        <v>290193</v>
      </c>
      <c r="H73" s="1">
        <f t="shared" si="7"/>
        <v>0</v>
      </c>
      <c r="I73" s="1">
        <f t="shared" si="5"/>
        <v>290193</v>
      </c>
      <c r="J73" s="1">
        <f t="shared" si="9"/>
        <v>0</v>
      </c>
      <c r="K73" s="1"/>
      <c r="L73" s="2">
        <v>1332</v>
      </c>
      <c r="M73">
        <v>304444</v>
      </c>
    </row>
    <row r="74" spans="1:13" x14ac:dyDescent="0.25">
      <c r="A74" s="3" t="s">
        <v>13</v>
      </c>
      <c r="B74" s="2">
        <v>1908</v>
      </c>
      <c r="C74" s="3" t="s">
        <v>82</v>
      </c>
      <c r="D74" s="4">
        <v>0</v>
      </c>
      <c r="E74" s="4">
        <v>10</v>
      </c>
      <c r="F74">
        <f t="shared" si="8"/>
        <v>230434</v>
      </c>
      <c r="G74" s="1">
        <f t="shared" si="6"/>
        <v>172825.5</v>
      </c>
      <c r="H74" s="1">
        <f t="shared" si="7"/>
        <v>0</v>
      </c>
      <c r="I74" s="1">
        <f t="shared" si="5"/>
        <v>172825.5</v>
      </c>
      <c r="J74" s="1">
        <f t="shared" si="9"/>
        <v>0</v>
      </c>
      <c r="K74" s="1"/>
      <c r="L74" s="2">
        <v>1337</v>
      </c>
      <c r="M74">
        <v>0</v>
      </c>
    </row>
    <row r="75" spans="1:13" x14ac:dyDescent="0.25">
      <c r="A75" s="3" t="s">
        <v>13</v>
      </c>
      <c r="B75" s="2">
        <v>1926</v>
      </c>
      <c r="C75" s="3" t="s">
        <v>83</v>
      </c>
      <c r="D75" s="4">
        <v>4</v>
      </c>
      <c r="E75" s="4">
        <v>0</v>
      </c>
      <c r="F75">
        <f t="shared" si="8"/>
        <v>122180</v>
      </c>
      <c r="G75" s="1">
        <f t="shared" si="6"/>
        <v>91635</v>
      </c>
      <c r="H75" s="1">
        <f t="shared" si="7"/>
        <v>91635</v>
      </c>
      <c r="I75" s="1">
        <f t="shared" si="5"/>
        <v>0</v>
      </c>
      <c r="J75" s="1">
        <f t="shared" si="9"/>
        <v>0</v>
      </c>
      <c r="K75" s="1"/>
      <c r="L75" s="2">
        <v>1350</v>
      </c>
      <c r="M75">
        <v>189726</v>
      </c>
    </row>
    <row r="76" spans="1:13" x14ac:dyDescent="0.25">
      <c r="A76" s="3" t="s">
        <v>13</v>
      </c>
      <c r="B76" s="2">
        <v>1944</v>
      </c>
      <c r="C76" s="3" t="s">
        <v>84</v>
      </c>
      <c r="D76" s="4">
        <v>0</v>
      </c>
      <c r="E76" s="4">
        <v>7.0000000000000009</v>
      </c>
      <c r="F76">
        <f t="shared" si="8"/>
        <v>238122</v>
      </c>
      <c r="G76" s="1">
        <f t="shared" si="6"/>
        <v>178591.5</v>
      </c>
      <c r="H76" s="1">
        <f t="shared" si="7"/>
        <v>0</v>
      </c>
      <c r="I76" s="1">
        <f t="shared" si="5"/>
        <v>178591.5</v>
      </c>
      <c r="J76" s="1">
        <f t="shared" si="9"/>
        <v>0</v>
      </c>
      <c r="K76" s="1"/>
      <c r="L76" s="2">
        <v>1359</v>
      </c>
      <c r="M76">
        <v>210591</v>
      </c>
    </row>
    <row r="77" spans="1:13" x14ac:dyDescent="0.25">
      <c r="A77" s="3" t="s">
        <v>13</v>
      </c>
      <c r="B77" s="2">
        <v>1963</v>
      </c>
      <c r="C77" s="3" t="s">
        <v>85</v>
      </c>
      <c r="D77" s="4">
        <v>0</v>
      </c>
      <c r="E77" s="4">
        <v>1</v>
      </c>
      <c r="F77">
        <f t="shared" si="8"/>
        <v>28915</v>
      </c>
      <c r="G77" s="1">
        <f t="shared" si="6"/>
        <v>21686.25</v>
      </c>
      <c r="H77" s="1">
        <f t="shared" si="7"/>
        <v>0</v>
      </c>
      <c r="I77" s="1">
        <f t="shared" si="5"/>
        <v>21686.25</v>
      </c>
      <c r="J77" s="1">
        <f t="shared" si="9"/>
        <v>0</v>
      </c>
      <c r="K77" s="1"/>
      <c r="L77" s="2">
        <v>1368</v>
      </c>
      <c r="M77">
        <v>387229</v>
      </c>
    </row>
    <row r="78" spans="1:13" x14ac:dyDescent="0.25">
      <c r="A78" s="3" t="s">
        <v>13</v>
      </c>
      <c r="B78" s="2">
        <v>3582</v>
      </c>
      <c r="C78" s="3" t="s">
        <v>86</v>
      </c>
      <c r="D78" s="4">
        <v>0</v>
      </c>
      <c r="E78" s="4">
        <v>10</v>
      </c>
      <c r="F78">
        <f t="shared" si="8"/>
        <v>295493</v>
      </c>
      <c r="G78" s="1">
        <f t="shared" si="6"/>
        <v>221619.75</v>
      </c>
      <c r="H78" s="1">
        <f t="shared" si="7"/>
        <v>0</v>
      </c>
      <c r="I78" s="1">
        <f t="shared" si="5"/>
        <v>221619.75</v>
      </c>
      <c r="J78" s="1">
        <f t="shared" si="9"/>
        <v>0</v>
      </c>
      <c r="K78" s="1"/>
      <c r="L78" s="2">
        <v>1413</v>
      </c>
      <c r="M78">
        <v>130948</v>
      </c>
    </row>
    <row r="79" spans="1:13" x14ac:dyDescent="0.25">
      <c r="A79" s="3" t="s">
        <v>13</v>
      </c>
      <c r="B79" s="2">
        <v>3978</v>
      </c>
      <c r="C79" s="3" t="s">
        <v>87</v>
      </c>
      <c r="D79" s="4">
        <v>1</v>
      </c>
      <c r="E79" s="4">
        <v>10</v>
      </c>
      <c r="F79">
        <f t="shared" si="8"/>
        <v>240614</v>
      </c>
      <c r="G79" s="1">
        <f t="shared" si="6"/>
        <v>180460.5</v>
      </c>
      <c r="H79" s="1">
        <f t="shared" si="7"/>
        <v>16405.5</v>
      </c>
      <c r="I79" s="1">
        <f t="shared" si="5"/>
        <v>164055</v>
      </c>
      <c r="J79" s="1">
        <f t="shared" si="9"/>
        <v>0</v>
      </c>
      <c r="K79" s="1"/>
      <c r="L79" s="2">
        <v>1431</v>
      </c>
      <c r="M79">
        <v>151151</v>
      </c>
    </row>
    <row r="80" spans="1:13" x14ac:dyDescent="0.25">
      <c r="A80" s="3" t="s">
        <v>13</v>
      </c>
      <c r="B80" s="2">
        <v>6741</v>
      </c>
      <c r="C80" s="3" t="s">
        <v>88</v>
      </c>
      <c r="D80" s="4">
        <v>0</v>
      </c>
      <c r="E80" s="4">
        <v>1</v>
      </c>
      <c r="F80">
        <f t="shared" si="8"/>
        <v>56234</v>
      </c>
      <c r="G80" s="1">
        <f t="shared" si="6"/>
        <v>42175.5</v>
      </c>
      <c r="H80" s="1">
        <f t="shared" si="7"/>
        <v>0</v>
      </c>
      <c r="I80" s="1">
        <f t="shared" si="5"/>
        <v>42175.5</v>
      </c>
      <c r="J80" s="1">
        <f t="shared" si="9"/>
        <v>0</v>
      </c>
      <c r="K80" s="1"/>
      <c r="L80" s="2">
        <v>1476</v>
      </c>
      <c r="M80">
        <v>0</v>
      </c>
    </row>
    <row r="81" spans="1:13" x14ac:dyDescent="0.25">
      <c r="A81" s="3" t="s">
        <v>13</v>
      </c>
      <c r="B81" s="2">
        <v>1970</v>
      </c>
      <c r="C81" s="3" t="s">
        <v>89</v>
      </c>
      <c r="D81" s="4">
        <v>0</v>
      </c>
      <c r="E81" s="4">
        <v>13</v>
      </c>
      <c r="F81">
        <f t="shared" si="8"/>
        <v>258398</v>
      </c>
      <c r="G81" s="1">
        <f t="shared" si="6"/>
        <v>193798.5</v>
      </c>
      <c r="H81" s="1">
        <f t="shared" si="7"/>
        <v>0</v>
      </c>
      <c r="I81" s="1">
        <f t="shared" si="5"/>
        <v>193798.5</v>
      </c>
      <c r="J81" s="1">
        <f t="shared" si="9"/>
        <v>0</v>
      </c>
      <c r="K81" s="1"/>
      <c r="L81" s="2">
        <v>1503</v>
      </c>
      <c r="M81">
        <v>145425</v>
      </c>
    </row>
    <row r="82" spans="1:13" x14ac:dyDescent="0.25">
      <c r="A82" s="3" t="s">
        <v>13</v>
      </c>
      <c r="B82" s="2">
        <v>1972</v>
      </c>
      <c r="C82" s="3" t="s">
        <v>90</v>
      </c>
      <c r="D82" s="4">
        <v>0</v>
      </c>
      <c r="E82" s="4">
        <v>10</v>
      </c>
      <c r="F82">
        <f t="shared" si="8"/>
        <v>148917</v>
      </c>
      <c r="G82" s="1">
        <f t="shared" si="6"/>
        <v>111687.75</v>
      </c>
      <c r="H82" s="1">
        <f t="shared" si="7"/>
        <v>0</v>
      </c>
      <c r="I82" s="1">
        <f t="shared" si="5"/>
        <v>111687.75</v>
      </c>
      <c r="J82" s="1">
        <f t="shared" si="9"/>
        <v>0</v>
      </c>
      <c r="K82" s="1"/>
      <c r="L82" s="2">
        <v>1576</v>
      </c>
      <c r="M82">
        <v>0</v>
      </c>
    </row>
    <row r="83" spans="1:13" x14ac:dyDescent="0.25">
      <c r="A83" s="3" t="s">
        <v>13</v>
      </c>
      <c r="B83" s="2">
        <v>657</v>
      </c>
      <c r="C83" s="3" t="s">
        <v>91</v>
      </c>
      <c r="D83" s="4">
        <v>0</v>
      </c>
      <c r="E83" s="4">
        <v>5</v>
      </c>
      <c r="F83">
        <f t="shared" si="8"/>
        <v>175348</v>
      </c>
      <c r="G83" s="1">
        <f t="shared" si="6"/>
        <v>131511</v>
      </c>
      <c r="H83" s="1">
        <f t="shared" si="7"/>
        <v>0</v>
      </c>
      <c r="I83" s="1">
        <f t="shared" si="5"/>
        <v>131511</v>
      </c>
      <c r="J83" s="1">
        <f t="shared" si="9"/>
        <v>0</v>
      </c>
      <c r="K83" s="1"/>
      <c r="L83" s="2">
        <v>1602</v>
      </c>
      <c r="M83">
        <v>229116</v>
      </c>
    </row>
    <row r="84" spans="1:13" x14ac:dyDescent="0.25">
      <c r="A84" s="3" t="s">
        <v>13</v>
      </c>
      <c r="B84" s="2">
        <v>1989</v>
      </c>
      <c r="C84" s="3" t="s">
        <v>92</v>
      </c>
      <c r="D84" s="4">
        <v>0</v>
      </c>
      <c r="E84" s="4">
        <v>8</v>
      </c>
      <c r="F84">
        <f t="shared" si="8"/>
        <v>164557</v>
      </c>
      <c r="G84" s="1">
        <f t="shared" si="6"/>
        <v>123417.75</v>
      </c>
      <c r="H84" s="1">
        <f t="shared" si="7"/>
        <v>0</v>
      </c>
      <c r="I84" s="1">
        <f t="shared" si="5"/>
        <v>123417.75</v>
      </c>
      <c r="J84" s="1">
        <f t="shared" si="9"/>
        <v>0</v>
      </c>
      <c r="K84" s="1"/>
      <c r="L84" s="2">
        <v>1611</v>
      </c>
      <c r="M84">
        <v>0</v>
      </c>
    </row>
    <row r="85" spans="1:13" x14ac:dyDescent="0.25">
      <c r="A85" s="3" t="s">
        <v>13</v>
      </c>
      <c r="B85" s="2">
        <v>2007</v>
      </c>
      <c r="C85" s="3" t="s">
        <v>93</v>
      </c>
      <c r="D85" s="4">
        <v>0</v>
      </c>
      <c r="E85" s="4">
        <v>5</v>
      </c>
      <c r="F85">
        <f t="shared" si="8"/>
        <v>141574</v>
      </c>
      <c r="G85" s="1">
        <f t="shared" si="6"/>
        <v>106180.5</v>
      </c>
      <c r="H85" s="1">
        <f t="shared" si="7"/>
        <v>0</v>
      </c>
      <c r="I85" s="1">
        <f t="shared" si="5"/>
        <v>106180.5</v>
      </c>
      <c r="J85" s="1">
        <f t="shared" si="9"/>
        <v>0</v>
      </c>
      <c r="K85" s="1"/>
      <c r="L85" s="2">
        <v>1619</v>
      </c>
      <c r="M85">
        <v>54488</v>
      </c>
    </row>
    <row r="86" spans="1:13" x14ac:dyDescent="0.25">
      <c r="A86" s="3" t="s">
        <v>13</v>
      </c>
      <c r="B86" s="2">
        <v>2088</v>
      </c>
      <c r="C86" s="3" t="s">
        <v>94</v>
      </c>
      <c r="D86" s="4">
        <v>6</v>
      </c>
      <c r="E86" s="4">
        <v>7.0000000000000009</v>
      </c>
      <c r="F86">
        <f t="shared" si="8"/>
        <v>524657</v>
      </c>
      <c r="G86" s="1">
        <f t="shared" si="6"/>
        <v>393492.75</v>
      </c>
      <c r="H86" s="1">
        <f t="shared" si="7"/>
        <v>181612.04</v>
      </c>
      <c r="I86" s="1">
        <f t="shared" si="5"/>
        <v>211880.71</v>
      </c>
      <c r="J86" s="1">
        <f t="shared" si="9"/>
        <v>0</v>
      </c>
      <c r="K86" s="1"/>
      <c r="L86" s="2">
        <v>1638</v>
      </c>
      <c r="M86">
        <v>631557</v>
      </c>
    </row>
    <row r="87" spans="1:13" x14ac:dyDescent="0.25">
      <c r="A87" s="3" t="s">
        <v>13</v>
      </c>
      <c r="B87" s="2">
        <v>2097</v>
      </c>
      <c r="C87" s="3" t="s">
        <v>95</v>
      </c>
      <c r="D87" s="4">
        <v>5</v>
      </c>
      <c r="E87" s="4">
        <v>11</v>
      </c>
      <c r="F87">
        <f t="shared" si="8"/>
        <v>320962</v>
      </c>
      <c r="G87" s="1">
        <f t="shared" si="6"/>
        <v>240721.5</v>
      </c>
      <c r="H87" s="1">
        <f t="shared" si="7"/>
        <v>75225.47</v>
      </c>
      <c r="I87" s="1">
        <f t="shared" si="5"/>
        <v>165496.03</v>
      </c>
      <c r="J87" s="1">
        <f t="shared" si="9"/>
        <v>0</v>
      </c>
      <c r="K87" s="1"/>
      <c r="L87" s="2">
        <v>1675</v>
      </c>
      <c r="M87">
        <v>98335</v>
      </c>
    </row>
    <row r="88" spans="1:13" x14ac:dyDescent="0.25">
      <c r="A88" s="3" t="s">
        <v>13</v>
      </c>
      <c r="B88" s="2">
        <v>2113</v>
      </c>
      <c r="C88" s="3" t="s">
        <v>96</v>
      </c>
      <c r="D88" s="4">
        <v>0</v>
      </c>
      <c r="E88" s="4">
        <v>10</v>
      </c>
      <c r="F88">
        <f t="shared" si="8"/>
        <v>103208</v>
      </c>
      <c r="G88" s="1">
        <f t="shared" si="6"/>
        <v>77406</v>
      </c>
      <c r="H88" s="1">
        <f t="shared" si="7"/>
        <v>0</v>
      </c>
      <c r="I88" s="1">
        <f t="shared" si="5"/>
        <v>77406</v>
      </c>
      <c r="J88" s="1">
        <f t="shared" si="9"/>
        <v>0</v>
      </c>
      <c r="K88" s="1"/>
      <c r="L88" s="2">
        <v>1701</v>
      </c>
      <c r="M88">
        <v>681011</v>
      </c>
    </row>
    <row r="89" spans="1:13" x14ac:dyDescent="0.25">
      <c r="A89" s="3" t="s">
        <v>13</v>
      </c>
      <c r="B89" s="2">
        <v>2124</v>
      </c>
      <c r="C89" s="3" t="s">
        <v>97</v>
      </c>
      <c r="D89" s="4">
        <v>0</v>
      </c>
      <c r="E89" s="4">
        <v>10</v>
      </c>
      <c r="F89">
        <f t="shared" si="8"/>
        <v>582705</v>
      </c>
      <c r="G89" s="1">
        <f t="shared" si="6"/>
        <v>437028.75</v>
      </c>
      <c r="H89" s="1">
        <f t="shared" si="7"/>
        <v>0</v>
      </c>
      <c r="I89" s="1">
        <f t="shared" si="5"/>
        <v>437028.75</v>
      </c>
      <c r="J89" s="1">
        <f t="shared" si="9"/>
        <v>0</v>
      </c>
      <c r="K89" s="1"/>
      <c r="L89" s="2">
        <v>1719</v>
      </c>
      <c r="M89">
        <v>319675</v>
      </c>
    </row>
    <row r="90" spans="1:13" x14ac:dyDescent="0.25">
      <c r="A90" s="3" t="s">
        <v>13</v>
      </c>
      <c r="B90" s="2">
        <v>2151</v>
      </c>
      <c r="C90" s="3" t="s">
        <v>98</v>
      </c>
      <c r="D90" s="4">
        <v>0</v>
      </c>
      <c r="E90" s="4">
        <v>7.0000000000000009</v>
      </c>
      <c r="F90">
        <f t="shared" si="8"/>
        <v>182122</v>
      </c>
      <c r="G90" s="1">
        <f t="shared" si="6"/>
        <v>136591.5</v>
      </c>
      <c r="H90" s="1">
        <f t="shared" si="7"/>
        <v>0</v>
      </c>
      <c r="I90" s="1">
        <f t="shared" si="5"/>
        <v>136591.5</v>
      </c>
      <c r="J90" s="1">
        <f t="shared" si="9"/>
        <v>0</v>
      </c>
      <c r="K90" s="1"/>
      <c r="L90" s="2">
        <v>1737</v>
      </c>
      <c r="M90">
        <v>0</v>
      </c>
    </row>
    <row r="91" spans="1:13" x14ac:dyDescent="0.25">
      <c r="A91" s="3" t="s">
        <v>13</v>
      </c>
      <c r="B91" s="2">
        <v>2169</v>
      </c>
      <c r="C91" s="3" t="s">
        <v>99</v>
      </c>
      <c r="D91" s="4">
        <v>0</v>
      </c>
      <c r="E91" s="4">
        <v>1</v>
      </c>
      <c r="F91">
        <f t="shared" si="8"/>
        <v>103159</v>
      </c>
      <c r="G91" s="1">
        <f t="shared" si="6"/>
        <v>77369.25</v>
      </c>
      <c r="H91" s="1">
        <f t="shared" si="7"/>
        <v>0</v>
      </c>
      <c r="I91" s="1">
        <f t="shared" si="5"/>
        <v>77369.25</v>
      </c>
      <c r="J91" s="1">
        <f t="shared" si="9"/>
        <v>0</v>
      </c>
      <c r="K91" s="1"/>
      <c r="L91" s="2">
        <v>1782</v>
      </c>
      <c r="M91">
        <v>36841</v>
      </c>
    </row>
    <row r="92" spans="1:13" x14ac:dyDescent="0.25">
      <c r="A92" s="8" t="s">
        <v>13</v>
      </c>
      <c r="B92" s="22">
        <v>2205</v>
      </c>
      <c r="C92" s="8" t="s">
        <v>100</v>
      </c>
      <c r="D92" s="10">
        <v>0</v>
      </c>
      <c r="E92" s="10">
        <v>7.0000000000000009</v>
      </c>
      <c r="F92" s="9">
        <f t="shared" si="8"/>
        <v>76386</v>
      </c>
      <c r="G92" s="23">
        <f t="shared" si="6"/>
        <v>57289.5</v>
      </c>
      <c r="H92" s="23">
        <f t="shared" si="7"/>
        <v>0</v>
      </c>
      <c r="I92" s="23">
        <f t="shared" si="5"/>
        <v>57289.5</v>
      </c>
      <c r="J92" s="1">
        <f t="shared" si="9"/>
        <v>0</v>
      </c>
      <c r="K92" s="1"/>
      <c r="L92" s="2">
        <v>1791</v>
      </c>
      <c r="M92">
        <v>386924</v>
      </c>
    </row>
    <row r="93" spans="1:13" x14ac:dyDescent="0.25">
      <c r="A93" s="3" t="s">
        <v>13</v>
      </c>
      <c r="B93" s="2">
        <v>2295</v>
      </c>
      <c r="C93" s="3" t="s">
        <v>101</v>
      </c>
      <c r="D93" s="4">
        <v>0</v>
      </c>
      <c r="E93" s="4">
        <v>8</v>
      </c>
      <c r="F93">
        <f t="shared" si="8"/>
        <v>528384</v>
      </c>
      <c r="G93" s="1">
        <f t="shared" si="6"/>
        <v>396288</v>
      </c>
      <c r="H93" s="1">
        <f t="shared" si="7"/>
        <v>0</v>
      </c>
      <c r="I93" s="1">
        <f t="shared" si="5"/>
        <v>396288</v>
      </c>
      <c r="J93" s="1">
        <f t="shared" si="9"/>
        <v>0</v>
      </c>
      <c r="K93" s="1"/>
      <c r="L93" s="2">
        <v>1863</v>
      </c>
      <c r="M93">
        <v>0</v>
      </c>
    </row>
    <row r="94" spans="1:13" x14ac:dyDescent="0.25">
      <c r="A94" s="3" t="s">
        <v>13</v>
      </c>
      <c r="B94" s="2">
        <v>2313</v>
      </c>
      <c r="C94" s="3" t="s">
        <v>102</v>
      </c>
      <c r="D94" s="4">
        <v>1</v>
      </c>
      <c r="E94" s="4">
        <v>1</v>
      </c>
      <c r="F94">
        <f t="shared" si="8"/>
        <v>458822</v>
      </c>
      <c r="G94" s="1">
        <f t="shared" si="6"/>
        <v>344116.5</v>
      </c>
      <c r="H94" s="1">
        <f t="shared" si="7"/>
        <v>172058.25</v>
      </c>
      <c r="I94" s="1">
        <f t="shared" si="5"/>
        <v>172058.25</v>
      </c>
      <c r="J94" s="1">
        <f t="shared" si="9"/>
        <v>0</v>
      </c>
      <c r="K94" s="1"/>
      <c r="L94" s="2">
        <v>1908</v>
      </c>
      <c r="M94">
        <v>230434</v>
      </c>
    </row>
    <row r="95" spans="1:13" x14ac:dyDescent="0.25">
      <c r="A95" s="11" t="s">
        <v>13</v>
      </c>
      <c r="B95" s="24">
        <v>2369</v>
      </c>
      <c r="C95" s="11" t="s">
        <v>103</v>
      </c>
      <c r="D95" s="13">
        <v>6</v>
      </c>
      <c r="E95" s="13">
        <v>10</v>
      </c>
      <c r="F95" s="12">
        <f t="shared" si="8"/>
        <v>243766</v>
      </c>
      <c r="G95" s="25">
        <f t="shared" si="6"/>
        <v>182824.5</v>
      </c>
      <c r="H95" s="25">
        <f t="shared" si="7"/>
        <v>68559.19</v>
      </c>
      <c r="I95" s="25">
        <f t="shared" si="5"/>
        <v>114265.31</v>
      </c>
      <c r="J95" s="1">
        <f t="shared" si="9"/>
        <v>0</v>
      </c>
      <c r="K95" s="1"/>
      <c r="L95" s="2">
        <v>1917</v>
      </c>
      <c r="M95">
        <v>169595</v>
      </c>
    </row>
    <row r="96" spans="1:13" x14ac:dyDescent="0.25">
      <c r="A96" s="3" t="s">
        <v>13</v>
      </c>
      <c r="B96" s="2">
        <v>2376</v>
      </c>
      <c r="C96" s="3" t="s">
        <v>104</v>
      </c>
      <c r="D96" s="4">
        <v>3</v>
      </c>
      <c r="E96" s="4">
        <v>7.0000000000000009</v>
      </c>
      <c r="F96">
        <f t="shared" si="8"/>
        <v>270749</v>
      </c>
      <c r="G96" s="1">
        <f t="shared" si="6"/>
        <v>203061.75</v>
      </c>
      <c r="H96" s="1">
        <f t="shared" si="7"/>
        <v>60918.53</v>
      </c>
      <c r="I96" s="1">
        <f t="shared" si="5"/>
        <v>142143.22</v>
      </c>
      <c r="J96" s="1">
        <f t="shared" si="9"/>
        <v>0</v>
      </c>
      <c r="K96" s="1"/>
      <c r="L96" s="2">
        <v>1926</v>
      </c>
      <c r="M96">
        <v>122180</v>
      </c>
    </row>
    <row r="97" spans="1:13" x14ac:dyDescent="0.25">
      <c r="A97" s="3" t="s">
        <v>13</v>
      </c>
      <c r="B97" s="2">
        <v>2403</v>
      </c>
      <c r="C97" s="3" t="s">
        <v>105</v>
      </c>
      <c r="D97" s="4">
        <v>3</v>
      </c>
      <c r="E97" s="4">
        <v>3</v>
      </c>
      <c r="F97">
        <f t="shared" si="8"/>
        <v>329437</v>
      </c>
      <c r="G97" s="1">
        <f t="shared" si="6"/>
        <v>247077.75</v>
      </c>
      <c r="H97" s="1">
        <f t="shared" si="7"/>
        <v>123538.88</v>
      </c>
      <c r="I97" s="1">
        <f t="shared" si="5"/>
        <v>123538.87</v>
      </c>
      <c r="J97" s="1">
        <f t="shared" si="9"/>
        <v>0</v>
      </c>
      <c r="K97" s="1"/>
      <c r="L97" s="2">
        <v>1935</v>
      </c>
      <c r="M97">
        <v>525473</v>
      </c>
    </row>
    <row r="98" spans="1:13" x14ac:dyDescent="0.25">
      <c r="A98" s="3" t="s">
        <v>13</v>
      </c>
      <c r="B98" s="2">
        <v>2457</v>
      </c>
      <c r="C98" s="3" t="s">
        <v>106</v>
      </c>
      <c r="D98" s="4">
        <v>5</v>
      </c>
      <c r="E98" s="4">
        <v>9</v>
      </c>
      <c r="F98">
        <f t="shared" si="8"/>
        <v>294345</v>
      </c>
      <c r="G98" s="1">
        <f t="shared" si="6"/>
        <v>220758.75</v>
      </c>
      <c r="H98" s="1">
        <f t="shared" si="7"/>
        <v>78842.41</v>
      </c>
      <c r="I98" s="1">
        <f t="shared" si="5"/>
        <v>141916.34</v>
      </c>
      <c r="J98" s="1">
        <f t="shared" si="9"/>
        <v>0</v>
      </c>
      <c r="K98" s="1"/>
      <c r="L98" s="2">
        <v>1944</v>
      </c>
      <c r="M98">
        <v>238122</v>
      </c>
    </row>
    <row r="99" spans="1:13" x14ac:dyDescent="0.25">
      <c r="A99" s="3" t="s">
        <v>13</v>
      </c>
      <c r="B99" s="2">
        <v>2493</v>
      </c>
      <c r="C99" s="3" t="s">
        <v>107</v>
      </c>
      <c r="D99" s="4">
        <v>0</v>
      </c>
      <c r="E99" s="4">
        <v>5</v>
      </c>
      <c r="F99">
        <f t="shared" si="8"/>
        <v>31536</v>
      </c>
      <c r="G99" s="1">
        <f t="shared" si="6"/>
        <v>23652</v>
      </c>
      <c r="H99" s="1">
        <f t="shared" si="7"/>
        <v>0</v>
      </c>
      <c r="I99" s="1">
        <f t="shared" si="5"/>
        <v>23652</v>
      </c>
      <c r="J99" s="1">
        <f t="shared" si="9"/>
        <v>0</v>
      </c>
      <c r="K99" s="1"/>
      <c r="L99" s="2">
        <v>1953</v>
      </c>
      <c r="M99">
        <v>0</v>
      </c>
    </row>
    <row r="100" spans="1:13" x14ac:dyDescent="0.25">
      <c r="A100" s="3" t="s">
        <v>13</v>
      </c>
      <c r="B100" s="2">
        <v>2502</v>
      </c>
      <c r="C100" s="3" t="s">
        <v>108</v>
      </c>
      <c r="D100" s="4">
        <v>1</v>
      </c>
      <c r="E100" s="4">
        <v>2</v>
      </c>
      <c r="F100">
        <f t="shared" si="8"/>
        <v>135345</v>
      </c>
      <c r="G100" s="1">
        <f t="shared" si="6"/>
        <v>101508.75</v>
      </c>
      <c r="H100" s="1">
        <f t="shared" si="7"/>
        <v>33836.25</v>
      </c>
      <c r="I100" s="1">
        <f t="shared" si="5"/>
        <v>67672.5</v>
      </c>
      <c r="J100" s="1">
        <f t="shared" si="9"/>
        <v>0</v>
      </c>
      <c r="K100" s="1"/>
      <c r="L100" s="2">
        <v>1963</v>
      </c>
      <c r="M100">
        <v>28915</v>
      </c>
    </row>
    <row r="101" spans="1:13" x14ac:dyDescent="0.25">
      <c r="A101" s="3" t="s">
        <v>13</v>
      </c>
      <c r="B101" s="2">
        <v>2511</v>
      </c>
      <c r="C101" s="3" t="s">
        <v>109</v>
      </c>
      <c r="D101" s="4">
        <v>0</v>
      </c>
      <c r="E101" s="4">
        <v>7.0000000000000009</v>
      </c>
      <c r="F101">
        <f t="shared" si="8"/>
        <v>494157</v>
      </c>
      <c r="G101" s="1">
        <f t="shared" si="6"/>
        <v>370617.75</v>
      </c>
      <c r="H101" s="1">
        <f t="shared" si="7"/>
        <v>0</v>
      </c>
      <c r="I101" s="1">
        <f t="shared" si="5"/>
        <v>370617.75</v>
      </c>
      <c r="J101" s="1">
        <f t="shared" si="9"/>
        <v>0</v>
      </c>
      <c r="K101" s="1"/>
      <c r="L101" s="2">
        <v>1965</v>
      </c>
      <c r="M101">
        <v>0</v>
      </c>
    </row>
    <row r="102" spans="1:13" x14ac:dyDescent="0.25">
      <c r="A102" s="3" t="s">
        <v>13</v>
      </c>
      <c r="B102" s="2">
        <v>2520</v>
      </c>
      <c r="C102" s="3" t="s">
        <v>110</v>
      </c>
      <c r="D102" s="4">
        <v>0</v>
      </c>
      <c r="E102" s="4">
        <v>8</v>
      </c>
      <c r="F102">
        <f t="shared" si="8"/>
        <v>140769</v>
      </c>
      <c r="G102" s="1">
        <f t="shared" si="6"/>
        <v>105576.75</v>
      </c>
      <c r="H102" s="1">
        <f t="shared" si="7"/>
        <v>0</v>
      </c>
      <c r="I102" s="1">
        <f t="shared" si="5"/>
        <v>105576.75</v>
      </c>
      <c r="J102" s="1">
        <f t="shared" si="9"/>
        <v>0</v>
      </c>
      <c r="K102" s="1"/>
      <c r="L102" s="2">
        <v>1970</v>
      </c>
      <c r="M102">
        <v>258398</v>
      </c>
    </row>
    <row r="103" spans="1:13" x14ac:dyDescent="0.25">
      <c r="A103" s="3" t="s">
        <v>13</v>
      </c>
      <c r="B103" s="2">
        <v>2682</v>
      </c>
      <c r="C103" s="3" t="s">
        <v>4</v>
      </c>
      <c r="D103" s="4">
        <v>0</v>
      </c>
      <c r="E103" s="4">
        <v>10</v>
      </c>
      <c r="F103">
        <f t="shared" si="8"/>
        <v>163812</v>
      </c>
      <c r="G103" s="1">
        <f t="shared" si="6"/>
        <v>122859</v>
      </c>
      <c r="H103" s="1">
        <f t="shared" si="7"/>
        <v>0</v>
      </c>
      <c r="I103" s="1">
        <f t="shared" si="5"/>
        <v>122859</v>
      </c>
      <c r="J103" s="1">
        <f t="shared" si="9"/>
        <v>0</v>
      </c>
      <c r="K103" s="1"/>
      <c r="L103" s="2">
        <v>1972</v>
      </c>
      <c r="M103">
        <v>148917</v>
      </c>
    </row>
    <row r="104" spans="1:13" x14ac:dyDescent="0.25">
      <c r="A104" s="3" t="s">
        <v>13</v>
      </c>
      <c r="B104" s="2">
        <v>2556</v>
      </c>
      <c r="C104" s="3" t="s">
        <v>111</v>
      </c>
      <c r="D104" s="4">
        <v>1</v>
      </c>
      <c r="E104" s="4">
        <v>1</v>
      </c>
      <c r="F104">
        <f t="shared" si="8"/>
        <v>41088</v>
      </c>
      <c r="G104" s="1">
        <f t="shared" si="6"/>
        <v>30816</v>
      </c>
      <c r="H104" s="1">
        <f t="shared" si="7"/>
        <v>15408</v>
      </c>
      <c r="I104" s="1">
        <f t="shared" si="5"/>
        <v>15408</v>
      </c>
      <c r="J104" s="1">
        <f t="shared" si="9"/>
        <v>0</v>
      </c>
      <c r="K104" s="1"/>
      <c r="L104" s="2">
        <v>1975</v>
      </c>
      <c r="M104">
        <v>202087</v>
      </c>
    </row>
    <row r="105" spans="1:13" x14ac:dyDescent="0.25">
      <c r="A105" s="3" t="s">
        <v>13</v>
      </c>
      <c r="B105" s="2">
        <v>3195</v>
      </c>
      <c r="C105" s="3" t="s">
        <v>112</v>
      </c>
      <c r="D105" s="4">
        <v>5</v>
      </c>
      <c r="E105" s="4">
        <v>7.0000000000000009</v>
      </c>
      <c r="F105">
        <f t="shared" si="8"/>
        <v>733405</v>
      </c>
      <c r="G105" s="1">
        <f t="shared" si="6"/>
        <v>550053.75</v>
      </c>
      <c r="H105" s="1">
        <f t="shared" si="7"/>
        <v>229189.06</v>
      </c>
      <c r="I105" s="1">
        <f t="shared" si="5"/>
        <v>320864.69</v>
      </c>
      <c r="J105" s="1">
        <f t="shared" si="9"/>
        <v>0</v>
      </c>
      <c r="K105" s="1"/>
      <c r="L105" s="2">
        <v>1989</v>
      </c>
      <c r="M105">
        <v>164557</v>
      </c>
    </row>
    <row r="106" spans="1:13" x14ac:dyDescent="0.25">
      <c r="A106" s="3" t="s">
        <v>13</v>
      </c>
      <c r="B106" s="2">
        <v>2709</v>
      </c>
      <c r="C106" s="3" t="s">
        <v>113</v>
      </c>
      <c r="D106" s="4">
        <v>1</v>
      </c>
      <c r="E106" s="4">
        <v>5</v>
      </c>
      <c r="F106">
        <f t="shared" si="8"/>
        <v>603195</v>
      </c>
      <c r="G106" s="1">
        <f t="shared" si="6"/>
        <v>452396.25</v>
      </c>
      <c r="H106" s="1">
        <f t="shared" si="7"/>
        <v>75399.38</v>
      </c>
      <c r="I106" s="1">
        <f t="shared" si="5"/>
        <v>376996.87</v>
      </c>
      <c r="J106" s="1">
        <f t="shared" si="9"/>
        <v>0</v>
      </c>
      <c r="K106" s="1"/>
      <c r="L106" s="2">
        <v>2007</v>
      </c>
      <c r="M106">
        <v>141574</v>
      </c>
    </row>
    <row r="107" spans="1:13" x14ac:dyDescent="0.25">
      <c r="A107" s="3" t="s">
        <v>13</v>
      </c>
      <c r="B107" s="2">
        <v>2718</v>
      </c>
      <c r="C107" s="3" t="s">
        <v>114</v>
      </c>
      <c r="D107" s="4">
        <v>0</v>
      </c>
      <c r="E107" s="4">
        <v>1</v>
      </c>
      <c r="F107">
        <f t="shared" si="8"/>
        <v>26917</v>
      </c>
      <c r="G107" s="1">
        <f t="shared" si="6"/>
        <v>20187.75</v>
      </c>
      <c r="H107" s="1">
        <f t="shared" si="7"/>
        <v>0</v>
      </c>
      <c r="I107" s="1">
        <f t="shared" si="5"/>
        <v>20187.75</v>
      </c>
      <c r="J107" s="1">
        <f t="shared" si="9"/>
        <v>0</v>
      </c>
      <c r="K107" s="1"/>
      <c r="L107" s="2">
        <v>2088</v>
      </c>
      <c r="M107">
        <v>524657</v>
      </c>
    </row>
    <row r="108" spans="1:13" x14ac:dyDescent="0.25">
      <c r="A108" s="3" t="s">
        <v>13</v>
      </c>
      <c r="B108" s="2">
        <v>2727</v>
      </c>
      <c r="C108" s="3" t="s">
        <v>115</v>
      </c>
      <c r="D108" s="4">
        <v>0</v>
      </c>
      <c r="E108" s="4">
        <v>7.0000000000000009</v>
      </c>
      <c r="F108">
        <f t="shared" si="8"/>
        <v>239193</v>
      </c>
      <c r="G108" s="1">
        <f t="shared" si="6"/>
        <v>179394.75</v>
      </c>
      <c r="H108" s="1">
        <f t="shared" si="7"/>
        <v>0</v>
      </c>
      <c r="I108" s="1">
        <f t="shared" ref="I108:I171" si="10">G108-H108</f>
        <v>179394.75</v>
      </c>
      <c r="J108" s="1">
        <f t="shared" si="9"/>
        <v>0</v>
      </c>
      <c r="K108" s="1"/>
      <c r="L108" s="2">
        <v>2097</v>
      </c>
      <c r="M108">
        <v>320962</v>
      </c>
    </row>
    <row r="109" spans="1:13" x14ac:dyDescent="0.25">
      <c r="A109" s="3" t="s">
        <v>13</v>
      </c>
      <c r="B109" s="2">
        <v>2754</v>
      </c>
      <c r="C109" s="3" t="s">
        <v>116</v>
      </c>
      <c r="D109" s="4">
        <v>0</v>
      </c>
      <c r="E109" s="4">
        <v>7.0000000000000009</v>
      </c>
      <c r="F109">
        <f t="shared" si="8"/>
        <v>166722</v>
      </c>
      <c r="G109" s="1">
        <f t="shared" ref="G109:G162" si="11">ROUND(F109*0.75,2)</f>
        <v>125041.5</v>
      </c>
      <c r="H109" s="1">
        <f t="shared" ref="H109:H162" si="12">ROUND((D109/(D109+E109))*$G109,2)</f>
        <v>0</v>
      </c>
      <c r="I109" s="1">
        <f t="shared" si="10"/>
        <v>125041.5</v>
      </c>
      <c r="J109" s="1">
        <f t="shared" si="9"/>
        <v>0</v>
      </c>
      <c r="K109" s="1"/>
      <c r="L109" s="2">
        <v>2113</v>
      </c>
      <c r="M109">
        <v>103208</v>
      </c>
    </row>
    <row r="110" spans="1:13" x14ac:dyDescent="0.25">
      <c r="A110" s="11" t="s">
        <v>13</v>
      </c>
      <c r="B110" s="24">
        <v>2772</v>
      </c>
      <c r="C110" s="11" t="s">
        <v>117</v>
      </c>
      <c r="D110" s="13">
        <v>3</v>
      </c>
      <c r="E110" s="13">
        <v>4</v>
      </c>
      <c r="F110" s="12">
        <f t="shared" si="8"/>
        <v>86159</v>
      </c>
      <c r="G110" s="25">
        <f t="shared" si="11"/>
        <v>64619.25</v>
      </c>
      <c r="H110" s="25">
        <f t="shared" si="12"/>
        <v>27693.96</v>
      </c>
      <c r="I110" s="25">
        <f t="shared" si="10"/>
        <v>36925.29</v>
      </c>
      <c r="J110" s="1">
        <f t="shared" si="9"/>
        <v>0</v>
      </c>
      <c r="K110" s="1"/>
      <c r="L110" s="2">
        <v>2124</v>
      </c>
      <c r="M110">
        <v>582705</v>
      </c>
    </row>
    <row r="111" spans="1:13" x14ac:dyDescent="0.25">
      <c r="A111" s="3" t="s">
        <v>13</v>
      </c>
      <c r="B111" s="2">
        <v>2781</v>
      </c>
      <c r="C111" s="3" t="s">
        <v>118</v>
      </c>
      <c r="D111" s="4">
        <v>0</v>
      </c>
      <c r="E111" s="4">
        <v>3</v>
      </c>
      <c r="F111">
        <f t="shared" si="8"/>
        <v>165404</v>
      </c>
      <c r="G111" s="1">
        <f t="shared" si="11"/>
        <v>124053</v>
      </c>
      <c r="H111" s="1">
        <f t="shared" si="12"/>
        <v>0</v>
      </c>
      <c r="I111" s="1">
        <f t="shared" si="10"/>
        <v>124053</v>
      </c>
      <c r="J111" s="1">
        <f t="shared" si="9"/>
        <v>0</v>
      </c>
      <c r="K111" s="1"/>
      <c r="L111" s="2">
        <v>2151</v>
      </c>
      <c r="M111">
        <v>182122</v>
      </c>
    </row>
    <row r="112" spans="1:13" x14ac:dyDescent="0.25">
      <c r="A112" s="3" t="s">
        <v>13</v>
      </c>
      <c r="B112" s="2">
        <v>2826</v>
      </c>
      <c r="C112" s="3" t="s">
        <v>119</v>
      </c>
      <c r="D112" s="4">
        <v>0</v>
      </c>
      <c r="E112" s="4">
        <v>7.0000000000000009</v>
      </c>
      <c r="F112">
        <f t="shared" si="8"/>
        <v>577369</v>
      </c>
      <c r="G112" s="1">
        <f t="shared" si="11"/>
        <v>433026.75</v>
      </c>
      <c r="H112" s="1">
        <f t="shared" si="12"/>
        <v>0</v>
      </c>
      <c r="I112" s="1">
        <f t="shared" si="10"/>
        <v>433026.75</v>
      </c>
      <c r="J112" s="1">
        <f t="shared" si="9"/>
        <v>0</v>
      </c>
      <c r="K112" s="1"/>
      <c r="L112" s="2">
        <v>2169</v>
      </c>
      <c r="M112">
        <v>103159</v>
      </c>
    </row>
    <row r="113" spans="1:13" x14ac:dyDescent="0.25">
      <c r="A113" s="3" t="s">
        <v>13</v>
      </c>
      <c r="B113" s="2">
        <v>2834</v>
      </c>
      <c r="C113" s="3" t="s">
        <v>120</v>
      </c>
      <c r="D113" s="4">
        <v>0</v>
      </c>
      <c r="E113" s="4">
        <v>10</v>
      </c>
      <c r="F113">
        <f t="shared" si="8"/>
        <v>131076</v>
      </c>
      <c r="G113" s="1">
        <f t="shared" si="11"/>
        <v>98307</v>
      </c>
      <c r="H113" s="1">
        <f t="shared" si="12"/>
        <v>0</v>
      </c>
      <c r="I113" s="1">
        <f t="shared" si="10"/>
        <v>98307</v>
      </c>
      <c r="J113" s="1">
        <f t="shared" si="9"/>
        <v>0</v>
      </c>
      <c r="K113" s="1"/>
      <c r="L113" s="2">
        <v>2205</v>
      </c>
      <c r="M113">
        <v>76386</v>
      </c>
    </row>
    <row r="114" spans="1:13" x14ac:dyDescent="0.25">
      <c r="A114" s="3" t="s">
        <v>13</v>
      </c>
      <c r="B114" s="2">
        <v>2862</v>
      </c>
      <c r="C114" s="3" t="s">
        <v>121</v>
      </c>
      <c r="D114" s="4">
        <v>2</v>
      </c>
      <c r="E114" s="4">
        <v>5</v>
      </c>
      <c r="F114">
        <f t="shared" si="8"/>
        <v>269863</v>
      </c>
      <c r="G114" s="1">
        <f t="shared" si="11"/>
        <v>202397.25</v>
      </c>
      <c r="H114" s="1">
        <f t="shared" si="12"/>
        <v>57827.79</v>
      </c>
      <c r="I114" s="1">
        <f t="shared" si="10"/>
        <v>144569.46</v>
      </c>
      <c r="J114" s="1">
        <f t="shared" si="9"/>
        <v>0</v>
      </c>
      <c r="K114" s="1"/>
      <c r="L114" s="2">
        <v>2295</v>
      </c>
      <c r="M114">
        <v>528384</v>
      </c>
    </row>
    <row r="115" spans="1:13" x14ac:dyDescent="0.25">
      <c r="A115" s="3" t="s">
        <v>13</v>
      </c>
      <c r="B115" s="2">
        <v>2977</v>
      </c>
      <c r="C115" s="3" t="s">
        <v>122</v>
      </c>
      <c r="D115" s="4">
        <v>0</v>
      </c>
      <c r="E115" s="4">
        <v>7.0000000000000009</v>
      </c>
      <c r="F115">
        <f t="shared" si="8"/>
        <v>288445</v>
      </c>
      <c r="G115" s="1">
        <f t="shared" si="11"/>
        <v>216333.75</v>
      </c>
      <c r="H115" s="1">
        <f t="shared" si="12"/>
        <v>0</v>
      </c>
      <c r="I115" s="1">
        <f t="shared" si="10"/>
        <v>216333.75</v>
      </c>
      <c r="J115" s="1">
        <f t="shared" si="9"/>
        <v>0</v>
      </c>
      <c r="K115" s="1"/>
      <c r="L115" s="2">
        <v>2313</v>
      </c>
      <c r="M115">
        <v>458822</v>
      </c>
    </row>
    <row r="116" spans="1:13" x14ac:dyDescent="0.25">
      <c r="A116" s="3" t="s">
        <v>13</v>
      </c>
      <c r="B116" s="2">
        <v>2988</v>
      </c>
      <c r="C116" s="3" t="s">
        <v>123</v>
      </c>
      <c r="D116" s="4">
        <v>0</v>
      </c>
      <c r="E116" s="4">
        <v>7.0000000000000009</v>
      </c>
      <c r="F116">
        <f t="shared" si="8"/>
        <v>257332</v>
      </c>
      <c r="G116" s="1">
        <f t="shared" si="11"/>
        <v>192999</v>
      </c>
      <c r="H116" s="1">
        <f t="shared" si="12"/>
        <v>0</v>
      </c>
      <c r="I116" s="1">
        <f t="shared" si="10"/>
        <v>192999</v>
      </c>
      <c r="J116" s="1">
        <f t="shared" si="9"/>
        <v>0</v>
      </c>
      <c r="K116" s="1"/>
      <c r="L116" s="2">
        <v>2322</v>
      </c>
      <c r="M116">
        <v>0</v>
      </c>
    </row>
    <row r="117" spans="1:13" x14ac:dyDescent="0.25">
      <c r="A117" s="3" t="s">
        <v>13</v>
      </c>
      <c r="B117" s="2">
        <v>2766</v>
      </c>
      <c r="C117" s="3" t="s">
        <v>5</v>
      </c>
      <c r="D117" s="4">
        <v>0</v>
      </c>
      <c r="E117" s="4">
        <v>8</v>
      </c>
      <c r="F117">
        <f t="shared" si="8"/>
        <v>167506</v>
      </c>
      <c r="G117" s="1">
        <f t="shared" si="11"/>
        <v>125629.5</v>
      </c>
      <c r="H117" s="1">
        <f t="shared" si="12"/>
        <v>0</v>
      </c>
      <c r="I117" s="1">
        <f t="shared" si="10"/>
        <v>125629.5</v>
      </c>
      <c r="J117" s="1">
        <f t="shared" si="9"/>
        <v>0</v>
      </c>
      <c r="K117" s="1"/>
      <c r="L117" s="2">
        <v>2369</v>
      </c>
      <c r="M117">
        <v>243766</v>
      </c>
    </row>
    <row r="118" spans="1:13" x14ac:dyDescent="0.25">
      <c r="A118" s="3" t="s">
        <v>13</v>
      </c>
      <c r="B118" s="2">
        <v>3029</v>
      </c>
      <c r="C118" s="3" t="s">
        <v>124</v>
      </c>
      <c r="D118" s="4">
        <v>3</v>
      </c>
      <c r="E118" s="4">
        <v>3</v>
      </c>
      <c r="F118">
        <f t="shared" si="8"/>
        <v>387467</v>
      </c>
      <c r="G118" s="1">
        <f t="shared" si="11"/>
        <v>290600.25</v>
      </c>
      <c r="H118" s="1">
        <f t="shared" si="12"/>
        <v>145300.13</v>
      </c>
      <c r="I118" s="1">
        <f t="shared" si="10"/>
        <v>145300.12</v>
      </c>
      <c r="J118" s="1">
        <f t="shared" si="9"/>
        <v>0</v>
      </c>
      <c r="K118" s="1"/>
      <c r="L118" s="2">
        <v>2376</v>
      </c>
      <c r="M118">
        <v>270749</v>
      </c>
    </row>
    <row r="119" spans="1:13" x14ac:dyDescent="0.25">
      <c r="A119" s="3" t="s">
        <v>13</v>
      </c>
      <c r="B119" s="2">
        <v>3042</v>
      </c>
      <c r="C119" s="3" t="s">
        <v>125</v>
      </c>
      <c r="D119" s="4">
        <v>0</v>
      </c>
      <c r="E119" s="4">
        <v>2</v>
      </c>
      <c r="F119">
        <f t="shared" si="8"/>
        <v>84639</v>
      </c>
      <c r="G119" s="1">
        <f t="shared" si="11"/>
        <v>63479.25</v>
      </c>
      <c r="H119" s="1">
        <f t="shared" si="12"/>
        <v>0</v>
      </c>
      <c r="I119" s="1">
        <f t="shared" si="10"/>
        <v>63479.25</v>
      </c>
      <c r="J119" s="1">
        <f t="shared" si="9"/>
        <v>0</v>
      </c>
      <c r="K119" s="1"/>
      <c r="L119" s="2">
        <v>2403</v>
      </c>
      <c r="M119">
        <v>329437</v>
      </c>
    </row>
    <row r="120" spans="1:13" x14ac:dyDescent="0.25">
      <c r="A120" s="3" t="s">
        <v>13</v>
      </c>
      <c r="B120" s="2">
        <v>3060</v>
      </c>
      <c r="C120" s="3" t="s">
        <v>126</v>
      </c>
      <c r="D120" s="4">
        <v>0</v>
      </c>
      <c r="E120" s="4">
        <v>5</v>
      </c>
      <c r="F120">
        <f t="shared" si="8"/>
        <v>406806</v>
      </c>
      <c r="G120" s="1">
        <f t="shared" si="11"/>
        <v>305104.5</v>
      </c>
      <c r="H120" s="1">
        <f t="shared" si="12"/>
        <v>0</v>
      </c>
      <c r="I120" s="1">
        <f t="shared" si="10"/>
        <v>305104.5</v>
      </c>
      <c r="J120" s="1">
        <f t="shared" si="9"/>
        <v>0</v>
      </c>
      <c r="K120" s="1"/>
      <c r="L120" s="2">
        <v>2457</v>
      </c>
      <c r="M120">
        <v>294345</v>
      </c>
    </row>
    <row r="121" spans="1:13" x14ac:dyDescent="0.25">
      <c r="A121" s="3" t="s">
        <v>13</v>
      </c>
      <c r="B121" s="2">
        <v>3168</v>
      </c>
      <c r="C121" s="3" t="s">
        <v>127</v>
      </c>
      <c r="D121" s="4">
        <v>0</v>
      </c>
      <c r="E121" s="4">
        <v>9</v>
      </c>
      <c r="F121">
        <f t="shared" si="8"/>
        <v>365887</v>
      </c>
      <c r="G121" s="1">
        <f t="shared" si="11"/>
        <v>274415.25</v>
      </c>
      <c r="H121" s="1">
        <f t="shared" si="12"/>
        <v>0</v>
      </c>
      <c r="I121" s="1">
        <f t="shared" si="10"/>
        <v>274415.25</v>
      </c>
      <c r="J121" s="1">
        <f t="shared" si="9"/>
        <v>0</v>
      </c>
      <c r="K121" s="1"/>
      <c r="L121" s="2">
        <v>2466</v>
      </c>
      <c r="M121">
        <v>0</v>
      </c>
    </row>
    <row r="122" spans="1:13" x14ac:dyDescent="0.25">
      <c r="A122" s="3" t="s">
        <v>13</v>
      </c>
      <c r="B122" s="2">
        <v>3105</v>
      </c>
      <c r="C122" s="3" t="s">
        <v>128</v>
      </c>
      <c r="D122" s="4">
        <v>0</v>
      </c>
      <c r="E122" s="4">
        <v>7.0000000000000009</v>
      </c>
      <c r="F122">
        <f t="shared" si="8"/>
        <v>621648</v>
      </c>
      <c r="G122" s="1">
        <f t="shared" si="11"/>
        <v>466236</v>
      </c>
      <c r="H122" s="1">
        <f t="shared" si="12"/>
        <v>0</v>
      </c>
      <c r="I122" s="1">
        <f t="shared" si="10"/>
        <v>466236</v>
      </c>
      <c r="J122" s="1">
        <f t="shared" si="9"/>
        <v>0</v>
      </c>
      <c r="K122" s="1"/>
      <c r="L122" s="2">
        <v>2493</v>
      </c>
      <c r="M122">
        <v>31536</v>
      </c>
    </row>
    <row r="123" spans="1:13" x14ac:dyDescent="0.25">
      <c r="A123" s="3" t="s">
        <v>13</v>
      </c>
      <c r="B123" s="2">
        <v>3114</v>
      </c>
      <c r="C123" s="3" t="s">
        <v>129</v>
      </c>
      <c r="D123" s="4">
        <v>0</v>
      </c>
      <c r="E123" s="4">
        <v>5</v>
      </c>
      <c r="F123">
        <f t="shared" si="8"/>
        <v>1046566</v>
      </c>
      <c r="G123" s="1">
        <f t="shared" si="11"/>
        <v>784924.5</v>
      </c>
      <c r="H123" s="1">
        <f t="shared" si="12"/>
        <v>0</v>
      </c>
      <c r="I123" s="1">
        <f t="shared" si="10"/>
        <v>784924.5</v>
      </c>
      <c r="J123" s="1">
        <f t="shared" si="9"/>
        <v>0</v>
      </c>
      <c r="K123" s="1"/>
      <c r="L123" s="2">
        <v>2502</v>
      </c>
      <c r="M123">
        <v>135345</v>
      </c>
    </row>
    <row r="124" spans="1:13" x14ac:dyDescent="0.25">
      <c r="A124" s="3" t="s">
        <v>13</v>
      </c>
      <c r="B124" s="2">
        <v>3141</v>
      </c>
      <c r="C124" s="3" t="s">
        <v>130</v>
      </c>
      <c r="D124" s="4">
        <v>0</v>
      </c>
      <c r="E124" s="4">
        <v>5</v>
      </c>
      <c r="F124">
        <f t="shared" si="8"/>
        <v>6534409</v>
      </c>
      <c r="G124" s="1">
        <f t="shared" si="11"/>
        <v>4900806.75</v>
      </c>
      <c r="H124" s="1">
        <f t="shared" si="12"/>
        <v>0</v>
      </c>
      <c r="I124" s="1">
        <f t="shared" si="10"/>
        <v>4900806.75</v>
      </c>
      <c r="J124" s="1">
        <f t="shared" si="9"/>
        <v>0</v>
      </c>
      <c r="K124" s="1"/>
      <c r="L124" s="2">
        <v>2511</v>
      </c>
      <c r="M124">
        <v>494157</v>
      </c>
    </row>
    <row r="125" spans="1:13" x14ac:dyDescent="0.25">
      <c r="A125" s="3" t="s">
        <v>13</v>
      </c>
      <c r="B125" s="2">
        <v>3150</v>
      </c>
      <c r="C125" s="3" t="s">
        <v>131</v>
      </c>
      <c r="D125" s="4">
        <v>0</v>
      </c>
      <c r="E125" s="4">
        <v>7.0000000000000009</v>
      </c>
      <c r="F125">
        <f t="shared" si="8"/>
        <v>485678</v>
      </c>
      <c r="G125" s="1">
        <f t="shared" si="11"/>
        <v>364258.5</v>
      </c>
      <c r="H125" s="1">
        <f t="shared" si="12"/>
        <v>0</v>
      </c>
      <c r="I125" s="1">
        <f t="shared" si="10"/>
        <v>364258.5</v>
      </c>
      <c r="J125" s="1">
        <f t="shared" si="9"/>
        <v>0</v>
      </c>
      <c r="K125" s="1"/>
      <c r="L125" s="2">
        <v>2520</v>
      </c>
      <c r="M125">
        <v>140769</v>
      </c>
    </row>
    <row r="126" spans="1:13" x14ac:dyDescent="0.25">
      <c r="A126" s="3" t="s">
        <v>13</v>
      </c>
      <c r="B126" s="2">
        <v>3154</v>
      </c>
      <c r="C126" s="3" t="s">
        <v>132</v>
      </c>
      <c r="D126" s="4">
        <v>6</v>
      </c>
      <c r="E126" s="4">
        <v>8</v>
      </c>
      <c r="F126">
        <f t="shared" si="8"/>
        <v>424924</v>
      </c>
      <c r="G126" s="1">
        <f t="shared" si="11"/>
        <v>318693</v>
      </c>
      <c r="H126" s="1">
        <f t="shared" si="12"/>
        <v>136582.71</v>
      </c>
      <c r="I126" s="1">
        <f t="shared" si="10"/>
        <v>182110.29</v>
      </c>
      <c r="J126" s="1">
        <f t="shared" si="9"/>
        <v>0</v>
      </c>
      <c r="K126" s="1"/>
      <c r="L126" s="2">
        <v>2556</v>
      </c>
      <c r="M126">
        <v>41088</v>
      </c>
    </row>
    <row r="127" spans="1:13" x14ac:dyDescent="0.25">
      <c r="A127" s="3" t="s">
        <v>13</v>
      </c>
      <c r="B127" s="2">
        <v>3186</v>
      </c>
      <c r="C127" s="3" t="s">
        <v>133</v>
      </c>
      <c r="D127" s="4">
        <v>0</v>
      </c>
      <c r="E127" s="4">
        <v>7.0000000000000009</v>
      </c>
      <c r="F127">
        <f t="shared" si="8"/>
        <v>168271</v>
      </c>
      <c r="G127" s="1">
        <f t="shared" si="11"/>
        <v>126203.25</v>
      </c>
      <c r="H127" s="1">
        <f t="shared" si="12"/>
        <v>0</v>
      </c>
      <c r="I127" s="1">
        <f t="shared" si="10"/>
        <v>126203.25</v>
      </c>
      <c r="J127" s="1">
        <f t="shared" si="9"/>
        <v>0</v>
      </c>
      <c r="K127" s="1"/>
      <c r="L127" s="2">
        <v>2673</v>
      </c>
      <c r="M127">
        <v>160374</v>
      </c>
    </row>
    <row r="128" spans="1:13" x14ac:dyDescent="0.25">
      <c r="A128" s="3" t="s">
        <v>13</v>
      </c>
      <c r="B128" s="2">
        <v>3330</v>
      </c>
      <c r="C128" s="3" t="s">
        <v>134</v>
      </c>
      <c r="D128" s="4">
        <v>0</v>
      </c>
      <c r="E128" s="4">
        <v>1</v>
      </c>
      <c r="F128">
        <f t="shared" si="8"/>
        <v>18321</v>
      </c>
      <c r="G128" s="1">
        <f t="shared" si="11"/>
        <v>13740.75</v>
      </c>
      <c r="H128" s="1">
        <f t="shared" si="12"/>
        <v>0</v>
      </c>
      <c r="I128" s="1">
        <f t="shared" si="10"/>
        <v>13740.75</v>
      </c>
      <c r="J128" s="1">
        <f t="shared" si="9"/>
        <v>0</v>
      </c>
      <c r="K128" s="1"/>
      <c r="L128" s="2">
        <v>2682</v>
      </c>
      <c r="M128">
        <v>163812</v>
      </c>
    </row>
    <row r="129" spans="1:13" x14ac:dyDescent="0.25">
      <c r="A129" s="3" t="s">
        <v>13</v>
      </c>
      <c r="B129" s="2">
        <v>3348</v>
      </c>
      <c r="C129" s="3" t="s">
        <v>135</v>
      </c>
      <c r="D129" s="4">
        <v>3</v>
      </c>
      <c r="E129" s="4">
        <v>1</v>
      </c>
      <c r="F129">
        <f t="shared" si="8"/>
        <v>104638</v>
      </c>
      <c r="G129" s="1">
        <f t="shared" si="11"/>
        <v>78478.5</v>
      </c>
      <c r="H129" s="1">
        <f t="shared" si="12"/>
        <v>58858.879999999997</v>
      </c>
      <c r="I129" s="1">
        <f t="shared" si="10"/>
        <v>19619.620000000003</v>
      </c>
      <c r="J129" s="1">
        <f t="shared" si="9"/>
        <v>0</v>
      </c>
      <c r="K129" s="1"/>
      <c r="L129" s="2">
        <v>2709</v>
      </c>
      <c r="M129">
        <v>603195</v>
      </c>
    </row>
    <row r="130" spans="1:13" x14ac:dyDescent="0.25">
      <c r="A130" s="3" t="s">
        <v>13</v>
      </c>
      <c r="B130" s="2">
        <v>3375</v>
      </c>
      <c r="C130" s="3" t="s">
        <v>136</v>
      </c>
      <c r="D130" s="4">
        <v>0</v>
      </c>
      <c r="E130" s="4">
        <v>6</v>
      </c>
      <c r="F130">
        <f t="shared" si="8"/>
        <v>549775</v>
      </c>
      <c r="G130" s="1">
        <f t="shared" si="11"/>
        <v>412331.25</v>
      </c>
      <c r="H130" s="1">
        <f t="shared" si="12"/>
        <v>0</v>
      </c>
      <c r="I130" s="1">
        <f t="shared" si="10"/>
        <v>412331.25</v>
      </c>
      <c r="J130" s="1">
        <f t="shared" si="9"/>
        <v>0</v>
      </c>
      <c r="K130" s="1"/>
      <c r="L130" s="2">
        <v>2718</v>
      </c>
      <c r="M130">
        <v>26917</v>
      </c>
    </row>
    <row r="131" spans="1:13" x14ac:dyDescent="0.25">
      <c r="A131" s="3" t="s">
        <v>13</v>
      </c>
      <c r="B131" s="2">
        <v>3420</v>
      </c>
      <c r="C131" s="3" t="s">
        <v>137</v>
      </c>
      <c r="D131" s="4">
        <v>0</v>
      </c>
      <c r="E131" s="4">
        <v>9</v>
      </c>
      <c r="F131">
        <f t="shared" ref="F131:F194" si="13">INDEX($L$2:$M$336,MATCH(B131,$L$2:$L$336,0),2)</f>
        <v>279638</v>
      </c>
      <c r="G131" s="1">
        <f t="shared" si="11"/>
        <v>209728.5</v>
      </c>
      <c r="H131" s="1">
        <f t="shared" si="12"/>
        <v>0</v>
      </c>
      <c r="I131" s="1">
        <f t="shared" si="10"/>
        <v>209728.5</v>
      </c>
      <c r="J131" s="1">
        <f t="shared" ref="J131:J194" si="14">H131+I131-G131</f>
        <v>0</v>
      </c>
      <c r="K131" s="1"/>
      <c r="L131" s="2">
        <v>2727</v>
      </c>
      <c r="M131">
        <v>239193</v>
      </c>
    </row>
    <row r="132" spans="1:13" x14ac:dyDescent="0.25">
      <c r="A132" s="3" t="s">
        <v>13</v>
      </c>
      <c r="B132" s="2">
        <v>3465</v>
      </c>
      <c r="C132" s="3" t="s">
        <v>138</v>
      </c>
      <c r="D132" s="4">
        <v>2</v>
      </c>
      <c r="E132" s="4">
        <v>5</v>
      </c>
      <c r="F132">
        <f t="shared" si="13"/>
        <v>70702</v>
      </c>
      <c r="G132" s="1">
        <f t="shared" si="11"/>
        <v>53026.5</v>
      </c>
      <c r="H132" s="1">
        <f t="shared" si="12"/>
        <v>15150.43</v>
      </c>
      <c r="I132" s="1">
        <f t="shared" si="10"/>
        <v>37876.07</v>
      </c>
      <c r="J132" s="1">
        <f t="shared" si="14"/>
        <v>0</v>
      </c>
      <c r="K132" s="1"/>
      <c r="L132" s="2">
        <v>2754</v>
      </c>
      <c r="M132">
        <v>166722</v>
      </c>
    </row>
    <row r="133" spans="1:13" x14ac:dyDescent="0.25">
      <c r="A133" s="3" t="s">
        <v>13</v>
      </c>
      <c r="B133" s="2">
        <v>3537</v>
      </c>
      <c r="C133" s="3" t="s">
        <v>139</v>
      </c>
      <c r="D133" s="4">
        <v>4</v>
      </c>
      <c r="E133" s="4">
        <v>4</v>
      </c>
      <c r="F133">
        <f t="shared" si="13"/>
        <v>121677</v>
      </c>
      <c r="G133" s="1">
        <f t="shared" si="11"/>
        <v>91257.75</v>
      </c>
      <c r="H133" s="1">
        <f t="shared" si="12"/>
        <v>45628.88</v>
      </c>
      <c r="I133" s="1">
        <f t="shared" si="10"/>
        <v>45628.87</v>
      </c>
      <c r="J133" s="1">
        <f t="shared" si="14"/>
        <v>0</v>
      </c>
      <c r="K133" s="1"/>
      <c r="L133" s="2">
        <v>2763</v>
      </c>
      <c r="M133">
        <v>0</v>
      </c>
    </row>
    <row r="134" spans="1:13" x14ac:dyDescent="0.25">
      <c r="A134" s="3" t="s">
        <v>13</v>
      </c>
      <c r="B134" s="2">
        <v>3555</v>
      </c>
      <c r="C134" s="3" t="s">
        <v>140</v>
      </c>
      <c r="D134" s="4">
        <v>0</v>
      </c>
      <c r="E134" s="4">
        <v>5</v>
      </c>
      <c r="F134">
        <f t="shared" si="13"/>
        <v>174208</v>
      </c>
      <c r="G134" s="1">
        <f t="shared" si="11"/>
        <v>130656</v>
      </c>
      <c r="H134" s="1">
        <f t="shared" si="12"/>
        <v>0</v>
      </c>
      <c r="I134" s="1">
        <f t="shared" si="10"/>
        <v>130656</v>
      </c>
      <c r="J134" s="1">
        <f t="shared" si="14"/>
        <v>0</v>
      </c>
      <c r="K134" s="1"/>
      <c r="L134" s="2">
        <v>2766</v>
      </c>
      <c r="M134">
        <v>167506</v>
      </c>
    </row>
    <row r="135" spans="1:13" x14ac:dyDescent="0.25">
      <c r="A135" s="3" t="s">
        <v>13</v>
      </c>
      <c r="B135" s="2">
        <v>3609</v>
      </c>
      <c r="C135" s="3" t="s">
        <v>141</v>
      </c>
      <c r="D135" s="4">
        <v>1</v>
      </c>
      <c r="E135" s="4">
        <v>5</v>
      </c>
      <c r="F135">
        <f t="shared" si="13"/>
        <v>108987</v>
      </c>
      <c r="G135" s="1">
        <f t="shared" si="11"/>
        <v>81740.25</v>
      </c>
      <c r="H135" s="1">
        <f t="shared" si="12"/>
        <v>13623.38</v>
      </c>
      <c r="I135" s="1">
        <f t="shared" si="10"/>
        <v>68116.87</v>
      </c>
      <c r="J135" s="1">
        <f t="shared" si="14"/>
        <v>0</v>
      </c>
      <c r="K135" s="1"/>
      <c r="L135" s="2">
        <v>2772</v>
      </c>
      <c r="M135">
        <v>86159</v>
      </c>
    </row>
    <row r="136" spans="1:13" x14ac:dyDescent="0.25">
      <c r="A136" s="3" t="s">
        <v>13</v>
      </c>
      <c r="B136" s="2">
        <v>3645</v>
      </c>
      <c r="C136" s="3" t="s">
        <v>142</v>
      </c>
      <c r="D136" s="4">
        <v>0</v>
      </c>
      <c r="E136" s="4">
        <v>6</v>
      </c>
      <c r="F136">
        <f t="shared" si="13"/>
        <v>605477</v>
      </c>
      <c r="G136" s="1">
        <f t="shared" si="11"/>
        <v>454107.75</v>
      </c>
      <c r="H136" s="1">
        <f t="shared" si="12"/>
        <v>0</v>
      </c>
      <c r="I136" s="1">
        <f t="shared" si="10"/>
        <v>454107.75</v>
      </c>
      <c r="J136" s="1">
        <f t="shared" si="14"/>
        <v>0</v>
      </c>
      <c r="K136" s="1"/>
      <c r="L136" s="2">
        <v>2781</v>
      </c>
      <c r="M136">
        <v>165404</v>
      </c>
    </row>
    <row r="137" spans="1:13" x14ac:dyDescent="0.25">
      <c r="A137" s="3" t="s">
        <v>13</v>
      </c>
      <c r="B137" s="2">
        <v>3744</v>
      </c>
      <c r="C137" s="3" t="s">
        <v>143</v>
      </c>
      <c r="D137" s="4">
        <v>0</v>
      </c>
      <c r="E137" s="4">
        <v>5</v>
      </c>
      <c r="F137">
        <f t="shared" si="13"/>
        <v>181960</v>
      </c>
      <c r="G137" s="1">
        <f t="shared" si="11"/>
        <v>136470</v>
      </c>
      <c r="H137" s="1">
        <f t="shared" si="12"/>
        <v>0</v>
      </c>
      <c r="I137" s="1">
        <f t="shared" si="10"/>
        <v>136470</v>
      </c>
      <c r="J137" s="1">
        <f t="shared" si="14"/>
        <v>0</v>
      </c>
      <c r="K137" s="1"/>
      <c r="L137" s="2">
        <v>2826</v>
      </c>
      <c r="M137">
        <v>577369</v>
      </c>
    </row>
    <row r="138" spans="1:13" x14ac:dyDescent="0.25">
      <c r="A138" s="3" t="s">
        <v>13</v>
      </c>
      <c r="B138" s="2">
        <v>3798</v>
      </c>
      <c r="C138" s="3" t="s">
        <v>144</v>
      </c>
      <c r="D138" s="4">
        <v>0</v>
      </c>
      <c r="E138" s="4">
        <v>7.0000000000000009</v>
      </c>
      <c r="F138">
        <f t="shared" si="13"/>
        <v>139541</v>
      </c>
      <c r="G138" s="1">
        <f t="shared" si="11"/>
        <v>104655.75</v>
      </c>
      <c r="H138" s="1">
        <f t="shared" si="12"/>
        <v>0</v>
      </c>
      <c r="I138" s="1">
        <f t="shared" si="10"/>
        <v>104655.75</v>
      </c>
      <c r="J138" s="1">
        <f t="shared" si="14"/>
        <v>0</v>
      </c>
      <c r="K138" s="1"/>
      <c r="L138" s="2">
        <v>2834</v>
      </c>
      <c r="M138">
        <v>131076</v>
      </c>
    </row>
    <row r="139" spans="1:13" x14ac:dyDescent="0.25">
      <c r="A139" s="3" t="s">
        <v>13</v>
      </c>
      <c r="B139" s="2">
        <v>3816</v>
      </c>
      <c r="C139" s="3" t="s">
        <v>145</v>
      </c>
      <c r="D139" s="4">
        <v>0</v>
      </c>
      <c r="E139" s="4">
        <v>9</v>
      </c>
      <c r="F139">
        <f t="shared" si="13"/>
        <v>216562</v>
      </c>
      <c r="G139" s="1">
        <f t="shared" si="11"/>
        <v>162421.5</v>
      </c>
      <c r="H139" s="1">
        <f t="shared" si="12"/>
        <v>0</v>
      </c>
      <c r="I139" s="1">
        <f t="shared" si="10"/>
        <v>162421.5</v>
      </c>
      <c r="J139" s="1">
        <f t="shared" si="14"/>
        <v>0</v>
      </c>
      <c r="K139" s="1"/>
      <c r="L139" s="2">
        <v>2846</v>
      </c>
      <c r="M139">
        <v>0</v>
      </c>
    </row>
    <row r="140" spans="1:13" x14ac:dyDescent="0.25">
      <c r="A140" s="3" t="s">
        <v>13</v>
      </c>
      <c r="B140" s="2">
        <v>3841</v>
      </c>
      <c r="C140" s="3" t="s">
        <v>146</v>
      </c>
      <c r="D140" s="4">
        <v>0</v>
      </c>
      <c r="E140" s="4">
        <v>9</v>
      </c>
      <c r="F140">
        <f t="shared" si="13"/>
        <v>345880</v>
      </c>
      <c r="G140" s="1">
        <f t="shared" si="11"/>
        <v>259410</v>
      </c>
      <c r="H140" s="1">
        <f t="shared" si="12"/>
        <v>0</v>
      </c>
      <c r="I140" s="1">
        <f t="shared" si="10"/>
        <v>259410</v>
      </c>
      <c r="J140" s="1">
        <f t="shared" si="14"/>
        <v>0</v>
      </c>
      <c r="K140" s="1"/>
      <c r="L140" s="2">
        <v>2862</v>
      </c>
      <c r="M140">
        <v>269863</v>
      </c>
    </row>
    <row r="141" spans="1:13" x14ac:dyDescent="0.25">
      <c r="A141" s="3" t="s">
        <v>13</v>
      </c>
      <c r="B141" s="2">
        <v>3897</v>
      </c>
      <c r="C141" s="3" t="s">
        <v>147</v>
      </c>
      <c r="D141" s="4">
        <v>0</v>
      </c>
      <c r="E141" s="4">
        <v>13</v>
      </c>
      <c r="F141">
        <f t="shared" si="13"/>
        <v>126292</v>
      </c>
      <c r="G141" s="1">
        <f t="shared" si="11"/>
        <v>94719</v>
      </c>
      <c r="H141" s="1">
        <f t="shared" si="12"/>
        <v>0</v>
      </c>
      <c r="I141" s="1">
        <f t="shared" si="10"/>
        <v>94719</v>
      </c>
      <c r="J141" s="1">
        <f t="shared" si="14"/>
        <v>0</v>
      </c>
      <c r="K141" s="1"/>
      <c r="L141" s="2">
        <v>2977</v>
      </c>
      <c r="M141">
        <v>288445</v>
      </c>
    </row>
    <row r="142" spans="1:13" x14ac:dyDescent="0.25">
      <c r="A142" s="3" t="s">
        <v>13</v>
      </c>
      <c r="B142" s="2">
        <v>3906</v>
      </c>
      <c r="C142" s="3" t="s">
        <v>148</v>
      </c>
      <c r="D142" s="4">
        <v>2</v>
      </c>
      <c r="E142" s="4">
        <v>6</v>
      </c>
      <c r="F142">
        <f t="shared" si="13"/>
        <v>241769</v>
      </c>
      <c r="G142" s="1">
        <f t="shared" si="11"/>
        <v>181326.75</v>
      </c>
      <c r="H142" s="1">
        <f t="shared" si="12"/>
        <v>45331.69</v>
      </c>
      <c r="I142" s="1">
        <f t="shared" si="10"/>
        <v>135995.06</v>
      </c>
      <c r="J142" s="1">
        <f t="shared" si="14"/>
        <v>0</v>
      </c>
      <c r="K142" s="1"/>
      <c r="L142" s="2">
        <v>2988</v>
      </c>
      <c r="M142">
        <v>257332</v>
      </c>
    </row>
    <row r="143" spans="1:13" x14ac:dyDescent="0.25">
      <c r="A143" s="3" t="s">
        <v>13</v>
      </c>
      <c r="B143" s="2">
        <v>3942</v>
      </c>
      <c r="C143" s="3" t="s">
        <v>149</v>
      </c>
      <c r="D143" s="4">
        <v>0</v>
      </c>
      <c r="E143" s="4">
        <v>2</v>
      </c>
      <c r="F143">
        <f t="shared" si="13"/>
        <v>74348</v>
      </c>
      <c r="G143" s="1">
        <f t="shared" si="11"/>
        <v>55761</v>
      </c>
      <c r="H143" s="1">
        <f t="shared" si="12"/>
        <v>0</v>
      </c>
      <c r="I143" s="1">
        <f t="shared" si="10"/>
        <v>55761</v>
      </c>
      <c r="J143" s="1">
        <f t="shared" si="14"/>
        <v>0</v>
      </c>
      <c r="K143" s="1"/>
      <c r="L143" s="2">
        <v>3029</v>
      </c>
      <c r="M143">
        <v>387467</v>
      </c>
    </row>
    <row r="144" spans="1:13" x14ac:dyDescent="0.25">
      <c r="A144" s="3" t="s">
        <v>13</v>
      </c>
      <c r="B144" s="2">
        <v>4023</v>
      </c>
      <c r="C144" s="3" t="s">
        <v>150</v>
      </c>
      <c r="D144" s="4">
        <v>0</v>
      </c>
      <c r="E144" s="4">
        <v>7.0000000000000009</v>
      </c>
      <c r="F144">
        <f t="shared" si="13"/>
        <v>321998</v>
      </c>
      <c r="G144" s="1">
        <f t="shared" si="11"/>
        <v>241498.5</v>
      </c>
      <c r="H144" s="1">
        <f t="shared" si="12"/>
        <v>0</v>
      </c>
      <c r="I144" s="1">
        <f t="shared" si="10"/>
        <v>241498.5</v>
      </c>
      <c r="J144" s="1">
        <f t="shared" si="14"/>
        <v>0</v>
      </c>
      <c r="K144" s="1"/>
      <c r="L144" s="2">
        <v>3033</v>
      </c>
      <c r="M144">
        <v>0</v>
      </c>
    </row>
    <row r="145" spans="1:13" x14ac:dyDescent="0.25">
      <c r="A145" s="3" t="s">
        <v>13</v>
      </c>
      <c r="B145" s="2">
        <v>4033</v>
      </c>
      <c r="C145" s="3" t="s">
        <v>151</v>
      </c>
      <c r="D145" s="4">
        <v>0</v>
      </c>
      <c r="E145" s="4">
        <v>2</v>
      </c>
      <c r="F145">
        <f t="shared" si="13"/>
        <v>72877</v>
      </c>
      <c r="G145" s="1">
        <f t="shared" si="11"/>
        <v>54657.75</v>
      </c>
      <c r="H145" s="1">
        <f t="shared" si="12"/>
        <v>0</v>
      </c>
      <c r="I145" s="1">
        <f t="shared" si="10"/>
        <v>54657.75</v>
      </c>
      <c r="J145" s="1">
        <f t="shared" si="14"/>
        <v>0</v>
      </c>
      <c r="K145" s="1"/>
      <c r="L145" s="2">
        <v>3042</v>
      </c>
      <c r="M145">
        <v>84639</v>
      </c>
    </row>
    <row r="146" spans="1:13" x14ac:dyDescent="0.25">
      <c r="A146" s="3" t="s">
        <v>13</v>
      </c>
      <c r="B146" s="2">
        <v>4041</v>
      </c>
      <c r="C146" s="3" t="s">
        <v>152</v>
      </c>
      <c r="D146" s="4">
        <v>0</v>
      </c>
      <c r="E146" s="4">
        <v>10</v>
      </c>
      <c r="F146">
        <f t="shared" si="13"/>
        <v>697309</v>
      </c>
      <c r="G146" s="1">
        <f t="shared" si="11"/>
        <v>522981.75</v>
      </c>
      <c r="H146" s="1">
        <f t="shared" si="12"/>
        <v>0</v>
      </c>
      <c r="I146" s="1">
        <f t="shared" si="10"/>
        <v>522981.75</v>
      </c>
      <c r="J146" s="1">
        <f t="shared" si="14"/>
        <v>0</v>
      </c>
      <c r="K146" s="1"/>
      <c r="L146" s="2">
        <v>3060</v>
      </c>
      <c r="M146">
        <v>406806</v>
      </c>
    </row>
    <row r="147" spans="1:13" x14ac:dyDescent="0.25">
      <c r="A147" s="3" t="s">
        <v>13</v>
      </c>
      <c r="B147" s="2">
        <v>4068</v>
      </c>
      <c r="C147" s="3" t="s">
        <v>153</v>
      </c>
      <c r="D147" s="4">
        <v>0</v>
      </c>
      <c r="E147" s="4">
        <v>8</v>
      </c>
      <c r="F147">
        <f t="shared" si="13"/>
        <v>230578</v>
      </c>
      <c r="G147" s="1">
        <f t="shared" si="11"/>
        <v>172933.5</v>
      </c>
      <c r="H147" s="1">
        <f t="shared" si="12"/>
        <v>0</v>
      </c>
      <c r="I147" s="1">
        <f t="shared" si="10"/>
        <v>172933.5</v>
      </c>
      <c r="J147" s="1">
        <f t="shared" si="14"/>
        <v>0</v>
      </c>
      <c r="K147" s="1"/>
      <c r="L147" s="2">
        <v>3105</v>
      </c>
      <c r="M147">
        <v>621648</v>
      </c>
    </row>
    <row r="148" spans="1:13" x14ac:dyDescent="0.25">
      <c r="A148" s="3" t="s">
        <v>13</v>
      </c>
      <c r="B148" s="2">
        <v>4086</v>
      </c>
      <c r="C148" s="3" t="s">
        <v>154</v>
      </c>
      <c r="D148" s="4">
        <v>4</v>
      </c>
      <c r="E148" s="4">
        <v>0</v>
      </c>
      <c r="F148">
        <f t="shared" si="13"/>
        <v>515058</v>
      </c>
      <c r="G148" s="1">
        <f t="shared" si="11"/>
        <v>386293.5</v>
      </c>
      <c r="H148" s="1">
        <f t="shared" si="12"/>
        <v>386293.5</v>
      </c>
      <c r="I148" s="1">
        <f t="shared" si="10"/>
        <v>0</v>
      </c>
      <c r="J148" s="1">
        <f t="shared" si="14"/>
        <v>0</v>
      </c>
      <c r="K148" s="1"/>
      <c r="L148" s="2">
        <v>3114</v>
      </c>
      <c r="M148">
        <v>1046566</v>
      </c>
    </row>
    <row r="149" spans="1:13" x14ac:dyDescent="0.25">
      <c r="A149" s="3" t="s">
        <v>13</v>
      </c>
      <c r="B149" s="2">
        <v>4122</v>
      </c>
      <c r="C149" s="3" t="s">
        <v>155</v>
      </c>
      <c r="D149" s="4">
        <v>0</v>
      </c>
      <c r="E149" s="4">
        <v>1</v>
      </c>
      <c r="F149">
        <f t="shared" si="13"/>
        <v>32956</v>
      </c>
      <c r="G149" s="1">
        <f t="shared" si="11"/>
        <v>24717</v>
      </c>
      <c r="H149" s="1">
        <f t="shared" si="12"/>
        <v>0</v>
      </c>
      <c r="I149" s="1">
        <f t="shared" si="10"/>
        <v>24717</v>
      </c>
      <c r="J149" s="1">
        <f t="shared" si="14"/>
        <v>0</v>
      </c>
      <c r="K149" s="1"/>
      <c r="L149" s="2">
        <v>3119</v>
      </c>
      <c r="M149">
        <v>0</v>
      </c>
    </row>
    <row r="150" spans="1:13" x14ac:dyDescent="0.25">
      <c r="A150" s="3" t="s">
        <v>13</v>
      </c>
      <c r="B150" s="2">
        <v>4131</v>
      </c>
      <c r="C150" s="3" t="s">
        <v>156</v>
      </c>
      <c r="D150" s="4">
        <v>0</v>
      </c>
      <c r="E150" s="4">
        <v>7.0000000000000009</v>
      </c>
      <c r="F150">
        <f t="shared" si="13"/>
        <v>1764940</v>
      </c>
      <c r="G150" s="1">
        <f t="shared" si="11"/>
        <v>1323705</v>
      </c>
      <c r="H150" s="1">
        <f t="shared" si="12"/>
        <v>0</v>
      </c>
      <c r="I150" s="1">
        <f t="shared" si="10"/>
        <v>1323705</v>
      </c>
      <c r="J150" s="1">
        <f t="shared" si="14"/>
        <v>0</v>
      </c>
      <c r="K150" s="1"/>
      <c r="L150" s="2">
        <v>3141</v>
      </c>
      <c r="M150">
        <v>6534409</v>
      </c>
    </row>
    <row r="151" spans="1:13" x14ac:dyDescent="0.25">
      <c r="A151" s="3" t="s">
        <v>13</v>
      </c>
      <c r="B151" s="2">
        <v>4203</v>
      </c>
      <c r="C151" s="3" t="s">
        <v>157</v>
      </c>
      <c r="D151" s="4">
        <v>3</v>
      </c>
      <c r="E151" s="4">
        <v>4</v>
      </c>
      <c r="F151">
        <f t="shared" si="13"/>
        <v>335716</v>
      </c>
      <c r="G151" s="1">
        <f t="shared" si="11"/>
        <v>251787</v>
      </c>
      <c r="H151" s="1">
        <f t="shared" si="12"/>
        <v>107908.71</v>
      </c>
      <c r="I151" s="1">
        <f t="shared" si="10"/>
        <v>143878.28999999998</v>
      </c>
      <c r="J151" s="1">
        <f t="shared" si="14"/>
        <v>0</v>
      </c>
      <c r="K151" s="1"/>
      <c r="L151" s="2">
        <v>3150</v>
      </c>
      <c r="M151">
        <v>485678</v>
      </c>
    </row>
    <row r="152" spans="1:13" x14ac:dyDescent="0.25">
      <c r="A152" s="3" t="s">
        <v>13</v>
      </c>
      <c r="B152" s="2">
        <v>4212</v>
      </c>
      <c r="C152" s="3" t="s">
        <v>158</v>
      </c>
      <c r="D152" s="4">
        <v>0</v>
      </c>
      <c r="E152" s="4">
        <v>1</v>
      </c>
      <c r="F152">
        <f t="shared" si="13"/>
        <v>10766</v>
      </c>
      <c r="G152" s="1">
        <f t="shared" si="11"/>
        <v>8074.5</v>
      </c>
      <c r="H152" s="1">
        <f t="shared" si="12"/>
        <v>0</v>
      </c>
      <c r="I152" s="1">
        <f t="shared" si="10"/>
        <v>8074.5</v>
      </c>
      <c r="J152" s="1">
        <f t="shared" si="14"/>
        <v>0</v>
      </c>
      <c r="K152" s="1"/>
      <c r="L152" s="2">
        <v>3154</v>
      </c>
      <c r="M152">
        <v>424924</v>
      </c>
    </row>
    <row r="153" spans="1:13" x14ac:dyDescent="0.25">
      <c r="A153" s="3" t="s">
        <v>13</v>
      </c>
      <c r="B153" s="2">
        <v>4419</v>
      </c>
      <c r="C153" s="3" t="s">
        <v>159</v>
      </c>
      <c r="D153" s="4">
        <v>5</v>
      </c>
      <c r="E153" s="4">
        <v>5</v>
      </c>
      <c r="F153">
        <f t="shared" si="13"/>
        <v>341441</v>
      </c>
      <c r="G153" s="1">
        <f t="shared" si="11"/>
        <v>256080.75</v>
      </c>
      <c r="H153" s="1">
        <f t="shared" si="12"/>
        <v>128040.38</v>
      </c>
      <c r="I153" s="1">
        <f t="shared" si="10"/>
        <v>128040.37</v>
      </c>
      <c r="J153" s="1">
        <f t="shared" si="14"/>
        <v>0</v>
      </c>
      <c r="K153" s="1"/>
      <c r="L153" s="2">
        <v>3168</v>
      </c>
      <c r="M153">
        <v>365887</v>
      </c>
    </row>
    <row r="154" spans="1:13" x14ac:dyDescent="0.25">
      <c r="A154" s="3" t="s">
        <v>13</v>
      </c>
      <c r="B154" s="2">
        <v>4271</v>
      </c>
      <c r="C154" s="3" t="s">
        <v>160</v>
      </c>
      <c r="D154" s="4">
        <v>6</v>
      </c>
      <c r="E154" s="4">
        <v>8</v>
      </c>
      <c r="F154">
        <f t="shared" si="13"/>
        <v>1048588</v>
      </c>
      <c r="G154" s="1">
        <f t="shared" si="11"/>
        <v>786441</v>
      </c>
      <c r="H154" s="1">
        <f t="shared" si="12"/>
        <v>337046.14</v>
      </c>
      <c r="I154" s="1">
        <f t="shared" si="10"/>
        <v>449394.86</v>
      </c>
      <c r="J154" s="1">
        <f t="shared" si="14"/>
        <v>0</v>
      </c>
      <c r="K154" s="1"/>
      <c r="L154" s="2">
        <v>3186</v>
      </c>
      <c r="M154">
        <v>168271</v>
      </c>
    </row>
    <row r="155" spans="1:13" x14ac:dyDescent="0.25">
      <c r="A155" s="3" t="s">
        <v>13</v>
      </c>
      <c r="B155" s="2">
        <v>4269</v>
      </c>
      <c r="C155" s="3" t="s">
        <v>161</v>
      </c>
      <c r="D155" s="4">
        <v>0</v>
      </c>
      <c r="E155" s="4">
        <v>12</v>
      </c>
      <c r="F155">
        <f t="shared" si="13"/>
        <v>292771</v>
      </c>
      <c r="G155" s="1">
        <f t="shared" si="11"/>
        <v>219578.25</v>
      </c>
      <c r="H155" s="1">
        <f t="shared" si="12"/>
        <v>0</v>
      </c>
      <c r="I155" s="1">
        <f t="shared" si="10"/>
        <v>219578.25</v>
      </c>
      <c r="J155" s="1">
        <f t="shared" si="14"/>
        <v>0</v>
      </c>
      <c r="K155" s="1"/>
      <c r="L155" s="2">
        <v>3195</v>
      </c>
      <c r="M155">
        <v>733405</v>
      </c>
    </row>
    <row r="156" spans="1:13" x14ac:dyDescent="0.25">
      <c r="A156" s="3" t="s">
        <v>13</v>
      </c>
      <c r="B156" s="2">
        <v>4356</v>
      </c>
      <c r="C156" s="3" t="s">
        <v>162</v>
      </c>
      <c r="D156" s="4">
        <v>0</v>
      </c>
      <c r="E156" s="4">
        <v>7.0000000000000009</v>
      </c>
      <c r="F156">
        <f t="shared" si="13"/>
        <v>208968</v>
      </c>
      <c r="G156" s="1">
        <f t="shared" si="11"/>
        <v>156726</v>
      </c>
      <c r="H156" s="1">
        <f t="shared" si="12"/>
        <v>0</v>
      </c>
      <c r="I156" s="1">
        <f t="shared" si="10"/>
        <v>156726</v>
      </c>
      <c r="J156" s="1">
        <f t="shared" si="14"/>
        <v>0</v>
      </c>
      <c r="K156" s="1"/>
      <c r="L156" s="2">
        <v>3204</v>
      </c>
      <c r="M156">
        <v>0</v>
      </c>
    </row>
    <row r="157" spans="1:13" x14ac:dyDescent="0.25">
      <c r="A157" s="3" t="s">
        <v>13</v>
      </c>
      <c r="B157" s="2">
        <v>4149</v>
      </c>
      <c r="C157" s="3" t="s">
        <v>163</v>
      </c>
      <c r="D157" s="4">
        <v>0</v>
      </c>
      <c r="E157" s="4">
        <v>5</v>
      </c>
      <c r="F157">
        <f t="shared" si="13"/>
        <v>523027</v>
      </c>
      <c r="G157" s="1">
        <f t="shared" si="11"/>
        <v>392270.25</v>
      </c>
      <c r="H157" s="1">
        <f t="shared" si="12"/>
        <v>0</v>
      </c>
      <c r="I157" s="1">
        <f t="shared" si="10"/>
        <v>392270.25</v>
      </c>
      <c r="J157" s="1">
        <f t="shared" si="14"/>
        <v>0</v>
      </c>
      <c r="K157" s="1"/>
      <c r="L157" s="2">
        <v>3231</v>
      </c>
      <c r="M157">
        <v>0</v>
      </c>
    </row>
    <row r="158" spans="1:13" x14ac:dyDescent="0.25">
      <c r="A158" s="3" t="s">
        <v>13</v>
      </c>
      <c r="B158" s="2">
        <v>4437</v>
      </c>
      <c r="C158" s="3" t="s">
        <v>164</v>
      </c>
      <c r="D158" s="4">
        <v>0</v>
      </c>
      <c r="E158" s="4">
        <v>8</v>
      </c>
      <c r="F158">
        <f t="shared" si="13"/>
        <v>231756</v>
      </c>
      <c r="G158" s="1">
        <f t="shared" si="11"/>
        <v>173817</v>
      </c>
      <c r="H158" s="1">
        <f t="shared" si="12"/>
        <v>0</v>
      </c>
      <c r="I158" s="1">
        <f t="shared" si="10"/>
        <v>173817</v>
      </c>
      <c r="J158" s="1">
        <f t="shared" si="14"/>
        <v>0</v>
      </c>
      <c r="K158" s="1"/>
      <c r="L158" s="2">
        <v>3312</v>
      </c>
      <c r="M158">
        <v>0</v>
      </c>
    </row>
    <row r="159" spans="1:13" x14ac:dyDescent="0.25">
      <c r="A159" s="3" t="s">
        <v>13</v>
      </c>
      <c r="B159" s="2">
        <v>4446</v>
      </c>
      <c r="C159" s="3" t="s">
        <v>165</v>
      </c>
      <c r="D159" s="4">
        <v>0</v>
      </c>
      <c r="E159" s="4">
        <v>5</v>
      </c>
      <c r="F159">
        <f t="shared" si="13"/>
        <v>285533</v>
      </c>
      <c r="G159" s="1">
        <f t="shared" si="11"/>
        <v>214149.75</v>
      </c>
      <c r="H159" s="1">
        <f t="shared" si="12"/>
        <v>0</v>
      </c>
      <c r="I159" s="1">
        <f t="shared" si="10"/>
        <v>214149.75</v>
      </c>
      <c r="J159" s="1">
        <f t="shared" si="14"/>
        <v>0</v>
      </c>
      <c r="K159" s="1"/>
      <c r="L159" s="2">
        <v>3330</v>
      </c>
      <c r="M159">
        <v>18321</v>
      </c>
    </row>
    <row r="160" spans="1:13" x14ac:dyDescent="0.25">
      <c r="A160" s="3" t="s">
        <v>13</v>
      </c>
      <c r="B160" s="2">
        <v>4491</v>
      </c>
      <c r="C160" s="3" t="s">
        <v>166</v>
      </c>
      <c r="D160" s="4">
        <v>0</v>
      </c>
      <c r="E160" s="4">
        <v>12</v>
      </c>
      <c r="F160">
        <f t="shared" si="13"/>
        <v>147644</v>
      </c>
      <c r="G160" s="1">
        <f t="shared" si="11"/>
        <v>110733</v>
      </c>
      <c r="H160" s="1">
        <f t="shared" si="12"/>
        <v>0</v>
      </c>
      <c r="I160" s="1">
        <f t="shared" si="10"/>
        <v>110733</v>
      </c>
      <c r="J160" s="1">
        <f t="shared" si="14"/>
        <v>0</v>
      </c>
      <c r="K160" s="1"/>
      <c r="L160" s="2">
        <v>3348</v>
      </c>
      <c r="M160">
        <v>104638</v>
      </c>
    </row>
    <row r="161" spans="1:13" x14ac:dyDescent="0.25">
      <c r="A161" s="3" t="s">
        <v>13</v>
      </c>
      <c r="B161" s="2">
        <v>4505</v>
      </c>
      <c r="C161" s="3" t="s">
        <v>167</v>
      </c>
      <c r="D161" s="4">
        <v>0</v>
      </c>
      <c r="E161" s="4">
        <v>11</v>
      </c>
      <c r="F161">
        <f t="shared" si="13"/>
        <v>112617</v>
      </c>
      <c r="G161" s="1">
        <f t="shared" si="11"/>
        <v>84462.75</v>
      </c>
      <c r="H161" s="1">
        <f t="shared" si="12"/>
        <v>0</v>
      </c>
      <c r="I161" s="1">
        <f t="shared" si="10"/>
        <v>84462.75</v>
      </c>
      <c r="J161" s="1">
        <f t="shared" si="14"/>
        <v>0</v>
      </c>
      <c r="K161" s="1"/>
      <c r="L161" s="2">
        <v>3375</v>
      </c>
      <c r="M161">
        <v>549775</v>
      </c>
    </row>
    <row r="162" spans="1:13" x14ac:dyDescent="0.25">
      <c r="A162" s="3" t="s">
        <v>13</v>
      </c>
      <c r="B162" s="2">
        <v>4509</v>
      </c>
      <c r="C162" s="3" t="s">
        <v>168</v>
      </c>
      <c r="D162" s="4">
        <v>0</v>
      </c>
      <c r="E162" s="4">
        <v>7.0000000000000009</v>
      </c>
      <c r="F162">
        <f t="shared" si="13"/>
        <v>75328</v>
      </c>
      <c r="G162" s="1">
        <f t="shared" si="11"/>
        <v>56496</v>
      </c>
      <c r="H162" s="1">
        <f t="shared" si="12"/>
        <v>0</v>
      </c>
      <c r="I162" s="1">
        <f t="shared" si="10"/>
        <v>56496</v>
      </c>
      <c r="J162" s="1">
        <f t="shared" si="14"/>
        <v>0</v>
      </c>
      <c r="K162" s="1"/>
      <c r="L162" s="2">
        <v>3411</v>
      </c>
      <c r="M162">
        <v>0</v>
      </c>
    </row>
    <row r="163" spans="1:13" x14ac:dyDescent="0.25">
      <c r="A163" s="3" t="s">
        <v>13</v>
      </c>
      <c r="B163" s="2">
        <v>4518</v>
      </c>
      <c r="C163" s="3" t="s">
        <v>169</v>
      </c>
      <c r="D163" s="4">
        <v>0</v>
      </c>
      <c r="E163" s="4">
        <v>12</v>
      </c>
      <c r="F163">
        <f t="shared" si="13"/>
        <v>86252</v>
      </c>
      <c r="G163" s="1">
        <f t="shared" ref="G163:G219" si="15">ROUND(F163*0.75,2)</f>
        <v>64689</v>
      </c>
      <c r="H163" s="1">
        <f t="shared" ref="H163:H220" si="16">ROUND((D163/(D163+E163))*$G163,2)</f>
        <v>0</v>
      </c>
      <c r="I163" s="1">
        <f t="shared" si="10"/>
        <v>64689</v>
      </c>
      <c r="J163" s="1">
        <f t="shared" si="14"/>
        <v>0</v>
      </c>
      <c r="K163" s="1"/>
      <c r="L163" s="2">
        <v>3420</v>
      </c>
      <c r="M163">
        <v>279638</v>
      </c>
    </row>
    <row r="164" spans="1:13" x14ac:dyDescent="0.25">
      <c r="A164" s="3" t="s">
        <v>13</v>
      </c>
      <c r="B164" s="2">
        <v>4527</v>
      </c>
      <c r="C164" s="3" t="s">
        <v>170</v>
      </c>
      <c r="D164" s="4">
        <v>0</v>
      </c>
      <c r="E164" s="4">
        <v>6</v>
      </c>
      <c r="F164">
        <f t="shared" si="13"/>
        <v>153921</v>
      </c>
      <c r="G164" s="1">
        <f t="shared" si="15"/>
        <v>115440.75</v>
      </c>
      <c r="H164" s="1">
        <f t="shared" si="16"/>
        <v>0</v>
      </c>
      <c r="I164" s="1">
        <f t="shared" si="10"/>
        <v>115440.75</v>
      </c>
      <c r="J164" s="1">
        <f t="shared" si="14"/>
        <v>0</v>
      </c>
      <c r="K164" s="1"/>
      <c r="L164" s="2">
        <v>3465</v>
      </c>
      <c r="M164">
        <v>70702</v>
      </c>
    </row>
    <row r="165" spans="1:13" x14ac:dyDescent="0.25">
      <c r="A165" s="3" t="s">
        <v>13</v>
      </c>
      <c r="B165" s="2">
        <v>4536</v>
      </c>
      <c r="C165" s="3" t="s">
        <v>171</v>
      </c>
      <c r="D165" s="4">
        <v>0</v>
      </c>
      <c r="E165" s="4">
        <v>5</v>
      </c>
      <c r="F165">
        <f t="shared" si="13"/>
        <v>455576</v>
      </c>
      <c r="G165" s="1">
        <f t="shared" si="15"/>
        <v>341682</v>
      </c>
      <c r="H165" s="1">
        <f t="shared" si="16"/>
        <v>0</v>
      </c>
      <c r="I165" s="1">
        <f t="shared" si="10"/>
        <v>341682</v>
      </c>
      <c r="J165" s="1">
        <f t="shared" si="14"/>
        <v>0</v>
      </c>
      <c r="K165" s="1"/>
      <c r="L165" s="2">
        <v>3537</v>
      </c>
      <c r="M165">
        <v>121677</v>
      </c>
    </row>
    <row r="166" spans="1:13" x14ac:dyDescent="0.25">
      <c r="A166" s="3" t="s">
        <v>13</v>
      </c>
      <c r="B166" s="2">
        <v>4554</v>
      </c>
      <c r="C166" s="3" t="s">
        <v>172</v>
      </c>
      <c r="D166" s="4">
        <v>0</v>
      </c>
      <c r="E166" s="4">
        <v>6</v>
      </c>
      <c r="F166">
        <f t="shared" si="13"/>
        <v>427534</v>
      </c>
      <c r="G166" s="1">
        <f t="shared" si="15"/>
        <v>320650.5</v>
      </c>
      <c r="H166" s="1">
        <f t="shared" si="16"/>
        <v>0</v>
      </c>
      <c r="I166" s="1">
        <f t="shared" si="10"/>
        <v>320650.5</v>
      </c>
      <c r="J166" s="1">
        <f t="shared" si="14"/>
        <v>0</v>
      </c>
      <c r="K166" s="1"/>
      <c r="L166" s="2">
        <v>3555</v>
      </c>
      <c r="M166">
        <v>174208</v>
      </c>
    </row>
    <row r="167" spans="1:13" x14ac:dyDescent="0.25">
      <c r="A167" s="3" t="s">
        <v>13</v>
      </c>
      <c r="B167" s="2">
        <v>4572</v>
      </c>
      <c r="C167" s="3" t="s">
        <v>173</v>
      </c>
      <c r="D167" s="4">
        <v>0</v>
      </c>
      <c r="E167" s="4">
        <v>13</v>
      </c>
      <c r="F167">
        <f t="shared" si="13"/>
        <v>120995</v>
      </c>
      <c r="G167" s="1">
        <f t="shared" si="15"/>
        <v>90746.25</v>
      </c>
      <c r="H167" s="1">
        <f t="shared" si="16"/>
        <v>0</v>
      </c>
      <c r="I167" s="1">
        <f t="shared" si="10"/>
        <v>90746.25</v>
      </c>
      <c r="J167" s="1">
        <f t="shared" si="14"/>
        <v>0</v>
      </c>
      <c r="K167" s="1"/>
      <c r="L167" s="2">
        <v>3582</v>
      </c>
      <c r="M167">
        <v>295493</v>
      </c>
    </row>
    <row r="168" spans="1:13" x14ac:dyDescent="0.25">
      <c r="A168" s="3" t="s">
        <v>13</v>
      </c>
      <c r="B168" s="2">
        <v>4581</v>
      </c>
      <c r="C168" s="3" t="s">
        <v>174</v>
      </c>
      <c r="D168" s="4">
        <v>0</v>
      </c>
      <c r="E168" s="4">
        <v>1</v>
      </c>
      <c r="F168">
        <f t="shared" si="13"/>
        <v>283206</v>
      </c>
      <c r="G168" s="1">
        <f t="shared" si="15"/>
        <v>212404.5</v>
      </c>
      <c r="H168" s="1">
        <f t="shared" si="16"/>
        <v>0</v>
      </c>
      <c r="I168" s="1">
        <f t="shared" si="10"/>
        <v>212404.5</v>
      </c>
      <c r="J168" s="1">
        <f t="shared" si="14"/>
        <v>0</v>
      </c>
      <c r="K168" s="1"/>
      <c r="L168" s="2">
        <v>3600</v>
      </c>
      <c r="M168">
        <v>0</v>
      </c>
    </row>
    <row r="169" spans="1:13" x14ac:dyDescent="0.25">
      <c r="A169" s="3" t="s">
        <v>13</v>
      </c>
      <c r="B169" s="2">
        <v>4599</v>
      </c>
      <c r="C169" s="3" t="s">
        <v>175</v>
      </c>
      <c r="D169" s="4">
        <v>0</v>
      </c>
      <c r="E169" s="4">
        <v>9</v>
      </c>
      <c r="F169">
        <f t="shared" si="13"/>
        <v>298186</v>
      </c>
      <c r="G169" s="1">
        <f t="shared" si="15"/>
        <v>223639.5</v>
      </c>
      <c r="H169" s="1">
        <f t="shared" si="16"/>
        <v>0</v>
      </c>
      <c r="I169" s="1">
        <f t="shared" si="10"/>
        <v>223639.5</v>
      </c>
      <c r="J169" s="1">
        <f t="shared" si="14"/>
        <v>0</v>
      </c>
      <c r="K169" s="1"/>
      <c r="L169" s="2">
        <v>3609</v>
      </c>
      <c r="M169">
        <v>108987</v>
      </c>
    </row>
    <row r="170" spans="1:13" x14ac:dyDescent="0.25">
      <c r="A170" s="3" t="s">
        <v>13</v>
      </c>
      <c r="B170" s="2">
        <v>4617</v>
      </c>
      <c r="C170" s="3" t="s">
        <v>176</v>
      </c>
      <c r="D170" s="4">
        <v>0</v>
      </c>
      <c r="E170" s="4">
        <v>5</v>
      </c>
      <c r="F170">
        <f t="shared" si="13"/>
        <v>434892</v>
      </c>
      <c r="G170" s="1">
        <f t="shared" si="15"/>
        <v>326169</v>
      </c>
      <c r="H170" s="1">
        <f t="shared" si="16"/>
        <v>0</v>
      </c>
      <c r="I170" s="1">
        <f t="shared" si="10"/>
        <v>326169</v>
      </c>
      <c r="J170" s="1">
        <f t="shared" si="14"/>
        <v>0</v>
      </c>
      <c r="K170" s="1"/>
      <c r="L170" s="2">
        <v>3645</v>
      </c>
      <c r="M170">
        <v>605477</v>
      </c>
    </row>
    <row r="171" spans="1:13" x14ac:dyDescent="0.25">
      <c r="A171" s="3" t="s">
        <v>13</v>
      </c>
      <c r="B171" s="2">
        <v>4662</v>
      </c>
      <c r="C171" s="3" t="s">
        <v>177</v>
      </c>
      <c r="D171" s="4">
        <v>0</v>
      </c>
      <c r="E171" s="4">
        <v>7.0000000000000009</v>
      </c>
      <c r="F171">
        <f t="shared" si="13"/>
        <v>469771</v>
      </c>
      <c r="G171" s="1">
        <f t="shared" si="15"/>
        <v>352328.25</v>
      </c>
      <c r="H171" s="1">
        <f t="shared" si="16"/>
        <v>0</v>
      </c>
      <c r="I171" s="1">
        <f t="shared" si="10"/>
        <v>352328.25</v>
      </c>
      <c r="J171" s="1">
        <f t="shared" si="14"/>
        <v>0</v>
      </c>
      <c r="K171" s="1"/>
      <c r="L171" s="2">
        <v>3691</v>
      </c>
      <c r="M171">
        <v>467570</v>
      </c>
    </row>
    <row r="172" spans="1:13" x14ac:dyDescent="0.25">
      <c r="A172" s="3" t="s">
        <v>13</v>
      </c>
      <c r="B172" s="2">
        <v>4689</v>
      </c>
      <c r="C172" s="3" t="s">
        <v>178</v>
      </c>
      <c r="D172" s="4">
        <v>2</v>
      </c>
      <c r="E172" s="4">
        <v>7.0000000000000009</v>
      </c>
      <c r="F172">
        <f t="shared" si="13"/>
        <v>206306</v>
      </c>
      <c r="G172" s="1">
        <f t="shared" si="15"/>
        <v>154729.5</v>
      </c>
      <c r="H172" s="1">
        <f t="shared" si="16"/>
        <v>34384.33</v>
      </c>
      <c r="I172" s="1">
        <f t="shared" ref="I172:I235" si="17">G172-H172</f>
        <v>120345.17</v>
      </c>
      <c r="J172" s="1">
        <f t="shared" si="14"/>
        <v>0</v>
      </c>
      <c r="K172" s="1"/>
      <c r="L172" s="2">
        <v>3715</v>
      </c>
      <c r="M172">
        <v>0</v>
      </c>
    </row>
    <row r="173" spans="1:13" x14ac:dyDescent="0.25">
      <c r="A173" s="3" t="s">
        <v>13</v>
      </c>
      <c r="B173" s="2">
        <v>4644</v>
      </c>
      <c r="C173" s="3" t="s">
        <v>179</v>
      </c>
      <c r="D173" s="4">
        <v>0</v>
      </c>
      <c r="E173" s="4">
        <v>7.0000000000000009</v>
      </c>
      <c r="F173">
        <f t="shared" si="13"/>
        <v>147944</v>
      </c>
      <c r="G173" s="1">
        <f t="shared" si="15"/>
        <v>110958</v>
      </c>
      <c r="H173" s="1">
        <f t="shared" si="16"/>
        <v>0</v>
      </c>
      <c r="I173" s="1">
        <f t="shared" si="17"/>
        <v>110958</v>
      </c>
      <c r="J173" s="1">
        <f t="shared" si="14"/>
        <v>0</v>
      </c>
      <c r="K173" s="1"/>
      <c r="L173" s="2">
        <v>3744</v>
      </c>
      <c r="M173">
        <v>181960</v>
      </c>
    </row>
    <row r="174" spans="1:13" x14ac:dyDescent="0.25">
      <c r="A174" s="3" t="s">
        <v>13</v>
      </c>
      <c r="B174" s="2">
        <v>4725</v>
      </c>
      <c r="C174" s="3" t="s">
        <v>180</v>
      </c>
      <c r="D174" s="4">
        <v>0</v>
      </c>
      <c r="E174" s="4">
        <v>5</v>
      </c>
      <c r="F174">
        <f t="shared" si="13"/>
        <v>775608</v>
      </c>
      <c r="G174" s="1">
        <f t="shared" si="15"/>
        <v>581706</v>
      </c>
      <c r="H174" s="1">
        <f t="shared" si="16"/>
        <v>0</v>
      </c>
      <c r="I174" s="1">
        <f t="shared" si="17"/>
        <v>581706</v>
      </c>
      <c r="J174" s="1">
        <f t="shared" si="14"/>
        <v>0</v>
      </c>
      <c r="K174" s="1"/>
      <c r="L174" s="2">
        <v>3798</v>
      </c>
      <c r="M174">
        <v>139541</v>
      </c>
    </row>
    <row r="175" spans="1:13" x14ac:dyDescent="0.25">
      <c r="A175" s="3" t="s">
        <v>13</v>
      </c>
      <c r="B175" s="2">
        <v>2673</v>
      </c>
      <c r="C175" s="3" t="s">
        <v>181</v>
      </c>
      <c r="D175" s="4">
        <v>0</v>
      </c>
      <c r="E175" s="4">
        <v>5</v>
      </c>
      <c r="F175">
        <f t="shared" si="13"/>
        <v>160374</v>
      </c>
      <c r="G175" s="1">
        <f t="shared" si="15"/>
        <v>120280.5</v>
      </c>
      <c r="H175" s="1">
        <f t="shared" si="16"/>
        <v>0</v>
      </c>
      <c r="I175" s="1">
        <f t="shared" si="17"/>
        <v>120280.5</v>
      </c>
      <c r="J175" s="1">
        <f t="shared" si="14"/>
        <v>0</v>
      </c>
      <c r="K175" s="1"/>
      <c r="L175" s="2">
        <v>3816</v>
      </c>
      <c r="M175">
        <v>216562</v>
      </c>
    </row>
    <row r="176" spans="1:13" x14ac:dyDescent="0.25">
      <c r="A176" s="3" t="s">
        <v>13</v>
      </c>
      <c r="B176" s="2">
        <v>153</v>
      </c>
      <c r="C176" s="3" t="s">
        <v>182</v>
      </c>
      <c r="D176" s="4">
        <v>0</v>
      </c>
      <c r="E176" s="4">
        <v>5</v>
      </c>
      <c r="F176">
        <f t="shared" si="13"/>
        <v>155803</v>
      </c>
      <c r="G176" s="1">
        <f t="shared" si="15"/>
        <v>116852.25</v>
      </c>
      <c r="H176" s="1">
        <f t="shared" si="16"/>
        <v>0</v>
      </c>
      <c r="I176" s="1">
        <f t="shared" si="17"/>
        <v>116852.25</v>
      </c>
      <c r="J176" s="1">
        <f t="shared" si="14"/>
        <v>0</v>
      </c>
      <c r="K176" s="1"/>
      <c r="L176" s="2">
        <v>3841</v>
      </c>
      <c r="M176">
        <v>345880</v>
      </c>
    </row>
    <row r="177" spans="1:13" x14ac:dyDescent="0.25">
      <c r="A177" s="3" t="s">
        <v>13</v>
      </c>
      <c r="B177" s="2">
        <v>3691</v>
      </c>
      <c r="C177" s="3" t="s">
        <v>183</v>
      </c>
      <c r="D177" s="4">
        <v>3</v>
      </c>
      <c r="E177" s="4">
        <v>7.0000000000000009</v>
      </c>
      <c r="F177">
        <f t="shared" si="13"/>
        <v>467570</v>
      </c>
      <c r="G177" s="1">
        <f t="shared" si="15"/>
        <v>350677.5</v>
      </c>
      <c r="H177" s="1">
        <f t="shared" si="16"/>
        <v>105203.25</v>
      </c>
      <c r="I177" s="1">
        <f t="shared" si="17"/>
        <v>245474.25</v>
      </c>
      <c r="J177" s="1">
        <f t="shared" si="14"/>
        <v>0</v>
      </c>
      <c r="K177" s="1"/>
      <c r="L177" s="2">
        <v>3897</v>
      </c>
      <c r="M177">
        <v>126292</v>
      </c>
    </row>
    <row r="178" spans="1:13" x14ac:dyDescent="0.25">
      <c r="A178" s="3" t="s">
        <v>13</v>
      </c>
      <c r="B178" s="2">
        <v>4774</v>
      </c>
      <c r="C178" s="3" t="s">
        <v>184</v>
      </c>
      <c r="D178" s="4">
        <v>0</v>
      </c>
      <c r="E178" s="4">
        <v>8</v>
      </c>
      <c r="F178">
        <f t="shared" si="13"/>
        <v>367257</v>
      </c>
      <c r="G178" s="1">
        <f t="shared" si="15"/>
        <v>275442.75</v>
      </c>
      <c r="H178" s="1">
        <f t="shared" si="16"/>
        <v>0</v>
      </c>
      <c r="I178" s="1">
        <f t="shared" si="17"/>
        <v>275442.75</v>
      </c>
      <c r="J178" s="1">
        <f t="shared" si="14"/>
        <v>0</v>
      </c>
      <c r="K178" s="1"/>
      <c r="L178" s="2">
        <v>3906</v>
      </c>
      <c r="M178">
        <v>241769</v>
      </c>
    </row>
    <row r="179" spans="1:13" x14ac:dyDescent="0.25">
      <c r="A179" s="3" t="s">
        <v>13</v>
      </c>
      <c r="B179" s="2">
        <v>873</v>
      </c>
      <c r="C179" s="3" t="s">
        <v>185</v>
      </c>
      <c r="D179" s="4">
        <v>0</v>
      </c>
      <c r="E179" s="4">
        <v>7.0000000000000009</v>
      </c>
      <c r="F179">
        <f t="shared" si="13"/>
        <v>210755</v>
      </c>
      <c r="G179" s="1">
        <f t="shared" si="15"/>
        <v>158066.25</v>
      </c>
      <c r="H179" s="1">
        <f t="shared" si="16"/>
        <v>0</v>
      </c>
      <c r="I179" s="1">
        <f t="shared" si="17"/>
        <v>158066.25</v>
      </c>
      <c r="J179" s="1">
        <f t="shared" si="14"/>
        <v>0</v>
      </c>
      <c r="K179" s="1"/>
      <c r="L179" s="2">
        <v>3942</v>
      </c>
      <c r="M179">
        <v>74348</v>
      </c>
    </row>
    <row r="180" spans="1:13" x14ac:dyDescent="0.25">
      <c r="A180" s="3" t="s">
        <v>13</v>
      </c>
      <c r="B180" s="2">
        <v>4778</v>
      </c>
      <c r="C180" s="3" t="s">
        <v>186</v>
      </c>
      <c r="D180" s="4">
        <v>0</v>
      </c>
      <c r="E180" s="4">
        <v>6</v>
      </c>
      <c r="F180">
        <f t="shared" si="13"/>
        <v>96597</v>
      </c>
      <c r="G180" s="1">
        <f t="shared" si="15"/>
        <v>72447.75</v>
      </c>
      <c r="H180" s="1">
        <f t="shared" si="16"/>
        <v>0</v>
      </c>
      <c r="I180" s="1">
        <f t="shared" si="17"/>
        <v>72447.75</v>
      </c>
      <c r="J180" s="1">
        <f t="shared" si="14"/>
        <v>0</v>
      </c>
      <c r="K180" s="1"/>
      <c r="L180" s="2">
        <v>3978</v>
      </c>
      <c r="M180">
        <v>240614</v>
      </c>
    </row>
    <row r="181" spans="1:13" x14ac:dyDescent="0.25">
      <c r="A181" s="3" t="s">
        <v>13</v>
      </c>
      <c r="B181" s="2">
        <v>4777</v>
      </c>
      <c r="C181" s="3" t="s">
        <v>187</v>
      </c>
      <c r="D181" s="4">
        <v>0</v>
      </c>
      <c r="E181" s="4">
        <v>5</v>
      </c>
      <c r="F181">
        <f t="shared" si="13"/>
        <v>174466</v>
      </c>
      <c r="G181" s="1">
        <f t="shared" si="15"/>
        <v>130849.5</v>
      </c>
      <c r="H181" s="1">
        <f t="shared" si="16"/>
        <v>0</v>
      </c>
      <c r="I181" s="1">
        <f t="shared" si="17"/>
        <v>130849.5</v>
      </c>
      <c r="J181" s="1">
        <f t="shared" si="14"/>
        <v>0</v>
      </c>
      <c r="K181" s="1"/>
      <c r="L181" s="2">
        <v>4023</v>
      </c>
      <c r="M181">
        <v>321998</v>
      </c>
    </row>
    <row r="182" spans="1:13" x14ac:dyDescent="0.25">
      <c r="A182" s="3" t="s">
        <v>13</v>
      </c>
      <c r="B182" s="2">
        <v>4776</v>
      </c>
      <c r="C182" s="3" t="s">
        <v>188</v>
      </c>
      <c r="D182" s="4">
        <v>0</v>
      </c>
      <c r="E182" s="4">
        <v>3</v>
      </c>
      <c r="F182">
        <f t="shared" si="13"/>
        <v>75057</v>
      </c>
      <c r="G182" s="1">
        <f t="shared" si="15"/>
        <v>56292.75</v>
      </c>
      <c r="H182" s="1">
        <f t="shared" si="16"/>
        <v>0</v>
      </c>
      <c r="I182" s="1">
        <f t="shared" si="17"/>
        <v>56292.75</v>
      </c>
      <c r="J182" s="1">
        <f t="shared" si="14"/>
        <v>0</v>
      </c>
      <c r="K182" s="1"/>
      <c r="L182" s="2">
        <v>4033</v>
      </c>
      <c r="M182">
        <v>72877</v>
      </c>
    </row>
    <row r="183" spans="1:13" x14ac:dyDescent="0.25">
      <c r="A183" s="3" t="s">
        <v>13</v>
      </c>
      <c r="B183" s="2">
        <v>4779</v>
      </c>
      <c r="C183" s="3" t="s">
        <v>189</v>
      </c>
      <c r="D183" s="4">
        <v>0</v>
      </c>
      <c r="E183" s="4">
        <v>5</v>
      </c>
      <c r="F183">
        <f t="shared" si="13"/>
        <v>538816</v>
      </c>
      <c r="G183" s="1">
        <f t="shared" si="15"/>
        <v>404112</v>
      </c>
      <c r="H183" s="1">
        <f t="shared" si="16"/>
        <v>0</v>
      </c>
      <c r="I183" s="1">
        <f t="shared" si="17"/>
        <v>404112</v>
      </c>
      <c r="J183" s="1">
        <f t="shared" si="14"/>
        <v>0</v>
      </c>
      <c r="K183" s="1"/>
      <c r="L183" s="2">
        <v>4041</v>
      </c>
      <c r="M183">
        <v>697309</v>
      </c>
    </row>
    <row r="184" spans="1:13" x14ac:dyDescent="0.25">
      <c r="A184" s="3" t="s">
        <v>13</v>
      </c>
      <c r="B184" s="2">
        <v>4784</v>
      </c>
      <c r="C184" s="3" t="s">
        <v>190</v>
      </c>
      <c r="D184" s="4">
        <v>0</v>
      </c>
      <c r="E184" s="4">
        <v>1</v>
      </c>
      <c r="F184">
        <f t="shared" si="13"/>
        <v>196024</v>
      </c>
      <c r="G184" s="1">
        <f t="shared" si="15"/>
        <v>147018</v>
      </c>
      <c r="H184" s="1">
        <f t="shared" si="16"/>
        <v>0</v>
      </c>
      <c r="I184" s="1">
        <f t="shared" si="17"/>
        <v>147018</v>
      </c>
      <c r="J184" s="1">
        <f t="shared" si="14"/>
        <v>0</v>
      </c>
      <c r="K184" s="1"/>
      <c r="L184" s="2">
        <v>4043</v>
      </c>
      <c r="M184">
        <v>0</v>
      </c>
    </row>
    <row r="185" spans="1:13" x14ac:dyDescent="0.25">
      <c r="A185" s="3" t="s">
        <v>13</v>
      </c>
      <c r="B185" s="2">
        <v>4785</v>
      </c>
      <c r="C185" s="3" t="s">
        <v>191</v>
      </c>
      <c r="D185" s="4">
        <v>0</v>
      </c>
      <c r="E185" s="4">
        <v>9</v>
      </c>
      <c r="F185">
        <f t="shared" si="13"/>
        <v>257647</v>
      </c>
      <c r="G185" s="1">
        <f t="shared" si="15"/>
        <v>193235.25</v>
      </c>
      <c r="H185" s="1">
        <f t="shared" si="16"/>
        <v>0</v>
      </c>
      <c r="I185" s="1">
        <f t="shared" si="17"/>
        <v>193235.25</v>
      </c>
      <c r="J185" s="1">
        <f t="shared" si="14"/>
        <v>0</v>
      </c>
      <c r="K185" s="1"/>
      <c r="L185" s="2">
        <v>4068</v>
      </c>
      <c r="M185">
        <v>230578</v>
      </c>
    </row>
    <row r="186" spans="1:13" x14ac:dyDescent="0.25">
      <c r="A186" s="3" t="s">
        <v>13</v>
      </c>
      <c r="B186" s="2">
        <v>333</v>
      </c>
      <c r="C186" s="3" t="s">
        <v>192</v>
      </c>
      <c r="D186" s="4">
        <v>8</v>
      </c>
      <c r="E186" s="4">
        <v>4</v>
      </c>
      <c r="F186">
        <f t="shared" si="13"/>
        <v>302831</v>
      </c>
      <c r="G186" s="1">
        <f t="shared" si="15"/>
        <v>227123.25</v>
      </c>
      <c r="H186" s="1">
        <f t="shared" si="16"/>
        <v>151415.5</v>
      </c>
      <c r="I186" s="1">
        <f t="shared" si="17"/>
        <v>75707.75</v>
      </c>
      <c r="J186" s="1">
        <f t="shared" si="14"/>
        <v>0</v>
      </c>
      <c r="K186" s="1"/>
      <c r="L186" s="2">
        <v>4086</v>
      </c>
      <c r="M186">
        <v>515058</v>
      </c>
    </row>
    <row r="187" spans="1:13" x14ac:dyDescent="0.25">
      <c r="A187" s="3" t="s">
        <v>13</v>
      </c>
      <c r="B187" s="2">
        <v>4787</v>
      </c>
      <c r="C187" s="3" t="s">
        <v>193</v>
      </c>
      <c r="D187" s="4">
        <v>0</v>
      </c>
      <c r="E187" s="4">
        <v>10</v>
      </c>
      <c r="F187">
        <f t="shared" si="13"/>
        <v>131364</v>
      </c>
      <c r="G187" s="1">
        <f t="shared" si="15"/>
        <v>98523</v>
      </c>
      <c r="H187" s="1">
        <f t="shared" si="16"/>
        <v>0</v>
      </c>
      <c r="I187" s="1">
        <f t="shared" si="17"/>
        <v>98523</v>
      </c>
      <c r="J187" s="1">
        <f t="shared" si="14"/>
        <v>0</v>
      </c>
      <c r="K187" s="1"/>
      <c r="L187" s="2">
        <v>4104</v>
      </c>
      <c r="M187">
        <v>0</v>
      </c>
    </row>
    <row r="188" spans="1:13" x14ac:dyDescent="0.25">
      <c r="A188" s="3" t="s">
        <v>13</v>
      </c>
      <c r="B188" s="2">
        <v>4773</v>
      </c>
      <c r="C188" s="3" t="s">
        <v>194</v>
      </c>
      <c r="D188" s="4">
        <v>0</v>
      </c>
      <c r="E188" s="4">
        <v>10</v>
      </c>
      <c r="F188">
        <f t="shared" si="13"/>
        <v>264838</v>
      </c>
      <c r="G188" s="1">
        <f t="shared" si="15"/>
        <v>198628.5</v>
      </c>
      <c r="H188" s="1">
        <f t="shared" si="16"/>
        <v>0</v>
      </c>
      <c r="I188" s="1">
        <f t="shared" si="17"/>
        <v>198628.5</v>
      </c>
      <c r="J188" s="1">
        <f t="shared" si="14"/>
        <v>0</v>
      </c>
      <c r="K188" s="1"/>
      <c r="L188" s="2">
        <v>4122</v>
      </c>
      <c r="M188">
        <v>32956</v>
      </c>
    </row>
    <row r="189" spans="1:13" x14ac:dyDescent="0.25">
      <c r="A189" s="3" t="s">
        <v>13</v>
      </c>
      <c r="B189" s="2">
        <v>4775</v>
      </c>
      <c r="C189" s="3" t="s">
        <v>195</v>
      </c>
      <c r="D189" s="4">
        <v>1</v>
      </c>
      <c r="E189" s="4">
        <v>8</v>
      </c>
      <c r="F189">
        <f t="shared" si="13"/>
        <v>96715</v>
      </c>
      <c r="G189" s="1">
        <f t="shared" si="15"/>
        <v>72536.25</v>
      </c>
      <c r="H189" s="1">
        <f t="shared" si="16"/>
        <v>8059.58</v>
      </c>
      <c r="I189" s="1">
        <f t="shared" si="17"/>
        <v>64476.67</v>
      </c>
      <c r="J189" s="1">
        <f t="shared" si="14"/>
        <v>0</v>
      </c>
      <c r="K189" s="1"/>
      <c r="L189" s="2">
        <v>4131</v>
      </c>
      <c r="M189">
        <v>1764940</v>
      </c>
    </row>
    <row r="190" spans="1:13" x14ac:dyDescent="0.25">
      <c r="A190" s="3" t="s">
        <v>13</v>
      </c>
      <c r="B190" s="2">
        <v>4788</v>
      </c>
      <c r="C190" s="3" t="s">
        <v>196</v>
      </c>
      <c r="D190" s="4">
        <v>0</v>
      </c>
      <c r="E190" s="4">
        <v>5</v>
      </c>
      <c r="F190">
        <f t="shared" si="13"/>
        <v>132956</v>
      </c>
      <c r="G190" s="1">
        <f t="shared" si="15"/>
        <v>99717</v>
      </c>
      <c r="H190" s="1">
        <f t="shared" si="16"/>
        <v>0</v>
      </c>
      <c r="I190" s="1">
        <f t="shared" si="17"/>
        <v>99717</v>
      </c>
      <c r="J190" s="1">
        <f t="shared" si="14"/>
        <v>0</v>
      </c>
      <c r="K190" s="1"/>
      <c r="L190" s="2">
        <v>4149</v>
      </c>
      <c r="M190">
        <v>523027</v>
      </c>
    </row>
    <row r="191" spans="1:13" x14ac:dyDescent="0.25">
      <c r="A191" s="3" t="s">
        <v>13</v>
      </c>
      <c r="B191" s="2">
        <v>4860</v>
      </c>
      <c r="C191" s="3" t="s">
        <v>197</v>
      </c>
      <c r="D191" s="4">
        <v>1</v>
      </c>
      <c r="E191" s="4">
        <v>1</v>
      </c>
      <c r="F191">
        <f t="shared" si="13"/>
        <v>35622</v>
      </c>
      <c r="G191" s="1">
        <f t="shared" si="15"/>
        <v>26716.5</v>
      </c>
      <c r="H191" s="1">
        <f t="shared" si="16"/>
        <v>13358.25</v>
      </c>
      <c r="I191" s="1">
        <f t="shared" si="17"/>
        <v>13358.25</v>
      </c>
      <c r="J191" s="1">
        <f t="shared" si="14"/>
        <v>0</v>
      </c>
      <c r="K191" s="1"/>
      <c r="L191" s="2">
        <v>4203</v>
      </c>
      <c r="M191">
        <v>335716</v>
      </c>
    </row>
    <row r="192" spans="1:13" x14ac:dyDescent="0.25">
      <c r="A192" s="3" t="s">
        <v>13</v>
      </c>
      <c r="B192" s="2">
        <v>4869</v>
      </c>
      <c r="C192" s="3" t="s">
        <v>198</v>
      </c>
      <c r="D192" s="4">
        <v>3</v>
      </c>
      <c r="E192" s="4">
        <v>4</v>
      </c>
      <c r="F192">
        <f t="shared" si="13"/>
        <v>361812</v>
      </c>
      <c r="G192" s="1">
        <f t="shared" si="15"/>
        <v>271359</v>
      </c>
      <c r="H192" s="1">
        <f t="shared" si="16"/>
        <v>116296.71</v>
      </c>
      <c r="I192" s="1">
        <f t="shared" si="17"/>
        <v>155062.28999999998</v>
      </c>
      <c r="J192" s="1">
        <f t="shared" si="14"/>
        <v>0</v>
      </c>
      <c r="K192" s="1"/>
      <c r="L192" s="2">
        <v>4212</v>
      </c>
      <c r="M192">
        <v>10766</v>
      </c>
    </row>
    <row r="193" spans="1:13" x14ac:dyDescent="0.25">
      <c r="A193" s="3" t="s">
        <v>13</v>
      </c>
      <c r="B193" s="2">
        <v>4878</v>
      </c>
      <c r="C193" s="3" t="s">
        <v>199</v>
      </c>
      <c r="D193" s="4">
        <v>0</v>
      </c>
      <c r="E193" s="4">
        <v>7.0000000000000009</v>
      </c>
      <c r="F193">
        <f t="shared" si="13"/>
        <v>255788</v>
      </c>
      <c r="G193" s="1">
        <f t="shared" si="15"/>
        <v>191841</v>
      </c>
      <c r="H193" s="1">
        <f t="shared" si="16"/>
        <v>0</v>
      </c>
      <c r="I193" s="1">
        <f t="shared" si="17"/>
        <v>191841</v>
      </c>
      <c r="J193" s="1">
        <f t="shared" si="14"/>
        <v>0</v>
      </c>
      <c r="K193" s="1"/>
      <c r="L193" s="2">
        <v>4269</v>
      </c>
      <c r="M193">
        <v>292771</v>
      </c>
    </row>
    <row r="194" spans="1:13" x14ac:dyDescent="0.25">
      <c r="A194" s="3" t="s">
        <v>13</v>
      </c>
      <c r="B194" s="2">
        <v>4890</v>
      </c>
      <c r="C194" s="3" t="s">
        <v>200</v>
      </c>
      <c r="D194" s="4">
        <v>0</v>
      </c>
      <c r="E194" s="4">
        <v>2</v>
      </c>
      <c r="F194">
        <f t="shared" si="13"/>
        <v>158432</v>
      </c>
      <c r="G194" s="1">
        <f t="shared" si="15"/>
        <v>118824</v>
      </c>
      <c r="H194" s="1">
        <f t="shared" si="16"/>
        <v>0</v>
      </c>
      <c r="I194" s="1">
        <f t="shared" si="17"/>
        <v>118824</v>
      </c>
      <c r="J194" s="1">
        <f t="shared" si="14"/>
        <v>0</v>
      </c>
      <c r="K194" s="1"/>
      <c r="L194" s="2">
        <v>4271</v>
      </c>
      <c r="M194">
        <v>1048588</v>
      </c>
    </row>
    <row r="195" spans="1:13" x14ac:dyDescent="0.25">
      <c r="A195" s="3" t="s">
        <v>13</v>
      </c>
      <c r="B195" s="2">
        <v>4905</v>
      </c>
      <c r="C195" s="3" t="s">
        <v>201</v>
      </c>
      <c r="D195" s="4">
        <v>0</v>
      </c>
      <c r="E195" s="4">
        <v>10</v>
      </c>
      <c r="F195">
        <f t="shared" ref="F195:F256" si="18">INDEX($L$2:$M$336,MATCH(B195,$L$2:$L$336,0),2)</f>
        <v>101323</v>
      </c>
      <c r="G195" s="1">
        <f t="shared" si="15"/>
        <v>75992.25</v>
      </c>
      <c r="H195" s="1">
        <f t="shared" si="16"/>
        <v>0</v>
      </c>
      <c r="I195" s="1">
        <f t="shared" si="17"/>
        <v>75992.25</v>
      </c>
      <c r="J195" s="1">
        <f t="shared" ref="J195:J258" si="19">H195+I195-G195</f>
        <v>0</v>
      </c>
      <c r="K195" s="1"/>
      <c r="L195" s="2">
        <v>4356</v>
      </c>
      <c r="M195">
        <v>208968</v>
      </c>
    </row>
    <row r="196" spans="1:13" x14ac:dyDescent="0.25">
      <c r="A196" s="3" t="s">
        <v>13</v>
      </c>
      <c r="B196" s="2">
        <v>4978</v>
      </c>
      <c r="C196" s="3" t="s">
        <v>202</v>
      </c>
      <c r="D196" s="4">
        <v>5</v>
      </c>
      <c r="E196" s="4">
        <v>10</v>
      </c>
      <c r="F196">
        <f t="shared" si="18"/>
        <v>121939</v>
      </c>
      <c r="G196" s="1">
        <f t="shared" si="15"/>
        <v>91454.25</v>
      </c>
      <c r="H196" s="1">
        <f t="shared" si="16"/>
        <v>30484.75</v>
      </c>
      <c r="I196" s="1">
        <f t="shared" si="17"/>
        <v>60969.5</v>
      </c>
      <c r="J196" s="1">
        <f t="shared" si="19"/>
        <v>0</v>
      </c>
      <c r="K196" s="1"/>
      <c r="L196" s="2">
        <v>4419</v>
      </c>
      <c r="M196">
        <v>341441</v>
      </c>
    </row>
    <row r="197" spans="1:13" x14ac:dyDescent="0.25">
      <c r="A197" s="3" t="s">
        <v>13</v>
      </c>
      <c r="B197" s="2">
        <v>4995</v>
      </c>
      <c r="C197" s="3" t="s">
        <v>203</v>
      </c>
      <c r="D197" s="4">
        <v>1</v>
      </c>
      <c r="E197" s="4">
        <v>1</v>
      </c>
      <c r="F197">
        <f t="shared" si="18"/>
        <v>109062</v>
      </c>
      <c r="G197" s="1">
        <f t="shared" si="15"/>
        <v>81796.5</v>
      </c>
      <c r="H197" s="1">
        <f t="shared" si="16"/>
        <v>40898.25</v>
      </c>
      <c r="I197" s="1">
        <f t="shared" si="17"/>
        <v>40898.25</v>
      </c>
      <c r="J197" s="1">
        <f t="shared" si="19"/>
        <v>0</v>
      </c>
      <c r="K197" s="1"/>
      <c r="L197" s="2">
        <v>4437</v>
      </c>
      <c r="M197">
        <v>231756</v>
      </c>
    </row>
    <row r="198" spans="1:13" x14ac:dyDescent="0.25">
      <c r="A198" s="3" t="s">
        <v>13</v>
      </c>
      <c r="B198" s="2">
        <v>5013</v>
      </c>
      <c r="C198" s="3" t="s">
        <v>204</v>
      </c>
      <c r="D198" s="4">
        <v>0</v>
      </c>
      <c r="E198" s="4">
        <v>1</v>
      </c>
      <c r="F198">
        <f t="shared" si="18"/>
        <v>121990</v>
      </c>
      <c r="G198" s="1">
        <f t="shared" si="15"/>
        <v>91492.5</v>
      </c>
      <c r="H198" s="1">
        <f t="shared" si="16"/>
        <v>0</v>
      </c>
      <c r="I198" s="1">
        <f t="shared" si="17"/>
        <v>91492.5</v>
      </c>
      <c r="J198" s="1">
        <f t="shared" si="19"/>
        <v>0</v>
      </c>
      <c r="K198" s="1"/>
      <c r="L198" s="2">
        <v>4446</v>
      </c>
      <c r="M198">
        <v>285533</v>
      </c>
    </row>
    <row r="199" spans="1:13" x14ac:dyDescent="0.25">
      <c r="A199" s="3" t="s">
        <v>13</v>
      </c>
      <c r="B199" s="2">
        <v>5121</v>
      </c>
      <c r="C199" s="3" t="s">
        <v>205</v>
      </c>
      <c r="D199" s="4">
        <v>0</v>
      </c>
      <c r="E199" s="4">
        <v>4</v>
      </c>
      <c r="F199">
        <f t="shared" si="18"/>
        <v>189030</v>
      </c>
      <c r="G199" s="1">
        <f t="shared" si="15"/>
        <v>141772.5</v>
      </c>
      <c r="H199" s="1">
        <f t="shared" si="16"/>
        <v>0</v>
      </c>
      <c r="I199" s="1">
        <f t="shared" si="17"/>
        <v>141772.5</v>
      </c>
      <c r="J199" s="1">
        <f t="shared" si="19"/>
        <v>0</v>
      </c>
      <c r="K199" s="1"/>
      <c r="L199" s="2">
        <v>4491</v>
      </c>
      <c r="M199">
        <v>147644</v>
      </c>
    </row>
    <row r="200" spans="1:13" x14ac:dyDescent="0.25">
      <c r="A200" s="3" t="s">
        <v>13</v>
      </c>
      <c r="B200" s="2">
        <v>5139</v>
      </c>
      <c r="C200" s="3" t="s">
        <v>206</v>
      </c>
      <c r="D200" s="4">
        <v>0</v>
      </c>
      <c r="E200" s="4">
        <v>5</v>
      </c>
      <c r="F200">
        <f t="shared" si="18"/>
        <v>48130</v>
      </c>
      <c r="G200" s="1">
        <f t="shared" si="15"/>
        <v>36097.5</v>
      </c>
      <c r="H200" s="1">
        <f t="shared" si="16"/>
        <v>0</v>
      </c>
      <c r="I200" s="1">
        <f t="shared" si="17"/>
        <v>36097.5</v>
      </c>
      <c r="J200" s="1">
        <f t="shared" si="19"/>
        <v>0</v>
      </c>
      <c r="K200" s="1"/>
      <c r="L200" s="2">
        <v>4505</v>
      </c>
      <c r="M200">
        <v>112617</v>
      </c>
    </row>
    <row r="201" spans="1:13" x14ac:dyDescent="0.25">
      <c r="A201" s="3" t="s">
        <v>13</v>
      </c>
      <c r="B201" s="2">
        <v>5319</v>
      </c>
      <c r="C201" s="3" t="s">
        <v>6</v>
      </c>
      <c r="D201" s="4">
        <v>0</v>
      </c>
      <c r="E201" s="4">
        <v>3</v>
      </c>
      <c r="F201">
        <f t="shared" si="18"/>
        <v>170967</v>
      </c>
      <c r="G201" s="1">
        <f t="shared" si="15"/>
        <v>128225.25</v>
      </c>
      <c r="H201" s="1">
        <f t="shared" si="16"/>
        <v>0</v>
      </c>
      <c r="I201" s="1">
        <f t="shared" si="17"/>
        <v>128225.25</v>
      </c>
      <c r="J201" s="1">
        <f t="shared" si="19"/>
        <v>0</v>
      </c>
      <c r="K201" s="1"/>
      <c r="L201" s="2">
        <v>4509</v>
      </c>
      <c r="M201">
        <v>75328</v>
      </c>
    </row>
    <row r="202" spans="1:13" x14ac:dyDescent="0.25">
      <c r="A202" s="3" t="s">
        <v>13</v>
      </c>
      <c r="B202" s="2">
        <v>5163</v>
      </c>
      <c r="C202" s="3" t="s">
        <v>207</v>
      </c>
      <c r="D202" s="4">
        <v>3</v>
      </c>
      <c r="E202" s="4">
        <v>5</v>
      </c>
      <c r="F202">
        <f t="shared" si="18"/>
        <v>218896</v>
      </c>
      <c r="G202" s="1">
        <f t="shared" si="15"/>
        <v>164172</v>
      </c>
      <c r="H202" s="1">
        <f t="shared" si="16"/>
        <v>61564.5</v>
      </c>
      <c r="I202" s="1">
        <f t="shared" si="17"/>
        <v>102607.5</v>
      </c>
      <c r="J202" s="1">
        <f t="shared" si="19"/>
        <v>0</v>
      </c>
      <c r="K202" s="1"/>
      <c r="L202" s="2">
        <v>4518</v>
      </c>
      <c r="M202">
        <v>86252</v>
      </c>
    </row>
    <row r="203" spans="1:13" x14ac:dyDescent="0.25">
      <c r="A203" s="3" t="s">
        <v>13</v>
      </c>
      <c r="B203" s="2">
        <v>5166</v>
      </c>
      <c r="C203" s="3" t="s">
        <v>208</v>
      </c>
      <c r="D203" s="4">
        <v>0</v>
      </c>
      <c r="E203" s="4">
        <v>5</v>
      </c>
      <c r="F203">
        <f t="shared" si="18"/>
        <v>903029</v>
      </c>
      <c r="G203" s="1">
        <f t="shared" si="15"/>
        <v>677271.75</v>
      </c>
      <c r="H203" s="1">
        <f t="shared" si="16"/>
        <v>0</v>
      </c>
      <c r="I203" s="1">
        <f t="shared" si="17"/>
        <v>677271.75</v>
      </c>
      <c r="J203" s="1">
        <f t="shared" si="19"/>
        <v>0</v>
      </c>
      <c r="K203" s="1"/>
      <c r="L203" s="2">
        <v>4527</v>
      </c>
      <c r="M203">
        <v>153921</v>
      </c>
    </row>
    <row r="204" spans="1:13" x14ac:dyDescent="0.25">
      <c r="A204" s="3" t="s">
        <v>13</v>
      </c>
      <c r="B204" s="2">
        <v>5184</v>
      </c>
      <c r="C204" s="3" t="s">
        <v>209</v>
      </c>
      <c r="D204" s="4">
        <v>3</v>
      </c>
      <c r="E204" s="4">
        <v>0</v>
      </c>
      <c r="F204">
        <f t="shared" si="18"/>
        <v>213039</v>
      </c>
      <c r="G204" s="1">
        <f t="shared" si="15"/>
        <v>159779.25</v>
      </c>
      <c r="H204" s="1">
        <f t="shared" si="16"/>
        <v>159779.25</v>
      </c>
      <c r="I204" s="1">
        <f t="shared" si="17"/>
        <v>0</v>
      </c>
      <c r="J204" s="1">
        <f t="shared" si="19"/>
        <v>0</v>
      </c>
      <c r="K204" s="1"/>
      <c r="L204" s="2">
        <v>4536</v>
      </c>
      <c r="M204">
        <v>455576</v>
      </c>
    </row>
    <row r="205" spans="1:13" x14ac:dyDescent="0.25">
      <c r="A205" s="3" t="s">
        <v>13</v>
      </c>
      <c r="B205" s="2">
        <v>5256</v>
      </c>
      <c r="C205" s="3" t="s">
        <v>210</v>
      </c>
      <c r="D205" s="4">
        <v>0</v>
      </c>
      <c r="E205" s="4">
        <v>9</v>
      </c>
      <c r="F205">
        <f t="shared" si="18"/>
        <v>284764</v>
      </c>
      <c r="G205" s="1">
        <f t="shared" si="15"/>
        <v>213573</v>
      </c>
      <c r="H205" s="1">
        <f t="shared" si="16"/>
        <v>0</v>
      </c>
      <c r="I205" s="1">
        <f t="shared" si="17"/>
        <v>213573</v>
      </c>
      <c r="J205" s="1">
        <f t="shared" si="19"/>
        <v>0</v>
      </c>
      <c r="K205" s="1"/>
      <c r="L205" s="2">
        <v>4554</v>
      </c>
      <c r="M205">
        <v>427534</v>
      </c>
    </row>
    <row r="206" spans="1:13" x14ac:dyDescent="0.25">
      <c r="A206" s="3" t="s">
        <v>13</v>
      </c>
      <c r="B206" s="2">
        <v>5283</v>
      </c>
      <c r="C206" s="3" t="s">
        <v>211</v>
      </c>
      <c r="D206" s="4">
        <v>0</v>
      </c>
      <c r="E206" s="4">
        <v>1</v>
      </c>
      <c r="F206">
        <f t="shared" si="18"/>
        <v>42258</v>
      </c>
      <c r="G206" s="1">
        <f t="shared" si="15"/>
        <v>31693.5</v>
      </c>
      <c r="H206" s="1">
        <f t="shared" si="16"/>
        <v>0</v>
      </c>
      <c r="I206" s="1">
        <f t="shared" si="17"/>
        <v>31693.5</v>
      </c>
      <c r="J206" s="1">
        <f t="shared" si="19"/>
        <v>0</v>
      </c>
      <c r="K206" s="1"/>
      <c r="L206" s="2">
        <v>4572</v>
      </c>
      <c r="M206">
        <v>120995</v>
      </c>
    </row>
    <row r="207" spans="1:13" x14ac:dyDescent="0.25">
      <c r="A207" s="3" t="s">
        <v>13</v>
      </c>
      <c r="B207" s="2">
        <v>5310</v>
      </c>
      <c r="C207" s="3" t="s">
        <v>212</v>
      </c>
      <c r="D207" s="4">
        <v>2</v>
      </c>
      <c r="E207" s="4">
        <v>13</v>
      </c>
      <c r="F207">
        <f t="shared" si="18"/>
        <v>304991</v>
      </c>
      <c r="G207" s="1">
        <f t="shared" si="15"/>
        <v>228743.25</v>
      </c>
      <c r="H207" s="1">
        <f t="shared" si="16"/>
        <v>30499.1</v>
      </c>
      <c r="I207" s="1">
        <f t="shared" si="17"/>
        <v>198244.15</v>
      </c>
      <c r="J207" s="1">
        <f t="shared" si="19"/>
        <v>0</v>
      </c>
      <c r="K207" s="1"/>
      <c r="L207" s="2">
        <v>4581</v>
      </c>
      <c r="M207">
        <v>283206</v>
      </c>
    </row>
    <row r="208" spans="1:13" x14ac:dyDescent="0.25">
      <c r="A208" s="3" t="s">
        <v>13</v>
      </c>
      <c r="B208" s="2">
        <v>5323</v>
      </c>
      <c r="C208" s="3" t="s">
        <v>213</v>
      </c>
      <c r="D208" s="4">
        <v>0</v>
      </c>
      <c r="E208" s="4">
        <v>1</v>
      </c>
      <c r="F208">
        <f t="shared" si="18"/>
        <v>32101</v>
      </c>
      <c r="G208" s="1">
        <f t="shared" si="15"/>
        <v>24075.75</v>
      </c>
      <c r="H208" s="1">
        <f t="shared" si="16"/>
        <v>0</v>
      </c>
      <c r="I208" s="1">
        <f t="shared" si="17"/>
        <v>24075.75</v>
      </c>
      <c r="J208" s="1">
        <f t="shared" si="19"/>
        <v>0</v>
      </c>
      <c r="K208" s="1"/>
      <c r="L208" s="2">
        <v>4599</v>
      </c>
      <c r="M208">
        <v>298186</v>
      </c>
    </row>
    <row r="209" spans="1:13" x14ac:dyDescent="0.25">
      <c r="A209" s="3" t="s">
        <v>13</v>
      </c>
      <c r="B209" s="2">
        <v>5463</v>
      </c>
      <c r="C209" s="3" t="s">
        <v>214</v>
      </c>
      <c r="D209" s="4">
        <v>1</v>
      </c>
      <c r="E209" s="4">
        <v>8</v>
      </c>
      <c r="F209">
        <f t="shared" si="18"/>
        <v>425604</v>
      </c>
      <c r="G209" s="1">
        <f t="shared" si="15"/>
        <v>319203</v>
      </c>
      <c r="H209" s="1">
        <f t="shared" si="16"/>
        <v>35467</v>
      </c>
      <c r="I209" s="1">
        <f t="shared" si="17"/>
        <v>283736</v>
      </c>
      <c r="J209" s="1">
        <f t="shared" si="19"/>
        <v>0</v>
      </c>
      <c r="K209" s="1"/>
      <c r="L209" s="2">
        <v>4617</v>
      </c>
      <c r="M209">
        <v>434892</v>
      </c>
    </row>
    <row r="210" spans="1:13" x14ac:dyDescent="0.25">
      <c r="A210" s="3" t="s">
        <v>13</v>
      </c>
      <c r="B210" s="2">
        <v>5486</v>
      </c>
      <c r="C210" s="3" t="s">
        <v>215</v>
      </c>
      <c r="D210" s="4">
        <v>0</v>
      </c>
      <c r="E210" s="4">
        <v>7.0000000000000009</v>
      </c>
      <c r="F210">
        <f t="shared" si="18"/>
        <v>210624</v>
      </c>
      <c r="G210" s="1">
        <f t="shared" si="15"/>
        <v>157968</v>
      </c>
      <c r="H210" s="1">
        <f t="shared" si="16"/>
        <v>0</v>
      </c>
      <c r="I210" s="1">
        <f t="shared" si="17"/>
        <v>157968</v>
      </c>
      <c r="J210" s="1">
        <f t="shared" si="19"/>
        <v>0</v>
      </c>
      <c r="K210" s="1"/>
      <c r="L210" s="2">
        <v>4644</v>
      </c>
      <c r="M210">
        <v>147944</v>
      </c>
    </row>
    <row r="211" spans="1:13" x14ac:dyDescent="0.25">
      <c r="A211" s="3" t="s">
        <v>13</v>
      </c>
      <c r="B211" s="2">
        <v>5508</v>
      </c>
      <c r="C211" s="3" t="s">
        <v>216</v>
      </c>
      <c r="D211" s="4">
        <v>6</v>
      </c>
      <c r="E211" s="4">
        <v>5</v>
      </c>
      <c r="F211">
        <f t="shared" si="18"/>
        <v>162909</v>
      </c>
      <c r="G211" s="1">
        <f t="shared" si="15"/>
        <v>122181.75</v>
      </c>
      <c r="H211" s="1">
        <f t="shared" si="16"/>
        <v>66644.59</v>
      </c>
      <c r="I211" s="1">
        <f t="shared" si="17"/>
        <v>55537.16</v>
      </c>
      <c r="J211" s="1">
        <f t="shared" si="19"/>
        <v>0</v>
      </c>
      <c r="K211" s="1"/>
      <c r="L211" s="2">
        <v>4662</v>
      </c>
      <c r="M211">
        <v>469771</v>
      </c>
    </row>
    <row r="212" spans="1:13" x14ac:dyDescent="0.25">
      <c r="A212" s="3" t="s">
        <v>13</v>
      </c>
      <c r="B212" s="2">
        <v>1975</v>
      </c>
      <c r="C212" s="3" t="s">
        <v>217</v>
      </c>
      <c r="D212" s="4">
        <v>0</v>
      </c>
      <c r="E212" s="4">
        <v>10</v>
      </c>
      <c r="F212">
        <f t="shared" si="18"/>
        <v>202087</v>
      </c>
      <c r="G212" s="1">
        <f t="shared" si="15"/>
        <v>151565.25</v>
      </c>
      <c r="H212" s="1">
        <f t="shared" si="16"/>
        <v>0</v>
      </c>
      <c r="I212" s="1">
        <f t="shared" si="17"/>
        <v>151565.25</v>
      </c>
      <c r="J212" s="1">
        <f t="shared" si="19"/>
        <v>0</v>
      </c>
      <c r="K212" s="1"/>
      <c r="L212" s="2">
        <v>4689</v>
      </c>
      <c r="M212">
        <v>206306</v>
      </c>
    </row>
    <row r="213" spans="1:13" x14ac:dyDescent="0.25">
      <c r="A213" s="3" t="s">
        <v>13</v>
      </c>
      <c r="B213" s="2">
        <v>4824</v>
      </c>
      <c r="C213" s="3" t="s">
        <v>218</v>
      </c>
      <c r="D213" s="4">
        <v>0</v>
      </c>
      <c r="E213" s="4">
        <v>7.0000000000000009</v>
      </c>
      <c r="F213">
        <f t="shared" si="18"/>
        <v>212356</v>
      </c>
      <c r="G213" s="1">
        <f t="shared" si="15"/>
        <v>159267</v>
      </c>
      <c r="H213" s="1">
        <f t="shared" si="16"/>
        <v>0</v>
      </c>
      <c r="I213" s="1">
        <f t="shared" si="17"/>
        <v>159267</v>
      </c>
      <c r="J213" s="1">
        <f t="shared" si="19"/>
        <v>0</v>
      </c>
      <c r="K213" s="1"/>
      <c r="L213" s="2">
        <v>4725</v>
      </c>
      <c r="M213">
        <v>775608</v>
      </c>
    </row>
    <row r="214" spans="1:13" x14ac:dyDescent="0.25">
      <c r="A214" s="3" t="s">
        <v>13</v>
      </c>
      <c r="B214" s="2">
        <v>5643</v>
      </c>
      <c r="C214" s="3" t="s">
        <v>219</v>
      </c>
      <c r="D214" s="4">
        <v>2</v>
      </c>
      <c r="E214" s="4">
        <v>6</v>
      </c>
      <c r="F214">
        <f t="shared" si="18"/>
        <v>540336</v>
      </c>
      <c r="G214" s="1">
        <f t="shared" si="15"/>
        <v>405252</v>
      </c>
      <c r="H214" s="1">
        <f t="shared" si="16"/>
        <v>101313</v>
      </c>
      <c r="I214" s="1">
        <f t="shared" si="17"/>
        <v>303939</v>
      </c>
      <c r="J214" s="1">
        <f t="shared" si="19"/>
        <v>0</v>
      </c>
      <c r="K214" s="1"/>
      <c r="L214" s="2">
        <v>4772</v>
      </c>
      <c r="M214">
        <v>323486</v>
      </c>
    </row>
    <row r="215" spans="1:13" x14ac:dyDescent="0.25">
      <c r="A215" s="3" t="s">
        <v>13</v>
      </c>
      <c r="B215" s="2">
        <v>5697</v>
      </c>
      <c r="C215" s="3" t="s">
        <v>220</v>
      </c>
      <c r="D215" s="4">
        <v>0</v>
      </c>
      <c r="E215" s="4">
        <v>3</v>
      </c>
      <c r="F215">
        <f t="shared" si="18"/>
        <v>87011</v>
      </c>
      <c r="G215" s="1">
        <f t="shared" si="15"/>
        <v>65258.25</v>
      </c>
      <c r="H215" s="1">
        <f t="shared" si="16"/>
        <v>0</v>
      </c>
      <c r="I215" s="1">
        <f t="shared" si="17"/>
        <v>65258.25</v>
      </c>
      <c r="J215" s="1">
        <f t="shared" si="19"/>
        <v>0</v>
      </c>
      <c r="K215" s="1"/>
      <c r="L215" s="2">
        <v>4773</v>
      </c>
      <c r="M215">
        <v>264838</v>
      </c>
    </row>
    <row r="216" spans="1:13" x14ac:dyDescent="0.25">
      <c r="A216" s="3" t="s">
        <v>13</v>
      </c>
      <c r="B216" s="2">
        <v>5724</v>
      </c>
      <c r="C216" s="3" t="s">
        <v>221</v>
      </c>
      <c r="D216" s="4">
        <v>0</v>
      </c>
      <c r="E216" s="4">
        <v>10</v>
      </c>
      <c r="F216">
        <f t="shared" si="18"/>
        <v>118077</v>
      </c>
      <c r="G216" s="1">
        <f t="shared" si="15"/>
        <v>88557.75</v>
      </c>
      <c r="H216" s="1">
        <f t="shared" si="16"/>
        <v>0</v>
      </c>
      <c r="I216" s="1">
        <f t="shared" si="17"/>
        <v>88557.75</v>
      </c>
      <c r="J216" s="1">
        <f t="shared" si="19"/>
        <v>0</v>
      </c>
      <c r="K216" s="1"/>
      <c r="L216" s="2">
        <v>4774</v>
      </c>
      <c r="M216">
        <v>367257</v>
      </c>
    </row>
    <row r="217" spans="1:13" x14ac:dyDescent="0.25">
      <c r="A217" s="3" t="s">
        <v>13</v>
      </c>
      <c r="B217" s="2">
        <v>5823</v>
      </c>
      <c r="C217" s="3" t="s">
        <v>222</v>
      </c>
      <c r="D217" s="4">
        <v>7.0000000000000009</v>
      </c>
      <c r="E217" s="4">
        <v>5</v>
      </c>
      <c r="F217">
        <f t="shared" si="18"/>
        <v>242339</v>
      </c>
      <c r="G217" s="1">
        <f t="shared" si="15"/>
        <v>181754.25</v>
      </c>
      <c r="H217" s="1">
        <f t="shared" si="16"/>
        <v>106023.31</v>
      </c>
      <c r="I217" s="1">
        <f t="shared" si="17"/>
        <v>75730.94</v>
      </c>
      <c r="J217" s="1">
        <f t="shared" si="19"/>
        <v>0</v>
      </c>
      <c r="K217" s="1"/>
      <c r="L217" s="2">
        <v>4775</v>
      </c>
      <c r="M217">
        <v>96715</v>
      </c>
    </row>
    <row r="218" spans="1:13" x14ac:dyDescent="0.25">
      <c r="A218" s="3" t="s">
        <v>13</v>
      </c>
      <c r="B218" s="2">
        <v>5832</v>
      </c>
      <c r="C218" s="3" t="s">
        <v>223</v>
      </c>
      <c r="D218" s="4">
        <v>0</v>
      </c>
      <c r="E218" s="4">
        <v>7.0000000000000009</v>
      </c>
      <c r="F218">
        <f t="shared" si="18"/>
        <v>93415</v>
      </c>
      <c r="G218" s="1">
        <f t="shared" si="15"/>
        <v>70061.25</v>
      </c>
      <c r="H218" s="1">
        <f t="shared" si="16"/>
        <v>0</v>
      </c>
      <c r="I218" s="1">
        <f t="shared" si="17"/>
        <v>70061.25</v>
      </c>
      <c r="J218" s="1">
        <f t="shared" si="19"/>
        <v>0</v>
      </c>
      <c r="K218" s="1"/>
      <c r="L218" s="2">
        <v>4776</v>
      </c>
      <c r="M218">
        <v>75057</v>
      </c>
    </row>
    <row r="219" spans="1:13" x14ac:dyDescent="0.25">
      <c r="A219" s="3" t="s">
        <v>13</v>
      </c>
      <c r="B219" s="2">
        <v>5895</v>
      </c>
      <c r="C219" s="3" t="s">
        <v>224</v>
      </c>
      <c r="D219" s="4">
        <v>0</v>
      </c>
      <c r="E219" s="4">
        <v>10</v>
      </c>
      <c r="F219">
        <f t="shared" si="18"/>
        <v>88870</v>
      </c>
      <c r="G219" s="1">
        <f t="shared" si="15"/>
        <v>66652.5</v>
      </c>
      <c r="H219" s="1">
        <f t="shared" si="16"/>
        <v>0</v>
      </c>
      <c r="I219" s="1">
        <f t="shared" si="17"/>
        <v>66652.5</v>
      </c>
      <c r="J219" s="1">
        <f t="shared" si="19"/>
        <v>0</v>
      </c>
      <c r="K219" s="1"/>
      <c r="L219" s="2">
        <v>4777</v>
      </c>
      <c r="M219">
        <v>174466</v>
      </c>
    </row>
    <row r="220" spans="1:13" x14ac:dyDescent="0.25">
      <c r="A220" s="3" t="s">
        <v>13</v>
      </c>
      <c r="B220" s="2">
        <v>5949</v>
      </c>
      <c r="C220" s="3" t="s">
        <v>225</v>
      </c>
      <c r="D220" s="4">
        <v>0</v>
      </c>
      <c r="E220" s="4">
        <v>7.0000000000000009</v>
      </c>
      <c r="F220">
        <f t="shared" si="18"/>
        <v>457591</v>
      </c>
      <c r="G220" s="1">
        <f t="shared" ref="G220:G270" si="20">ROUND(F220*0.75,2)</f>
        <v>343193.25</v>
      </c>
      <c r="H220" s="1">
        <f t="shared" si="16"/>
        <v>0</v>
      </c>
      <c r="I220" s="1">
        <f t="shared" si="17"/>
        <v>343193.25</v>
      </c>
      <c r="J220" s="1">
        <f t="shared" si="19"/>
        <v>0</v>
      </c>
      <c r="K220" s="1"/>
      <c r="L220" s="2">
        <v>4778</v>
      </c>
      <c r="M220">
        <v>96597</v>
      </c>
    </row>
    <row r="221" spans="1:13" x14ac:dyDescent="0.25">
      <c r="A221" s="11" t="s">
        <v>13</v>
      </c>
      <c r="B221" s="24">
        <v>5976</v>
      </c>
      <c r="C221" s="11" t="s">
        <v>226</v>
      </c>
      <c r="D221" s="13">
        <v>7.0000000000000009</v>
      </c>
      <c r="E221" s="13">
        <v>4</v>
      </c>
      <c r="F221" s="12">
        <f t="shared" si="18"/>
        <v>449870</v>
      </c>
      <c r="G221" s="25">
        <f t="shared" si="20"/>
        <v>337402.5</v>
      </c>
      <c r="H221" s="25">
        <f t="shared" ref="H221:H272" si="21">ROUND((D221/(D221+E221))*$G221,2)</f>
        <v>214710.68</v>
      </c>
      <c r="I221" s="25">
        <f t="shared" si="17"/>
        <v>122691.82</v>
      </c>
      <c r="J221" s="1">
        <f t="shared" si="19"/>
        <v>0</v>
      </c>
      <c r="K221" s="1"/>
      <c r="L221" s="2">
        <v>4779</v>
      </c>
      <c r="M221">
        <v>538816</v>
      </c>
    </row>
    <row r="222" spans="1:13" x14ac:dyDescent="0.25">
      <c r="A222" s="3" t="s">
        <v>13</v>
      </c>
      <c r="B222" s="2">
        <v>5994</v>
      </c>
      <c r="C222" s="3" t="s">
        <v>227</v>
      </c>
      <c r="D222" s="4">
        <v>0</v>
      </c>
      <c r="E222" s="4">
        <v>9</v>
      </c>
      <c r="F222">
        <f t="shared" si="18"/>
        <v>340444</v>
      </c>
      <c r="G222" s="1">
        <f t="shared" si="20"/>
        <v>255333</v>
      </c>
      <c r="H222" s="1">
        <f t="shared" si="21"/>
        <v>0</v>
      </c>
      <c r="I222" s="1">
        <f t="shared" si="17"/>
        <v>255333</v>
      </c>
      <c r="J222" s="1">
        <f t="shared" si="19"/>
        <v>0</v>
      </c>
      <c r="K222" s="1"/>
      <c r="L222" s="2">
        <v>4784</v>
      </c>
      <c r="M222">
        <v>196024</v>
      </c>
    </row>
    <row r="223" spans="1:13" x14ac:dyDescent="0.25">
      <c r="A223" s="11" t="s">
        <v>13</v>
      </c>
      <c r="B223" s="24">
        <v>6003</v>
      </c>
      <c r="C223" s="11" t="s">
        <v>228</v>
      </c>
      <c r="D223" s="13">
        <v>0</v>
      </c>
      <c r="E223" s="13">
        <v>9</v>
      </c>
      <c r="F223" s="12">
        <f t="shared" si="18"/>
        <v>112258</v>
      </c>
      <c r="G223" s="25">
        <f t="shared" si="20"/>
        <v>84193.5</v>
      </c>
      <c r="H223" s="25">
        <f t="shared" si="21"/>
        <v>0</v>
      </c>
      <c r="I223" s="25">
        <f t="shared" si="17"/>
        <v>84193.5</v>
      </c>
      <c r="J223" s="1">
        <f t="shared" si="19"/>
        <v>0</v>
      </c>
      <c r="K223" s="1"/>
      <c r="L223" s="2">
        <v>4785</v>
      </c>
      <c r="M223">
        <v>257647</v>
      </c>
    </row>
    <row r="224" spans="1:13" x14ac:dyDescent="0.25">
      <c r="A224" s="3" t="s">
        <v>13</v>
      </c>
      <c r="B224" s="2">
        <v>6012</v>
      </c>
      <c r="C224" s="3" t="s">
        <v>229</v>
      </c>
      <c r="D224" s="4">
        <v>0</v>
      </c>
      <c r="E224" s="4">
        <v>1</v>
      </c>
      <c r="F224">
        <f t="shared" si="18"/>
        <v>24675</v>
      </c>
      <c r="G224" s="1">
        <f t="shared" si="20"/>
        <v>18506.25</v>
      </c>
      <c r="H224" s="1">
        <f t="shared" si="21"/>
        <v>0</v>
      </c>
      <c r="I224" s="1">
        <f t="shared" si="17"/>
        <v>18506.25</v>
      </c>
      <c r="J224" s="1">
        <f t="shared" si="19"/>
        <v>0</v>
      </c>
      <c r="K224" s="1"/>
      <c r="L224" s="2">
        <v>4787</v>
      </c>
      <c r="M224">
        <v>131364</v>
      </c>
    </row>
    <row r="225" spans="1:13" x14ac:dyDescent="0.25">
      <c r="A225" s="3" t="s">
        <v>13</v>
      </c>
      <c r="B225" s="2">
        <v>6030</v>
      </c>
      <c r="C225" s="3" t="s">
        <v>230</v>
      </c>
      <c r="D225" s="4">
        <v>0</v>
      </c>
      <c r="E225" s="4">
        <v>5</v>
      </c>
      <c r="F225">
        <f t="shared" si="18"/>
        <v>506868</v>
      </c>
      <c r="G225" s="1">
        <f t="shared" si="20"/>
        <v>380151</v>
      </c>
      <c r="H225" s="1">
        <f t="shared" si="21"/>
        <v>0</v>
      </c>
      <c r="I225" s="1">
        <f t="shared" si="17"/>
        <v>380151</v>
      </c>
      <c r="J225" s="1">
        <f t="shared" si="19"/>
        <v>0</v>
      </c>
      <c r="K225" s="1"/>
      <c r="L225" s="2">
        <v>4788</v>
      </c>
      <c r="M225">
        <v>132956</v>
      </c>
    </row>
    <row r="226" spans="1:13" x14ac:dyDescent="0.25">
      <c r="A226" s="3" t="s">
        <v>13</v>
      </c>
      <c r="B226" s="2">
        <v>6039</v>
      </c>
      <c r="C226" s="3" t="s">
        <v>231</v>
      </c>
      <c r="D226" s="4">
        <v>0</v>
      </c>
      <c r="E226" s="4">
        <v>3</v>
      </c>
      <c r="F226">
        <f t="shared" si="18"/>
        <v>1801083</v>
      </c>
      <c r="G226" s="1">
        <f t="shared" si="20"/>
        <v>1350812.25</v>
      </c>
      <c r="H226" s="1">
        <f t="shared" si="21"/>
        <v>0</v>
      </c>
      <c r="I226" s="1">
        <f t="shared" si="17"/>
        <v>1350812.25</v>
      </c>
      <c r="J226" s="1">
        <f t="shared" si="19"/>
        <v>0</v>
      </c>
      <c r="K226" s="1"/>
      <c r="L226" s="2">
        <v>4797</v>
      </c>
      <c r="M226">
        <v>0</v>
      </c>
    </row>
    <row r="227" spans="1:13" x14ac:dyDescent="0.25">
      <c r="A227" s="3" t="s">
        <v>13</v>
      </c>
      <c r="B227" s="2">
        <v>6093</v>
      </c>
      <c r="C227" s="3" t="s">
        <v>232</v>
      </c>
      <c r="D227" s="4">
        <v>0</v>
      </c>
      <c r="E227" s="4">
        <v>6</v>
      </c>
      <c r="F227">
        <f t="shared" si="18"/>
        <v>652198</v>
      </c>
      <c r="G227" s="1">
        <f t="shared" si="20"/>
        <v>489148.5</v>
      </c>
      <c r="H227" s="1">
        <f t="shared" si="21"/>
        <v>0</v>
      </c>
      <c r="I227" s="1">
        <f t="shared" si="17"/>
        <v>489148.5</v>
      </c>
      <c r="J227" s="1">
        <f t="shared" si="19"/>
        <v>0</v>
      </c>
      <c r="K227" s="1"/>
      <c r="L227" s="2">
        <v>4824</v>
      </c>
      <c r="M227">
        <v>212356</v>
      </c>
    </row>
    <row r="228" spans="1:13" x14ac:dyDescent="0.25">
      <c r="A228" s="3" t="s">
        <v>13</v>
      </c>
      <c r="B228" s="2">
        <v>6095</v>
      </c>
      <c r="C228" s="3" t="s">
        <v>233</v>
      </c>
      <c r="D228" s="4">
        <v>0</v>
      </c>
      <c r="E228" s="4">
        <v>8</v>
      </c>
      <c r="F228">
        <f t="shared" si="18"/>
        <v>316652</v>
      </c>
      <c r="G228" s="1">
        <f t="shared" si="20"/>
        <v>237489</v>
      </c>
      <c r="H228" s="1">
        <f t="shared" si="21"/>
        <v>0</v>
      </c>
      <c r="I228" s="1">
        <f t="shared" si="17"/>
        <v>237489</v>
      </c>
      <c r="J228" s="1">
        <f t="shared" si="19"/>
        <v>0</v>
      </c>
      <c r="K228" s="1"/>
      <c r="L228" s="2">
        <v>4860</v>
      </c>
      <c r="M228">
        <v>35622</v>
      </c>
    </row>
    <row r="229" spans="1:13" x14ac:dyDescent="0.25">
      <c r="A229" s="3" t="s">
        <v>13</v>
      </c>
      <c r="B229" s="2">
        <v>5157</v>
      </c>
      <c r="C229" s="3" t="s">
        <v>234</v>
      </c>
      <c r="D229" s="4">
        <v>2</v>
      </c>
      <c r="E229" s="4">
        <v>8</v>
      </c>
      <c r="F229">
        <f t="shared" si="18"/>
        <v>381154</v>
      </c>
      <c r="G229" s="1">
        <f t="shared" si="20"/>
        <v>285865.5</v>
      </c>
      <c r="H229" s="1">
        <f t="shared" si="21"/>
        <v>57173.1</v>
      </c>
      <c r="I229" s="1">
        <f t="shared" si="17"/>
        <v>228692.4</v>
      </c>
      <c r="J229" s="1">
        <f t="shared" si="19"/>
        <v>0</v>
      </c>
      <c r="K229" s="1"/>
      <c r="L229" s="2">
        <v>4869</v>
      </c>
      <c r="M229">
        <v>361812</v>
      </c>
    </row>
    <row r="230" spans="1:13" x14ac:dyDescent="0.25">
      <c r="A230" s="3" t="s">
        <v>13</v>
      </c>
      <c r="B230" s="2">
        <v>6097</v>
      </c>
      <c r="C230" s="3" t="s">
        <v>235</v>
      </c>
      <c r="D230" s="4">
        <v>0</v>
      </c>
      <c r="E230" s="4">
        <v>11</v>
      </c>
      <c r="F230">
        <f t="shared" si="18"/>
        <v>87560</v>
      </c>
      <c r="G230" s="1">
        <f t="shared" si="20"/>
        <v>65670</v>
      </c>
      <c r="H230" s="1">
        <f t="shared" si="21"/>
        <v>0</v>
      </c>
      <c r="I230" s="1">
        <f t="shared" si="17"/>
        <v>65670</v>
      </c>
      <c r="J230" s="1">
        <f t="shared" si="19"/>
        <v>0</v>
      </c>
      <c r="K230" s="1"/>
      <c r="L230" s="2">
        <v>4878</v>
      </c>
      <c r="M230">
        <v>255788</v>
      </c>
    </row>
    <row r="231" spans="1:13" x14ac:dyDescent="0.25">
      <c r="A231" s="3" t="s">
        <v>13</v>
      </c>
      <c r="B231" s="2">
        <v>6098</v>
      </c>
      <c r="C231" s="3" t="s">
        <v>236</v>
      </c>
      <c r="D231" s="4">
        <v>0</v>
      </c>
      <c r="E231" s="4">
        <v>9</v>
      </c>
      <c r="F231">
        <f t="shared" si="18"/>
        <v>506143</v>
      </c>
      <c r="G231" s="1">
        <f t="shared" si="20"/>
        <v>379607.25</v>
      </c>
      <c r="H231" s="1">
        <f t="shared" si="21"/>
        <v>0</v>
      </c>
      <c r="I231" s="1">
        <f t="shared" si="17"/>
        <v>379607.25</v>
      </c>
      <c r="J231" s="1">
        <f t="shared" si="19"/>
        <v>0</v>
      </c>
      <c r="K231" s="1"/>
      <c r="L231" s="2">
        <v>4890</v>
      </c>
      <c r="M231">
        <v>158432</v>
      </c>
    </row>
    <row r="232" spans="1:13" x14ac:dyDescent="0.25">
      <c r="A232" s="3" t="s">
        <v>13</v>
      </c>
      <c r="B232" s="2">
        <v>6100</v>
      </c>
      <c r="C232" s="3" t="s">
        <v>237</v>
      </c>
      <c r="D232" s="4">
        <v>3</v>
      </c>
      <c r="E232" s="4">
        <v>3</v>
      </c>
      <c r="F232">
        <f t="shared" si="18"/>
        <v>217000</v>
      </c>
      <c r="G232" s="1">
        <f t="shared" si="20"/>
        <v>162750</v>
      </c>
      <c r="H232" s="1">
        <f t="shared" si="21"/>
        <v>81375</v>
      </c>
      <c r="I232" s="1">
        <f t="shared" si="17"/>
        <v>81375</v>
      </c>
      <c r="J232" s="1">
        <f t="shared" si="19"/>
        <v>0</v>
      </c>
      <c r="K232" s="1"/>
      <c r="L232" s="2">
        <v>4905</v>
      </c>
      <c r="M232">
        <v>101323</v>
      </c>
    </row>
    <row r="233" spans="1:13" x14ac:dyDescent="0.25">
      <c r="A233" s="3" t="s">
        <v>13</v>
      </c>
      <c r="B233" s="2">
        <v>6101</v>
      </c>
      <c r="C233" s="3" t="s">
        <v>238</v>
      </c>
      <c r="D233" s="4">
        <v>0</v>
      </c>
      <c r="E233" s="4">
        <v>5</v>
      </c>
      <c r="F233">
        <f t="shared" si="18"/>
        <v>2043792</v>
      </c>
      <c r="G233" s="1">
        <f t="shared" si="20"/>
        <v>1532844</v>
      </c>
      <c r="H233" s="1">
        <f t="shared" si="21"/>
        <v>0</v>
      </c>
      <c r="I233" s="1">
        <f t="shared" si="17"/>
        <v>1532844</v>
      </c>
      <c r="J233" s="1">
        <f t="shared" si="19"/>
        <v>0</v>
      </c>
      <c r="K233" s="1"/>
      <c r="L233" s="2">
        <v>4978</v>
      </c>
      <c r="M233">
        <v>121939</v>
      </c>
    </row>
    <row r="234" spans="1:13" x14ac:dyDescent="0.25">
      <c r="A234" s="3" t="s">
        <v>13</v>
      </c>
      <c r="B234" s="2">
        <v>6094</v>
      </c>
      <c r="C234" s="3" t="s">
        <v>239</v>
      </c>
      <c r="D234" s="4">
        <v>0</v>
      </c>
      <c r="E234" s="4">
        <v>10</v>
      </c>
      <c r="F234">
        <f t="shared" si="18"/>
        <v>259262</v>
      </c>
      <c r="G234" s="1">
        <f t="shared" si="20"/>
        <v>194446.5</v>
      </c>
      <c r="H234" s="1">
        <f t="shared" si="21"/>
        <v>0</v>
      </c>
      <c r="I234" s="1">
        <f t="shared" si="17"/>
        <v>194446.5</v>
      </c>
      <c r="J234" s="1">
        <f t="shared" si="19"/>
        <v>0</v>
      </c>
      <c r="K234" s="1"/>
      <c r="L234" s="2">
        <v>4995</v>
      </c>
      <c r="M234">
        <v>109062</v>
      </c>
    </row>
    <row r="235" spans="1:13" x14ac:dyDescent="0.25">
      <c r="A235" s="3" t="s">
        <v>13</v>
      </c>
      <c r="B235" s="2">
        <v>6096</v>
      </c>
      <c r="C235" s="3" t="s">
        <v>240</v>
      </c>
      <c r="D235" s="4">
        <v>4</v>
      </c>
      <c r="E235" s="4">
        <v>6</v>
      </c>
      <c r="F235">
        <f t="shared" si="18"/>
        <v>274769</v>
      </c>
      <c r="G235" s="1">
        <f t="shared" si="20"/>
        <v>206076.75</v>
      </c>
      <c r="H235" s="1">
        <f t="shared" si="21"/>
        <v>82430.7</v>
      </c>
      <c r="I235" s="1">
        <f t="shared" si="17"/>
        <v>123646.05</v>
      </c>
      <c r="J235" s="1">
        <f t="shared" si="19"/>
        <v>0</v>
      </c>
      <c r="K235" s="1"/>
      <c r="L235" s="2">
        <v>5013</v>
      </c>
      <c r="M235">
        <v>121990</v>
      </c>
    </row>
    <row r="236" spans="1:13" x14ac:dyDescent="0.25">
      <c r="A236" s="3" t="s">
        <v>13</v>
      </c>
      <c r="B236" s="2">
        <v>6102</v>
      </c>
      <c r="C236" s="3" t="s">
        <v>241</v>
      </c>
      <c r="D236" s="4">
        <v>0</v>
      </c>
      <c r="E236" s="4">
        <v>4</v>
      </c>
      <c r="F236">
        <f t="shared" si="18"/>
        <v>521807</v>
      </c>
      <c r="G236" s="1">
        <f t="shared" si="20"/>
        <v>391355.25</v>
      </c>
      <c r="H236" s="1">
        <f t="shared" si="21"/>
        <v>0</v>
      </c>
      <c r="I236" s="1">
        <f t="shared" ref="I236:I285" si="22">G236-H236</f>
        <v>391355.25</v>
      </c>
      <c r="J236" s="1">
        <f t="shared" si="19"/>
        <v>0</v>
      </c>
      <c r="K236" s="1"/>
      <c r="L236" s="2">
        <v>5049</v>
      </c>
      <c r="M236">
        <v>0</v>
      </c>
    </row>
    <row r="237" spans="1:13" x14ac:dyDescent="0.25">
      <c r="A237" s="3" t="s">
        <v>13</v>
      </c>
      <c r="B237" s="2">
        <v>6120</v>
      </c>
      <c r="C237" s="3" t="s">
        <v>242</v>
      </c>
      <c r="D237" s="4">
        <v>0</v>
      </c>
      <c r="E237" s="4">
        <v>6</v>
      </c>
      <c r="F237">
        <f t="shared" si="18"/>
        <v>596200</v>
      </c>
      <c r="G237" s="1">
        <f t="shared" si="20"/>
        <v>447150</v>
      </c>
      <c r="H237" s="1">
        <f t="shared" si="21"/>
        <v>0</v>
      </c>
      <c r="I237" s="1">
        <f t="shared" si="22"/>
        <v>447150</v>
      </c>
      <c r="J237" s="1">
        <f t="shared" si="19"/>
        <v>0</v>
      </c>
      <c r="K237" s="1"/>
      <c r="L237" s="2">
        <v>5121</v>
      </c>
      <c r="M237">
        <v>189030</v>
      </c>
    </row>
    <row r="238" spans="1:13" x14ac:dyDescent="0.25">
      <c r="A238" s="3" t="s">
        <v>13</v>
      </c>
      <c r="B238" s="2">
        <v>6138</v>
      </c>
      <c r="C238" s="3" t="s">
        <v>243</v>
      </c>
      <c r="D238" s="4">
        <v>0</v>
      </c>
      <c r="E238" s="4">
        <v>6</v>
      </c>
      <c r="F238">
        <f t="shared" si="18"/>
        <v>179617</v>
      </c>
      <c r="G238" s="1">
        <f t="shared" si="20"/>
        <v>134712.75</v>
      </c>
      <c r="H238" s="1">
        <f t="shared" si="21"/>
        <v>0</v>
      </c>
      <c r="I238" s="1">
        <f t="shared" si="22"/>
        <v>134712.75</v>
      </c>
      <c r="J238" s="1">
        <f t="shared" si="19"/>
        <v>0</v>
      </c>
      <c r="K238" s="1"/>
      <c r="L238" s="2">
        <v>5139</v>
      </c>
      <c r="M238">
        <v>48130</v>
      </c>
    </row>
    <row r="239" spans="1:13" x14ac:dyDescent="0.25">
      <c r="A239" s="3" t="s">
        <v>13</v>
      </c>
      <c r="B239" s="2">
        <v>5751</v>
      </c>
      <c r="C239" s="3" t="s">
        <v>244</v>
      </c>
      <c r="D239" s="4">
        <v>0</v>
      </c>
      <c r="E239" s="4">
        <v>6</v>
      </c>
      <c r="F239">
        <f t="shared" si="18"/>
        <v>193629</v>
      </c>
      <c r="G239" s="1">
        <f t="shared" si="20"/>
        <v>145221.75</v>
      </c>
      <c r="H239" s="1">
        <f t="shared" si="21"/>
        <v>0</v>
      </c>
      <c r="I239" s="1">
        <f t="shared" si="22"/>
        <v>145221.75</v>
      </c>
      <c r="J239" s="1">
        <f t="shared" si="19"/>
        <v>0</v>
      </c>
      <c r="K239" s="1"/>
      <c r="L239" s="2">
        <v>5157</v>
      </c>
      <c r="M239">
        <v>381154</v>
      </c>
    </row>
    <row r="240" spans="1:13" x14ac:dyDescent="0.25">
      <c r="A240" s="3" t="s">
        <v>13</v>
      </c>
      <c r="B240" s="2">
        <v>6165</v>
      </c>
      <c r="C240" s="3" t="s">
        <v>245</v>
      </c>
      <c r="D240" s="4">
        <v>0</v>
      </c>
      <c r="E240" s="4">
        <v>4</v>
      </c>
      <c r="F240">
        <f t="shared" si="18"/>
        <v>40733</v>
      </c>
      <c r="G240" s="1">
        <f t="shared" si="20"/>
        <v>30549.75</v>
      </c>
      <c r="H240" s="1">
        <f t="shared" si="21"/>
        <v>0</v>
      </c>
      <c r="I240" s="1">
        <f t="shared" si="22"/>
        <v>30549.75</v>
      </c>
      <c r="J240" s="1">
        <f t="shared" si="19"/>
        <v>0</v>
      </c>
      <c r="K240" s="1"/>
      <c r="L240" s="2">
        <v>5163</v>
      </c>
      <c r="M240">
        <v>218896</v>
      </c>
    </row>
    <row r="241" spans="1:13" x14ac:dyDescent="0.25">
      <c r="A241" s="3" t="s">
        <v>13</v>
      </c>
      <c r="B241" s="2">
        <v>6219</v>
      </c>
      <c r="C241" s="3" t="s">
        <v>246</v>
      </c>
      <c r="D241" s="4">
        <v>0</v>
      </c>
      <c r="E241" s="4">
        <v>3</v>
      </c>
      <c r="F241">
        <f t="shared" si="18"/>
        <v>297812</v>
      </c>
      <c r="G241" s="1">
        <f t="shared" si="20"/>
        <v>223359</v>
      </c>
      <c r="H241" s="1">
        <f t="shared" si="21"/>
        <v>0</v>
      </c>
      <c r="I241" s="1">
        <f t="shared" si="22"/>
        <v>223359</v>
      </c>
      <c r="J241" s="1">
        <f t="shared" si="19"/>
        <v>0</v>
      </c>
      <c r="K241" s="1"/>
      <c r="L241" s="2">
        <v>5166</v>
      </c>
      <c r="M241">
        <v>903029</v>
      </c>
    </row>
    <row r="242" spans="1:13" x14ac:dyDescent="0.25">
      <c r="A242" s="3" t="s">
        <v>13</v>
      </c>
      <c r="B242" s="2">
        <v>6246</v>
      </c>
      <c r="C242" s="3" t="s">
        <v>247</v>
      </c>
      <c r="D242" s="4">
        <v>0</v>
      </c>
      <c r="E242" s="4">
        <v>9</v>
      </c>
      <c r="F242">
        <f t="shared" si="18"/>
        <v>90275</v>
      </c>
      <c r="G242" s="1">
        <f t="shared" si="20"/>
        <v>67706.25</v>
      </c>
      <c r="H242" s="1">
        <f t="shared" si="21"/>
        <v>0</v>
      </c>
      <c r="I242" s="1">
        <f t="shared" si="22"/>
        <v>67706.25</v>
      </c>
      <c r="J242" s="1">
        <f t="shared" si="19"/>
        <v>0</v>
      </c>
      <c r="K242" s="1"/>
      <c r="L242" s="2">
        <v>5184</v>
      </c>
      <c r="M242">
        <v>213039</v>
      </c>
    </row>
    <row r="243" spans="1:13" x14ac:dyDescent="0.25">
      <c r="A243" s="3" t="s">
        <v>13</v>
      </c>
      <c r="B243" s="2">
        <v>6273</v>
      </c>
      <c r="C243" s="3" t="s">
        <v>248</v>
      </c>
      <c r="D243" s="4">
        <v>0</v>
      </c>
      <c r="E243" s="4">
        <v>7.0000000000000009</v>
      </c>
      <c r="F243">
        <f t="shared" si="18"/>
        <v>309688</v>
      </c>
      <c r="G243" s="1">
        <f t="shared" si="20"/>
        <v>232266</v>
      </c>
      <c r="H243" s="1">
        <f t="shared" si="21"/>
        <v>0</v>
      </c>
      <c r="I243" s="1">
        <f t="shared" si="22"/>
        <v>232266</v>
      </c>
      <c r="J243" s="1">
        <f t="shared" si="19"/>
        <v>0</v>
      </c>
      <c r="K243" s="1"/>
      <c r="L243" s="2">
        <v>5250</v>
      </c>
      <c r="M243">
        <v>0</v>
      </c>
    </row>
    <row r="244" spans="1:13" x14ac:dyDescent="0.25">
      <c r="A244" s="3" t="s">
        <v>13</v>
      </c>
      <c r="B244" s="2">
        <v>6408</v>
      </c>
      <c r="C244" s="3" t="s">
        <v>249</v>
      </c>
      <c r="D244" s="4">
        <v>5</v>
      </c>
      <c r="E244" s="4">
        <v>5</v>
      </c>
      <c r="F244">
        <f t="shared" si="18"/>
        <v>516502</v>
      </c>
      <c r="G244" s="1">
        <f t="shared" si="20"/>
        <v>387376.5</v>
      </c>
      <c r="H244" s="1">
        <f t="shared" si="21"/>
        <v>193688.25</v>
      </c>
      <c r="I244" s="1">
        <f t="shared" si="22"/>
        <v>193688.25</v>
      </c>
      <c r="J244" s="1">
        <f t="shared" si="19"/>
        <v>0</v>
      </c>
      <c r="K244" s="1"/>
      <c r="L244" s="2">
        <v>5256</v>
      </c>
      <c r="M244">
        <v>284764</v>
      </c>
    </row>
    <row r="245" spans="1:13" x14ac:dyDescent="0.25">
      <c r="A245" s="3" t="s">
        <v>13</v>
      </c>
      <c r="B245" s="2">
        <v>6453</v>
      </c>
      <c r="C245" s="3" t="s">
        <v>250</v>
      </c>
      <c r="D245" s="4">
        <v>0</v>
      </c>
      <c r="E245" s="4">
        <v>4</v>
      </c>
      <c r="F245">
        <f t="shared" si="18"/>
        <v>108584</v>
      </c>
      <c r="G245" s="1">
        <f t="shared" si="20"/>
        <v>81438</v>
      </c>
      <c r="H245" s="1">
        <f t="shared" si="21"/>
        <v>0</v>
      </c>
      <c r="I245" s="1">
        <f t="shared" si="22"/>
        <v>81438</v>
      </c>
      <c r="J245" s="1">
        <f t="shared" si="19"/>
        <v>0</v>
      </c>
      <c r="K245" s="1"/>
      <c r="L245" s="2">
        <v>5283</v>
      </c>
      <c r="M245">
        <v>42258</v>
      </c>
    </row>
    <row r="246" spans="1:13" x14ac:dyDescent="0.25">
      <c r="A246" s="3" t="s">
        <v>13</v>
      </c>
      <c r="B246" s="2">
        <v>6460</v>
      </c>
      <c r="C246" s="3" t="s">
        <v>251</v>
      </c>
      <c r="D246" s="4">
        <v>0</v>
      </c>
      <c r="E246" s="4">
        <v>8</v>
      </c>
      <c r="F246">
        <f t="shared" si="18"/>
        <v>219323</v>
      </c>
      <c r="G246" s="1">
        <f t="shared" si="20"/>
        <v>164492.25</v>
      </c>
      <c r="H246" s="1">
        <f t="shared" si="21"/>
        <v>0</v>
      </c>
      <c r="I246" s="1">
        <f t="shared" si="22"/>
        <v>164492.25</v>
      </c>
      <c r="J246" s="1">
        <f t="shared" si="19"/>
        <v>0</v>
      </c>
      <c r="K246" s="1"/>
      <c r="L246" s="2">
        <v>5310</v>
      </c>
      <c r="M246">
        <v>304991</v>
      </c>
    </row>
    <row r="247" spans="1:13" x14ac:dyDescent="0.25">
      <c r="A247" s="3" t="s">
        <v>13</v>
      </c>
      <c r="B247" s="2">
        <v>6462</v>
      </c>
      <c r="C247" s="3" t="s">
        <v>252</v>
      </c>
      <c r="D247" s="4">
        <v>4</v>
      </c>
      <c r="E247" s="4">
        <v>8</v>
      </c>
      <c r="F247">
        <f t="shared" si="18"/>
        <v>135877</v>
      </c>
      <c r="G247" s="1">
        <f t="shared" si="20"/>
        <v>101907.75</v>
      </c>
      <c r="H247" s="1">
        <f t="shared" si="21"/>
        <v>33969.25</v>
      </c>
      <c r="I247" s="1">
        <f t="shared" si="22"/>
        <v>67938.5</v>
      </c>
      <c r="J247" s="1">
        <f t="shared" si="19"/>
        <v>0</v>
      </c>
      <c r="K247" s="1"/>
      <c r="L247" s="2">
        <v>5319</v>
      </c>
      <c r="M247">
        <v>170967</v>
      </c>
    </row>
    <row r="248" spans="1:13" x14ac:dyDescent="0.25">
      <c r="A248" s="3" t="s">
        <v>13</v>
      </c>
      <c r="B248" s="2">
        <v>6512</v>
      </c>
      <c r="C248" s="3" t="s">
        <v>253</v>
      </c>
      <c r="D248" s="4">
        <v>0</v>
      </c>
      <c r="E248" s="4">
        <v>11</v>
      </c>
      <c r="F248">
        <f t="shared" si="18"/>
        <v>178755</v>
      </c>
      <c r="G248" s="1">
        <f t="shared" si="20"/>
        <v>134066.25</v>
      </c>
      <c r="H248" s="1">
        <f t="shared" si="21"/>
        <v>0</v>
      </c>
      <c r="I248" s="1">
        <f t="shared" si="22"/>
        <v>134066.25</v>
      </c>
      <c r="J248" s="1">
        <f t="shared" si="19"/>
        <v>0</v>
      </c>
      <c r="K248" s="1"/>
      <c r="L248" s="2">
        <v>5323</v>
      </c>
      <c r="M248">
        <v>32101</v>
      </c>
    </row>
    <row r="249" spans="1:13" x14ac:dyDescent="0.25">
      <c r="A249" s="3" t="s">
        <v>13</v>
      </c>
      <c r="B249" s="2">
        <v>6516</v>
      </c>
      <c r="C249" s="3" t="s">
        <v>254</v>
      </c>
      <c r="D249" s="4">
        <v>0</v>
      </c>
      <c r="E249" s="4">
        <v>10</v>
      </c>
      <c r="F249">
        <f t="shared" si="18"/>
        <v>111237</v>
      </c>
      <c r="G249" s="1">
        <f t="shared" si="20"/>
        <v>83427.75</v>
      </c>
      <c r="H249" s="1">
        <f t="shared" si="21"/>
        <v>0</v>
      </c>
      <c r="I249" s="1">
        <f t="shared" si="22"/>
        <v>83427.75</v>
      </c>
      <c r="J249" s="1">
        <f t="shared" si="19"/>
        <v>0</v>
      </c>
      <c r="K249" s="1"/>
      <c r="L249" s="2">
        <v>5463</v>
      </c>
      <c r="M249">
        <v>425604</v>
      </c>
    </row>
    <row r="250" spans="1:13" x14ac:dyDescent="0.25">
      <c r="A250" s="3" t="s">
        <v>13</v>
      </c>
      <c r="B250" s="2">
        <v>1935</v>
      </c>
      <c r="C250" s="3" t="s">
        <v>255</v>
      </c>
      <c r="D250" s="4">
        <v>0</v>
      </c>
      <c r="E250" s="4">
        <v>8</v>
      </c>
      <c r="F250">
        <f t="shared" si="18"/>
        <v>525473</v>
      </c>
      <c r="G250" s="1">
        <f t="shared" si="20"/>
        <v>394104.75</v>
      </c>
      <c r="H250" s="1">
        <f t="shared" si="21"/>
        <v>0</v>
      </c>
      <c r="I250" s="1">
        <f t="shared" si="22"/>
        <v>394104.75</v>
      </c>
      <c r="J250" s="1">
        <f t="shared" si="19"/>
        <v>0</v>
      </c>
      <c r="K250" s="1"/>
      <c r="L250" s="2">
        <v>5486</v>
      </c>
      <c r="M250">
        <v>210624</v>
      </c>
    </row>
    <row r="251" spans="1:13" x14ac:dyDescent="0.25">
      <c r="A251" s="3" t="s">
        <v>13</v>
      </c>
      <c r="B251" s="2">
        <v>6561</v>
      </c>
      <c r="C251" s="3" t="s">
        <v>256</v>
      </c>
      <c r="D251" s="4">
        <v>0</v>
      </c>
      <c r="E251" s="4">
        <v>7.0000000000000009</v>
      </c>
      <c r="F251">
        <f t="shared" si="18"/>
        <v>157856</v>
      </c>
      <c r="G251" s="1">
        <f t="shared" si="20"/>
        <v>118392</v>
      </c>
      <c r="H251" s="1">
        <f t="shared" si="21"/>
        <v>0</v>
      </c>
      <c r="I251" s="1">
        <f t="shared" si="22"/>
        <v>118392</v>
      </c>
      <c r="J251" s="1">
        <f t="shared" si="19"/>
        <v>0</v>
      </c>
      <c r="K251" s="1"/>
      <c r="L251" s="2">
        <v>5508</v>
      </c>
      <c r="M251">
        <v>162909</v>
      </c>
    </row>
    <row r="252" spans="1:13" x14ac:dyDescent="0.25">
      <c r="A252" s="3" t="s">
        <v>13</v>
      </c>
      <c r="B252" s="2">
        <v>6591</v>
      </c>
      <c r="C252" s="3" t="s">
        <v>257</v>
      </c>
      <c r="D252" s="4">
        <v>3</v>
      </c>
      <c r="E252" s="4">
        <v>5</v>
      </c>
      <c r="F252">
        <f t="shared" si="18"/>
        <v>138013</v>
      </c>
      <c r="G252" s="1">
        <f t="shared" si="20"/>
        <v>103509.75</v>
      </c>
      <c r="H252" s="1">
        <f t="shared" si="21"/>
        <v>38816.160000000003</v>
      </c>
      <c r="I252" s="1">
        <f t="shared" si="22"/>
        <v>64693.59</v>
      </c>
      <c r="J252" s="1">
        <f t="shared" si="19"/>
        <v>0</v>
      </c>
      <c r="K252" s="1"/>
      <c r="L252" s="2">
        <v>5607</v>
      </c>
      <c r="M252">
        <v>0</v>
      </c>
    </row>
    <row r="253" spans="1:13" x14ac:dyDescent="0.25">
      <c r="A253" s="3" t="s">
        <v>13</v>
      </c>
      <c r="B253" s="2">
        <v>6592</v>
      </c>
      <c r="C253" s="3" t="s">
        <v>258</v>
      </c>
      <c r="D253" s="4">
        <v>0</v>
      </c>
      <c r="E253" s="4">
        <v>9</v>
      </c>
      <c r="F253">
        <f t="shared" si="18"/>
        <v>293882</v>
      </c>
      <c r="G253" s="1">
        <f t="shared" si="20"/>
        <v>220411.5</v>
      </c>
      <c r="H253" s="1">
        <f t="shared" si="21"/>
        <v>0</v>
      </c>
      <c r="I253" s="1">
        <f t="shared" si="22"/>
        <v>220411.5</v>
      </c>
      <c r="J253" s="1">
        <f t="shared" si="19"/>
        <v>0</v>
      </c>
      <c r="K253" s="1"/>
      <c r="L253" s="2">
        <v>5643</v>
      </c>
      <c r="M253">
        <v>540336</v>
      </c>
    </row>
    <row r="254" spans="1:13" x14ac:dyDescent="0.25">
      <c r="A254" s="3" t="s">
        <v>13</v>
      </c>
      <c r="B254" s="2">
        <v>6615</v>
      </c>
      <c r="C254" s="3" t="s">
        <v>259</v>
      </c>
      <c r="D254" s="4">
        <v>0</v>
      </c>
      <c r="E254" s="4">
        <v>5</v>
      </c>
      <c r="F254">
        <f t="shared" si="18"/>
        <v>301261</v>
      </c>
      <c r="G254" s="1">
        <f t="shared" si="20"/>
        <v>225945.75</v>
      </c>
      <c r="H254" s="1">
        <f t="shared" si="21"/>
        <v>0</v>
      </c>
      <c r="I254" s="1">
        <f t="shared" si="22"/>
        <v>225945.75</v>
      </c>
      <c r="J254" s="1">
        <f t="shared" si="19"/>
        <v>0</v>
      </c>
      <c r="K254" s="1"/>
      <c r="L254" s="2">
        <v>5697</v>
      </c>
      <c r="M254">
        <v>87011</v>
      </c>
    </row>
    <row r="255" spans="1:13" x14ac:dyDescent="0.25">
      <c r="A255" s="3" t="s">
        <v>13</v>
      </c>
      <c r="B255" s="2">
        <v>6651</v>
      </c>
      <c r="C255" s="3" t="s">
        <v>260</v>
      </c>
      <c r="D255" s="4">
        <v>1</v>
      </c>
      <c r="E255" s="4">
        <v>0</v>
      </c>
      <c r="F255">
        <f t="shared" si="18"/>
        <v>13928</v>
      </c>
      <c r="G255" s="1">
        <f t="shared" si="20"/>
        <v>10446</v>
      </c>
      <c r="H255" s="1">
        <f t="shared" si="21"/>
        <v>10446</v>
      </c>
      <c r="I255" s="1">
        <f t="shared" si="22"/>
        <v>0</v>
      </c>
      <c r="J255" s="1">
        <f t="shared" si="19"/>
        <v>0</v>
      </c>
      <c r="K255" s="1"/>
      <c r="L255" s="2">
        <v>5724</v>
      </c>
      <c r="M255">
        <v>118077</v>
      </c>
    </row>
    <row r="256" spans="1:13" x14ac:dyDescent="0.25">
      <c r="A256" s="3" t="s">
        <v>13</v>
      </c>
      <c r="B256" s="2">
        <v>6660</v>
      </c>
      <c r="C256" s="3" t="s">
        <v>261</v>
      </c>
      <c r="D256" s="4">
        <v>5</v>
      </c>
      <c r="E256" s="4">
        <v>2</v>
      </c>
      <c r="F256">
        <f t="shared" si="18"/>
        <v>628098</v>
      </c>
      <c r="G256" s="1">
        <f t="shared" si="20"/>
        <v>471073.5</v>
      </c>
      <c r="H256" s="1">
        <f t="shared" si="21"/>
        <v>336481.07</v>
      </c>
      <c r="I256" s="1">
        <f t="shared" si="22"/>
        <v>134592.43</v>
      </c>
      <c r="J256" s="1">
        <f t="shared" si="19"/>
        <v>0</v>
      </c>
      <c r="K256" s="1"/>
      <c r="L256" s="2">
        <v>5751</v>
      </c>
      <c r="M256">
        <v>193629</v>
      </c>
    </row>
    <row r="257" spans="1:13" x14ac:dyDescent="0.25">
      <c r="A257" s="5" t="s">
        <v>13</v>
      </c>
      <c r="B257" s="15">
        <v>6750</v>
      </c>
      <c r="C257" s="5" t="s">
        <v>262</v>
      </c>
      <c r="D257" s="7">
        <v>0</v>
      </c>
      <c r="E257" s="7">
        <v>1</v>
      </c>
      <c r="F257" s="6">
        <v>9484</v>
      </c>
      <c r="G257" s="21">
        <f t="shared" si="20"/>
        <v>7113</v>
      </c>
      <c r="H257" s="21">
        <f t="shared" si="21"/>
        <v>0</v>
      </c>
      <c r="I257" s="21">
        <f t="shared" si="22"/>
        <v>7113</v>
      </c>
      <c r="J257" s="1">
        <f t="shared" si="19"/>
        <v>0</v>
      </c>
      <c r="K257" s="1"/>
      <c r="L257" s="2">
        <v>5805</v>
      </c>
      <c r="M257">
        <v>0</v>
      </c>
    </row>
    <row r="258" spans="1:13" x14ac:dyDescent="0.25">
      <c r="A258" s="3" t="s">
        <v>13</v>
      </c>
      <c r="B258" s="2">
        <v>6759</v>
      </c>
      <c r="C258" s="3" t="s">
        <v>263</v>
      </c>
      <c r="D258" s="4">
        <v>0</v>
      </c>
      <c r="E258" s="4">
        <v>6</v>
      </c>
      <c r="F258">
        <f t="shared" ref="F258:F270" si="23">INDEX($L$2:$M$336,MATCH(B258,$L$2:$L$336,0),2)</f>
        <v>175823</v>
      </c>
      <c r="G258" s="1">
        <f t="shared" si="20"/>
        <v>131867.25</v>
      </c>
      <c r="H258" s="1">
        <f t="shared" si="21"/>
        <v>0</v>
      </c>
      <c r="I258" s="1">
        <f t="shared" si="22"/>
        <v>131867.25</v>
      </c>
      <c r="J258" s="1">
        <f t="shared" si="19"/>
        <v>0</v>
      </c>
      <c r="K258" s="1"/>
      <c r="L258" s="2">
        <v>5823</v>
      </c>
      <c r="M258">
        <v>242339</v>
      </c>
    </row>
    <row r="259" spans="1:13" x14ac:dyDescent="0.25">
      <c r="A259" s="3" t="s">
        <v>13</v>
      </c>
      <c r="B259" s="2">
        <v>6762</v>
      </c>
      <c r="C259" s="3" t="s">
        <v>264</v>
      </c>
      <c r="D259" s="4">
        <v>2</v>
      </c>
      <c r="E259" s="4">
        <v>10</v>
      </c>
      <c r="F259">
        <f t="shared" si="23"/>
        <v>399426</v>
      </c>
      <c r="G259" s="1">
        <f t="shared" si="20"/>
        <v>299569.5</v>
      </c>
      <c r="H259" s="1">
        <f t="shared" si="21"/>
        <v>49928.25</v>
      </c>
      <c r="I259" s="1">
        <f t="shared" si="22"/>
        <v>249641.25</v>
      </c>
      <c r="J259" s="1">
        <f t="shared" ref="J259:J285" si="24">H259+I259-G259</f>
        <v>0</v>
      </c>
      <c r="K259" s="1"/>
      <c r="L259" s="2">
        <v>5832</v>
      </c>
      <c r="M259">
        <v>93415</v>
      </c>
    </row>
    <row r="260" spans="1:13" x14ac:dyDescent="0.25">
      <c r="A260" s="3" t="s">
        <v>13</v>
      </c>
      <c r="B260" s="2">
        <v>6768</v>
      </c>
      <c r="C260" s="3" t="s">
        <v>265</v>
      </c>
      <c r="D260" s="4">
        <v>0</v>
      </c>
      <c r="E260" s="4">
        <v>9</v>
      </c>
      <c r="F260">
        <f t="shared" si="23"/>
        <v>715192</v>
      </c>
      <c r="G260" s="1">
        <f t="shared" si="20"/>
        <v>536394</v>
      </c>
      <c r="H260" s="1">
        <f t="shared" si="21"/>
        <v>0</v>
      </c>
      <c r="I260" s="1">
        <f t="shared" si="22"/>
        <v>536394</v>
      </c>
      <c r="J260" s="1">
        <f t="shared" si="24"/>
        <v>0</v>
      </c>
      <c r="K260" s="1"/>
      <c r="L260" s="2">
        <v>5877</v>
      </c>
      <c r="M260">
        <v>0</v>
      </c>
    </row>
    <row r="261" spans="1:13" x14ac:dyDescent="0.25">
      <c r="A261" s="3" t="s">
        <v>13</v>
      </c>
      <c r="B261" s="2">
        <v>6840</v>
      </c>
      <c r="C261" s="3" t="s">
        <v>266</v>
      </c>
      <c r="D261" s="4">
        <v>0</v>
      </c>
      <c r="E261" s="4">
        <v>6</v>
      </c>
      <c r="F261">
        <f t="shared" si="23"/>
        <v>830325</v>
      </c>
      <c r="G261" s="1">
        <f t="shared" si="20"/>
        <v>622743.75</v>
      </c>
      <c r="H261" s="1">
        <f t="shared" si="21"/>
        <v>0</v>
      </c>
      <c r="I261" s="1">
        <f t="shared" si="22"/>
        <v>622743.75</v>
      </c>
      <c r="J261" s="1">
        <f t="shared" si="24"/>
        <v>0</v>
      </c>
      <c r="K261" s="1"/>
      <c r="L261" s="2">
        <v>5895</v>
      </c>
      <c r="M261">
        <v>88870</v>
      </c>
    </row>
    <row r="262" spans="1:13" x14ac:dyDescent="0.25">
      <c r="A262" s="3" t="s">
        <v>13</v>
      </c>
      <c r="B262" s="2">
        <v>6854</v>
      </c>
      <c r="C262" s="3" t="s">
        <v>267</v>
      </c>
      <c r="D262" s="4">
        <v>0</v>
      </c>
      <c r="E262" s="4">
        <v>2</v>
      </c>
      <c r="F262">
        <f t="shared" si="23"/>
        <v>46397</v>
      </c>
      <c r="G262" s="1">
        <f t="shared" si="20"/>
        <v>34797.75</v>
      </c>
      <c r="H262" s="1">
        <f t="shared" si="21"/>
        <v>0</v>
      </c>
      <c r="I262" s="1">
        <f t="shared" si="22"/>
        <v>34797.75</v>
      </c>
      <c r="J262" s="1">
        <f t="shared" si="24"/>
        <v>0</v>
      </c>
      <c r="K262" s="1"/>
      <c r="L262" s="2">
        <v>5922</v>
      </c>
      <c r="M262">
        <v>232596</v>
      </c>
    </row>
    <row r="263" spans="1:13" x14ac:dyDescent="0.25">
      <c r="A263" s="3" t="s">
        <v>13</v>
      </c>
      <c r="B263" s="2">
        <v>6867</v>
      </c>
      <c r="C263" s="3" t="s">
        <v>268</v>
      </c>
      <c r="D263" s="4">
        <v>0</v>
      </c>
      <c r="E263" s="4">
        <v>5</v>
      </c>
      <c r="F263">
        <f t="shared" si="23"/>
        <v>443461</v>
      </c>
      <c r="G263" s="1">
        <f t="shared" si="20"/>
        <v>332595.75</v>
      </c>
      <c r="H263" s="1">
        <f t="shared" si="21"/>
        <v>0</v>
      </c>
      <c r="I263" s="1">
        <f t="shared" si="22"/>
        <v>332595.75</v>
      </c>
      <c r="J263" s="1">
        <f t="shared" si="24"/>
        <v>0</v>
      </c>
      <c r="K263" s="1"/>
      <c r="L263" s="2">
        <v>5949</v>
      </c>
      <c r="M263">
        <v>457591</v>
      </c>
    </row>
    <row r="264" spans="1:13" x14ac:dyDescent="0.25">
      <c r="A264" s="3" t="s">
        <v>13</v>
      </c>
      <c r="B264" s="2">
        <v>6930</v>
      </c>
      <c r="C264" s="3" t="s">
        <v>269</v>
      </c>
      <c r="D264" s="4">
        <v>5</v>
      </c>
      <c r="E264" s="4">
        <v>5</v>
      </c>
      <c r="F264">
        <f t="shared" si="23"/>
        <v>462254</v>
      </c>
      <c r="G264" s="1">
        <f t="shared" si="20"/>
        <v>346690.5</v>
      </c>
      <c r="H264" s="1">
        <f t="shared" si="21"/>
        <v>173345.25</v>
      </c>
      <c r="I264" s="1">
        <f t="shared" si="22"/>
        <v>173345.25</v>
      </c>
      <c r="J264" s="1">
        <f t="shared" si="24"/>
        <v>0</v>
      </c>
      <c r="K264" s="1"/>
      <c r="L264" s="2">
        <v>5976</v>
      </c>
      <c r="M264">
        <v>449870</v>
      </c>
    </row>
    <row r="265" spans="1:13" x14ac:dyDescent="0.25">
      <c r="A265" s="3" t="s">
        <v>13</v>
      </c>
      <c r="B265" s="2">
        <v>6943</v>
      </c>
      <c r="C265" s="3" t="s">
        <v>270</v>
      </c>
      <c r="D265" s="4">
        <v>3</v>
      </c>
      <c r="E265" s="4">
        <v>10</v>
      </c>
      <c r="F265">
        <f t="shared" si="23"/>
        <v>171175</v>
      </c>
      <c r="G265" s="1">
        <f t="shared" si="20"/>
        <v>128381.25</v>
      </c>
      <c r="H265" s="1">
        <f t="shared" si="21"/>
        <v>29626.44</v>
      </c>
      <c r="I265" s="1">
        <f t="shared" si="22"/>
        <v>98754.81</v>
      </c>
      <c r="J265" s="1">
        <f t="shared" si="24"/>
        <v>0</v>
      </c>
      <c r="K265" s="1"/>
      <c r="L265" s="2">
        <v>5994</v>
      </c>
      <c r="M265">
        <v>340444</v>
      </c>
    </row>
    <row r="266" spans="1:13" x14ac:dyDescent="0.25">
      <c r="A266" s="3" t="s">
        <v>13</v>
      </c>
      <c r="B266" s="2">
        <v>6264</v>
      </c>
      <c r="C266" s="3" t="s">
        <v>271</v>
      </c>
      <c r="D266" s="4">
        <v>0</v>
      </c>
      <c r="E266" s="4">
        <v>5</v>
      </c>
      <c r="F266">
        <f t="shared" si="23"/>
        <v>228376</v>
      </c>
      <c r="G266" s="1">
        <f t="shared" si="20"/>
        <v>171282</v>
      </c>
      <c r="H266" s="1">
        <f t="shared" si="21"/>
        <v>0</v>
      </c>
      <c r="I266" s="1">
        <f t="shared" si="22"/>
        <v>171282</v>
      </c>
      <c r="J266" s="1">
        <f t="shared" si="24"/>
        <v>0</v>
      </c>
      <c r="K266" s="1"/>
      <c r="L266" s="2">
        <v>6003</v>
      </c>
      <c r="M266">
        <v>112258</v>
      </c>
    </row>
    <row r="267" spans="1:13" x14ac:dyDescent="0.25">
      <c r="A267" s="3" t="s">
        <v>13</v>
      </c>
      <c r="B267" s="2">
        <v>6950</v>
      </c>
      <c r="C267" s="3" t="s">
        <v>272</v>
      </c>
      <c r="D267" s="4">
        <v>0</v>
      </c>
      <c r="E267" s="4">
        <v>5</v>
      </c>
      <c r="F267">
        <f t="shared" si="23"/>
        <v>432328</v>
      </c>
      <c r="G267" s="1">
        <f t="shared" si="20"/>
        <v>324246</v>
      </c>
      <c r="H267" s="1">
        <f t="shared" si="21"/>
        <v>0</v>
      </c>
      <c r="I267" s="1">
        <f t="shared" si="22"/>
        <v>324246</v>
      </c>
      <c r="J267" s="1">
        <f t="shared" si="24"/>
        <v>0</v>
      </c>
      <c r="K267" s="1"/>
      <c r="L267" s="2">
        <v>6012</v>
      </c>
      <c r="M267">
        <v>24675</v>
      </c>
    </row>
    <row r="268" spans="1:13" x14ac:dyDescent="0.25">
      <c r="A268" s="3" t="s">
        <v>13</v>
      </c>
      <c r="B268" s="2">
        <v>5922</v>
      </c>
      <c r="C268" s="3" t="s">
        <v>273</v>
      </c>
      <c r="D268" s="4">
        <v>0</v>
      </c>
      <c r="E268" s="4">
        <v>5</v>
      </c>
      <c r="F268">
        <f t="shared" si="23"/>
        <v>232596</v>
      </c>
      <c r="G268" s="1">
        <f t="shared" si="20"/>
        <v>174447</v>
      </c>
      <c r="H268" s="1">
        <f t="shared" si="21"/>
        <v>0</v>
      </c>
      <c r="I268" s="1">
        <f t="shared" si="22"/>
        <v>174447</v>
      </c>
      <c r="J268" s="1">
        <f t="shared" si="24"/>
        <v>0</v>
      </c>
      <c r="K268" s="1"/>
      <c r="L268" s="2">
        <v>6030</v>
      </c>
      <c r="M268">
        <v>506868</v>
      </c>
    </row>
    <row r="269" spans="1:13" x14ac:dyDescent="0.25">
      <c r="A269" s="3" t="s">
        <v>13</v>
      </c>
      <c r="B269" s="2">
        <v>819</v>
      </c>
      <c r="C269" s="3" t="s">
        <v>274</v>
      </c>
      <c r="D269" s="4">
        <v>0</v>
      </c>
      <c r="E269" s="4">
        <v>10</v>
      </c>
      <c r="F269">
        <f t="shared" si="23"/>
        <v>326871</v>
      </c>
      <c r="G269" s="1">
        <f t="shared" si="20"/>
        <v>245153.25</v>
      </c>
      <c r="H269" s="1">
        <f t="shared" si="21"/>
        <v>0</v>
      </c>
      <c r="I269" s="1">
        <f t="shared" si="22"/>
        <v>245153.25</v>
      </c>
      <c r="J269" s="1">
        <f t="shared" si="24"/>
        <v>0</v>
      </c>
      <c r="K269" s="1"/>
      <c r="L269" s="2">
        <v>6039</v>
      </c>
      <c r="M269">
        <v>1801083</v>
      </c>
    </row>
    <row r="270" spans="1:13" x14ac:dyDescent="0.25">
      <c r="A270" s="3" t="s">
        <v>13</v>
      </c>
      <c r="B270" s="2">
        <v>6969</v>
      </c>
      <c r="C270" s="3" t="s">
        <v>275</v>
      </c>
      <c r="D270" s="4">
        <v>0</v>
      </c>
      <c r="E270" s="4">
        <v>2</v>
      </c>
      <c r="F270">
        <f t="shared" si="23"/>
        <v>26532</v>
      </c>
      <c r="G270" s="1">
        <f t="shared" si="20"/>
        <v>19899</v>
      </c>
      <c r="H270" s="1">
        <f t="shared" si="21"/>
        <v>0</v>
      </c>
      <c r="I270" s="1">
        <f t="shared" si="22"/>
        <v>19899</v>
      </c>
      <c r="J270" s="1">
        <f t="shared" si="24"/>
        <v>0</v>
      </c>
      <c r="K270" s="1"/>
      <c r="L270" s="2">
        <v>6048</v>
      </c>
      <c r="M270">
        <v>0</v>
      </c>
    </row>
    <row r="271" spans="1:13" x14ac:dyDescent="0.25">
      <c r="A271" s="3" t="s">
        <v>13</v>
      </c>
      <c r="B271" s="2">
        <v>6975</v>
      </c>
      <c r="C271" s="3" t="s">
        <v>276</v>
      </c>
      <c r="D271" s="4">
        <v>7.0000000000000009</v>
      </c>
      <c r="E271" s="4">
        <v>10</v>
      </c>
      <c r="F271">
        <f t="shared" ref="F271:F285" si="25">INDEX($L$2:$M$336,MATCH(B271,$L$2:$L$336,0),2)</f>
        <v>931482</v>
      </c>
      <c r="G271" s="1">
        <f t="shared" ref="G271:G285" si="26">ROUND(F271*0.75,2)</f>
        <v>698611.5</v>
      </c>
      <c r="H271" s="1">
        <f t="shared" si="21"/>
        <v>287663.56</v>
      </c>
      <c r="I271" s="1">
        <f t="shared" si="22"/>
        <v>410947.94</v>
      </c>
      <c r="J271" s="1">
        <f t="shared" si="24"/>
        <v>0</v>
      </c>
      <c r="K271" s="1"/>
      <c r="L271" s="2">
        <v>6093</v>
      </c>
      <c r="M271">
        <v>652198</v>
      </c>
    </row>
    <row r="272" spans="1:13" x14ac:dyDescent="0.25">
      <c r="A272" s="3" t="s">
        <v>13</v>
      </c>
      <c r="B272" s="2">
        <v>6983</v>
      </c>
      <c r="C272" s="3" t="s">
        <v>277</v>
      </c>
      <c r="D272" s="4">
        <v>0</v>
      </c>
      <c r="E272" s="4">
        <v>10</v>
      </c>
      <c r="F272">
        <f t="shared" si="25"/>
        <v>507246</v>
      </c>
      <c r="G272" s="1">
        <f t="shared" si="26"/>
        <v>380434.5</v>
      </c>
      <c r="H272" s="1">
        <f t="shared" si="21"/>
        <v>0</v>
      </c>
      <c r="I272" s="1">
        <f t="shared" si="22"/>
        <v>380434.5</v>
      </c>
      <c r="J272" s="1">
        <f t="shared" si="24"/>
        <v>0</v>
      </c>
      <c r="K272" s="1"/>
      <c r="L272" s="2">
        <v>6094</v>
      </c>
      <c r="M272">
        <v>259262</v>
      </c>
    </row>
    <row r="273" spans="1:13" x14ac:dyDescent="0.25">
      <c r="A273" s="3" t="s">
        <v>13</v>
      </c>
      <c r="B273" s="2">
        <v>6985</v>
      </c>
      <c r="C273" s="3" t="s">
        <v>278</v>
      </c>
      <c r="D273" s="4">
        <v>0</v>
      </c>
      <c r="E273" s="4">
        <v>9</v>
      </c>
      <c r="F273">
        <f t="shared" si="25"/>
        <v>421324</v>
      </c>
      <c r="G273" s="1">
        <f t="shared" si="26"/>
        <v>315993</v>
      </c>
      <c r="H273" s="1">
        <f t="shared" ref="H273:H285" si="27">ROUND((D273/(D273+E273))*$G273,2)</f>
        <v>0</v>
      </c>
      <c r="I273" s="1">
        <f t="shared" si="22"/>
        <v>315993</v>
      </c>
      <c r="J273" s="1">
        <f t="shared" si="24"/>
        <v>0</v>
      </c>
      <c r="K273" s="1"/>
      <c r="L273" s="2">
        <v>6095</v>
      </c>
      <c r="M273">
        <v>316652</v>
      </c>
    </row>
    <row r="274" spans="1:13" x14ac:dyDescent="0.25">
      <c r="A274" s="3" t="s">
        <v>13</v>
      </c>
      <c r="B274" s="2">
        <v>6987</v>
      </c>
      <c r="C274" s="3" t="s">
        <v>279</v>
      </c>
      <c r="D274" s="4">
        <v>2</v>
      </c>
      <c r="E274" s="4">
        <v>4</v>
      </c>
      <c r="F274">
        <f t="shared" si="25"/>
        <v>207700</v>
      </c>
      <c r="G274" s="1">
        <f t="shared" si="26"/>
        <v>155775</v>
      </c>
      <c r="H274" s="1">
        <f t="shared" si="27"/>
        <v>51925</v>
      </c>
      <c r="I274" s="1">
        <f t="shared" si="22"/>
        <v>103850</v>
      </c>
      <c r="J274" s="1">
        <f t="shared" si="24"/>
        <v>0</v>
      </c>
      <c r="K274" s="1"/>
      <c r="L274" s="2">
        <v>6096</v>
      </c>
      <c r="M274">
        <v>274769</v>
      </c>
    </row>
    <row r="275" spans="1:13" x14ac:dyDescent="0.25">
      <c r="A275" s="3" t="s">
        <v>13</v>
      </c>
      <c r="B275" s="2">
        <v>6990</v>
      </c>
      <c r="C275" s="3" t="s">
        <v>280</v>
      </c>
      <c r="D275" s="4">
        <v>0</v>
      </c>
      <c r="E275" s="4">
        <v>6</v>
      </c>
      <c r="F275">
        <f t="shared" si="25"/>
        <v>202803</v>
      </c>
      <c r="G275" s="1">
        <f t="shared" si="26"/>
        <v>152102.25</v>
      </c>
      <c r="H275" s="1">
        <f t="shared" si="27"/>
        <v>0</v>
      </c>
      <c r="I275" s="1">
        <f t="shared" si="22"/>
        <v>152102.25</v>
      </c>
      <c r="J275" s="1">
        <f t="shared" si="24"/>
        <v>0</v>
      </c>
      <c r="K275" s="1"/>
      <c r="L275" s="2">
        <v>6097</v>
      </c>
      <c r="M275">
        <v>87560</v>
      </c>
    </row>
    <row r="276" spans="1:13" x14ac:dyDescent="0.25">
      <c r="A276" s="3" t="s">
        <v>13</v>
      </c>
      <c r="B276" s="2">
        <v>6961</v>
      </c>
      <c r="C276" s="3" t="s">
        <v>281</v>
      </c>
      <c r="D276" s="4">
        <v>0</v>
      </c>
      <c r="E276" s="4">
        <v>6</v>
      </c>
      <c r="F276">
        <f t="shared" si="25"/>
        <v>1381452</v>
      </c>
      <c r="G276" s="1">
        <f t="shared" si="26"/>
        <v>1036089</v>
      </c>
      <c r="H276" s="1">
        <f t="shared" si="27"/>
        <v>0</v>
      </c>
      <c r="I276" s="1">
        <f t="shared" si="22"/>
        <v>1036089</v>
      </c>
      <c r="J276" s="1">
        <f t="shared" si="24"/>
        <v>0</v>
      </c>
      <c r="K276" s="1"/>
      <c r="L276" s="2">
        <v>6098</v>
      </c>
      <c r="M276">
        <v>506143</v>
      </c>
    </row>
    <row r="277" spans="1:13" x14ac:dyDescent="0.25">
      <c r="A277" s="3" t="s">
        <v>13</v>
      </c>
      <c r="B277" s="2">
        <v>6992</v>
      </c>
      <c r="C277" s="3" t="s">
        <v>282</v>
      </c>
      <c r="D277" s="4">
        <v>0</v>
      </c>
      <c r="E277" s="4">
        <v>6</v>
      </c>
      <c r="F277">
        <f t="shared" si="25"/>
        <v>184403</v>
      </c>
      <c r="G277" s="1">
        <f t="shared" si="26"/>
        <v>138302.25</v>
      </c>
      <c r="H277" s="1">
        <f t="shared" si="27"/>
        <v>0</v>
      </c>
      <c r="I277" s="1">
        <f t="shared" si="22"/>
        <v>138302.25</v>
      </c>
      <c r="J277" s="1">
        <f t="shared" si="24"/>
        <v>0</v>
      </c>
      <c r="K277" s="1"/>
      <c r="L277" s="2">
        <v>6100</v>
      </c>
      <c r="M277">
        <v>217000</v>
      </c>
    </row>
    <row r="278" spans="1:13" x14ac:dyDescent="0.25">
      <c r="A278" s="3" t="s">
        <v>13</v>
      </c>
      <c r="B278" s="2">
        <v>7002</v>
      </c>
      <c r="C278" s="3" t="s">
        <v>283</v>
      </c>
      <c r="D278" s="4">
        <v>0</v>
      </c>
      <c r="E278" s="4">
        <v>5</v>
      </c>
      <c r="F278">
        <f t="shared" si="25"/>
        <v>43655</v>
      </c>
      <c r="G278" s="1">
        <f t="shared" si="26"/>
        <v>32741.25</v>
      </c>
      <c r="H278" s="1">
        <f t="shared" si="27"/>
        <v>0</v>
      </c>
      <c r="I278" s="1">
        <f t="shared" si="22"/>
        <v>32741.25</v>
      </c>
      <c r="J278" s="1">
        <f t="shared" si="24"/>
        <v>0</v>
      </c>
      <c r="K278" s="1"/>
      <c r="L278" s="2">
        <v>6101</v>
      </c>
      <c r="M278">
        <v>2043792</v>
      </c>
    </row>
    <row r="279" spans="1:13" x14ac:dyDescent="0.25">
      <c r="A279" s="3" t="s">
        <v>13</v>
      </c>
      <c r="B279" s="2">
        <v>7029</v>
      </c>
      <c r="C279" s="3" t="s">
        <v>284</v>
      </c>
      <c r="D279" s="4">
        <v>0</v>
      </c>
      <c r="E279" s="4">
        <v>6</v>
      </c>
      <c r="F279">
        <f t="shared" si="25"/>
        <v>403006</v>
      </c>
      <c r="G279" s="1">
        <f t="shared" si="26"/>
        <v>302254.5</v>
      </c>
      <c r="H279" s="1">
        <f t="shared" si="27"/>
        <v>0</v>
      </c>
      <c r="I279" s="1">
        <f t="shared" si="22"/>
        <v>302254.5</v>
      </c>
      <c r="J279" s="1">
        <f t="shared" si="24"/>
        <v>0</v>
      </c>
      <c r="K279" s="1"/>
      <c r="L279" s="2">
        <v>6102</v>
      </c>
      <c r="M279">
        <v>521807</v>
      </c>
    </row>
    <row r="280" spans="1:13" x14ac:dyDescent="0.25">
      <c r="A280" s="3" t="s">
        <v>13</v>
      </c>
      <c r="B280" s="2">
        <v>7038</v>
      </c>
      <c r="C280" s="3" t="s">
        <v>285</v>
      </c>
      <c r="D280" s="4">
        <v>0</v>
      </c>
      <c r="E280" s="4">
        <v>7.0000000000000009</v>
      </c>
      <c r="F280">
        <f t="shared" si="25"/>
        <v>322561</v>
      </c>
      <c r="G280" s="1">
        <f t="shared" si="26"/>
        <v>241920.75</v>
      </c>
      <c r="H280" s="1">
        <f>ROUND((D280/(D280+E280))*$G280,2)</f>
        <v>0</v>
      </c>
      <c r="I280" s="1">
        <f>G280-H280</f>
        <v>241920.75</v>
      </c>
      <c r="J280" s="1">
        <f t="shared" si="24"/>
        <v>0</v>
      </c>
      <c r="K280" s="1"/>
      <c r="L280" s="2">
        <v>6120</v>
      </c>
      <c r="M280">
        <v>596200</v>
      </c>
    </row>
    <row r="281" spans="1:13" x14ac:dyDescent="0.25">
      <c r="A281" s="3" t="s">
        <v>13</v>
      </c>
      <c r="B281" s="2">
        <v>7047</v>
      </c>
      <c r="C281" s="3" t="s">
        <v>286</v>
      </c>
      <c r="D281" s="4">
        <v>0</v>
      </c>
      <c r="E281" s="4">
        <v>7.0000000000000009</v>
      </c>
      <c r="F281">
        <f t="shared" si="25"/>
        <v>97874</v>
      </c>
      <c r="G281" s="1">
        <f t="shared" si="26"/>
        <v>73405.5</v>
      </c>
      <c r="H281" s="1">
        <f t="shared" si="27"/>
        <v>0</v>
      </c>
      <c r="I281" s="1">
        <f t="shared" si="22"/>
        <v>73405.5</v>
      </c>
      <c r="J281" s="1">
        <f t="shared" si="24"/>
        <v>0</v>
      </c>
      <c r="K281" s="1"/>
      <c r="L281" s="2">
        <v>6138</v>
      </c>
      <c r="M281">
        <v>179617</v>
      </c>
    </row>
    <row r="282" spans="1:13" x14ac:dyDescent="0.25">
      <c r="A282" s="3" t="s">
        <v>13</v>
      </c>
      <c r="B282" s="2">
        <v>7056</v>
      </c>
      <c r="C282" s="3" t="s">
        <v>287</v>
      </c>
      <c r="D282" s="4">
        <v>0</v>
      </c>
      <c r="E282" s="4">
        <v>4</v>
      </c>
      <c r="F282">
        <f t="shared" si="25"/>
        <v>380376</v>
      </c>
      <c r="G282" s="1">
        <f t="shared" si="26"/>
        <v>285282</v>
      </c>
      <c r="H282" s="1">
        <f t="shared" si="27"/>
        <v>0</v>
      </c>
      <c r="I282" s="1">
        <f t="shared" si="22"/>
        <v>285282</v>
      </c>
      <c r="J282" s="1">
        <f t="shared" si="24"/>
        <v>0</v>
      </c>
      <c r="K282" s="1"/>
      <c r="L282" s="2">
        <v>6165</v>
      </c>
      <c r="M282">
        <v>40733</v>
      </c>
    </row>
    <row r="283" spans="1:13" x14ac:dyDescent="0.25">
      <c r="A283" s="3" t="s">
        <v>13</v>
      </c>
      <c r="B283" s="2">
        <v>7092</v>
      </c>
      <c r="C283" s="3" t="s">
        <v>288</v>
      </c>
      <c r="D283" s="4">
        <v>5</v>
      </c>
      <c r="E283" s="4">
        <v>9</v>
      </c>
      <c r="F283">
        <f t="shared" si="25"/>
        <v>255521</v>
      </c>
      <c r="G283" s="1">
        <f t="shared" si="26"/>
        <v>191640.75</v>
      </c>
      <c r="H283" s="1">
        <f t="shared" si="27"/>
        <v>68443.13</v>
      </c>
      <c r="I283" s="1">
        <f t="shared" si="22"/>
        <v>123197.62</v>
      </c>
      <c r="J283" s="1">
        <f t="shared" si="24"/>
        <v>0</v>
      </c>
      <c r="K283" s="1"/>
      <c r="L283" s="2">
        <v>6175</v>
      </c>
      <c r="M283">
        <v>0</v>
      </c>
    </row>
    <row r="284" spans="1:13" x14ac:dyDescent="0.25">
      <c r="A284" s="3" t="s">
        <v>13</v>
      </c>
      <c r="B284" s="2">
        <v>7098</v>
      </c>
      <c r="C284" s="3" t="s">
        <v>289</v>
      </c>
      <c r="D284" s="4">
        <v>0</v>
      </c>
      <c r="E284" s="4">
        <v>5</v>
      </c>
      <c r="F284">
        <f t="shared" si="25"/>
        <v>243109</v>
      </c>
      <c r="G284" s="1">
        <f t="shared" si="26"/>
        <v>182331.75</v>
      </c>
      <c r="H284" s="1">
        <f t="shared" si="27"/>
        <v>0</v>
      </c>
      <c r="I284" s="1">
        <f t="shared" si="22"/>
        <v>182331.75</v>
      </c>
      <c r="J284" s="1">
        <f t="shared" si="24"/>
        <v>0</v>
      </c>
      <c r="K284" s="1"/>
      <c r="L284" s="2">
        <v>6219</v>
      </c>
      <c r="M284">
        <v>297812</v>
      </c>
    </row>
    <row r="285" spans="1:13" x14ac:dyDescent="0.25">
      <c r="A285" s="3" t="s">
        <v>13</v>
      </c>
      <c r="B285" s="2">
        <v>7110</v>
      </c>
      <c r="C285" s="3" t="s">
        <v>290</v>
      </c>
      <c r="D285" s="4">
        <v>0</v>
      </c>
      <c r="E285" s="4">
        <v>7.0000000000000009</v>
      </c>
      <c r="F285">
        <f t="shared" si="25"/>
        <v>439230</v>
      </c>
      <c r="G285" s="1">
        <f t="shared" si="26"/>
        <v>329422.5</v>
      </c>
      <c r="H285" s="1">
        <f t="shared" si="27"/>
        <v>0</v>
      </c>
      <c r="I285" s="1">
        <f t="shared" si="22"/>
        <v>329422.5</v>
      </c>
      <c r="J285" s="1">
        <f t="shared" si="24"/>
        <v>0</v>
      </c>
      <c r="K285" s="1"/>
      <c r="L285" s="2">
        <v>6246</v>
      </c>
      <c r="M285">
        <v>90275</v>
      </c>
    </row>
    <row r="286" spans="1:13" x14ac:dyDescent="0.25">
      <c r="K286" s="1"/>
      <c r="L286" s="2">
        <v>6264</v>
      </c>
      <c r="M286">
        <v>228376</v>
      </c>
    </row>
    <row r="287" spans="1:13" x14ac:dyDescent="0.25">
      <c r="K287" s="1"/>
      <c r="L287" s="2">
        <v>6273</v>
      </c>
      <c r="M287">
        <v>309688</v>
      </c>
    </row>
    <row r="288" spans="1:13" x14ac:dyDescent="0.25">
      <c r="K288" s="1"/>
      <c r="L288" s="2">
        <v>6408</v>
      </c>
      <c r="M288">
        <v>516502</v>
      </c>
    </row>
    <row r="289" spans="1:13" x14ac:dyDescent="0.25">
      <c r="A289" s="16" t="s">
        <v>13</v>
      </c>
      <c r="B289" s="17">
        <v>441</v>
      </c>
      <c r="C289" s="16" t="s">
        <v>14</v>
      </c>
      <c r="D289" s="18">
        <v>3</v>
      </c>
      <c r="E289" s="18">
        <v>9</v>
      </c>
      <c r="F289" s="19">
        <v>379238</v>
      </c>
      <c r="G289" s="20">
        <f>ROUND(F289*0.75,2)</f>
        <v>284428.5</v>
      </c>
      <c r="H289" s="20">
        <f>ROUND((D289/(D289+E289))*$G289,2)</f>
        <v>71107.13</v>
      </c>
      <c r="I289" s="20">
        <f>G289-H289</f>
        <v>213321.37</v>
      </c>
      <c r="J289" s="111" t="s">
        <v>297</v>
      </c>
      <c r="K289" s="1"/>
      <c r="L289" s="2">
        <v>6453</v>
      </c>
      <c r="M289">
        <v>108584</v>
      </c>
    </row>
    <row r="290" spans="1:13" x14ac:dyDescent="0.25">
      <c r="A290" s="16" t="s">
        <v>13</v>
      </c>
      <c r="B290" s="17">
        <v>6750</v>
      </c>
      <c r="C290" s="16" t="s">
        <v>262</v>
      </c>
      <c r="D290" s="18">
        <v>0</v>
      </c>
      <c r="E290" s="18">
        <v>1</v>
      </c>
      <c r="F290" s="19">
        <v>9484</v>
      </c>
      <c r="G290" s="20">
        <f t="shared" ref="G290" si="28">ROUND(F290*0.75,2)</f>
        <v>7113</v>
      </c>
      <c r="H290" s="20">
        <f t="shared" ref="H290" si="29">ROUND((D290/(D290+E290))*$G290,2)</f>
        <v>0</v>
      </c>
      <c r="I290" s="20">
        <f t="shared" ref="I290" si="30">G290-H290</f>
        <v>7113</v>
      </c>
      <c r="J290" s="111"/>
      <c r="K290" s="1"/>
      <c r="L290" s="2">
        <v>6460</v>
      </c>
      <c r="M290">
        <v>219323</v>
      </c>
    </row>
    <row r="291" spans="1:13" x14ac:dyDescent="0.25">
      <c r="C291" t="s">
        <v>298</v>
      </c>
      <c r="H291" s="1">
        <f>SUM(H289:H290)</f>
        <v>71107.13</v>
      </c>
      <c r="I291" s="1">
        <f>SUM(I289:I290)</f>
        <v>220434.37</v>
      </c>
      <c r="K291" s="1"/>
      <c r="L291" s="2">
        <v>6462</v>
      </c>
      <c r="M291">
        <v>135877</v>
      </c>
    </row>
    <row r="292" spans="1:13" x14ac:dyDescent="0.25">
      <c r="K292" s="1"/>
      <c r="L292" s="2">
        <v>6471</v>
      </c>
      <c r="M292">
        <v>0</v>
      </c>
    </row>
    <row r="293" spans="1:13" x14ac:dyDescent="0.25">
      <c r="K293" s="1"/>
      <c r="L293" s="2">
        <v>6509</v>
      </c>
      <c r="M293">
        <v>0</v>
      </c>
    </row>
    <row r="294" spans="1:13" x14ac:dyDescent="0.25">
      <c r="A294" s="8" t="s">
        <v>13</v>
      </c>
      <c r="B294" s="22">
        <v>2205</v>
      </c>
      <c r="C294" s="8" t="s">
        <v>100</v>
      </c>
      <c r="D294" s="10">
        <v>0</v>
      </c>
      <c r="E294" s="10">
        <v>7.0000000000000009</v>
      </c>
      <c r="F294" s="9">
        <f>INDEX($L$2:$M$336,MATCH(B294,$L$2:$L$336,0),2)</f>
        <v>76386</v>
      </c>
      <c r="G294" s="23">
        <f t="shared" ref="G294:G305" si="31">ROUND(F294*0.75,2)</f>
        <v>57289.5</v>
      </c>
      <c r="H294" s="23">
        <f t="shared" ref="H294:H305" si="32">ROUND((D294/(D294+E294))*$G294,2)</f>
        <v>0</v>
      </c>
      <c r="I294" s="23">
        <f t="shared" ref="I294:I305" si="33">G294-H294</f>
        <v>57289.5</v>
      </c>
      <c r="K294" s="1"/>
      <c r="L294" s="2">
        <v>6512</v>
      </c>
      <c r="M294">
        <v>178755</v>
      </c>
    </row>
    <row r="295" spans="1:13" x14ac:dyDescent="0.25">
      <c r="A295" s="3"/>
      <c r="B295" s="2"/>
      <c r="D295" s="4"/>
      <c r="E295" s="4"/>
      <c r="G295" s="1"/>
      <c r="H295" s="1"/>
      <c r="I295" s="1"/>
      <c r="K295" s="1"/>
      <c r="L295" s="2">
        <v>6516</v>
      </c>
      <c r="M295">
        <v>111237</v>
      </c>
    </row>
    <row r="296" spans="1:13" x14ac:dyDescent="0.25">
      <c r="A296" s="11" t="s">
        <v>13</v>
      </c>
      <c r="B296" s="24">
        <v>2369</v>
      </c>
      <c r="C296" s="11" t="s">
        <v>103</v>
      </c>
      <c r="D296" s="13">
        <v>6</v>
      </c>
      <c r="E296" s="13">
        <v>10</v>
      </c>
      <c r="F296" s="12">
        <f>INDEX($L$2:$M$336,MATCH(B296,$L$2:$L$336,0),2)</f>
        <v>243766</v>
      </c>
      <c r="G296" s="25">
        <f t="shared" si="31"/>
        <v>182824.5</v>
      </c>
      <c r="H296" s="25">
        <f t="shared" si="32"/>
        <v>68559.19</v>
      </c>
      <c r="I296" s="25">
        <f t="shared" si="33"/>
        <v>114265.31</v>
      </c>
      <c r="K296" s="1"/>
      <c r="L296" s="2">
        <v>6534</v>
      </c>
      <c r="M296">
        <v>0</v>
      </c>
    </row>
    <row r="297" spans="1:13" x14ac:dyDescent="0.25">
      <c r="A297" s="3"/>
      <c r="B297" s="2"/>
      <c r="C297" s="8" t="s">
        <v>100</v>
      </c>
      <c r="D297" s="4"/>
      <c r="E297" s="4"/>
      <c r="G297" s="1"/>
      <c r="H297" s="1">
        <f>H311</f>
        <v>0</v>
      </c>
      <c r="I297" s="1">
        <f>I311</f>
        <v>2291.25</v>
      </c>
      <c r="K297" s="1"/>
      <c r="L297" s="2">
        <v>6561</v>
      </c>
      <c r="M297">
        <v>157856</v>
      </c>
    </row>
    <row r="298" spans="1:13" x14ac:dyDescent="0.25">
      <c r="A298" s="3"/>
      <c r="B298" s="2"/>
      <c r="C298" t="s">
        <v>298</v>
      </c>
      <c r="D298" s="4"/>
      <c r="E298" s="4"/>
      <c r="G298" s="1"/>
      <c r="H298" s="28">
        <f>SUM(H296:H297)</f>
        <v>68559.19</v>
      </c>
      <c r="I298" s="28">
        <f>SUM(I296:I297)</f>
        <v>116556.56</v>
      </c>
      <c r="K298" s="1"/>
      <c r="L298" s="2">
        <v>6579</v>
      </c>
      <c r="M298">
        <v>0</v>
      </c>
    </row>
    <row r="299" spans="1:13" x14ac:dyDescent="0.25">
      <c r="A299" s="11" t="s">
        <v>13</v>
      </c>
      <c r="B299" s="24">
        <v>2772</v>
      </c>
      <c r="C299" s="11" t="s">
        <v>117</v>
      </c>
      <c r="D299" s="13">
        <v>3</v>
      </c>
      <c r="E299" s="13">
        <v>4</v>
      </c>
      <c r="F299" s="12">
        <f>INDEX($L$2:$M$336,MATCH(B299,$L$2:$L$336,0),2)</f>
        <v>86159</v>
      </c>
      <c r="G299" s="25">
        <f t="shared" si="31"/>
        <v>64619.25</v>
      </c>
      <c r="H299" s="25">
        <f t="shared" si="32"/>
        <v>27693.96</v>
      </c>
      <c r="I299" s="25">
        <f t="shared" si="33"/>
        <v>36925.29</v>
      </c>
      <c r="K299" s="1"/>
      <c r="L299" s="2">
        <v>6591</v>
      </c>
      <c r="M299">
        <v>138013</v>
      </c>
    </row>
    <row r="300" spans="1:13" x14ac:dyDescent="0.25">
      <c r="A300" s="3"/>
      <c r="B300" s="2"/>
      <c r="C300" s="8" t="s">
        <v>100</v>
      </c>
      <c r="D300" s="4"/>
      <c r="E300" s="4"/>
      <c r="G300" s="1"/>
      <c r="H300" s="1">
        <f>H312</f>
        <v>0</v>
      </c>
      <c r="I300" s="1">
        <f>I312</f>
        <v>4010.25</v>
      </c>
      <c r="K300" s="1"/>
      <c r="L300" s="2">
        <v>6592</v>
      </c>
      <c r="M300">
        <v>293882</v>
      </c>
    </row>
    <row r="301" spans="1:13" x14ac:dyDescent="0.25">
      <c r="A301" s="3"/>
      <c r="B301" s="2"/>
      <c r="C301" t="s">
        <v>298</v>
      </c>
      <c r="D301" s="4"/>
      <c r="E301" s="4"/>
      <c r="G301" s="1"/>
      <c r="H301" s="28">
        <f>SUM(H299:H300)</f>
        <v>27693.96</v>
      </c>
      <c r="I301" s="28">
        <f>SUM(I299:I300)</f>
        <v>40935.54</v>
      </c>
      <c r="K301" s="1"/>
      <c r="L301" s="2">
        <v>6615</v>
      </c>
      <c r="M301">
        <v>301261</v>
      </c>
    </row>
    <row r="302" spans="1:13" x14ac:dyDescent="0.25">
      <c r="A302" s="11" t="s">
        <v>13</v>
      </c>
      <c r="B302" s="24">
        <v>5976</v>
      </c>
      <c r="C302" s="11" t="s">
        <v>226</v>
      </c>
      <c r="D302" s="13">
        <v>7.0000000000000009</v>
      </c>
      <c r="E302" s="13">
        <v>4</v>
      </c>
      <c r="F302" s="12">
        <f>INDEX($L$2:$M$336,MATCH(B302,$L$2:$L$336,0),2)</f>
        <v>449870</v>
      </c>
      <c r="G302" s="25">
        <f t="shared" si="31"/>
        <v>337402.5</v>
      </c>
      <c r="H302" s="25">
        <f t="shared" si="32"/>
        <v>214710.68</v>
      </c>
      <c r="I302" s="25">
        <f t="shared" si="33"/>
        <v>122691.82</v>
      </c>
      <c r="K302" s="1"/>
      <c r="L302" s="2">
        <v>6651</v>
      </c>
      <c r="M302">
        <v>13928</v>
      </c>
    </row>
    <row r="303" spans="1:13" x14ac:dyDescent="0.25">
      <c r="A303" s="3"/>
      <c r="B303" s="2"/>
      <c r="C303" s="8" t="s">
        <v>100</v>
      </c>
      <c r="D303" s="4"/>
      <c r="E303" s="4"/>
      <c r="G303" s="1"/>
      <c r="H303" s="1">
        <f>H313</f>
        <v>0</v>
      </c>
      <c r="I303" s="1">
        <f>I313</f>
        <v>37238.25</v>
      </c>
      <c r="K303" s="1"/>
      <c r="L303" s="2">
        <v>6660</v>
      </c>
      <c r="M303">
        <v>628098</v>
      </c>
    </row>
    <row r="304" spans="1:13" x14ac:dyDescent="0.25">
      <c r="A304" s="3"/>
      <c r="B304" s="2"/>
      <c r="C304" t="s">
        <v>298</v>
      </c>
      <c r="D304" s="4"/>
      <c r="E304" s="4"/>
      <c r="G304" s="1"/>
      <c r="H304" s="28">
        <f>SUM(H302:H303)</f>
        <v>214710.68</v>
      </c>
      <c r="I304" s="28">
        <f>SUM(I302:I303)</f>
        <v>159930.07</v>
      </c>
      <c r="K304" s="1"/>
      <c r="L304" s="2">
        <v>6700</v>
      </c>
      <c r="M304">
        <v>0</v>
      </c>
    </row>
    <row r="305" spans="1:13" x14ac:dyDescent="0.25">
      <c r="A305" s="11" t="s">
        <v>13</v>
      </c>
      <c r="B305" s="24">
        <v>6003</v>
      </c>
      <c r="C305" s="11" t="s">
        <v>228</v>
      </c>
      <c r="D305" s="13">
        <v>0</v>
      </c>
      <c r="E305" s="13">
        <v>9</v>
      </c>
      <c r="F305" s="12">
        <f>INDEX($L$2:$M$336,MATCH(B305,$L$2:$L$336,0),2)</f>
        <v>112258</v>
      </c>
      <c r="G305" s="25">
        <f t="shared" si="31"/>
        <v>84193.5</v>
      </c>
      <c r="H305" s="25">
        <f t="shared" si="32"/>
        <v>0</v>
      </c>
      <c r="I305" s="25">
        <f t="shared" si="33"/>
        <v>84193.5</v>
      </c>
      <c r="K305" s="1"/>
      <c r="L305" s="2">
        <v>6741</v>
      </c>
      <c r="M305">
        <v>56234</v>
      </c>
    </row>
    <row r="306" spans="1:13" x14ac:dyDescent="0.25">
      <c r="A306" s="3"/>
      <c r="B306" s="2"/>
      <c r="C306" s="8" t="s">
        <v>100</v>
      </c>
      <c r="D306" s="4"/>
      <c r="E306" s="4"/>
      <c r="G306" s="1"/>
      <c r="H306" s="1">
        <f>H314</f>
        <v>0</v>
      </c>
      <c r="I306" s="1">
        <f>I314</f>
        <v>13749.75</v>
      </c>
      <c r="K306" s="1"/>
      <c r="L306" s="2">
        <v>6759</v>
      </c>
      <c r="M306">
        <v>175823</v>
      </c>
    </row>
    <row r="307" spans="1:13" x14ac:dyDescent="0.25">
      <c r="A307" s="3"/>
      <c r="B307" s="2"/>
      <c r="C307" t="s">
        <v>298</v>
      </c>
      <c r="D307" s="4"/>
      <c r="E307" s="4"/>
      <c r="G307" s="1"/>
      <c r="H307" s="28">
        <f>SUM(H305:H306)</f>
        <v>0</v>
      </c>
      <c r="I307" s="28">
        <f>SUM(I305:I306)</f>
        <v>97943.25</v>
      </c>
      <c r="K307" s="1"/>
      <c r="L307" s="2">
        <v>6762</v>
      </c>
      <c r="M307">
        <v>399426</v>
      </c>
    </row>
    <row r="308" spans="1:13" x14ac:dyDescent="0.25">
      <c r="K308" s="1"/>
      <c r="L308" s="2">
        <v>6768</v>
      </c>
      <c r="M308">
        <v>715192</v>
      </c>
    </row>
    <row r="309" spans="1:13" x14ac:dyDescent="0.25">
      <c r="C309" s="26"/>
      <c r="D309" t="s">
        <v>299</v>
      </c>
      <c r="H309" s="112" t="s">
        <v>302</v>
      </c>
      <c r="I309" s="112"/>
      <c r="K309" s="1"/>
      <c r="L309" s="2">
        <v>6795</v>
      </c>
      <c r="M309">
        <v>0</v>
      </c>
    </row>
    <row r="310" spans="1:13" x14ac:dyDescent="0.25">
      <c r="C310" s="26"/>
      <c r="D310" s="26" t="s">
        <v>300</v>
      </c>
      <c r="F310" t="s">
        <v>291</v>
      </c>
      <c r="H310" s="112"/>
      <c r="I310" s="112"/>
      <c r="K310" s="1"/>
      <c r="L310" s="2">
        <v>6822</v>
      </c>
      <c r="M310">
        <v>0</v>
      </c>
    </row>
    <row r="311" spans="1:13" x14ac:dyDescent="0.25">
      <c r="B311">
        <v>367934</v>
      </c>
      <c r="C311" t="s">
        <v>103</v>
      </c>
      <c r="D311" s="27">
        <v>0.04</v>
      </c>
      <c r="F311" s="1">
        <f>ROUND(D311*$F$318,0)</f>
        <v>3055</v>
      </c>
      <c r="G311" s="1">
        <f>ROUND(F311*0.75,2)</f>
        <v>2291.25</v>
      </c>
      <c r="H311" s="1">
        <f>ROUND(($D$318/($D$318+$E$318))*$G$318,2)</f>
        <v>0</v>
      </c>
      <c r="I311" s="1">
        <f>G311-H311</f>
        <v>2291.25</v>
      </c>
      <c r="K311" s="1"/>
      <c r="L311" s="2">
        <v>6840</v>
      </c>
      <c r="M311">
        <v>830325</v>
      </c>
    </row>
    <row r="312" spans="1:13" x14ac:dyDescent="0.25">
      <c r="B312">
        <v>367935</v>
      </c>
      <c r="C312" t="s">
        <v>117</v>
      </c>
      <c r="D312" s="27">
        <v>7.0000000000000007E-2</v>
      </c>
      <c r="F312" s="1">
        <f>ROUND(D312*$F$318,0)</f>
        <v>5347</v>
      </c>
      <c r="G312" s="1">
        <f t="shared" ref="G312:G314" si="34">ROUND(F312*0.75,2)</f>
        <v>4010.25</v>
      </c>
      <c r="H312" s="1">
        <f t="shared" ref="H312:H314" si="35">ROUND(($D$318/($D$318+$E$318))*$G$318,2)</f>
        <v>0</v>
      </c>
      <c r="I312" s="1">
        <f t="shared" ref="I312:I314" si="36">G312-H312</f>
        <v>4010.25</v>
      </c>
      <c r="K312" s="1"/>
      <c r="L312" s="2"/>
    </row>
    <row r="313" spans="1:13" x14ac:dyDescent="0.25">
      <c r="B313">
        <v>367936</v>
      </c>
      <c r="C313" t="s">
        <v>226</v>
      </c>
      <c r="D313" s="27">
        <v>0.65</v>
      </c>
      <c r="F313" s="1">
        <f>ROUND(D313*$F$318,0)</f>
        <v>49651</v>
      </c>
      <c r="G313" s="1">
        <f t="shared" si="34"/>
        <v>37238.25</v>
      </c>
      <c r="H313" s="1">
        <f t="shared" si="35"/>
        <v>0</v>
      </c>
      <c r="I313" s="1">
        <f t="shared" si="36"/>
        <v>37238.25</v>
      </c>
      <c r="K313" s="1"/>
      <c r="L313" s="2">
        <v>6854</v>
      </c>
      <c r="M313">
        <v>46397</v>
      </c>
    </row>
    <row r="314" spans="1:13" x14ac:dyDescent="0.25">
      <c r="B314">
        <v>367937</v>
      </c>
      <c r="C314" t="s">
        <v>228</v>
      </c>
      <c r="D314" s="27">
        <v>0.24</v>
      </c>
      <c r="F314" s="1">
        <f>ROUND(D314*$F$318,0)</f>
        <v>18333</v>
      </c>
      <c r="G314" s="1">
        <f t="shared" si="34"/>
        <v>13749.75</v>
      </c>
      <c r="H314" s="1">
        <f t="shared" si="35"/>
        <v>0</v>
      </c>
      <c r="I314" s="1">
        <f t="shared" si="36"/>
        <v>13749.75</v>
      </c>
      <c r="K314" s="1"/>
      <c r="L314" s="2">
        <v>6867</v>
      </c>
      <c r="M314">
        <v>443461</v>
      </c>
    </row>
    <row r="315" spans="1:13" x14ac:dyDescent="0.25">
      <c r="D315" s="14">
        <f>SUM(D311:D314)</f>
        <v>1</v>
      </c>
      <c r="F315" s="1"/>
      <c r="K315" s="1"/>
      <c r="L315" s="2">
        <v>6921</v>
      </c>
      <c r="M315">
        <v>0</v>
      </c>
    </row>
    <row r="316" spans="1:13" x14ac:dyDescent="0.25">
      <c r="D316" s="14"/>
      <c r="F316" s="1"/>
      <c r="K316" s="1"/>
      <c r="L316" s="2">
        <v>6930</v>
      </c>
      <c r="M316">
        <v>462254</v>
      </c>
    </row>
    <row r="317" spans="1:13" x14ac:dyDescent="0.25">
      <c r="D317" t="s">
        <v>11</v>
      </c>
      <c r="E317" t="s">
        <v>12</v>
      </c>
      <c r="F317" s="1"/>
      <c r="K317" s="1"/>
      <c r="L317" s="2">
        <v>6937</v>
      </c>
      <c r="M317">
        <v>0</v>
      </c>
    </row>
    <row r="318" spans="1:13" x14ac:dyDescent="0.25">
      <c r="B318" s="22">
        <v>2205</v>
      </c>
      <c r="C318" s="8" t="s">
        <v>100</v>
      </c>
      <c r="D318" s="10">
        <v>0</v>
      </c>
      <c r="E318" s="10">
        <v>7.0000000000000009</v>
      </c>
      <c r="F318" s="23">
        <f>INDEX($L$2:$M$336,MATCH(B318,$L$2:$L$336,0),2)</f>
        <v>76386</v>
      </c>
      <c r="G318" s="23">
        <f t="shared" ref="G318" si="37">ROUND(F318*0.75,2)</f>
        <v>57289.5</v>
      </c>
      <c r="H318" s="23">
        <f>ROUND((D318/(D318+E318))*$G318,2)</f>
        <v>0</v>
      </c>
      <c r="I318" s="23">
        <f>G318-H318</f>
        <v>57289.5</v>
      </c>
      <c r="K318" s="1"/>
      <c r="L318" s="2">
        <v>6943</v>
      </c>
      <c r="M318">
        <v>171175</v>
      </c>
    </row>
    <row r="319" spans="1:13" x14ac:dyDescent="0.25">
      <c r="C319" t="s">
        <v>301</v>
      </c>
      <c r="F319" s="1">
        <f>SUM(F311:F314)-F318</f>
        <v>0</v>
      </c>
      <c r="G319" s="1">
        <f>SUM(G311:G314)-G318</f>
        <v>0</v>
      </c>
      <c r="H319" s="1">
        <f>SUM(H311:H314)-H318</f>
        <v>0</v>
      </c>
      <c r="I319" s="1">
        <f>SUM(I311:I314)-I318</f>
        <v>0</v>
      </c>
      <c r="K319" s="1"/>
      <c r="L319" s="2">
        <v>6950</v>
      </c>
      <c r="M319">
        <v>432328</v>
      </c>
    </row>
    <row r="320" spans="1:13" x14ac:dyDescent="0.25">
      <c r="K320" s="1"/>
      <c r="L320" s="2">
        <v>6957</v>
      </c>
      <c r="M320">
        <v>0</v>
      </c>
    </row>
    <row r="321" spans="11:13" x14ac:dyDescent="0.25">
      <c r="K321" s="1"/>
      <c r="L321" s="2">
        <v>6961</v>
      </c>
      <c r="M321">
        <v>1381452</v>
      </c>
    </row>
    <row r="322" spans="11:13" x14ac:dyDescent="0.25">
      <c r="K322" s="1"/>
      <c r="L322" s="2">
        <v>6969</v>
      </c>
      <c r="M322">
        <v>26532</v>
      </c>
    </row>
    <row r="323" spans="11:13" x14ac:dyDescent="0.25">
      <c r="K323" s="1"/>
      <c r="L323" s="2">
        <v>6975</v>
      </c>
      <c r="M323">
        <v>931482</v>
      </c>
    </row>
    <row r="324" spans="11:13" x14ac:dyDescent="0.25">
      <c r="K324" s="1"/>
      <c r="L324" s="2">
        <v>6983</v>
      </c>
      <c r="M324">
        <v>507246</v>
      </c>
    </row>
    <row r="325" spans="11:13" x14ac:dyDescent="0.25">
      <c r="K325" s="1"/>
      <c r="L325" s="2">
        <v>6985</v>
      </c>
      <c r="M325">
        <v>421324</v>
      </c>
    </row>
    <row r="326" spans="11:13" x14ac:dyDescent="0.25">
      <c r="K326" s="1"/>
      <c r="L326" s="2">
        <v>6987</v>
      </c>
      <c r="M326">
        <v>207700</v>
      </c>
    </row>
    <row r="327" spans="11:13" x14ac:dyDescent="0.25">
      <c r="K327" s="1"/>
      <c r="L327" s="2">
        <v>6990</v>
      </c>
      <c r="M327">
        <v>202803</v>
      </c>
    </row>
    <row r="328" spans="11:13" x14ac:dyDescent="0.25">
      <c r="K328" s="1"/>
      <c r="L328" s="2">
        <v>6992</v>
      </c>
      <c r="M328">
        <v>184403</v>
      </c>
    </row>
    <row r="329" spans="11:13" x14ac:dyDescent="0.25">
      <c r="K329" s="1"/>
      <c r="L329" s="2">
        <v>7002</v>
      </c>
      <c r="M329">
        <v>43655</v>
      </c>
    </row>
    <row r="330" spans="11:13" x14ac:dyDescent="0.25">
      <c r="K330" s="1"/>
      <c r="L330" s="2">
        <v>7029</v>
      </c>
      <c r="M330">
        <v>403006</v>
      </c>
    </row>
    <row r="331" spans="11:13" x14ac:dyDescent="0.25">
      <c r="K331" s="1"/>
      <c r="L331" s="2">
        <v>7038</v>
      </c>
      <c r="M331">
        <v>322561</v>
      </c>
    </row>
    <row r="332" spans="11:13" x14ac:dyDescent="0.25">
      <c r="K332" s="1"/>
      <c r="L332" s="2">
        <v>7047</v>
      </c>
      <c r="M332">
        <v>97874</v>
      </c>
    </row>
    <row r="333" spans="11:13" x14ac:dyDescent="0.25">
      <c r="K333" s="1"/>
      <c r="L333" s="2">
        <v>7056</v>
      </c>
      <c r="M333">
        <v>380376</v>
      </c>
    </row>
    <row r="334" spans="11:13" x14ac:dyDescent="0.25">
      <c r="K334" s="1"/>
      <c r="L334" s="2">
        <v>7092</v>
      </c>
      <c r="M334">
        <v>255521</v>
      </c>
    </row>
    <row r="335" spans="11:13" x14ac:dyDescent="0.25">
      <c r="K335" s="1"/>
      <c r="L335" s="2">
        <v>7098</v>
      </c>
      <c r="M335">
        <v>243109</v>
      </c>
    </row>
    <row r="336" spans="11:13" x14ac:dyDescent="0.25">
      <c r="K336" s="1"/>
      <c r="L336" s="2">
        <v>7110</v>
      </c>
      <c r="M336">
        <v>439230</v>
      </c>
    </row>
  </sheetData>
  <mergeCells count="2">
    <mergeCell ref="J289:J290"/>
    <mergeCell ref="H309:I3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Z F h 5 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B k W H l 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F h 5 W S i K R 7 g O A A A A E Q A A A B M A H A B G b 3 J t d W x h c y 9 T Z W N 0 a W 9 u M S 5 t I K I Y A C i g F A A A A A A A A A A A A A A A A A A A A A A A A A A A A C t O T S 7 J z M 9 T C I b Q h t Y A U E s B A i 0 A F A A C A A g A Z F h 5 W X j M R G K j A A A A 9 Q A A A B I A A A A A A A A A A A A A A A A A A A A A A E N v b m Z p Z y 9 Q Y W N r Y W d l L n h t b F B L A Q I t A B Q A A g A I A G R Y e V k P y u m r p A A A A O k A A A A T A A A A A A A A A A A A A A A A A O 8 A A A B b Q 2 9 u d G V u d F 9 U e X B l c 1 0 u e G 1 s U E s B A i 0 A F A A C A A g A Z F h 5 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H x t 3 7 6 8 Y 5 E n + 5 x w 5 X M n w o A A A A A A g A A A A A A A 2 Y A A M A A A A A Q A A A A 7 g w + W 6 b o A M U l d u 6 3 h 0 w g b Q A A A A A E g A A A o A A A A B A A A A C Z E x Y s 0 3 n X 5 P J s 1 z s E q K 3 F U A A A A C G 3 A 9 w c + E j b A 3 n R S h i i 2 t q 8 q g k P 7 O d 2 m J m 0 p s W D r T j r F A n O 3 f i t N y Q d X X f E 2 1 k c e T b 0 g Y a 3 0 b L 9 Z H C T a u c u b t Y g w h a 2 j i i R 0 p 7 z l e n h i j I P F A A A A J U X f P j K K T T j O T d v o P K K m 6 1 b T 7 v g < / D a t a M a s h u p > 
</file>

<file path=customXml/itemProps1.xml><?xml version="1.0" encoding="utf-8"?>
<ds:datastoreItem xmlns:ds="http://schemas.openxmlformats.org/officeDocument/2006/customXml" ds:itemID="{0A3146C0-9A6E-4895-9051-80744604D47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Notes</vt:lpstr>
      <vt:lpstr>cfo</vt:lpstr>
      <vt:lpstr>SurtaxPayment</vt:lpstr>
      <vt:lpstr>SurtaxRatesSAS</vt:lpstr>
      <vt:lpstr>PriorYear</vt:lpstr>
      <vt:lpstr>Dec100%_DOR PDF</vt:lpstr>
      <vt:lpstr>Accounts - DOR Dec Payments</vt:lpstr>
      <vt:lpstr>DistrictsMatchNametoNum</vt:lpstr>
      <vt:lpstr>ShowsHowDeltwithDisolution</vt:lpstr>
      <vt:lpstr>ShowsHowDeltWithDisolution2</vt:lpstr>
      <vt:lpstr>PriorYear!Print_Area</vt:lpstr>
      <vt:lpstr>SurtaxPayment!Print_Area</vt:lpstr>
      <vt:lpstr>PriorYear!Print_Titles</vt:lpstr>
      <vt:lpstr>SurtaxPayment!Print_Titles</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Management</dc:creator>
  <cp:lastModifiedBy>Parker, John</cp:lastModifiedBy>
  <cp:lastPrinted>2023-09-26T18:55:39Z</cp:lastPrinted>
  <dcterms:created xsi:type="dcterms:W3CDTF">2016-11-30T15:52:26Z</dcterms:created>
  <dcterms:modified xsi:type="dcterms:W3CDTF">2024-12-12T16:29:11Z</dcterms:modified>
</cp:coreProperties>
</file>